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0.xml" ContentType="application/vnd.openxmlformats-officedocument.drawing+xml"/>
  <Override PartName="/xl/charts/chart2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+xml"/>
  <Override PartName="/xl/charts/chart3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49.xml" ContentType="application/vnd.openxmlformats-officedocument.drawingml.chart+xml"/>
  <Override PartName="/xl/drawings/drawing28.xml" ContentType="application/vnd.openxmlformats-officedocument.drawingml.chartshapes+xml"/>
  <Override PartName="/xl/charts/chart50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Gateway Web Design\12.LMI\2020.07.29 Gateway LMI\"/>
    </mc:Choice>
  </mc:AlternateContent>
  <bookViews>
    <workbookView xWindow="0" yWindow="0" windowWidth="25200" windowHeight="11190" tabRatio="880" firstSheet="1" activeTab="1"/>
  </bookViews>
  <sheets>
    <sheet name="Stored" sheetId="8" state="hidden" r:id="rId1"/>
    <sheet name="Warning" sheetId="100" r:id="rId2"/>
    <sheet name="Info" sheetId="50" r:id="rId3"/>
    <sheet name="Manager" sheetId="13" state="hidden" r:id="rId4"/>
    <sheet name="Contents" sheetId="99" r:id="rId5"/>
    <sheet name="Ind T1" sheetId="11" r:id="rId6"/>
    <sheet name="Ind T2" sheetId="12" r:id="rId7"/>
    <sheet name="Ind T3" sheetId="97" r:id="rId8"/>
    <sheet name="Ind T4" sheetId="15" r:id="rId9"/>
    <sheet name="Ind T5" sheetId="104" r:id="rId10"/>
    <sheet name="Ind T6" sheetId="102" r:id="rId11"/>
    <sheet name="Ind F1" sheetId="19" r:id="rId12"/>
    <sheet name="Ind F2" sheetId="21" r:id="rId13"/>
    <sheet name="Ind Occ T1" sheetId="101" r:id="rId14"/>
    <sheet name="Ind Occ T2" sheetId="103" r:id="rId15"/>
    <sheet name="Occ T1" sheetId="16" r:id="rId16"/>
    <sheet name="Occ T2" sheetId="71" r:id="rId17"/>
    <sheet name="Occ T3" sheetId="18" r:id="rId18"/>
    <sheet name="Occ T4" sheetId="105" r:id="rId19"/>
    <sheet name="Occ T5" sheetId="109" r:id="rId20"/>
    <sheet name="Occ F1" sheetId="75" r:id="rId21"/>
    <sheet name="Occ F2" sheetId="76" r:id="rId22"/>
    <sheet name="Occ F3" sheetId="106" r:id="rId23"/>
    <sheet name="Occ F4" sheetId="107" r:id="rId24"/>
    <sheet name="Occ F5" sheetId="108" r:id="rId25"/>
    <sheet name="Qual T1" sheetId="44" r:id="rId26"/>
    <sheet name="Qual F1" sheetId="51" r:id="rId27"/>
    <sheet name="SummaryTable12" sheetId="62" state="veryHidden" r:id="rId28"/>
    <sheet name="ShiftShare T1" sheetId="80" r:id="rId29"/>
    <sheet name="RD T1" sheetId="49" r:id="rId30"/>
    <sheet name="RD F1" sheetId="31" r:id="rId31"/>
    <sheet name="Basic T1" sheetId="52" r:id="rId32"/>
    <sheet name="Basic T2" sheetId="78" r:id="rId33"/>
    <sheet name="Basic T3" sheetId="79" r:id="rId34"/>
    <sheet name="BasicTable5" sheetId="60" state="veryHidden" r:id="rId35"/>
    <sheet name="ShiftShare2" sheetId="83" state="veryHidden" r:id="rId36"/>
    <sheet name="SupplyBasicTable2" sheetId="93" state="veryHidden" r:id="rId37"/>
    <sheet name="name" sheetId="2" r:id="rId38"/>
    <sheet name="aggregation" sheetId="5" r:id="rId39"/>
    <sheet name="AggregationTables" sheetId="46" r:id="rId40"/>
  </sheets>
  <externalReferences>
    <externalReference r:id="rId41"/>
  </externalReferences>
  <definedNames>
    <definedName name="_Fill" localSheetId="34">#REF!</definedName>
    <definedName name="_Fill" localSheetId="14" hidden="1">#REF!</definedName>
    <definedName name="_Fill" localSheetId="35">#REF!</definedName>
    <definedName name="_Fill" localSheetId="27">#REF!</definedName>
    <definedName name="chart22" localSheetId="35">'[1]Chapter 2 - Charts'!$D$71:$N$108</definedName>
    <definedName name="chart31" localSheetId="35">'[1]Chapter 3 - Charts'!$D$27:$O$60</definedName>
    <definedName name="chart32" localSheetId="35">'[1]Chapter 3 - Charts'!$D$74:$O$106</definedName>
    <definedName name="chart33" localSheetId="35">'[1]Chapter 3 - Charts'!$D$117:$Z$153</definedName>
    <definedName name="chart34" localSheetId="35">'[1]Chapter 3 - Charts'!$D$598:$Y$629</definedName>
    <definedName name="Chart42" localSheetId="35">'[1]Chapter 4 - Charts'!$D$25:$N$62</definedName>
    <definedName name="Chart43" localSheetId="35">'[1]Chapter 4 - Charts'!$D$71:$N$108</definedName>
    <definedName name="Chart43_b" localSheetId="35">'[1]Chapter 4 - Charts'!$D$216:$N$260</definedName>
    <definedName name="Chart44" localSheetId="35">'[1]Chapter 4 - Charts'!$D$118:$N$155</definedName>
    <definedName name="Chart44_b" localSheetId="35">'[1]Chapter 4 - Charts'!$D$165:$N$209</definedName>
    <definedName name="Chart44_b_a" localSheetId="35">'[1]Chapter 4 - Charts'!$D$267:$N$311</definedName>
    <definedName name="Chart51" localSheetId="35">'[1]Chapter 5 - Charts'!$D$25:$N$62</definedName>
    <definedName name="Chart52" localSheetId="35">'[1]Chapter 5 - Charts'!$D$71:$N$108</definedName>
    <definedName name="Chart52_b" localSheetId="35">'[1]Chapter 5 - Charts'!$D$118:$N$153</definedName>
    <definedName name="Chart53" localSheetId="35">'[1]Chapter 5 - Charts'!$D$530:$N$567</definedName>
    <definedName name="Chart71" localSheetId="35">'[1]Chapter 7 - Charts'!$D$25:$N$60</definedName>
    <definedName name="Chart710" localSheetId="35">'[1]Chapter 7 - Charts'!$D$843:$N$878</definedName>
    <definedName name="Chart710_b" localSheetId="35">'[1]Chapter 7 - Charts'!$D$886:$N$921</definedName>
    <definedName name="Chart711" localSheetId="35">'[1]Chapter 7 - Charts'!$D$931:$N$966</definedName>
    <definedName name="Chart711_b" localSheetId="35">'[1]Chapter 7 - Charts'!$D$976:$N$1011</definedName>
    <definedName name="Chart712" localSheetId="35">'[1]Chapter 7 - Charts'!$D$1021:$N$1056</definedName>
    <definedName name="Chart712_b" localSheetId="35">'[1]Chapter 7 - Charts'!$D$1065:$N$1100</definedName>
    <definedName name="Chart712_c" localSheetId="35">'[1]Chapter 7 - Charts'!$D$1110:$N$1145</definedName>
    <definedName name="Chart72" localSheetId="35">'[1]Chapter 7 - Charts'!$D$67:$N$102</definedName>
    <definedName name="Chart75" localSheetId="35">'[1]Chapter 7 - Charts'!$D$454:$N$489</definedName>
    <definedName name="Chart76" localSheetId="35">'[1]Chapter 7 - Charts'!$D$366:$N$401</definedName>
    <definedName name="Chart76_b" localSheetId="35">'[1]Chapter 7 - Charts'!$D$499:$N$534</definedName>
    <definedName name="Chart77" localSheetId="35">'[1]Chapter 7 - Charts'!$D$410:$N$445</definedName>
    <definedName name="Chart77_b" localSheetId="35">'[1]Chapter 7 - Charts'!$D$543:$N$578</definedName>
    <definedName name="colourboard" localSheetId="35">[1]Contents!$I$6:$M$30</definedName>
    <definedName name="_xlnm.Print_Area" localSheetId="31">'Basic T1'!$A$1:$AN$101</definedName>
    <definedName name="_xlnm.Print_Area" localSheetId="32">'Basic T2'!$A$1:$CT$142</definedName>
    <definedName name="_xlnm.Print_Area" localSheetId="33">'Basic T3'!$A$1:$AG$34</definedName>
    <definedName name="_xlnm.Print_Area" localSheetId="34">BasicTable5!$1:$96</definedName>
    <definedName name="_xlnm.Print_Area" localSheetId="11">'Ind F1'!$A:$J</definedName>
    <definedName name="_xlnm.Print_Area" localSheetId="12">'Ind F2'!$A:$J</definedName>
    <definedName name="_xlnm.Print_Area" localSheetId="13">'Ind Occ T1'!$A$1:$L$1294</definedName>
    <definedName name="_xlnm.Print_Area" localSheetId="14">'Ind Occ T2'!$A$1:$O$1294</definedName>
    <definedName name="_xlnm.Print_Area" localSheetId="5">'Ind T1'!$A$1:$S$52</definedName>
    <definedName name="_xlnm.Print_Area" localSheetId="6">'Ind T2'!$A$1:$G$113</definedName>
    <definedName name="_xlnm.Print_Area" localSheetId="7">'Ind T3'!$A$1:$F$333</definedName>
    <definedName name="_xlnm.Print_Area" localSheetId="8">'Ind T4'!$A$1:$L$83</definedName>
    <definedName name="_xlnm.Print_Area" localSheetId="9">'Ind T5'!$A$1:$N$508</definedName>
    <definedName name="_xlnm.Print_Area" localSheetId="10">'Ind T6'!$A$1:$Y$566</definedName>
    <definedName name="_xlnm.Print_Area" localSheetId="3">Manager!$A$1:$O$18</definedName>
    <definedName name="_xlnm.Print_Area" localSheetId="20">'Occ F1'!$A$1:$J$148</definedName>
    <definedName name="_xlnm.Print_Area" localSheetId="21">'Occ F2'!$A:$J</definedName>
    <definedName name="_xlnm.Print_Area" localSheetId="22">'Occ F3'!$A$1:$S$29</definedName>
    <definedName name="_xlnm.Print_Area" localSheetId="23">'Occ F4'!$A$1:$J$38</definedName>
    <definedName name="_xlnm.Print_Area" localSheetId="24">'Occ F5'!$A$1:$J$116</definedName>
    <definedName name="_xlnm.Print_Area" localSheetId="15">'Occ T1'!$A$1:$AF$90</definedName>
    <definedName name="_xlnm.Print_Area" localSheetId="16">'Occ T2'!$A$1:$AF$142</definedName>
    <definedName name="_xlnm.Print_Area" localSheetId="17">'Occ T3'!$A$1:$L$101</definedName>
    <definedName name="_xlnm.Print_Area" localSheetId="18">'Occ T4'!$A$1:$U$50</definedName>
    <definedName name="_xlnm.Print_Area" localSheetId="19">'Occ T5'!$A$1:$AU$54</definedName>
    <definedName name="_xlnm.Print_Area" localSheetId="26">'Qual F1'!$A:$J</definedName>
    <definedName name="_xlnm.Print_Area" localSheetId="25">'Qual T1'!$A$1:$F$57</definedName>
    <definedName name="_xlnm.Print_Area" localSheetId="30">'RD F1'!$A:$N</definedName>
    <definedName name="_xlnm.Print_Area" localSheetId="29">'RD T1'!$A$1:$G$284,'RD T1'!$I$1:$N$117,'RD T1'!$P$1:$V$60,'RD T1'!$X$1:$AD$82</definedName>
    <definedName name="_xlnm.Print_Area" localSheetId="28">'ShiftShare T1'!$A$1:$R$69</definedName>
    <definedName name="_xlnm.Print_Titles" localSheetId="33">'Basic T3'!$A:$A</definedName>
    <definedName name="_xlnm.Print_Titles" localSheetId="27">SummaryTable12!$1:$6</definedName>
    <definedName name="thecontents" localSheetId="35">[1]Contents!$A$1:$N$1</definedName>
    <definedName name="Total79" localSheetId="35">'[1]Chapter 5 - Charts'!$AJ$75:$AJ$85</definedName>
    <definedName name="Total98" localSheetId="35">'[1]Chapter 5 - Charts'!$AK$75:$AK$85</definedName>
  </definedNames>
  <calcPr calcId="162913"/>
</workbook>
</file>

<file path=xl/calcChain.xml><?xml version="1.0" encoding="utf-8"?>
<calcChain xmlns="http://schemas.openxmlformats.org/spreadsheetml/2006/main">
  <c r="A1" i="78" l="1"/>
  <c r="A1" i="52"/>
  <c r="A1" i="51"/>
  <c r="I7" i="11" l="1" a="1"/>
  <c r="I8" i="11" s="1"/>
  <c r="I7" i="11" l="1"/>
  <c r="I12" i="11"/>
  <c r="I11" i="11"/>
  <c r="I10" i="11"/>
  <c r="I9" i="11"/>
  <c r="AD7" i="49"/>
  <c r="AB82" i="49"/>
  <c r="Z82" i="49"/>
  <c r="Y82" i="49"/>
  <c r="Q60" i="49"/>
  <c r="AD8" i="49"/>
  <c r="AC9" i="49"/>
  <c r="AD9" i="49"/>
  <c r="AD10" i="49"/>
  <c r="AD11" i="49"/>
  <c r="AD12" i="49"/>
  <c r="AD13" i="49"/>
  <c r="AD14" i="49"/>
  <c r="AC15" i="49"/>
  <c r="AD15" i="49"/>
  <c r="AD16" i="49"/>
  <c r="AD17" i="49"/>
  <c r="AD18" i="49"/>
  <c r="AD19" i="49"/>
  <c r="AD20" i="49"/>
  <c r="AC21" i="49"/>
  <c r="AD21" i="49"/>
  <c r="AD22" i="49"/>
  <c r="AD23" i="49"/>
  <c r="AD24" i="49"/>
  <c r="AD25" i="49"/>
  <c r="AD26" i="49"/>
  <c r="AC27" i="49"/>
  <c r="AD27" i="49"/>
  <c r="AD28" i="49"/>
  <c r="AD29" i="49"/>
  <c r="AD30" i="49"/>
  <c r="AD31" i="49"/>
  <c r="AD32" i="49"/>
  <c r="AC33" i="49"/>
  <c r="AD33" i="49"/>
  <c r="AD34" i="49"/>
  <c r="AD35" i="49"/>
  <c r="AD36" i="49"/>
  <c r="AD37" i="49"/>
  <c r="AD38" i="49"/>
  <c r="AC39" i="49"/>
  <c r="AD39" i="49"/>
  <c r="AD40" i="49"/>
  <c r="AD41" i="49"/>
  <c r="AD42" i="49"/>
  <c r="AD43" i="49"/>
  <c r="AD44" i="49"/>
  <c r="AC45" i="49"/>
  <c r="AD45" i="49"/>
  <c r="AD46" i="49"/>
  <c r="AD47" i="49"/>
  <c r="AD48" i="49"/>
  <c r="AD49" i="49"/>
  <c r="AD50" i="49"/>
  <c r="AC51" i="49"/>
  <c r="AD51" i="49"/>
  <c r="AD52" i="49"/>
  <c r="AD53" i="49"/>
  <c r="AD54" i="49"/>
  <c r="AD55" i="49"/>
  <c r="AD56" i="49"/>
  <c r="AC57" i="49"/>
  <c r="AD57" i="49"/>
  <c r="AD58" i="49"/>
  <c r="AD59" i="49"/>
  <c r="AD60" i="49"/>
  <c r="AD61" i="49"/>
  <c r="AD62" i="49"/>
  <c r="AC63" i="49"/>
  <c r="AD63" i="49"/>
  <c r="AD64" i="49"/>
  <c r="AD65" i="49"/>
  <c r="AD66" i="49"/>
  <c r="AD67" i="49"/>
  <c r="AD68" i="49"/>
  <c r="AC69" i="49"/>
  <c r="AD69" i="49"/>
  <c r="AD70" i="49"/>
  <c r="AD71" i="49"/>
  <c r="AD72" i="49"/>
  <c r="AD73" i="49"/>
  <c r="AD74" i="49"/>
  <c r="AC75" i="49"/>
  <c r="AD75" i="49"/>
  <c r="AD76" i="49"/>
  <c r="AD77" i="49"/>
  <c r="AD78" i="49"/>
  <c r="AD79" i="49"/>
  <c r="AD80" i="49"/>
  <c r="AC81" i="49"/>
  <c r="AD81" i="49"/>
  <c r="AA8" i="49"/>
  <c r="AC8" i="49" s="1"/>
  <c r="AA9" i="49"/>
  <c r="AA10" i="49"/>
  <c r="AC10" i="49" s="1"/>
  <c r="AA11" i="49"/>
  <c r="AC11" i="49" s="1"/>
  <c r="AA12" i="49"/>
  <c r="AC12" i="49" s="1"/>
  <c r="AA13" i="49"/>
  <c r="AC13" i="49" s="1"/>
  <c r="AA14" i="49"/>
  <c r="AC14" i="49" s="1"/>
  <c r="AA15" i="49"/>
  <c r="AA16" i="49"/>
  <c r="AC16" i="49" s="1"/>
  <c r="AA17" i="49"/>
  <c r="AC17" i="49" s="1"/>
  <c r="AA18" i="49"/>
  <c r="AC18" i="49" s="1"/>
  <c r="AA19" i="49"/>
  <c r="AC19" i="49" s="1"/>
  <c r="AA20" i="49"/>
  <c r="AC20" i="49" s="1"/>
  <c r="AA21" i="49"/>
  <c r="AA22" i="49"/>
  <c r="AC22" i="49" s="1"/>
  <c r="AA23" i="49"/>
  <c r="AC23" i="49" s="1"/>
  <c r="AA24" i="49"/>
  <c r="AC24" i="49" s="1"/>
  <c r="AA25" i="49"/>
  <c r="AC25" i="49" s="1"/>
  <c r="AA26" i="49"/>
  <c r="AC26" i="49" s="1"/>
  <c r="AA27" i="49"/>
  <c r="AA28" i="49"/>
  <c r="AC28" i="49" s="1"/>
  <c r="AA29" i="49"/>
  <c r="AC29" i="49" s="1"/>
  <c r="AA30" i="49"/>
  <c r="AC30" i="49" s="1"/>
  <c r="AA31" i="49"/>
  <c r="AC31" i="49" s="1"/>
  <c r="AA32" i="49"/>
  <c r="AC32" i="49" s="1"/>
  <c r="AA33" i="49"/>
  <c r="AA34" i="49"/>
  <c r="AC34" i="49" s="1"/>
  <c r="AA35" i="49"/>
  <c r="AC35" i="49" s="1"/>
  <c r="AA36" i="49"/>
  <c r="AC36" i="49" s="1"/>
  <c r="AA37" i="49"/>
  <c r="AC37" i="49" s="1"/>
  <c r="AA38" i="49"/>
  <c r="AC38" i="49" s="1"/>
  <c r="AA39" i="49"/>
  <c r="AA40" i="49"/>
  <c r="AC40" i="49" s="1"/>
  <c r="AA41" i="49"/>
  <c r="AC41" i="49" s="1"/>
  <c r="AA42" i="49"/>
  <c r="AC42" i="49" s="1"/>
  <c r="AA43" i="49"/>
  <c r="AC43" i="49" s="1"/>
  <c r="AA44" i="49"/>
  <c r="AC44" i="49" s="1"/>
  <c r="AA45" i="49"/>
  <c r="AA46" i="49"/>
  <c r="AC46" i="49" s="1"/>
  <c r="AA47" i="49"/>
  <c r="AC47" i="49" s="1"/>
  <c r="AA48" i="49"/>
  <c r="AC48" i="49" s="1"/>
  <c r="AA49" i="49"/>
  <c r="AC49" i="49" s="1"/>
  <c r="AA50" i="49"/>
  <c r="AC50" i="49" s="1"/>
  <c r="AA51" i="49"/>
  <c r="AA52" i="49"/>
  <c r="AC52" i="49" s="1"/>
  <c r="AA53" i="49"/>
  <c r="AC53" i="49" s="1"/>
  <c r="AA54" i="49"/>
  <c r="AC54" i="49" s="1"/>
  <c r="AA55" i="49"/>
  <c r="AC55" i="49" s="1"/>
  <c r="AA56" i="49"/>
  <c r="AC56" i="49" s="1"/>
  <c r="AA57" i="49"/>
  <c r="AA58" i="49"/>
  <c r="AC58" i="49" s="1"/>
  <c r="AA59" i="49"/>
  <c r="AC59" i="49" s="1"/>
  <c r="AA60" i="49"/>
  <c r="AC60" i="49" s="1"/>
  <c r="AA61" i="49"/>
  <c r="AC61" i="49" s="1"/>
  <c r="AA62" i="49"/>
  <c r="AC62" i="49" s="1"/>
  <c r="AA63" i="49"/>
  <c r="AA64" i="49"/>
  <c r="AC64" i="49" s="1"/>
  <c r="AA65" i="49"/>
  <c r="AC65" i="49" s="1"/>
  <c r="AA66" i="49"/>
  <c r="AC66" i="49" s="1"/>
  <c r="AA67" i="49"/>
  <c r="AC67" i="49" s="1"/>
  <c r="AA68" i="49"/>
  <c r="AC68" i="49" s="1"/>
  <c r="AA69" i="49"/>
  <c r="AA70" i="49"/>
  <c r="AC70" i="49" s="1"/>
  <c r="AA71" i="49"/>
  <c r="AC71" i="49" s="1"/>
  <c r="AA72" i="49"/>
  <c r="AC72" i="49" s="1"/>
  <c r="AA73" i="49"/>
  <c r="AC73" i="49" s="1"/>
  <c r="AA74" i="49"/>
  <c r="AC74" i="49" s="1"/>
  <c r="AA75" i="49"/>
  <c r="AA76" i="49"/>
  <c r="AC76" i="49" s="1"/>
  <c r="AA77" i="49"/>
  <c r="AC77" i="49" s="1"/>
  <c r="AA78" i="49"/>
  <c r="AC78" i="49" s="1"/>
  <c r="AA79" i="49"/>
  <c r="AC79" i="49" s="1"/>
  <c r="AA80" i="49"/>
  <c r="AC80" i="49" s="1"/>
  <c r="AA81" i="49"/>
  <c r="AA7" i="49"/>
  <c r="AC7" i="49" s="1"/>
  <c r="AD6" i="49"/>
  <c r="X82" i="49"/>
  <c r="X75" i="49"/>
  <c r="X76" i="49"/>
  <c r="X77" i="49"/>
  <c r="X78" i="49"/>
  <c r="X79" i="49"/>
  <c r="X80" i="49"/>
  <c r="X81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55" i="49"/>
  <c r="X56" i="49"/>
  <c r="X57" i="49"/>
  <c r="X58" i="49"/>
  <c r="X59" i="49"/>
  <c r="X60" i="49"/>
  <c r="X61" i="49"/>
  <c r="X62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7" i="49"/>
  <c r="AC6" i="49"/>
  <c r="AB6" i="49"/>
  <c r="AA6" i="49"/>
  <c r="X1" i="49"/>
  <c r="AD82" i="49" l="1"/>
  <c r="I14" i="11"/>
  <c r="AA82" i="49"/>
  <c r="AC82" i="49" s="1"/>
  <c r="L161" i="75"/>
  <c r="L152" i="75"/>
  <c r="L153" i="75"/>
  <c r="L154" i="75"/>
  <c r="L155" i="75"/>
  <c r="L156" i="75"/>
  <c r="L157" i="75"/>
  <c r="L158" i="75"/>
  <c r="L159" i="75"/>
  <c r="L151" i="75"/>
  <c r="A120" i="15" l="1"/>
  <c r="A119" i="15"/>
  <c r="A118" i="15"/>
  <c r="A115" i="15"/>
  <c r="A114" i="15"/>
  <c r="A113" i="15"/>
  <c r="A112" i="15"/>
  <c r="A111" i="15"/>
  <c r="A110" i="15"/>
  <c r="A109" i="15"/>
  <c r="A108" i="15"/>
  <c r="A105" i="15"/>
  <c r="A104" i="15"/>
  <c r="A103" i="15"/>
  <c r="A98" i="15"/>
  <c r="A97" i="15"/>
  <c r="A96" i="15"/>
  <c r="A93" i="15"/>
  <c r="A92" i="15"/>
  <c r="A91" i="15"/>
  <c r="A90" i="15"/>
  <c r="T60" i="49" l="1"/>
  <c r="T32" i="49"/>
  <c r="AE9" i="71"/>
  <c r="AE10" i="71"/>
  <c r="AE11" i="71"/>
  <c r="AE12" i="71"/>
  <c r="AE13" i="71"/>
  <c r="AE14" i="71"/>
  <c r="AE15" i="71"/>
  <c r="AE16" i="71"/>
  <c r="AE17" i="71"/>
  <c r="AE18" i="71"/>
  <c r="AE19" i="71"/>
  <c r="AE20" i="71"/>
  <c r="AE21" i="71"/>
  <c r="AE22" i="71"/>
  <c r="AE23" i="71"/>
  <c r="AE24" i="71"/>
  <c r="AE25" i="71"/>
  <c r="AE26" i="71"/>
  <c r="AE27" i="71"/>
  <c r="AE28" i="71"/>
  <c r="AE29" i="71"/>
  <c r="AE30" i="71"/>
  <c r="AE31" i="71"/>
  <c r="AE32" i="71"/>
  <c r="AE8" i="71"/>
  <c r="T9" i="71"/>
  <c r="T10" i="71"/>
  <c r="T11" i="71"/>
  <c r="T12" i="71"/>
  <c r="T13" i="71"/>
  <c r="T14" i="71"/>
  <c r="T15" i="71"/>
  <c r="T16" i="71"/>
  <c r="T17" i="71"/>
  <c r="T18" i="71"/>
  <c r="T19" i="71"/>
  <c r="T20" i="71"/>
  <c r="T21" i="71"/>
  <c r="T22" i="71"/>
  <c r="T23" i="71"/>
  <c r="T24" i="71"/>
  <c r="T25" i="71"/>
  <c r="T26" i="71"/>
  <c r="T27" i="71"/>
  <c r="T28" i="71"/>
  <c r="T29" i="71"/>
  <c r="T30" i="71"/>
  <c r="T31" i="71"/>
  <c r="T32" i="71"/>
  <c r="T8" i="71"/>
  <c r="I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P7" i="49"/>
  <c r="R60" i="49"/>
  <c r="V59" i="49"/>
  <c r="S59" i="49"/>
  <c r="U59" i="49" s="1"/>
  <c r="V58" i="49"/>
  <c r="S58" i="49"/>
  <c r="U58" i="49" s="1"/>
  <c r="V57" i="49"/>
  <c r="S57" i="49"/>
  <c r="U57" i="49" s="1"/>
  <c r="V56" i="49"/>
  <c r="S56" i="49"/>
  <c r="U56" i="49" s="1"/>
  <c r="V55" i="49"/>
  <c r="S55" i="49"/>
  <c r="U55" i="49" s="1"/>
  <c r="V54" i="49"/>
  <c r="S54" i="49"/>
  <c r="U54" i="49" s="1"/>
  <c r="V53" i="49"/>
  <c r="S53" i="49"/>
  <c r="U53" i="49" s="1"/>
  <c r="V52" i="49"/>
  <c r="S52" i="49"/>
  <c r="U52" i="49" s="1"/>
  <c r="V51" i="49"/>
  <c r="S51" i="49"/>
  <c r="U51" i="49" s="1"/>
  <c r="V50" i="49"/>
  <c r="S50" i="49"/>
  <c r="U50" i="49" s="1"/>
  <c r="V49" i="49"/>
  <c r="S49" i="49"/>
  <c r="U49" i="49" s="1"/>
  <c r="V48" i="49"/>
  <c r="S48" i="49"/>
  <c r="U48" i="49" s="1"/>
  <c r="V47" i="49"/>
  <c r="S47" i="49"/>
  <c r="U47" i="49" s="1"/>
  <c r="V46" i="49"/>
  <c r="S46" i="49"/>
  <c r="U46" i="49" s="1"/>
  <c r="V45" i="49"/>
  <c r="S45" i="49"/>
  <c r="U45" i="49" s="1"/>
  <c r="V44" i="49"/>
  <c r="S44" i="49"/>
  <c r="U44" i="49" s="1"/>
  <c r="V43" i="49"/>
  <c r="S43" i="49"/>
  <c r="U43" i="49" s="1"/>
  <c r="V42" i="49"/>
  <c r="S42" i="49"/>
  <c r="U42" i="49" s="1"/>
  <c r="V41" i="49"/>
  <c r="S41" i="49"/>
  <c r="U41" i="49" s="1"/>
  <c r="V40" i="49"/>
  <c r="S40" i="49"/>
  <c r="U40" i="49" s="1"/>
  <c r="V39" i="49"/>
  <c r="S39" i="49"/>
  <c r="U39" i="49" s="1"/>
  <c r="V38" i="49"/>
  <c r="S38" i="49"/>
  <c r="U38" i="49" s="1"/>
  <c r="V37" i="49"/>
  <c r="S37" i="49"/>
  <c r="U37" i="49" s="1"/>
  <c r="V36" i="49"/>
  <c r="S36" i="49"/>
  <c r="U36" i="49" s="1"/>
  <c r="V35" i="49"/>
  <c r="S35" i="49"/>
  <c r="U35" i="49" s="1"/>
  <c r="V34" i="49"/>
  <c r="U34" i="49"/>
  <c r="T34" i="49"/>
  <c r="S34" i="49"/>
  <c r="R32" i="49"/>
  <c r="Q32" i="49"/>
  <c r="V31" i="49"/>
  <c r="S31" i="49"/>
  <c r="U31" i="49" s="1"/>
  <c r="V30" i="49"/>
  <c r="S30" i="49"/>
  <c r="U30" i="49" s="1"/>
  <c r="V29" i="49"/>
  <c r="S29" i="49"/>
  <c r="U29" i="49" s="1"/>
  <c r="V28" i="49"/>
  <c r="S28" i="49"/>
  <c r="U28" i="49" s="1"/>
  <c r="V27" i="49"/>
  <c r="S27" i="49"/>
  <c r="U27" i="49" s="1"/>
  <c r="V26" i="49"/>
  <c r="S26" i="49"/>
  <c r="U26" i="49" s="1"/>
  <c r="V25" i="49"/>
  <c r="S25" i="49"/>
  <c r="U25" i="49" s="1"/>
  <c r="V24" i="49"/>
  <c r="S24" i="49"/>
  <c r="U24" i="49" s="1"/>
  <c r="V23" i="49"/>
  <c r="S23" i="49"/>
  <c r="U23" i="49" s="1"/>
  <c r="V22" i="49"/>
  <c r="S22" i="49"/>
  <c r="U22" i="49" s="1"/>
  <c r="V21" i="49"/>
  <c r="S21" i="49"/>
  <c r="U21" i="49" s="1"/>
  <c r="V20" i="49"/>
  <c r="S20" i="49"/>
  <c r="U20" i="49" s="1"/>
  <c r="V19" i="49"/>
  <c r="S19" i="49"/>
  <c r="U19" i="49" s="1"/>
  <c r="V18" i="49"/>
  <c r="S18" i="49"/>
  <c r="U18" i="49" s="1"/>
  <c r="V17" i="49"/>
  <c r="S17" i="49"/>
  <c r="U17" i="49" s="1"/>
  <c r="V16" i="49"/>
  <c r="S16" i="49"/>
  <c r="U16" i="49" s="1"/>
  <c r="V15" i="49"/>
  <c r="S15" i="49"/>
  <c r="U15" i="49" s="1"/>
  <c r="V14" i="49"/>
  <c r="S14" i="49"/>
  <c r="U14" i="49" s="1"/>
  <c r="V13" i="49"/>
  <c r="S13" i="49"/>
  <c r="U13" i="49" s="1"/>
  <c r="V12" i="49"/>
  <c r="S12" i="49"/>
  <c r="U12" i="49" s="1"/>
  <c r="V11" i="49"/>
  <c r="S11" i="49"/>
  <c r="U11" i="49" s="1"/>
  <c r="V10" i="49"/>
  <c r="S10" i="49"/>
  <c r="U10" i="49" s="1"/>
  <c r="V9" i="49"/>
  <c r="S9" i="49"/>
  <c r="U9" i="49" s="1"/>
  <c r="V8" i="49"/>
  <c r="S8" i="49"/>
  <c r="U8" i="49" s="1"/>
  <c r="V7" i="49"/>
  <c r="S7" i="49"/>
  <c r="U7" i="49" s="1"/>
  <c r="V6" i="49"/>
  <c r="U6" i="49"/>
  <c r="T6" i="49"/>
  <c r="S6" i="49"/>
  <c r="R6" i="49"/>
  <c r="Q6" i="49"/>
  <c r="P1" i="49"/>
  <c r="V32" i="49" l="1"/>
  <c r="V60" i="49"/>
  <c r="S60" i="49"/>
  <c r="U60" i="49" s="1"/>
  <c r="S32" i="49"/>
  <c r="U32" i="49" s="1"/>
  <c r="M82" i="75"/>
  <c r="M83" i="75"/>
  <c r="M84" i="75"/>
  <c r="M85" i="75"/>
  <c r="M86" i="75"/>
  <c r="M87" i="75"/>
  <c r="M88" i="75"/>
  <c r="M89" i="75"/>
  <c r="M90" i="75"/>
  <c r="M91" i="75"/>
  <c r="M92" i="75"/>
  <c r="M93" i="75"/>
  <c r="M94" i="75"/>
  <c r="M95" i="75"/>
  <c r="M96" i="75"/>
  <c r="M97" i="75"/>
  <c r="M98" i="75"/>
  <c r="M99" i="75"/>
  <c r="M100" i="75"/>
  <c r="M101" i="75"/>
  <c r="M102" i="75"/>
  <c r="M103" i="75"/>
  <c r="M104" i="75"/>
  <c r="M105" i="75"/>
  <c r="M81" i="75"/>
  <c r="L107" i="75"/>
  <c r="L82" i="75"/>
  <c r="L83" i="75"/>
  <c r="L84" i="75"/>
  <c r="L85" i="75"/>
  <c r="L86" i="75"/>
  <c r="L87" i="75"/>
  <c r="L88" i="75"/>
  <c r="L89" i="75"/>
  <c r="L90" i="75"/>
  <c r="L91" i="75"/>
  <c r="L92" i="75"/>
  <c r="L93" i="75"/>
  <c r="L94" i="75"/>
  <c r="L95" i="75"/>
  <c r="L96" i="75"/>
  <c r="L97" i="75"/>
  <c r="L98" i="75"/>
  <c r="L99" i="75"/>
  <c r="L100" i="75"/>
  <c r="L101" i="75"/>
  <c r="L102" i="75"/>
  <c r="L103" i="75"/>
  <c r="L104" i="75"/>
  <c r="L105" i="75"/>
  <c r="L81" i="75"/>
  <c r="AB34" i="71" l="1"/>
  <c r="Y34" i="71"/>
  <c r="Z34" i="71"/>
  <c r="AA34" i="71"/>
  <c r="X34" i="71"/>
  <c r="N34" i="71"/>
  <c r="O34" i="71"/>
  <c r="P34" i="71"/>
  <c r="Q34" i="71"/>
  <c r="M34" i="71"/>
  <c r="AB175" i="71" l="1"/>
  <c r="AA175" i="71"/>
  <c r="Z175" i="71"/>
  <c r="Y175" i="71"/>
  <c r="X175" i="71"/>
  <c r="W175" i="71"/>
  <c r="AB173" i="71"/>
  <c r="AA173" i="71"/>
  <c r="Z173" i="71"/>
  <c r="Y173" i="71"/>
  <c r="X173" i="71"/>
  <c r="W173" i="71"/>
  <c r="AB172" i="71"/>
  <c r="AA172" i="71"/>
  <c r="Z172" i="71"/>
  <c r="Y172" i="71"/>
  <c r="X172" i="71"/>
  <c r="W172" i="71"/>
  <c r="AB171" i="71"/>
  <c r="AA171" i="71"/>
  <c r="Z171" i="71"/>
  <c r="Y171" i="71"/>
  <c r="X171" i="71"/>
  <c r="W171" i="71"/>
  <c r="AB170" i="71"/>
  <c r="AA170" i="71"/>
  <c r="Z170" i="71"/>
  <c r="Y170" i="71"/>
  <c r="X170" i="71"/>
  <c r="W170" i="71"/>
  <c r="AB169" i="71"/>
  <c r="AA169" i="71"/>
  <c r="Z169" i="71"/>
  <c r="Y169" i="71"/>
  <c r="X169" i="71"/>
  <c r="W169" i="71"/>
  <c r="AB168" i="71"/>
  <c r="AA168" i="71"/>
  <c r="Z168" i="71"/>
  <c r="Y168" i="71"/>
  <c r="X168" i="71"/>
  <c r="W168" i="71"/>
  <c r="AB167" i="71"/>
  <c r="AA167" i="71"/>
  <c r="Z167" i="71"/>
  <c r="Y167" i="71"/>
  <c r="X167" i="71"/>
  <c r="W167" i="71"/>
  <c r="AB166" i="71"/>
  <c r="AA166" i="71"/>
  <c r="Z166" i="71"/>
  <c r="Y166" i="71"/>
  <c r="X166" i="71"/>
  <c r="W166" i="71"/>
  <c r="AB165" i="71"/>
  <c r="AA165" i="71"/>
  <c r="Z165" i="71"/>
  <c r="Y165" i="71"/>
  <c r="X165" i="71"/>
  <c r="W165" i="71"/>
  <c r="AB164" i="71"/>
  <c r="AA164" i="71"/>
  <c r="Z164" i="71"/>
  <c r="Y164" i="71"/>
  <c r="X164" i="71"/>
  <c r="W164" i="71"/>
  <c r="AB163" i="71"/>
  <c r="AA163" i="71"/>
  <c r="Z163" i="71"/>
  <c r="Y163" i="71"/>
  <c r="X163" i="71"/>
  <c r="W163" i="71"/>
  <c r="AB162" i="71"/>
  <c r="AA162" i="71"/>
  <c r="Z162" i="71"/>
  <c r="Y162" i="71"/>
  <c r="X162" i="71"/>
  <c r="W162" i="71"/>
  <c r="AB161" i="71"/>
  <c r="AA161" i="71"/>
  <c r="Z161" i="71"/>
  <c r="Y161" i="71"/>
  <c r="X161" i="71"/>
  <c r="W161" i="71"/>
  <c r="AB160" i="71"/>
  <c r="AA160" i="71"/>
  <c r="Z160" i="71"/>
  <c r="Y160" i="71"/>
  <c r="X160" i="71"/>
  <c r="W160" i="71"/>
  <c r="AB159" i="71"/>
  <c r="AA159" i="71"/>
  <c r="Z159" i="71"/>
  <c r="Y159" i="71"/>
  <c r="X159" i="71"/>
  <c r="W159" i="71"/>
  <c r="AB158" i="71"/>
  <c r="AA158" i="71"/>
  <c r="Z158" i="71"/>
  <c r="Y158" i="71"/>
  <c r="X158" i="71"/>
  <c r="W158" i="71"/>
  <c r="AB157" i="71"/>
  <c r="AA157" i="71"/>
  <c r="Z157" i="71"/>
  <c r="Y157" i="71"/>
  <c r="X157" i="71"/>
  <c r="W157" i="71"/>
  <c r="AB156" i="71"/>
  <c r="AA156" i="71"/>
  <c r="Z156" i="71"/>
  <c r="Y156" i="71"/>
  <c r="X156" i="71"/>
  <c r="W156" i="71"/>
  <c r="AB155" i="71"/>
  <c r="AA155" i="71"/>
  <c r="Z155" i="71"/>
  <c r="Y155" i="71"/>
  <c r="X155" i="71"/>
  <c r="W155" i="71"/>
  <c r="AB154" i="71"/>
  <c r="AA154" i="71"/>
  <c r="Z154" i="71"/>
  <c r="Y154" i="71"/>
  <c r="X154" i="71"/>
  <c r="W154" i="71"/>
  <c r="AB153" i="71"/>
  <c r="AA153" i="71"/>
  <c r="Z153" i="71"/>
  <c r="Y153" i="71"/>
  <c r="X153" i="71"/>
  <c r="W153" i="71"/>
  <c r="AB152" i="71"/>
  <c r="AA152" i="71"/>
  <c r="Z152" i="71"/>
  <c r="Y152" i="71"/>
  <c r="X152" i="71"/>
  <c r="W152" i="71"/>
  <c r="AB151" i="71"/>
  <c r="AA151" i="71"/>
  <c r="Z151" i="71"/>
  <c r="Y151" i="71"/>
  <c r="X151" i="71"/>
  <c r="W151" i="71"/>
  <c r="AB150" i="71"/>
  <c r="AA150" i="71"/>
  <c r="Z150" i="71"/>
  <c r="Y150" i="71"/>
  <c r="X150" i="71"/>
  <c r="W150" i="71"/>
  <c r="AB149" i="71"/>
  <c r="AA149" i="71"/>
  <c r="Z149" i="71"/>
  <c r="Y149" i="71"/>
  <c r="X149" i="71"/>
  <c r="W149" i="71"/>
  <c r="AE147" i="71"/>
  <c r="AD147" i="71"/>
  <c r="AB147" i="71"/>
  <c r="AA147" i="71"/>
  <c r="Z147" i="71"/>
  <c r="Y147" i="71"/>
  <c r="X147" i="71"/>
  <c r="Q175" i="71"/>
  <c r="P175" i="71"/>
  <c r="O175" i="71"/>
  <c r="N175" i="71"/>
  <c r="M175" i="71"/>
  <c r="L175" i="71"/>
  <c r="Q173" i="71"/>
  <c r="P173" i="71"/>
  <c r="O173" i="71"/>
  <c r="N173" i="71"/>
  <c r="M173" i="71"/>
  <c r="L173" i="71"/>
  <c r="Q172" i="71"/>
  <c r="P172" i="71"/>
  <c r="O172" i="71"/>
  <c r="N172" i="71"/>
  <c r="M172" i="71"/>
  <c r="L172" i="71"/>
  <c r="Q171" i="71"/>
  <c r="P171" i="71"/>
  <c r="O171" i="71"/>
  <c r="N171" i="71"/>
  <c r="M171" i="71"/>
  <c r="L171" i="71"/>
  <c r="Q170" i="71"/>
  <c r="P170" i="71"/>
  <c r="O170" i="71"/>
  <c r="N170" i="71"/>
  <c r="M170" i="71"/>
  <c r="L170" i="71"/>
  <c r="Q169" i="71"/>
  <c r="P169" i="71"/>
  <c r="O169" i="71"/>
  <c r="N169" i="71"/>
  <c r="M169" i="71"/>
  <c r="L169" i="71"/>
  <c r="Q168" i="71"/>
  <c r="P168" i="71"/>
  <c r="O168" i="71"/>
  <c r="N168" i="71"/>
  <c r="M168" i="71"/>
  <c r="L168" i="71"/>
  <c r="Q167" i="71"/>
  <c r="P167" i="71"/>
  <c r="O167" i="71"/>
  <c r="N167" i="71"/>
  <c r="M167" i="71"/>
  <c r="S167" i="71" s="1"/>
  <c r="L167" i="71"/>
  <c r="Q166" i="71"/>
  <c r="P166" i="71"/>
  <c r="O166" i="71"/>
  <c r="N166" i="71"/>
  <c r="M166" i="71"/>
  <c r="L166" i="71"/>
  <c r="Q165" i="71"/>
  <c r="P165" i="71"/>
  <c r="O165" i="71"/>
  <c r="N165" i="71"/>
  <c r="M165" i="71"/>
  <c r="L165" i="71"/>
  <c r="Q164" i="71"/>
  <c r="P164" i="71"/>
  <c r="O164" i="71"/>
  <c r="N164" i="71"/>
  <c r="M164" i="71"/>
  <c r="L164" i="71"/>
  <c r="Q163" i="71"/>
  <c r="P163" i="71"/>
  <c r="O163" i="71"/>
  <c r="N163" i="71"/>
  <c r="M163" i="71"/>
  <c r="L163" i="71"/>
  <c r="Q162" i="71"/>
  <c r="P162" i="71"/>
  <c r="O162" i="71"/>
  <c r="N162" i="71"/>
  <c r="M162" i="71"/>
  <c r="L162" i="71"/>
  <c r="Q161" i="71"/>
  <c r="P161" i="71"/>
  <c r="O161" i="71"/>
  <c r="N161" i="71"/>
  <c r="M161" i="71"/>
  <c r="L161" i="71"/>
  <c r="Q160" i="71"/>
  <c r="P160" i="71"/>
  <c r="O160" i="71"/>
  <c r="N160" i="71"/>
  <c r="M160" i="71"/>
  <c r="L160" i="71"/>
  <c r="Q159" i="71"/>
  <c r="P159" i="71"/>
  <c r="O159" i="71"/>
  <c r="N159" i="71"/>
  <c r="M159" i="71"/>
  <c r="L159" i="71"/>
  <c r="Q158" i="71"/>
  <c r="P158" i="71"/>
  <c r="O158" i="71"/>
  <c r="N158" i="71"/>
  <c r="M158" i="71"/>
  <c r="L158" i="71"/>
  <c r="Q157" i="71"/>
  <c r="P157" i="71"/>
  <c r="O157" i="71"/>
  <c r="N157" i="71"/>
  <c r="M157" i="71"/>
  <c r="L157" i="71"/>
  <c r="Q156" i="71"/>
  <c r="P156" i="71"/>
  <c r="O156" i="71"/>
  <c r="N156" i="71"/>
  <c r="M156" i="71"/>
  <c r="L156" i="71"/>
  <c r="Q155" i="71"/>
  <c r="P155" i="71"/>
  <c r="O155" i="71"/>
  <c r="N155" i="71"/>
  <c r="M155" i="71"/>
  <c r="L155" i="71"/>
  <c r="Q154" i="71"/>
  <c r="P154" i="71"/>
  <c r="O154" i="71"/>
  <c r="N154" i="71"/>
  <c r="M154" i="71"/>
  <c r="L154" i="71"/>
  <c r="Q153" i="71"/>
  <c r="P153" i="71"/>
  <c r="O153" i="71"/>
  <c r="N153" i="71"/>
  <c r="M153" i="71"/>
  <c r="S153" i="71" s="1"/>
  <c r="L153" i="71"/>
  <c r="Q152" i="71"/>
  <c r="P152" i="71"/>
  <c r="O152" i="71"/>
  <c r="N152" i="71"/>
  <c r="M152" i="71"/>
  <c r="L152" i="71"/>
  <c r="Q151" i="71"/>
  <c r="P151" i="71"/>
  <c r="O151" i="71"/>
  <c r="N151" i="71"/>
  <c r="M151" i="71"/>
  <c r="L151" i="71"/>
  <c r="Q150" i="71"/>
  <c r="P150" i="71"/>
  <c r="O150" i="71"/>
  <c r="N150" i="71"/>
  <c r="M150" i="71"/>
  <c r="L150" i="71"/>
  <c r="Q149" i="71"/>
  <c r="P149" i="71"/>
  <c r="O149" i="71"/>
  <c r="N149" i="71"/>
  <c r="M149" i="71"/>
  <c r="L149" i="71"/>
  <c r="T147" i="71"/>
  <c r="S147" i="71"/>
  <c r="Q147" i="71"/>
  <c r="P147" i="71"/>
  <c r="O147" i="71"/>
  <c r="N147" i="71"/>
  <c r="M147" i="71"/>
  <c r="B150" i="71"/>
  <c r="C150" i="71"/>
  <c r="D150" i="71"/>
  <c r="E150" i="71"/>
  <c r="F150" i="71"/>
  <c r="B151" i="71"/>
  <c r="C151" i="71"/>
  <c r="D151" i="71"/>
  <c r="E151" i="71"/>
  <c r="F151" i="71"/>
  <c r="B152" i="71"/>
  <c r="C152" i="71"/>
  <c r="D152" i="71"/>
  <c r="E152" i="71"/>
  <c r="F152" i="71"/>
  <c r="B153" i="71"/>
  <c r="C153" i="71"/>
  <c r="D153" i="71"/>
  <c r="E153" i="71"/>
  <c r="F153" i="71"/>
  <c r="B154" i="71"/>
  <c r="C154" i="71"/>
  <c r="D154" i="71"/>
  <c r="E154" i="71"/>
  <c r="F154" i="71"/>
  <c r="B155" i="71"/>
  <c r="C155" i="71"/>
  <c r="D155" i="71"/>
  <c r="E155" i="71"/>
  <c r="F155" i="71"/>
  <c r="B156" i="71"/>
  <c r="C156" i="71"/>
  <c r="D156" i="71"/>
  <c r="E156" i="71"/>
  <c r="F156" i="71"/>
  <c r="B157" i="71"/>
  <c r="C157" i="71"/>
  <c r="D157" i="71"/>
  <c r="E157" i="71"/>
  <c r="F157" i="71"/>
  <c r="B158" i="71"/>
  <c r="C158" i="71"/>
  <c r="D158" i="71"/>
  <c r="E158" i="71"/>
  <c r="F158" i="71"/>
  <c r="B159" i="71"/>
  <c r="C159" i="71"/>
  <c r="D159" i="71"/>
  <c r="E159" i="71"/>
  <c r="F159" i="71"/>
  <c r="B160" i="71"/>
  <c r="C160" i="71"/>
  <c r="D160" i="71"/>
  <c r="E160" i="71"/>
  <c r="F160" i="71"/>
  <c r="B161" i="71"/>
  <c r="C161" i="71"/>
  <c r="D161" i="71"/>
  <c r="E161" i="71"/>
  <c r="F161" i="71"/>
  <c r="B162" i="71"/>
  <c r="C162" i="71"/>
  <c r="D162" i="71"/>
  <c r="E162" i="71"/>
  <c r="F162" i="71"/>
  <c r="B163" i="71"/>
  <c r="C163" i="71"/>
  <c r="D163" i="71"/>
  <c r="E163" i="71"/>
  <c r="F163" i="71"/>
  <c r="B164" i="71"/>
  <c r="C164" i="71"/>
  <c r="D164" i="71"/>
  <c r="E164" i="71"/>
  <c r="F164" i="71"/>
  <c r="B165" i="71"/>
  <c r="C165" i="71"/>
  <c r="D165" i="71"/>
  <c r="E165" i="71"/>
  <c r="F165" i="71"/>
  <c r="B166" i="71"/>
  <c r="C166" i="71"/>
  <c r="D166" i="71"/>
  <c r="E166" i="71"/>
  <c r="F166" i="71"/>
  <c r="B167" i="71"/>
  <c r="C167" i="71"/>
  <c r="D167" i="71"/>
  <c r="E167" i="71"/>
  <c r="F167" i="71"/>
  <c r="B168" i="71"/>
  <c r="C168" i="71"/>
  <c r="D168" i="71"/>
  <c r="E168" i="71"/>
  <c r="F168" i="71"/>
  <c r="B169" i="71"/>
  <c r="C169" i="71"/>
  <c r="D169" i="71"/>
  <c r="E169" i="71"/>
  <c r="F169" i="71"/>
  <c r="B170" i="71"/>
  <c r="C170" i="71"/>
  <c r="D170" i="71"/>
  <c r="E170" i="71"/>
  <c r="F170" i="71"/>
  <c r="B171" i="71"/>
  <c r="C171" i="71"/>
  <c r="D171" i="71"/>
  <c r="E171" i="71"/>
  <c r="F171" i="71"/>
  <c r="B172" i="71"/>
  <c r="C172" i="71"/>
  <c r="D172" i="71"/>
  <c r="E172" i="71"/>
  <c r="F172" i="71"/>
  <c r="B173" i="71"/>
  <c r="C173" i="71"/>
  <c r="D173" i="71"/>
  <c r="E173" i="71"/>
  <c r="F173" i="71"/>
  <c r="C149" i="71"/>
  <c r="D149" i="71"/>
  <c r="E149" i="71"/>
  <c r="F149" i="71"/>
  <c r="B149" i="71"/>
  <c r="I147" i="71"/>
  <c r="N6" i="75" s="1"/>
  <c r="N80" i="75" s="1"/>
  <c r="H147" i="71"/>
  <c r="M6" i="75" s="1"/>
  <c r="M80" i="75" s="1"/>
  <c r="A80" i="75" s="1"/>
  <c r="C147" i="71"/>
  <c r="D147" i="71"/>
  <c r="E147" i="71"/>
  <c r="F147" i="71"/>
  <c r="B147" i="71"/>
  <c r="A150" i="71"/>
  <c r="A151" i="71"/>
  <c r="A152" i="71"/>
  <c r="A153" i="71"/>
  <c r="A154" i="71"/>
  <c r="A155" i="71"/>
  <c r="A156" i="71"/>
  <c r="A157" i="71"/>
  <c r="A158" i="71"/>
  <c r="A159" i="71"/>
  <c r="A160" i="71"/>
  <c r="A161" i="71"/>
  <c r="A162" i="71"/>
  <c r="A163" i="71"/>
  <c r="A164" i="71"/>
  <c r="A165" i="71"/>
  <c r="A166" i="71"/>
  <c r="A167" i="71"/>
  <c r="A168" i="71"/>
  <c r="A169" i="71"/>
  <c r="A170" i="71"/>
  <c r="A171" i="71"/>
  <c r="A172" i="71"/>
  <c r="A173" i="71"/>
  <c r="A175" i="71"/>
  <c r="A149" i="71"/>
  <c r="P36" i="31"/>
  <c r="O63" i="31"/>
  <c r="O53" i="31"/>
  <c r="O54" i="31"/>
  <c r="O55" i="31"/>
  <c r="O56" i="31"/>
  <c r="O57" i="31"/>
  <c r="O58" i="31"/>
  <c r="O59" i="31"/>
  <c r="O60" i="31"/>
  <c r="O61" i="31"/>
  <c r="O64" i="31"/>
  <c r="O38" i="31"/>
  <c r="O39" i="31"/>
  <c r="O40" i="31"/>
  <c r="O41" i="31"/>
  <c r="O42" i="31"/>
  <c r="O43" i="31"/>
  <c r="O44" i="31"/>
  <c r="O45" i="31"/>
  <c r="O46" i="31"/>
  <c r="O47" i="31"/>
  <c r="O48" i="31"/>
  <c r="O49" i="31"/>
  <c r="O50" i="31"/>
  <c r="O51" i="31"/>
  <c r="O52" i="31"/>
  <c r="O37" i="31"/>
  <c r="Q36" i="31"/>
  <c r="P5" i="31"/>
  <c r="S152" i="71" l="1"/>
  <c r="I164" i="71"/>
  <c r="N26" i="75" s="1"/>
  <c r="AD161" i="71"/>
  <c r="AD173" i="71"/>
  <c r="I163" i="71"/>
  <c r="N27" i="75" s="1"/>
  <c r="S158" i="71"/>
  <c r="S170" i="71"/>
  <c r="AD155" i="71"/>
  <c r="AD167" i="71"/>
  <c r="AD164" i="71"/>
  <c r="H150" i="71"/>
  <c r="M48" i="75" s="1"/>
  <c r="I171" i="71"/>
  <c r="N13" i="75" s="1"/>
  <c r="I159" i="71"/>
  <c r="N35" i="75" s="1"/>
  <c r="I152" i="71"/>
  <c r="N44" i="75" s="1"/>
  <c r="S149" i="71"/>
  <c r="I151" i="71"/>
  <c r="N45" i="75" s="1"/>
  <c r="S155" i="71"/>
  <c r="S161" i="71"/>
  <c r="AD152" i="71"/>
  <c r="AD158" i="71"/>
  <c r="T175" i="71"/>
  <c r="AD170" i="71"/>
  <c r="H154" i="71"/>
  <c r="M42" i="75" s="1"/>
  <c r="H172" i="71"/>
  <c r="M10" i="75" s="1"/>
  <c r="S164" i="71"/>
  <c r="I153" i="71"/>
  <c r="N43" i="75" s="1"/>
  <c r="H160" i="71"/>
  <c r="M32" i="75" s="1"/>
  <c r="T172" i="71"/>
  <c r="S150" i="71"/>
  <c r="H173" i="71"/>
  <c r="M9" i="75" s="1"/>
  <c r="H161" i="71"/>
  <c r="M31" i="75" s="1"/>
  <c r="I149" i="71"/>
  <c r="N49" i="75" s="1"/>
  <c r="AD149" i="71"/>
  <c r="H171" i="71"/>
  <c r="M13" i="75" s="1"/>
  <c r="H159" i="71"/>
  <c r="M35" i="75" s="1"/>
  <c r="I162" i="71"/>
  <c r="N28" i="75" s="1"/>
  <c r="I150" i="71"/>
  <c r="N48" i="75" s="1"/>
  <c r="H170" i="71"/>
  <c r="M14" i="75" s="1"/>
  <c r="H158" i="71"/>
  <c r="M36" i="75" s="1"/>
  <c r="I173" i="71"/>
  <c r="N9" i="75" s="1"/>
  <c r="I161" i="71"/>
  <c r="N31" i="75" s="1"/>
  <c r="H169" i="71"/>
  <c r="M17" i="75" s="1"/>
  <c r="H157" i="71"/>
  <c r="M37" i="75" s="1"/>
  <c r="I172" i="71"/>
  <c r="N10" i="75" s="1"/>
  <c r="I160" i="71"/>
  <c r="N32" i="75" s="1"/>
  <c r="H168" i="71"/>
  <c r="M18" i="75" s="1"/>
  <c r="H156" i="71"/>
  <c r="M38" i="75" s="1"/>
  <c r="H167" i="71"/>
  <c r="M21" i="75" s="1"/>
  <c r="H155" i="71"/>
  <c r="M39" i="75" s="1"/>
  <c r="I170" i="71"/>
  <c r="N14" i="75" s="1"/>
  <c r="I158" i="71"/>
  <c r="N36" i="75" s="1"/>
  <c r="H166" i="71"/>
  <c r="M22" i="75" s="1"/>
  <c r="I169" i="71"/>
  <c r="N17" i="75" s="1"/>
  <c r="I157" i="71"/>
  <c r="N37" i="75" s="1"/>
  <c r="H165" i="71"/>
  <c r="M25" i="75" s="1"/>
  <c r="H153" i="71"/>
  <c r="M43" i="75" s="1"/>
  <c r="I168" i="71"/>
  <c r="N18" i="75" s="1"/>
  <c r="I156" i="71"/>
  <c r="N38" i="75" s="1"/>
  <c r="H164" i="71"/>
  <c r="M26" i="75" s="1"/>
  <c r="H152" i="71"/>
  <c r="M44" i="75" s="1"/>
  <c r="I167" i="71"/>
  <c r="N21" i="75" s="1"/>
  <c r="I155" i="71"/>
  <c r="N39" i="75" s="1"/>
  <c r="H149" i="71"/>
  <c r="M49" i="75" s="1"/>
  <c r="H163" i="71"/>
  <c r="M27" i="75" s="1"/>
  <c r="H151" i="71"/>
  <c r="M45" i="75" s="1"/>
  <c r="I166" i="71"/>
  <c r="N22" i="75" s="1"/>
  <c r="I154" i="71"/>
  <c r="N42" i="75" s="1"/>
  <c r="H162" i="71"/>
  <c r="M28" i="75" s="1"/>
  <c r="I165" i="71"/>
  <c r="N25" i="75" s="1"/>
  <c r="AD175" i="71"/>
  <c r="AE175" i="71"/>
  <c r="AE170" i="71"/>
  <c r="AE152" i="71"/>
  <c r="AE155" i="71"/>
  <c r="AE158" i="71"/>
  <c r="AE161" i="71"/>
  <c r="AE164" i="71"/>
  <c r="AE167" i="71"/>
  <c r="AE149" i="71"/>
  <c r="AE173" i="71"/>
  <c r="AD151" i="71"/>
  <c r="AD154" i="71"/>
  <c r="AD157" i="71"/>
  <c r="AD160" i="71"/>
  <c r="AD163" i="71"/>
  <c r="AD166" i="71"/>
  <c r="AD169" i="71"/>
  <c r="AD172" i="71"/>
  <c r="AE151" i="71"/>
  <c r="AE154" i="71"/>
  <c r="AE157" i="71"/>
  <c r="AE160" i="71"/>
  <c r="AE163" i="71"/>
  <c r="AE166" i="71"/>
  <c r="AE169" i="71"/>
  <c r="AE172" i="71"/>
  <c r="AD150" i="71"/>
  <c r="AD153" i="71"/>
  <c r="AD156" i="71"/>
  <c r="AD159" i="71"/>
  <c r="AD162" i="71"/>
  <c r="AD165" i="71"/>
  <c r="AD168" i="71"/>
  <c r="AD171" i="71"/>
  <c r="AE150" i="71"/>
  <c r="AE153" i="71"/>
  <c r="AE156" i="71"/>
  <c r="AE159" i="71"/>
  <c r="AE162" i="71"/>
  <c r="AE165" i="71"/>
  <c r="AE168" i="71"/>
  <c r="AE171" i="71"/>
  <c r="S171" i="71"/>
  <c r="S175" i="71"/>
  <c r="T153" i="71"/>
  <c r="T168" i="71"/>
  <c r="S173" i="71"/>
  <c r="T152" i="71"/>
  <c r="T158" i="71"/>
  <c r="T167" i="71"/>
  <c r="T149" i="71"/>
  <c r="T164" i="71"/>
  <c r="T170" i="71"/>
  <c r="T161" i="71"/>
  <c r="S151" i="71"/>
  <c r="S154" i="71"/>
  <c r="S157" i="71"/>
  <c r="S160" i="71"/>
  <c r="S163" i="71"/>
  <c r="S166" i="71"/>
  <c r="S169" i="71"/>
  <c r="S172" i="71"/>
  <c r="T155" i="71"/>
  <c r="T173" i="71"/>
  <c r="T151" i="71"/>
  <c r="T154" i="71"/>
  <c r="T157" i="71"/>
  <c r="T160" i="71"/>
  <c r="T163" i="71"/>
  <c r="T166" i="71"/>
  <c r="T169" i="71"/>
  <c r="S168" i="71"/>
  <c r="S156" i="71"/>
  <c r="S159" i="71"/>
  <c r="S162" i="71"/>
  <c r="S165" i="71"/>
  <c r="T150" i="71"/>
  <c r="T156" i="71"/>
  <c r="T159" i="71"/>
  <c r="T162" i="71"/>
  <c r="T165" i="71"/>
  <c r="T171" i="71"/>
  <c r="Q18" i="109"/>
  <c r="Q9" i="109"/>
  <c r="Q10" i="109"/>
  <c r="Q11" i="109"/>
  <c r="Q12" i="109"/>
  <c r="Q13" i="109"/>
  <c r="Q14" i="109"/>
  <c r="Q15" i="109"/>
  <c r="Q16" i="109"/>
  <c r="Q8" i="109"/>
  <c r="AD18" i="109"/>
  <c r="AC18" i="109"/>
  <c r="AB18" i="109"/>
  <c r="Y18" i="109"/>
  <c r="X18" i="109"/>
  <c r="W18" i="109"/>
  <c r="T18" i="109"/>
  <c r="S18" i="109"/>
  <c r="R18" i="109"/>
  <c r="AE16" i="109"/>
  <c r="Z16" i="109"/>
  <c r="U16" i="109"/>
  <c r="AE15" i="109"/>
  <c r="Z15" i="109"/>
  <c r="U15" i="109"/>
  <c r="AE14" i="109"/>
  <c r="Z14" i="109"/>
  <c r="U14" i="109"/>
  <c r="AE13" i="109"/>
  <c r="Z13" i="109"/>
  <c r="U13" i="109"/>
  <c r="AE12" i="109"/>
  <c r="Z12" i="109"/>
  <c r="U12" i="109"/>
  <c r="AE11" i="109"/>
  <c r="Z11" i="109"/>
  <c r="U11" i="109"/>
  <c r="AE10" i="109"/>
  <c r="Z10" i="109"/>
  <c r="U10" i="109"/>
  <c r="AE9" i="109"/>
  <c r="Z9" i="109"/>
  <c r="U9" i="109"/>
  <c r="AE8" i="109"/>
  <c r="Z8" i="109"/>
  <c r="U8" i="109"/>
  <c r="O16" i="109"/>
  <c r="O15" i="109"/>
  <c r="O14" i="109"/>
  <c r="O13" i="109"/>
  <c r="O12" i="109"/>
  <c r="O11" i="109"/>
  <c r="O10" i="109"/>
  <c r="O9" i="109"/>
  <c r="O8" i="109"/>
  <c r="J16" i="109"/>
  <c r="J15" i="109"/>
  <c r="J14" i="109"/>
  <c r="J13" i="109"/>
  <c r="J12" i="109"/>
  <c r="J11" i="109"/>
  <c r="J10" i="109"/>
  <c r="J9" i="109"/>
  <c r="J8" i="109"/>
  <c r="Z18" i="109" l="1"/>
  <c r="AE18" i="109"/>
  <c r="U18" i="109"/>
  <c r="B9" i="103"/>
  <c r="B36" i="103"/>
  <c r="AU16" i="109"/>
  <c r="AU15" i="109"/>
  <c r="AU14" i="109"/>
  <c r="AU13" i="109"/>
  <c r="AU12" i="109"/>
  <c r="AU11" i="109"/>
  <c r="AU10" i="109"/>
  <c r="AU9" i="109"/>
  <c r="AU8" i="109"/>
  <c r="AP16" i="109"/>
  <c r="AP15" i="109"/>
  <c r="AP14" i="109"/>
  <c r="AP13" i="109"/>
  <c r="AP12" i="109"/>
  <c r="AP11" i="109"/>
  <c r="AP10" i="109"/>
  <c r="AP9" i="109"/>
  <c r="AP8" i="109"/>
  <c r="AK16" i="109"/>
  <c r="AK15" i="109"/>
  <c r="AK14" i="109"/>
  <c r="AK13" i="109"/>
  <c r="AK12" i="109"/>
  <c r="AK11" i="109"/>
  <c r="AK10" i="109"/>
  <c r="AK9" i="109"/>
  <c r="AK8" i="109"/>
  <c r="AT18" i="109"/>
  <c r="AS18" i="109"/>
  <c r="AR18" i="109"/>
  <c r="AU18" i="109" s="1"/>
  <c r="AO18" i="109"/>
  <c r="AN18" i="109"/>
  <c r="AM18" i="109"/>
  <c r="AJ18" i="109"/>
  <c r="AI18" i="109"/>
  <c r="AH18" i="109"/>
  <c r="N18" i="109"/>
  <c r="M18" i="109"/>
  <c r="L18" i="109"/>
  <c r="I18" i="109"/>
  <c r="H18" i="109"/>
  <c r="G18" i="109"/>
  <c r="C18" i="109"/>
  <c r="D18" i="109"/>
  <c r="B18" i="109"/>
  <c r="B26" i="109" s="1"/>
  <c r="E8" i="109"/>
  <c r="AP18" i="109" l="1"/>
  <c r="AK18" i="109"/>
  <c r="AK33" i="109" s="1"/>
  <c r="O18" i="109"/>
  <c r="O33" i="109" s="1"/>
  <c r="O34" i="109"/>
  <c r="J45" i="109"/>
  <c r="J18" i="109"/>
  <c r="J26" i="109" s="1"/>
  <c r="J50" i="109"/>
  <c r="E44" i="109"/>
  <c r="E9" i="109"/>
  <c r="O45" i="109" s="1"/>
  <c r="E10" i="109"/>
  <c r="E11" i="109"/>
  <c r="E47" i="109" s="1"/>
  <c r="E12" i="109"/>
  <c r="E13" i="109"/>
  <c r="E14" i="109"/>
  <c r="O50" i="109" s="1"/>
  <c r="E15" i="109"/>
  <c r="O51" i="109" s="1"/>
  <c r="E16" i="109"/>
  <c r="E18" i="109"/>
  <c r="AG18" i="109"/>
  <c r="AG9" i="109"/>
  <c r="AG10" i="109"/>
  <c r="AG11" i="109"/>
  <c r="AG12" i="109"/>
  <c r="AG13" i="109"/>
  <c r="AG14" i="109"/>
  <c r="AG15" i="109"/>
  <c r="AG16" i="109"/>
  <c r="AG8" i="109"/>
  <c r="AT54" i="109"/>
  <c r="AS54" i="109"/>
  <c r="AR54" i="109"/>
  <c r="AP54" i="109"/>
  <c r="AO54" i="109"/>
  <c r="N28" i="108" s="1"/>
  <c r="AN54" i="109"/>
  <c r="O28" i="108" s="1"/>
  <c r="AM54" i="109"/>
  <c r="P28" i="108" s="1"/>
  <c r="AJ54" i="109"/>
  <c r="AI54" i="109"/>
  <c r="AH54" i="109"/>
  <c r="AG54" i="109"/>
  <c r="AU52" i="109"/>
  <c r="AT52" i="109"/>
  <c r="AS52" i="109"/>
  <c r="AR52" i="109"/>
  <c r="AP52" i="109"/>
  <c r="AO52" i="109"/>
  <c r="N26" i="108" s="1"/>
  <c r="AN52" i="109"/>
  <c r="O26" i="108" s="1"/>
  <c r="AM52" i="109"/>
  <c r="P26" i="108" s="1"/>
  <c r="AK52" i="109"/>
  <c r="AJ52" i="109"/>
  <c r="AI52" i="109"/>
  <c r="AH52" i="109"/>
  <c r="AG52" i="109"/>
  <c r="AU51" i="109"/>
  <c r="AT51" i="109"/>
  <c r="AS51" i="109"/>
  <c r="AR51" i="109"/>
  <c r="AP51" i="109"/>
  <c r="AO51" i="109"/>
  <c r="N25" i="108" s="1"/>
  <c r="AN51" i="109"/>
  <c r="O25" i="108" s="1"/>
  <c r="AM51" i="109"/>
  <c r="P25" i="108" s="1"/>
  <c r="AK51" i="109"/>
  <c r="AJ51" i="109"/>
  <c r="AI51" i="109"/>
  <c r="AH51" i="109"/>
  <c r="AG51" i="109"/>
  <c r="AU50" i="109"/>
  <c r="AT50" i="109"/>
  <c r="AS50" i="109"/>
  <c r="AR50" i="109"/>
  <c r="AP50" i="109"/>
  <c r="AO50" i="109"/>
  <c r="N24" i="108" s="1"/>
  <c r="AN50" i="109"/>
  <c r="O24" i="108" s="1"/>
  <c r="AM50" i="109"/>
  <c r="P24" i="108" s="1"/>
  <c r="AK50" i="109"/>
  <c r="AJ50" i="109"/>
  <c r="AI50" i="109"/>
  <c r="AH50" i="109"/>
  <c r="AG50" i="109"/>
  <c r="AU49" i="109"/>
  <c r="AT49" i="109"/>
  <c r="AS49" i="109"/>
  <c r="AR49" i="109"/>
  <c r="AP49" i="109"/>
  <c r="AO49" i="109"/>
  <c r="N23" i="108" s="1"/>
  <c r="AN49" i="109"/>
  <c r="O23" i="108" s="1"/>
  <c r="AM49" i="109"/>
  <c r="P23" i="108" s="1"/>
  <c r="AK49" i="109"/>
  <c r="AJ49" i="109"/>
  <c r="AI49" i="109"/>
  <c r="AH49" i="109"/>
  <c r="AG49" i="109"/>
  <c r="AU48" i="109"/>
  <c r="AT48" i="109"/>
  <c r="AS48" i="109"/>
  <c r="AR48" i="109"/>
  <c r="AP48" i="109"/>
  <c r="AO48" i="109"/>
  <c r="N22" i="108" s="1"/>
  <c r="AN48" i="109"/>
  <c r="O22" i="108" s="1"/>
  <c r="AM48" i="109"/>
  <c r="P22" i="108" s="1"/>
  <c r="AK48" i="109"/>
  <c r="AJ48" i="109"/>
  <c r="AI48" i="109"/>
  <c r="AH48" i="109"/>
  <c r="AG48" i="109"/>
  <c r="AU47" i="109"/>
  <c r="AT47" i="109"/>
  <c r="AS47" i="109"/>
  <c r="AR47" i="109"/>
  <c r="AP47" i="109"/>
  <c r="AO47" i="109"/>
  <c r="N21" i="108" s="1"/>
  <c r="AN47" i="109"/>
  <c r="O21" i="108" s="1"/>
  <c r="AM47" i="109"/>
  <c r="P21" i="108" s="1"/>
  <c r="AK47" i="109"/>
  <c r="AJ47" i="109"/>
  <c r="AI47" i="109"/>
  <c r="AH47" i="109"/>
  <c r="AG47" i="109"/>
  <c r="AU46" i="109"/>
  <c r="AT46" i="109"/>
  <c r="AS46" i="109"/>
  <c r="AR46" i="109"/>
  <c r="AP46" i="109"/>
  <c r="AO46" i="109"/>
  <c r="N20" i="108" s="1"/>
  <c r="AN46" i="109"/>
  <c r="O20" i="108" s="1"/>
  <c r="AM46" i="109"/>
  <c r="P20" i="108" s="1"/>
  <c r="AK46" i="109"/>
  <c r="AJ46" i="109"/>
  <c r="AI46" i="109"/>
  <c r="AH46" i="109"/>
  <c r="AG46" i="109"/>
  <c r="AU45" i="109"/>
  <c r="AT45" i="109"/>
  <c r="AS45" i="109"/>
  <c r="AR45" i="109"/>
  <c r="AP45" i="109"/>
  <c r="AO45" i="109"/>
  <c r="N19" i="108" s="1"/>
  <c r="AN45" i="109"/>
  <c r="O19" i="108" s="1"/>
  <c r="AM45" i="109"/>
  <c r="P19" i="108" s="1"/>
  <c r="AK45" i="109"/>
  <c r="AJ45" i="109"/>
  <c r="AI45" i="109"/>
  <c r="AH45" i="109"/>
  <c r="AG45" i="109"/>
  <c r="AU44" i="109"/>
  <c r="AT44" i="109"/>
  <c r="AS44" i="109"/>
  <c r="AR44" i="109"/>
  <c r="AP44" i="109"/>
  <c r="AO44" i="109"/>
  <c r="N18" i="108" s="1"/>
  <c r="AN44" i="109"/>
  <c r="O18" i="108" s="1"/>
  <c r="AM44" i="109"/>
  <c r="P18" i="108" s="1"/>
  <c r="AK44" i="109"/>
  <c r="AJ44" i="109"/>
  <c r="AI44" i="109"/>
  <c r="AH44" i="109"/>
  <c r="AG44" i="109"/>
  <c r="AR41" i="109"/>
  <c r="AM41" i="109"/>
  <c r="AH41" i="109"/>
  <c r="AU36" i="109"/>
  <c r="AT36" i="109"/>
  <c r="AS36" i="109"/>
  <c r="AR36" i="109"/>
  <c r="AP36" i="109"/>
  <c r="AO36" i="109"/>
  <c r="AN36" i="109"/>
  <c r="AM36" i="109"/>
  <c r="AJ36" i="109"/>
  <c r="AI36" i="109"/>
  <c r="AH36" i="109"/>
  <c r="AG36" i="109"/>
  <c r="AU34" i="109"/>
  <c r="AT34" i="109"/>
  <c r="AS34" i="109"/>
  <c r="AR34" i="109"/>
  <c r="AP34" i="109"/>
  <c r="AO34" i="109"/>
  <c r="AN34" i="109"/>
  <c r="AM34" i="109"/>
  <c r="AJ34" i="109"/>
  <c r="AI34" i="109"/>
  <c r="AH34" i="109"/>
  <c r="AG34" i="109"/>
  <c r="AU33" i="109"/>
  <c r="AT33" i="109"/>
  <c r="AS33" i="109"/>
  <c r="AR33" i="109"/>
  <c r="AP33" i="109"/>
  <c r="AO33" i="109"/>
  <c r="AN33" i="109"/>
  <c r="AM33" i="109"/>
  <c r="AJ33" i="109"/>
  <c r="AI33" i="109"/>
  <c r="AH33" i="109"/>
  <c r="AG33" i="109"/>
  <c r="AU32" i="109"/>
  <c r="AT32" i="109"/>
  <c r="AS32" i="109"/>
  <c r="AR32" i="109"/>
  <c r="AP32" i="109"/>
  <c r="AO32" i="109"/>
  <c r="AN32" i="109"/>
  <c r="AM32" i="109"/>
  <c r="AJ32" i="109"/>
  <c r="AI32" i="109"/>
  <c r="AH32" i="109"/>
  <c r="AG32" i="109"/>
  <c r="AU31" i="109"/>
  <c r="AT31" i="109"/>
  <c r="AS31" i="109"/>
  <c r="AR31" i="109"/>
  <c r="AP31" i="109"/>
  <c r="AO31" i="109"/>
  <c r="AN31" i="109"/>
  <c r="AM31" i="109"/>
  <c r="AJ31" i="109"/>
  <c r="AI31" i="109"/>
  <c r="AH31" i="109"/>
  <c r="AG31" i="109"/>
  <c r="AU30" i="109"/>
  <c r="AT30" i="109"/>
  <c r="AS30" i="109"/>
  <c r="AR30" i="109"/>
  <c r="AP30" i="109"/>
  <c r="AO30" i="109"/>
  <c r="AN30" i="109"/>
  <c r="AM30" i="109"/>
  <c r="AJ30" i="109"/>
  <c r="AI30" i="109"/>
  <c r="AH30" i="109"/>
  <c r="AG30" i="109"/>
  <c r="AU29" i="109"/>
  <c r="AT29" i="109"/>
  <c r="AS29" i="109"/>
  <c r="AR29" i="109"/>
  <c r="AP29" i="109"/>
  <c r="AO29" i="109"/>
  <c r="AN29" i="109"/>
  <c r="AM29" i="109"/>
  <c r="AJ29" i="109"/>
  <c r="AI29" i="109"/>
  <c r="AH29" i="109"/>
  <c r="AG29" i="109"/>
  <c r="AU28" i="109"/>
  <c r="AT28" i="109"/>
  <c r="AS28" i="109"/>
  <c r="AR28" i="109"/>
  <c r="AP28" i="109"/>
  <c r="AO28" i="109"/>
  <c r="AN28" i="109"/>
  <c r="AM28" i="109"/>
  <c r="AJ28" i="109"/>
  <c r="AI28" i="109"/>
  <c r="AH28" i="109"/>
  <c r="AG28" i="109"/>
  <c r="AU27" i="109"/>
  <c r="AT27" i="109"/>
  <c r="AS27" i="109"/>
  <c r="AR27" i="109"/>
  <c r="AP27" i="109"/>
  <c r="AO27" i="109"/>
  <c r="AN27" i="109"/>
  <c r="AM27" i="109"/>
  <c r="AJ27" i="109"/>
  <c r="AI27" i="109"/>
  <c r="AH27" i="109"/>
  <c r="AG27" i="109"/>
  <c r="AU26" i="109"/>
  <c r="AT26" i="109"/>
  <c r="AS26" i="109"/>
  <c r="AR26" i="109"/>
  <c r="AP26" i="109"/>
  <c r="AO26" i="109"/>
  <c r="AN26" i="109"/>
  <c r="AM26" i="109"/>
  <c r="AJ26" i="109"/>
  <c r="AI26" i="109"/>
  <c r="AH26" i="109"/>
  <c r="AG26" i="109"/>
  <c r="AR23" i="109"/>
  <c r="AM23" i="109"/>
  <c r="AH23" i="109"/>
  <c r="AG1" i="109"/>
  <c r="Q1" i="109"/>
  <c r="W54" i="109"/>
  <c r="P43" i="108" s="1"/>
  <c r="U54" i="109"/>
  <c r="T54" i="109"/>
  <c r="Q54" i="109"/>
  <c r="W52" i="109"/>
  <c r="P41" i="108" s="1"/>
  <c r="U52" i="109"/>
  <c r="T52" i="109"/>
  <c r="Q52" i="109"/>
  <c r="W51" i="109"/>
  <c r="P40" i="108" s="1"/>
  <c r="U51" i="109"/>
  <c r="T51" i="109"/>
  <c r="Q51" i="109"/>
  <c r="W50" i="109"/>
  <c r="P39" i="108" s="1"/>
  <c r="U50" i="109"/>
  <c r="T50" i="109"/>
  <c r="Q50" i="109"/>
  <c r="W49" i="109"/>
  <c r="P38" i="108" s="1"/>
  <c r="U49" i="109"/>
  <c r="T49" i="109"/>
  <c r="Q49" i="109"/>
  <c r="W48" i="109"/>
  <c r="P37" i="108" s="1"/>
  <c r="U48" i="109"/>
  <c r="T48" i="109"/>
  <c r="Q48" i="109"/>
  <c r="W47" i="109"/>
  <c r="P36" i="108" s="1"/>
  <c r="U47" i="109"/>
  <c r="T47" i="109"/>
  <c r="Q47" i="109"/>
  <c r="W46" i="109"/>
  <c r="P35" i="108" s="1"/>
  <c r="U46" i="109"/>
  <c r="T46" i="109"/>
  <c r="Q46" i="109"/>
  <c r="W45" i="109"/>
  <c r="P34" i="108" s="1"/>
  <c r="U45" i="109"/>
  <c r="T45" i="109"/>
  <c r="Q45" i="109"/>
  <c r="W44" i="109"/>
  <c r="P33" i="108" s="1"/>
  <c r="U44" i="109"/>
  <c r="T44" i="109"/>
  <c r="Q44" i="109"/>
  <c r="AB41" i="109"/>
  <c r="W41" i="109"/>
  <c r="R41" i="109"/>
  <c r="AB36" i="109"/>
  <c r="Z36" i="109"/>
  <c r="Y36" i="109"/>
  <c r="X36" i="109"/>
  <c r="W36" i="109"/>
  <c r="U36" i="109"/>
  <c r="T36" i="109"/>
  <c r="Q36" i="109"/>
  <c r="AB34" i="109"/>
  <c r="Z34" i="109"/>
  <c r="Y34" i="109"/>
  <c r="X34" i="109"/>
  <c r="W34" i="109"/>
  <c r="U34" i="109"/>
  <c r="T34" i="109"/>
  <c r="Q34" i="109"/>
  <c r="AB33" i="109"/>
  <c r="Z33" i="109"/>
  <c r="Y33" i="109"/>
  <c r="X33" i="109"/>
  <c r="W33" i="109"/>
  <c r="U33" i="109"/>
  <c r="T33" i="109"/>
  <c r="Q33" i="109"/>
  <c r="AB32" i="109"/>
  <c r="Z32" i="109"/>
  <c r="Y32" i="109"/>
  <c r="X32" i="109"/>
  <c r="W32" i="109"/>
  <c r="U32" i="109"/>
  <c r="T32" i="109"/>
  <c r="Q32" i="109"/>
  <c r="AB31" i="109"/>
  <c r="Z31" i="109"/>
  <c r="Y31" i="109"/>
  <c r="X31" i="109"/>
  <c r="W31" i="109"/>
  <c r="U31" i="109"/>
  <c r="T31" i="109"/>
  <c r="Q31" i="109"/>
  <c r="AB30" i="109"/>
  <c r="Z30" i="109"/>
  <c r="Y30" i="109"/>
  <c r="X30" i="109"/>
  <c r="W30" i="109"/>
  <c r="U30" i="109"/>
  <c r="T30" i="109"/>
  <c r="Q30" i="109"/>
  <c r="AB29" i="109"/>
  <c r="Z29" i="109"/>
  <c r="Y29" i="109"/>
  <c r="X29" i="109"/>
  <c r="W29" i="109"/>
  <c r="U29" i="109"/>
  <c r="T29" i="109"/>
  <c r="Q29" i="109"/>
  <c r="AB28" i="109"/>
  <c r="Z28" i="109"/>
  <c r="Y28" i="109"/>
  <c r="X28" i="109"/>
  <c r="W28" i="109"/>
  <c r="U28" i="109"/>
  <c r="T28" i="109"/>
  <c r="Q28" i="109"/>
  <c r="AB27" i="109"/>
  <c r="Z27" i="109"/>
  <c r="Y27" i="109"/>
  <c r="X27" i="109"/>
  <c r="W27" i="109"/>
  <c r="U27" i="109"/>
  <c r="T27" i="109"/>
  <c r="Q27" i="109"/>
  <c r="AB26" i="109"/>
  <c r="Z26" i="109"/>
  <c r="Y26" i="109"/>
  <c r="X26" i="109"/>
  <c r="W26" i="109"/>
  <c r="U26" i="109"/>
  <c r="T26" i="109"/>
  <c r="Q26" i="109"/>
  <c r="AB23" i="109"/>
  <c r="W23" i="109"/>
  <c r="R23" i="109"/>
  <c r="AD52" i="109"/>
  <c r="AD51" i="109"/>
  <c r="AD49" i="109"/>
  <c r="AD47" i="109"/>
  <c r="Y46" i="109"/>
  <c r="N35" i="108" s="1"/>
  <c r="AD45" i="109"/>
  <c r="S49" i="109"/>
  <c r="S48" i="109"/>
  <c r="S47" i="109"/>
  <c r="S45" i="109"/>
  <c r="C26" i="109"/>
  <c r="D26" i="109"/>
  <c r="G26" i="109"/>
  <c r="H26" i="109"/>
  <c r="I26" i="109"/>
  <c r="L26" i="109"/>
  <c r="M26" i="109"/>
  <c r="N26" i="109"/>
  <c r="C27" i="109"/>
  <c r="D27" i="109"/>
  <c r="G27" i="109"/>
  <c r="H27" i="109"/>
  <c r="I27" i="109"/>
  <c r="L27" i="109"/>
  <c r="M27" i="109"/>
  <c r="N27" i="109"/>
  <c r="O27" i="109"/>
  <c r="C28" i="109"/>
  <c r="D28" i="109"/>
  <c r="G28" i="109"/>
  <c r="H28" i="109"/>
  <c r="I28" i="109"/>
  <c r="L28" i="109"/>
  <c r="M28" i="109"/>
  <c r="N28" i="109"/>
  <c r="C29" i="109"/>
  <c r="D29" i="109"/>
  <c r="G29" i="109"/>
  <c r="H29" i="109"/>
  <c r="I29" i="109"/>
  <c r="L29" i="109"/>
  <c r="M29" i="109"/>
  <c r="N29" i="109"/>
  <c r="O29" i="109"/>
  <c r="C30" i="109"/>
  <c r="D30" i="109"/>
  <c r="G30" i="109"/>
  <c r="H30" i="109"/>
  <c r="I30" i="109"/>
  <c r="L30" i="109"/>
  <c r="M30" i="109"/>
  <c r="N30" i="109"/>
  <c r="C31" i="109"/>
  <c r="D31" i="109"/>
  <c r="G31" i="109"/>
  <c r="H31" i="109"/>
  <c r="I31" i="109"/>
  <c r="L31" i="109"/>
  <c r="M31" i="109"/>
  <c r="N31" i="109"/>
  <c r="C32" i="109"/>
  <c r="D32" i="109"/>
  <c r="G32" i="109"/>
  <c r="H32" i="109"/>
  <c r="I32" i="109"/>
  <c r="L32" i="109"/>
  <c r="M32" i="109"/>
  <c r="N32" i="109"/>
  <c r="C33" i="109"/>
  <c r="D33" i="109"/>
  <c r="G33" i="109"/>
  <c r="H33" i="109"/>
  <c r="I33" i="109"/>
  <c r="L33" i="109"/>
  <c r="M33" i="109"/>
  <c r="N33" i="109"/>
  <c r="C34" i="109"/>
  <c r="D34" i="109"/>
  <c r="G34" i="109"/>
  <c r="H34" i="109"/>
  <c r="I34" i="109"/>
  <c r="L34" i="109"/>
  <c r="M34" i="109"/>
  <c r="N34" i="109"/>
  <c r="C36" i="109"/>
  <c r="D36" i="109"/>
  <c r="G36" i="109"/>
  <c r="H36" i="109"/>
  <c r="I36" i="109"/>
  <c r="L36" i="109"/>
  <c r="M36" i="109"/>
  <c r="N36" i="109"/>
  <c r="L45" i="109"/>
  <c r="M45" i="109"/>
  <c r="N45" i="109"/>
  <c r="L46" i="109"/>
  <c r="M46" i="109"/>
  <c r="N46" i="109"/>
  <c r="L47" i="109"/>
  <c r="M47" i="109"/>
  <c r="N47" i="109"/>
  <c r="L48" i="109"/>
  <c r="M48" i="109"/>
  <c r="N48" i="109"/>
  <c r="L49" i="109"/>
  <c r="M49" i="109"/>
  <c r="N49" i="109"/>
  <c r="L50" i="109"/>
  <c r="M50" i="109"/>
  <c r="N50" i="109"/>
  <c r="L51" i="109"/>
  <c r="M51" i="109"/>
  <c r="N51" i="109"/>
  <c r="L52" i="109"/>
  <c r="M52" i="109"/>
  <c r="N52" i="109"/>
  <c r="L54" i="109"/>
  <c r="M54" i="109"/>
  <c r="N54" i="109"/>
  <c r="M44" i="109"/>
  <c r="N44" i="109"/>
  <c r="L44" i="109"/>
  <c r="G45" i="109"/>
  <c r="P4" i="108" s="1"/>
  <c r="H45" i="109"/>
  <c r="O4" i="108" s="1"/>
  <c r="I45" i="109"/>
  <c r="N4" i="108" s="1"/>
  <c r="G46" i="109"/>
  <c r="P5" i="108" s="1"/>
  <c r="H46" i="109"/>
  <c r="O5" i="108" s="1"/>
  <c r="I46" i="109"/>
  <c r="N5" i="108" s="1"/>
  <c r="G47" i="109"/>
  <c r="P6" i="108" s="1"/>
  <c r="H47" i="109"/>
  <c r="O6" i="108" s="1"/>
  <c r="I47" i="109"/>
  <c r="N6" i="108" s="1"/>
  <c r="J47" i="109"/>
  <c r="G48" i="109"/>
  <c r="P7" i="108" s="1"/>
  <c r="H48" i="109"/>
  <c r="O7" i="108" s="1"/>
  <c r="I48" i="109"/>
  <c r="N7" i="108" s="1"/>
  <c r="G49" i="109"/>
  <c r="P8" i="108" s="1"/>
  <c r="H49" i="109"/>
  <c r="O8" i="108" s="1"/>
  <c r="I49" i="109"/>
  <c r="N8" i="108" s="1"/>
  <c r="J49" i="109"/>
  <c r="G50" i="109"/>
  <c r="P9" i="108" s="1"/>
  <c r="H50" i="109"/>
  <c r="O9" i="108" s="1"/>
  <c r="I50" i="109"/>
  <c r="N9" i="108" s="1"/>
  <c r="G51" i="109"/>
  <c r="P10" i="108" s="1"/>
  <c r="H51" i="109"/>
  <c r="O10" i="108" s="1"/>
  <c r="I51" i="109"/>
  <c r="N10" i="108" s="1"/>
  <c r="G52" i="109"/>
  <c r="P11" i="108" s="1"/>
  <c r="H52" i="109"/>
  <c r="O11" i="108" s="1"/>
  <c r="I52" i="109"/>
  <c r="N11" i="108" s="1"/>
  <c r="G54" i="109"/>
  <c r="P13" i="108" s="1"/>
  <c r="H54" i="109"/>
  <c r="O13" i="108" s="1"/>
  <c r="I54" i="109"/>
  <c r="N13" i="108" s="1"/>
  <c r="H44" i="109"/>
  <c r="O3" i="108" s="1"/>
  <c r="I44" i="109"/>
  <c r="N3" i="108" s="1"/>
  <c r="G44" i="109"/>
  <c r="P3" i="108" s="1"/>
  <c r="B45" i="109"/>
  <c r="C45" i="109"/>
  <c r="D45" i="109"/>
  <c r="B46" i="109"/>
  <c r="C46" i="109"/>
  <c r="D46" i="109"/>
  <c r="B47" i="109"/>
  <c r="C47" i="109"/>
  <c r="D47" i="109"/>
  <c r="B48" i="109"/>
  <c r="C48" i="109"/>
  <c r="D48" i="109"/>
  <c r="B49" i="109"/>
  <c r="C49" i="109"/>
  <c r="D49" i="109"/>
  <c r="B50" i="109"/>
  <c r="C50" i="109"/>
  <c r="D50" i="109"/>
  <c r="B51" i="109"/>
  <c r="C51" i="109"/>
  <c r="D51" i="109"/>
  <c r="E51" i="109"/>
  <c r="B52" i="109"/>
  <c r="C52" i="109"/>
  <c r="D52" i="109"/>
  <c r="B54" i="109"/>
  <c r="C54" i="109"/>
  <c r="D54" i="109"/>
  <c r="C44" i="109"/>
  <c r="D44" i="109"/>
  <c r="B44" i="109"/>
  <c r="L41" i="109"/>
  <c r="G41" i="109"/>
  <c r="B41" i="109"/>
  <c r="L23" i="109"/>
  <c r="G23" i="109"/>
  <c r="B23" i="109"/>
  <c r="A1" i="109"/>
  <c r="A8" i="109"/>
  <c r="A9" i="109"/>
  <c r="A10" i="109"/>
  <c r="A11" i="109"/>
  <c r="A12" i="109"/>
  <c r="A13" i="109"/>
  <c r="A14" i="109"/>
  <c r="A15" i="109"/>
  <c r="A16" i="109"/>
  <c r="A18" i="109"/>
  <c r="N1" i="108"/>
  <c r="M34" i="108"/>
  <c r="M35" i="108"/>
  <c r="M36" i="108"/>
  <c r="M37" i="108"/>
  <c r="M38" i="108"/>
  <c r="M39" i="108"/>
  <c r="M40" i="108"/>
  <c r="M41" i="108"/>
  <c r="M43" i="108"/>
  <c r="M33" i="108"/>
  <c r="M19" i="108"/>
  <c r="M20" i="108"/>
  <c r="M21" i="108"/>
  <c r="M22" i="108"/>
  <c r="M23" i="108"/>
  <c r="M24" i="108"/>
  <c r="M25" i="108"/>
  <c r="M26" i="108"/>
  <c r="M28" i="108"/>
  <c r="M18" i="108"/>
  <c r="M13" i="108"/>
  <c r="M11" i="108"/>
  <c r="M10" i="108"/>
  <c r="M9" i="108"/>
  <c r="M8" i="108"/>
  <c r="M7" i="108"/>
  <c r="M6" i="108"/>
  <c r="M5" i="108"/>
  <c r="M4" i="108"/>
  <c r="M3" i="108"/>
  <c r="M13" i="107"/>
  <c r="W14" i="106"/>
  <c r="M4" i="107"/>
  <c r="M5" i="107"/>
  <c r="M6" i="107"/>
  <c r="M7" i="107"/>
  <c r="M8" i="107"/>
  <c r="M9" i="107"/>
  <c r="M10" i="107"/>
  <c r="M11" i="107"/>
  <c r="M3" i="107"/>
  <c r="W5" i="106"/>
  <c r="W6" i="106"/>
  <c r="W7" i="106"/>
  <c r="W8" i="106"/>
  <c r="W9" i="106"/>
  <c r="W10" i="106"/>
  <c r="W11" i="106"/>
  <c r="W12" i="106"/>
  <c r="W4" i="106"/>
  <c r="L52" i="76"/>
  <c r="L53" i="76"/>
  <c r="L55" i="76"/>
  <c r="L56" i="76"/>
  <c r="L57" i="76"/>
  <c r="L58" i="76"/>
  <c r="L59" i="76"/>
  <c r="L61" i="76"/>
  <c r="L62" i="76"/>
  <c r="L63" i="76"/>
  <c r="L64" i="76"/>
  <c r="L65" i="76"/>
  <c r="L66" i="76"/>
  <c r="L68" i="76"/>
  <c r="L69" i="76"/>
  <c r="L70" i="76"/>
  <c r="L72" i="76"/>
  <c r="L73" i="76"/>
  <c r="L74" i="76"/>
  <c r="L75" i="76"/>
  <c r="L76" i="76"/>
  <c r="L78" i="76"/>
  <c r="L79" i="76"/>
  <c r="L80" i="76"/>
  <c r="L82" i="76"/>
  <c r="L83" i="76"/>
  <c r="L84" i="76"/>
  <c r="L86" i="76"/>
  <c r="L87" i="76"/>
  <c r="L88" i="76"/>
  <c r="L90" i="76"/>
  <c r="L91" i="76"/>
  <c r="L92" i="76"/>
  <c r="L94" i="76"/>
  <c r="L51" i="76"/>
  <c r="W1" i="71"/>
  <c r="W109" i="71"/>
  <c r="W34" i="71"/>
  <c r="W106" i="71" s="1"/>
  <c r="W9" i="71"/>
  <c r="W10" i="71"/>
  <c r="W118" i="71" s="1"/>
  <c r="W11" i="71"/>
  <c r="W119" i="71" s="1"/>
  <c r="W12" i="71"/>
  <c r="W48" i="71" s="1"/>
  <c r="W13" i="71"/>
  <c r="W14" i="71"/>
  <c r="W15" i="71"/>
  <c r="W16" i="71"/>
  <c r="W17" i="71"/>
  <c r="W18" i="71"/>
  <c r="W54" i="71" s="1"/>
  <c r="W19" i="71"/>
  <c r="W55" i="71" s="1"/>
  <c r="W20" i="71"/>
  <c r="W56" i="71" s="1"/>
  <c r="W21" i="71"/>
  <c r="W22" i="71"/>
  <c r="W130" i="71" s="1"/>
  <c r="W23" i="71"/>
  <c r="W131" i="71" s="1"/>
  <c r="W24" i="71"/>
  <c r="W96" i="71" s="1"/>
  <c r="W25" i="71"/>
  <c r="W26" i="71"/>
  <c r="W27" i="71"/>
  <c r="W28" i="71"/>
  <c r="W29" i="71"/>
  <c r="W101" i="71" s="1"/>
  <c r="W30" i="71"/>
  <c r="W138" i="71" s="1"/>
  <c r="W31" i="71"/>
  <c r="W67" i="71" s="1"/>
  <c r="W32" i="71"/>
  <c r="W104" i="71" s="1"/>
  <c r="W8" i="71"/>
  <c r="W116" i="71" s="1"/>
  <c r="AB140" i="71"/>
  <c r="AA140" i="71"/>
  <c r="Z140" i="71"/>
  <c r="Y140" i="71"/>
  <c r="X140" i="71"/>
  <c r="AB139" i="71"/>
  <c r="AA139" i="71"/>
  <c r="Z139" i="71"/>
  <c r="Y139" i="71"/>
  <c r="X139" i="71"/>
  <c r="AB138" i="71"/>
  <c r="AA138" i="71"/>
  <c r="Z138" i="71"/>
  <c r="Y138" i="71"/>
  <c r="X138" i="71"/>
  <c r="AB137" i="71"/>
  <c r="AA137" i="71"/>
  <c r="Z137" i="71"/>
  <c r="Y137" i="71"/>
  <c r="X137" i="71"/>
  <c r="AB136" i="71"/>
  <c r="AA136" i="71"/>
  <c r="Z136" i="71"/>
  <c r="Y136" i="71"/>
  <c r="X136" i="71"/>
  <c r="AB135" i="71"/>
  <c r="AA135" i="71"/>
  <c r="Z135" i="71"/>
  <c r="Y135" i="71"/>
  <c r="X135" i="71"/>
  <c r="AB134" i="71"/>
  <c r="AA134" i="71"/>
  <c r="Z134" i="71"/>
  <c r="Y134" i="71"/>
  <c r="X134" i="71"/>
  <c r="W134" i="71"/>
  <c r="AB133" i="71"/>
  <c r="AA133" i="71"/>
  <c r="Z133" i="71"/>
  <c r="Y133" i="71"/>
  <c r="X133" i="71"/>
  <c r="AB132" i="71"/>
  <c r="AA132" i="71"/>
  <c r="Z132" i="71"/>
  <c r="Y132" i="71"/>
  <c r="X132" i="71"/>
  <c r="W132" i="71"/>
  <c r="AB131" i="71"/>
  <c r="AA131" i="71"/>
  <c r="Z131" i="71"/>
  <c r="Y131" i="71"/>
  <c r="X131" i="71"/>
  <c r="AB130" i="71"/>
  <c r="AA130" i="71"/>
  <c r="Z130" i="71"/>
  <c r="Y130" i="71"/>
  <c r="X130" i="71"/>
  <c r="AB129" i="71"/>
  <c r="AA129" i="71"/>
  <c r="Z129" i="71"/>
  <c r="Y129" i="71"/>
  <c r="X129" i="71"/>
  <c r="AB128" i="71"/>
  <c r="AA128" i="71"/>
  <c r="Z128" i="71"/>
  <c r="Y128" i="71"/>
  <c r="X128" i="71"/>
  <c r="W128" i="71"/>
  <c r="AB127" i="71"/>
  <c r="AA127" i="71"/>
  <c r="Z127" i="71"/>
  <c r="Y127" i="71"/>
  <c r="X127" i="71"/>
  <c r="AB126" i="71"/>
  <c r="AA126" i="71"/>
  <c r="Z126" i="71"/>
  <c r="Y126" i="71"/>
  <c r="X126" i="71"/>
  <c r="AB125" i="71"/>
  <c r="AA125" i="71"/>
  <c r="Z125" i="71"/>
  <c r="Y125" i="71"/>
  <c r="X125" i="71"/>
  <c r="AB124" i="71"/>
  <c r="AA124" i="71"/>
  <c r="Z124" i="71"/>
  <c r="Y124" i="71"/>
  <c r="X124" i="71"/>
  <c r="W124" i="71"/>
  <c r="AB123" i="71"/>
  <c r="AA123" i="71"/>
  <c r="Z123" i="71"/>
  <c r="Y123" i="71"/>
  <c r="X123" i="71"/>
  <c r="AB122" i="71"/>
  <c r="AA122" i="71"/>
  <c r="Z122" i="71"/>
  <c r="Y122" i="71"/>
  <c r="X122" i="71"/>
  <c r="W122" i="71"/>
  <c r="AB121" i="71"/>
  <c r="AA121" i="71"/>
  <c r="Z121" i="71"/>
  <c r="Y121" i="71"/>
  <c r="X121" i="71"/>
  <c r="AB120" i="71"/>
  <c r="AA120" i="71"/>
  <c r="Z120" i="71"/>
  <c r="Y120" i="71"/>
  <c r="X120" i="71"/>
  <c r="AB119" i="71"/>
  <c r="AA119" i="71"/>
  <c r="Z119" i="71"/>
  <c r="Y119" i="71"/>
  <c r="X119" i="71"/>
  <c r="AB118" i="71"/>
  <c r="AA118" i="71"/>
  <c r="Z118" i="71"/>
  <c r="Y118" i="71"/>
  <c r="X118" i="71"/>
  <c r="AB117" i="71"/>
  <c r="AA117" i="71"/>
  <c r="Z117" i="71"/>
  <c r="Y117" i="71"/>
  <c r="X117" i="71"/>
  <c r="AB116" i="71"/>
  <c r="AA116" i="71"/>
  <c r="Z116" i="71"/>
  <c r="Y116" i="71"/>
  <c r="X116" i="71"/>
  <c r="AB114" i="71"/>
  <c r="AA114" i="71"/>
  <c r="Z114" i="71"/>
  <c r="Y114" i="71"/>
  <c r="X114" i="71"/>
  <c r="AB104" i="71"/>
  <c r="AA104" i="71"/>
  <c r="Z104" i="71"/>
  <c r="Y104" i="71"/>
  <c r="X104" i="71"/>
  <c r="AB103" i="71"/>
  <c r="AA103" i="71"/>
  <c r="Z103" i="71"/>
  <c r="Y103" i="71"/>
  <c r="X103" i="71"/>
  <c r="AB102" i="71"/>
  <c r="AA102" i="71"/>
  <c r="Z102" i="71"/>
  <c r="Y102" i="71"/>
  <c r="X102" i="71"/>
  <c r="AB101" i="71"/>
  <c r="AA101" i="71"/>
  <c r="Z101" i="71"/>
  <c r="Y101" i="71"/>
  <c r="X101" i="71"/>
  <c r="AB100" i="71"/>
  <c r="AA100" i="71"/>
  <c r="Z100" i="71"/>
  <c r="Y100" i="71"/>
  <c r="X100" i="71"/>
  <c r="W100" i="71"/>
  <c r="AE99" i="71"/>
  <c r="AB99" i="71"/>
  <c r="AA99" i="71"/>
  <c r="Z99" i="71"/>
  <c r="Y99" i="71"/>
  <c r="X99" i="71"/>
  <c r="AB98" i="71"/>
  <c r="AA98" i="71"/>
  <c r="Z98" i="71"/>
  <c r="Y98" i="71"/>
  <c r="X98" i="71"/>
  <c r="AB97" i="71"/>
  <c r="AA97" i="71"/>
  <c r="Z97" i="71"/>
  <c r="Y97" i="71"/>
  <c r="X97" i="71"/>
  <c r="AB96" i="71"/>
  <c r="AA96" i="71"/>
  <c r="Z96" i="71"/>
  <c r="Y96" i="71"/>
  <c r="X96" i="71"/>
  <c r="AB95" i="71"/>
  <c r="AA95" i="71"/>
  <c r="Z95" i="71"/>
  <c r="Y95" i="71"/>
  <c r="X95" i="71"/>
  <c r="AB94" i="71"/>
  <c r="AA94" i="71"/>
  <c r="Z94" i="71"/>
  <c r="Y94" i="71"/>
  <c r="X94" i="71"/>
  <c r="AB93" i="71"/>
  <c r="AA93" i="71"/>
  <c r="Z93" i="71"/>
  <c r="Y93" i="71"/>
  <c r="X93" i="71"/>
  <c r="AB92" i="71"/>
  <c r="AA92" i="71"/>
  <c r="Z92" i="71"/>
  <c r="Y92" i="71"/>
  <c r="X92" i="71"/>
  <c r="AB91" i="71"/>
  <c r="AA91" i="71"/>
  <c r="Z91" i="71"/>
  <c r="Y91" i="71"/>
  <c r="X91" i="71"/>
  <c r="AB90" i="71"/>
  <c r="AA90" i="71"/>
  <c r="Z90" i="71"/>
  <c r="Y90" i="71"/>
  <c r="X90" i="71"/>
  <c r="AB89" i="71"/>
  <c r="AA89" i="71"/>
  <c r="Z89" i="71"/>
  <c r="Y89" i="71"/>
  <c r="X89" i="71"/>
  <c r="AB88" i="71"/>
  <c r="AA88" i="71"/>
  <c r="Z88" i="71"/>
  <c r="Y88" i="71"/>
  <c r="X88" i="71"/>
  <c r="W88" i="71"/>
  <c r="AB87" i="71"/>
  <c r="AA87" i="71"/>
  <c r="Z87" i="71"/>
  <c r="Y87" i="71"/>
  <c r="X87" i="71"/>
  <c r="AB86" i="71"/>
  <c r="AA86" i="71"/>
  <c r="Z86" i="71"/>
  <c r="Y86" i="71"/>
  <c r="X86" i="71"/>
  <c r="AB85" i="71"/>
  <c r="AA85" i="71"/>
  <c r="Z85" i="71"/>
  <c r="Y85" i="71"/>
  <c r="X85" i="71"/>
  <c r="AB84" i="71"/>
  <c r="AA84" i="71"/>
  <c r="Z84" i="71"/>
  <c r="Y84" i="71"/>
  <c r="X84" i="71"/>
  <c r="AB83" i="71"/>
  <c r="AA83" i="71"/>
  <c r="Z83" i="71"/>
  <c r="Y83" i="71"/>
  <c r="X83" i="71"/>
  <c r="AB82" i="71"/>
  <c r="AA82" i="71"/>
  <c r="Z82" i="71"/>
  <c r="Y82" i="71"/>
  <c r="X82" i="71"/>
  <c r="AB81" i="71"/>
  <c r="AA81" i="71"/>
  <c r="Z81" i="71"/>
  <c r="Y81" i="71"/>
  <c r="X81" i="71"/>
  <c r="AB80" i="71"/>
  <c r="AA80" i="71"/>
  <c r="Z80" i="71"/>
  <c r="Y80" i="71"/>
  <c r="X80" i="71"/>
  <c r="AF78" i="71"/>
  <c r="AE78" i="71"/>
  <c r="AB78" i="71"/>
  <c r="AA78" i="71"/>
  <c r="Z78" i="71"/>
  <c r="Y78" i="71"/>
  <c r="X78" i="71"/>
  <c r="AA67" i="71"/>
  <c r="Y67" i="71"/>
  <c r="AB64" i="71"/>
  <c r="AA63" i="71"/>
  <c r="Y63" i="71"/>
  <c r="W63" i="71"/>
  <c r="W62" i="71"/>
  <c r="AB60" i="71"/>
  <c r="W60" i="71"/>
  <c r="AA59" i="71"/>
  <c r="Y59" i="71"/>
  <c r="W59" i="71"/>
  <c r="Y57" i="71"/>
  <c r="AB56" i="71"/>
  <c r="AA55" i="71"/>
  <c r="Y55" i="71"/>
  <c r="Y53" i="71"/>
  <c r="AB52" i="71"/>
  <c r="Y52" i="71"/>
  <c r="AA51" i="71"/>
  <c r="Y51" i="71"/>
  <c r="W51" i="71"/>
  <c r="W50" i="71"/>
  <c r="Y49" i="71"/>
  <c r="AB48" i="71"/>
  <c r="Y48" i="71"/>
  <c r="AA47" i="71"/>
  <c r="Y47" i="71"/>
  <c r="W47" i="71"/>
  <c r="Y45" i="71"/>
  <c r="AB44" i="71"/>
  <c r="Y44" i="71"/>
  <c r="AF42" i="71"/>
  <c r="AE42" i="71"/>
  <c r="AD42" i="71"/>
  <c r="AD78" i="71" s="1"/>
  <c r="AB42" i="71"/>
  <c r="AA42" i="71"/>
  <c r="Z42" i="71"/>
  <c r="Y42" i="71"/>
  <c r="X42" i="71"/>
  <c r="AF41" i="71"/>
  <c r="AF77" i="71" s="1"/>
  <c r="AE41" i="71"/>
  <c r="AE77" i="71" s="1"/>
  <c r="AD41" i="71"/>
  <c r="AD77" i="71" s="1"/>
  <c r="AB142" i="71"/>
  <c r="Z142" i="71"/>
  <c r="Y106" i="71"/>
  <c r="X142" i="71"/>
  <c r="X106" i="71"/>
  <c r="AE104" i="71"/>
  <c r="AD32" i="71"/>
  <c r="AD68" i="71" s="1"/>
  <c r="AD104" i="71" s="1"/>
  <c r="AE67" i="71"/>
  <c r="AD31" i="71"/>
  <c r="AD67" i="71" s="1"/>
  <c r="AD103" i="71" s="1"/>
  <c r="AE66" i="71"/>
  <c r="AD30" i="71"/>
  <c r="AD66" i="71" s="1"/>
  <c r="AD102" i="71" s="1"/>
  <c r="AE65" i="71"/>
  <c r="AD29" i="71"/>
  <c r="AE100" i="71"/>
  <c r="AD28" i="71"/>
  <c r="AD64" i="71" s="1"/>
  <c r="AD100" i="71" s="1"/>
  <c r="W64" i="71"/>
  <c r="AE63" i="71"/>
  <c r="AD27" i="71"/>
  <c r="W135" i="71"/>
  <c r="AE62" i="71"/>
  <c r="AD26" i="71"/>
  <c r="AF26" i="71" s="1"/>
  <c r="AF62" i="71" s="1"/>
  <c r="AF98" i="71" s="1"/>
  <c r="W98" i="71"/>
  <c r="AE61" i="71"/>
  <c r="AD25" i="71"/>
  <c r="AF25" i="71" s="1"/>
  <c r="AF61" i="71" s="1"/>
  <c r="AF97" i="71" s="1"/>
  <c r="W97" i="71"/>
  <c r="AE96" i="71"/>
  <c r="AD24" i="71"/>
  <c r="AD60" i="71" s="1"/>
  <c r="AD96" i="71" s="1"/>
  <c r="AE59" i="71"/>
  <c r="AD23" i="71"/>
  <c r="AE58" i="71"/>
  <c r="AD22" i="71"/>
  <c r="AD58" i="71" s="1"/>
  <c r="AD94" i="71" s="1"/>
  <c r="AE57" i="71"/>
  <c r="AD21" i="71"/>
  <c r="AD57" i="71" s="1"/>
  <c r="AD93" i="71" s="1"/>
  <c r="W93" i="71"/>
  <c r="AE92" i="71"/>
  <c r="AD20" i="71"/>
  <c r="AE55" i="71"/>
  <c r="AD19" i="71"/>
  <c r="AD55" i="71" s="1"/>
  <c r="AD91" i="71" s="1"/>
  <c r="AE54" i="71"/>
  <c r="AD18" i="71"/>
  <c r="AE53" i="71"/>
  <c r="AD17" i="71"/>
  <c r="AF17" i="71" s="1"/>
  <c r="AF53" i="71" s="1"/>
  <c r="AF89" i="71" s="1"/>
  <c r="W89" i="71"/>
  <c r="AE88" i="71"/>
  <c r="AD16" i="71"/>
  <c r="AD52" i="71" s="1"/>
  <c r="AD88" i="71" s="1"/>
  <c r="W52" i="71"/>
  <c r="AE51" i="71"/>
  <c r="AD15" i="71"/>
  <c r="W123" i="71"/>
  <c r="AE50" i="71"/>
  <c r="AD14" i="71"/>
  <c r="AF14" i="71" s="1"/>
  <c r="AF50" i="71" s="1"/>
  <c r="AF86" i="71" s="1"/>
  <c r="W86" i="71"/>
  <c r="AE49" i="71"/>
  <c r="AD13" i="71"/>
  <c r="AF13" i="71" s="1"/>
  <c r="AF49" i="71" s="1"/>
  <c r="AF85" i="71" s="1"/>
  <c r="W85" i="71"/>
  <c r="AE84" i="71"/>
  <c r="AD12" i="71"/>
  <c r="AD48" i="71" s="1"/>
  <c r="AD84" i="71" s="1"/>
  <c r="AE47" i="71"/>
  <c r="AD11" i="71"/>
  <c r="AE46" i="71"/>
  <c r="AD10" i="71"/>
  <c r="AD46" i="71" s="1"/>
  <c r="AD82" i="71" s="1"/>
  <c r="AE45" i="71"/>
  <c r="AD9" i="71"/>
  <c r="W81" i="71"/>
  <c r="AE80" i="71"/>
  <c r="AD8" i="71"/>
  <c r="AD4" i="71"/>
  <c r="L1" i="71"/>
  <c r="L109" i="71"/>
  <c r="L34" i="71"/>
  <c r="L106" i="71" s="1"/>
  <c r="L9" i="71"/>
  <c r="L81" i="71" s="1"/>
  <c r="L10" i="71"/>
  <c r="L82" i="71" s="1"/>
  <c r="L11" i="71"/>
  <c r="L47" i="71" s="1"/>
  <c r="L12" i="71"/>
  <c r="L120" i="71" s="1"/>
  <c r="L13" i="71"/>
  <c r="L14" i="71"/>
  <c r="L15" i="71"/>
  <c r="L16" i="71"/>
  <c r="L52" i="71" s="1"/>
  <c r="L17" i="71"/>
  <c r="L53" i="71" s="1"/>
  <c r="L18" i="71"/>
  <c r="L54" i="71" s="1"/>
  <c r="L19" i="71"/>
  <c r="L20" i="71"/>
  <c r="L21" i="71"/>
  <c r="L22" i="71"/>
  <c r="L94" i="71" s="1"/>
  <c r="L23" i="71"/>
  <c r="L131" i="71" s="1"/>
  <c r="L24" i="71"/>
  <c r="L132" i="71" s="1"/>
  <c r="L25" i="71"/>
  <c r="L26" i="71"/>
  <c r="L98" i="71" s="1"/>
  <c r="L27" i="71"/>
  <c r="L28" i="71"/>
  <c r="L29" i="71"/>
  <c r="L65" i="71" s="1"/>
  <c r="L30" i="71"/>
  <c r="L66" i="71" s="1"/>
  <c r="L31" i="71"/>
  <c r="L32" i="71"/>
  <c r="L140" i="71" s="1"/>
  <c r="L8" i="71"/>
  <c r="L44" i="71" s="1"/>
  <c r="Q140" i="71"/>
  <c r="P140" i="71"/>
  <c r="O140" i="71"/>
  <c r="N140" i="71"/>
  <c r="M140" i="71"/>
  <c r="Q139" i="71"/>
  <c r="P139" i="71"/>
  <c r="O139" i="71"/>
  <c r="N139" i="71"/>
  <c r="M139" i="71"/>
  <c r="Q138" i="71"/>
  <c r="P138" i="71"/>
  <c r="O138" i="71"/>
  <c r="N138" i="71"/>
  <c r="M138" i="71"/>
  <c r="Q137" i="71"/>
  <c r="P137" i="71"/>
  <c r="O137" i="71"/>
  <c r="N137" i="71"/>
  <c r="M137" i="71"/>
  <c r="Q136" i="71"/>
  <c r="P136" i="71"/>
  <c r="O136" i="71"/>
  <c r="N136" i="71"/>
  <c r="M136" i="71"/>
  <c r="Q135" i="71"/>
  <c r="P135" i="71"/>
  <c r="O135" i="71"/>
  <c r="N135" i="71"/>
  <c r="M135" i="71"/>
  <c r="Q134" i="71"/>
  <c r="P134" i="71"/>
  <c r="O134" i="71"/>
  <c r="N134" i="71"/>
  <c r="M134" i="71"/>
  <c r="Q133" i="71"/>
  <c r="P133" i="71"/>
  <c r="O133" i="71"/>
  <c r="N133" i="71"/>
  <c r="M133" i="71"/>
  <c r="Q132" i="71"/>
  <c r="P132" i="71"/>
  <c r="O132" i="71"/>
  <c r="N132" i="71"/>
  <c r="M132" i="71"/>
  <c r="Q131" i="71"/>
  <c r="P131" i="71"/>
  <c r="O131" i="71"/>
  <c r="N131" i="71"/>
  <c r="M131" i="71"/>
  <c r="Q130" i="71"/>
  <c r="P130" i="71"/>
  <c r="O130" i="71"/>
  <c r="N130" i="71"/>
  <c r="M130" i="71"/>
  <c r="Q129" i="71"/>
  <c r="P129" i="71"/>
  <c r="O129" i="71"/>
  <c r="N129" i="71"/>
  <c r="M129" i="71"/>
  <c r="Q128" i="71"/>
  <c r="P128" i="71"/>
  <c r="O128" i="71"/>
  <c r="N128" i="71"/>
  <c r="M128" i="71"/>
  <c r="Q127" i="71"/>
  <c r="P127" i="71"/>
  <c r="O127" i="71"/>
  <c r="N127" i="71"/>
  <c r="M127" i="71"/>
  <c r="Q126" i="71"/>
  <c r="P126" i="71"/>
  <c r="O126" i="71"/>
  <c r="N126" i="71"/>
  <c r="M126" i="71"/>
  <c r="Q125" i="71"/>
  <c r="P125" i="71"/>
  <c r="O125" i="71"/>
  <c r="N125" i="71"/>
  <c r="M125" i="71"/>
  <c r="Q124" i="71"/>
  <c r="P124" i="71"/>
  <c r="O124" i="71"/>
  <c r="N124" i="71"/>
  <c r="M124" i="71"/>
  <c r="Q123" i="71"/>
  <c r="P123" i="71"/>
  <c r="O123" i="71"/>
  <c r="N123" i="71"/>
  <c r="M123" i="71"/>
  <c r="Q122" i="71"/>
  <c r="P122" i="71"/>
  <c r="O122" i="71"/>
  <c r="N122" i="71"/>
  <c r="M122" i="71"/>
  <c r="Q121" i="71"/>
  <c r="P121" i="71"/>
  <c r="O121" i="71"/>
  <c r="N121" i="71"/>
  <c r="M121" i="71"/>
  <c r="Q120" i="71"/>
  <c r="P120" i="71"/>
  <c r="O120" i="71"/>
  <c r="N120" i="71"/>
  <c r="M120" i="71"/>
  <c r="Q119" i="71"/>
  <c r="P119" i="71"/>
  <c r="O119" i="71"/>
  <c r="N119" i="71"/>
  <c r="M119" i="71"/>
  <c r="Q118" i="71"/>
  <c r="P118" i="71"/>
  <c r="O118" i="71"/>
  <c r="N118" i="71"/>
  <c r="M118" i="71"/>
  <c r="Q117" i="71"/>
  <c r="P117" i="71"/>
  <c r="O117" i="71"/>
  <c r="N117" i="71"/>
  <c r="M117" i="71"/>
  <c r="Q116" i="71"/>
  <c r="P116" i="71"/>
  <c r="O116" i="71"/>
  <c r="N116" i="71"/>
  <c r="M116" i="71"/>
  <c r="Q114" i="71"/>
  <c r="P114" i="71"/>
  <c r="O114" i="71"/>
  <c r="N114" i="71"/>
  <c r="M114" i="71"/>
  <c r="Q104" i="71"/>
  <c r="P104" i="71"/>
  <c r="O104" i="71"/>
  <c r="N104" i="71"/>
  <c r="M104" i="71"/>
  <c r="Q103" i="71"/>
  <c r="P103" i="71"/>
  <c r="O103" i="71"/>
  <c r="N103" i="71"/>
  <c r="M103" i="71"/>
  <c r="Q102" i="71"/>
  <c r="P102" i="71"/>
  <c r="O102" i="71"/>
  <c r="N102" i="71"/>
  <c r="M102" i="71"/>
  <c r="Q101" i="71"/>
  <c r="P101" i="71"/>
  <c r="O101" i="71"/>
  <c r="N101" i="71"/>
  <c r="M101" i="71"/>
  <c r="Q100" i="71"/>
  <c r="P100" i="71"/>
  <c r="O100" i="71"/>
  <c r="N100" i="71"/>
  <c r="M100" i="71"/>
  <c r="Q99" i="71"/>
  <c r="P99" i="71"/>
  <c r="O99" i="71"/>
  <c r="N99" i="71"/>
  <c r="M99" i="71"/>
  <c r="Q98" i="71"/>
  <c r="P98" i="71"/>
  <c r="O98" i="71"/>
  <c r="N98" i="71"/>
  <c r="M98" i="71"/>
  <c r="Q97" i="71"/>
  <c r="P97" i="71"/>
  <c r="O97" i="71"/>
  <c r="N97" i="71"/>
  <c r="M97" i="71"/>
  <c r="Q96" i="71"/>
  <c r="P96" i="71"/>
  <c r="O96" i="71"/>
  <c r="N96" i="71"/>
  <c r="M96" i="71"/>
  <c r="Q95" i="71"/>
  <c r="P95" i="71"/>
  <c r="O95" i="71"/>
  <c r="N95" i="71"/>
  <c r="M95" i="71"/>
  <c r="Q94" i="71"/>
  <c r="P94" i="71"/>
  <c r="O94" i="71"/>
  <c r="N94" i="71"/>
  <c r="M94" i="71"/>
  <c r="Q93" i="71"/>
  <c r="P93" i="71"/>
  <c r="O93" i="71"/>
  <c r="N93" i="71"/>
  <c r="M93" i="71"/>
  <c r="Q92" i="71"/>
  <c r="P92" i="71"/>
  <c r="O92" i="71"/>
  <c r="N92" i="71"/>
  <c r="M92" i="71"/>
  <c r="Q91" i="71"/>
  <c r="P91" i="71"/>
  <c r="O91" i="71"/>
  <c r="N91" i="71"/>
  <c r="M91" i="71"/>
  <c r="Q90" i="71"/>
  <c r="P90" i="71"/>
  <c r="O90" i="71"/>
  <c r="N90" i="71"/>
  <c r="M90" i="71"/>
  <c r="Q89" i="71"/>
  <c r="P89" i="71"/>
  <c r="O89" i="71"/>
  <c r="N89" i="71"/>
  <c r="M89" i="71"/>
  <c r="Q88" i="71"/>
  <c r="P88" i="71"/>
  <c r="O88" i="71"/>
  <c r="N88" i="71"/>
  <c r="M88" i="71"/>
  <c r="Q87" i="71"/>
  <c r="P87" i="71"/>
  <c r="O87" i="71"/>
  <c r="N87" i="71"/>
  <c r="M87" i="71"/>
  <c r="Q86" i="71"/>
  <c r="P86" i="71"/>
  <c r="O86" i="71"/>
  <c r="N86" i="71"/>
  <c r="M86" i="71"/>
  <c r="Q85" i="71"/>
  <c r="P85" i="71"/>
  <c r="O85" i="71"/>
  <c r="N85" i="71"/>
  <c r="M85" i="71"/>
  <c r="Q84" i="71"/>
  <c r="P84" i="71"/>
  <c r="O84" i="71"/>
  <c r="N84" i="71"/>
  <c r="M84" i="71"/>
  <c r="Q83" i="71"/>
  <c r="P83" i="71"/>
  <c r="O83" i="71"/>
  <c r="N83" i="71"/>
  <c r="M83" i="71"/>
  <c r="Q82" i="71"/>
  <c r="P82" i="71"/>
  <c r="O82" i="71"/>
  <c r="N82" i="71"/>
  <c r="M82" i="71"/>
  <c r="Q81" i="71"/>
  <c r="P81" i="71"/>
  <c r="O81" i="71"/>
  <c r="N81" i="71"/>
  <c r="M81" i="71"/>
  <c r="Q80" i="71"/>
  <c r="P80" i="71"/>
  <c r="O80" i="71"/>
  <c r="N80" i="71"/>
  <c r="M80" i="71"/>
  <c r="U78" i="71"/>
  <c r="T78" i="71"/>
  <c r="Q78" i="71"/>
  <c r="P78" i="71"/>
  <c r="O78" i="71"/>
  <c r="N78" i="71"/>
  <c r="M78" i="71"/>
  <c r="L68" i="71"/>
  <c r="L63" i="71"/>
  <c r="L62" i="71"/>
  <c r="L56" i="71"/>
  <c r="L51" i="71"/>
  <c r="L50" i="71"/>
  <c r="U42" i="71"/>
  <c r="T42" i="71"/>
  <c r="S42" i="71"/>
  <c r="S78" i="71" s="1"/>
  <c r="Q42" i="71"/>
  <c r="P42" i="71"/>
  <c r="O42" i="71"/>
  <c r="N42" i="71"/>
  <c r="M42" i="71"/>
  <c r="U41" i="71"/>
  <c r="U77" i="71" s="1"/>
  <c r="T41" i="71"/>
  <c r="T77" i="71" s="1"/>
  <c r="S41" i="71"/>
  <c r="S77" i="71" s="1"/>
  <c r="Q70" i="71"/>
  <c r="M67" i="71"/>
  <c r="T104" i="71"/>
  <c r="S32" i="71"/>
  <c r="S68" i="71" s="1"/>
  <c r="S104" i="71" s="1"/>
  <c r="T67" i="71"/>
  <c r="S31" i="71"/>
  <c r="L67" i="71"/>
  <c r="T66" i="71"/>
  <c r="S30" i="71"/>
  <c r="S66" i="71" s="1"/>
  <c r="S102" i="71" s="1"/>
  <c r="T65" i="71"/>
  <c r="S29" i="71"/>
  <c r="S65" i="71" s="1"/>
  <c r="S101" i="71" s="1"/>
  <c r="L101" i="71"/>
  <c r="T100" i="71"/>
  <c r="S28" i="71"/>
  <c r="S64" i="71" s="1"/>
  <c r="S100" i="71" s="1"/>
  <c r="L64" i="71"/>
  <c r="T63" i="71"/>
  <c r="S27" i="71"/>
  <c r="S63" i="71" s="1"/>
  <c r="S99" i="71" s="1"/>
  <c r="L135" i="71"/>
  <c r="T62" i="71"/>
  <c r="S26" i="71"/>
  <c r="S62" i="71" s="1"/>
  <c r="S98" i="71" s="1"/>
  <c r="T61" i="71"/>
  <c r="S25" i="71"/>
  <c r="S61" i="71" s="1"/>
  <c r="S97" i="71" s="1"/>
  <c r="L97" i="71"/>
  <c r="T96" i="71"/>
  <c r="S24" i="71"/>
  <c r="T95" i="71"/>
  <c r="S23" i="71"/>
  <c r="S59" i="71" s="1"/>
  <c r="S95" i="71" s="1"/>
  <c r="T58" i="71"/>
  <c r="S22" i="71"/>
  <c r="S58" i="71" s="1"/>
  <c r="S94" i="71" s="1"/>
  <c r="T57" i="71"/>
  <c r="S21" i="71"/>
  <c r="S57" i="71" s="1"/>
  <c r="S93" i="71" s="1"/>
  <c r="L93" i="71"/>
  <c r="T92" i="71"/>
  <c r="S20" i="71"/>
  <c r="S56" i="71" s="1"/>
  <c r="S92" i="71" s="1"/>
  <c r="L128" i="71"/>
  <c r="T55" i="71"/>
  <c r="S19" i="71"/>
  <c r="S55" i="71" s="1"/>
  <c r="S91" i="71" s="1"/>
  <c r="L55" i="71"/>
  <c r="T54" i="71"/>
  <c r="S18" i="71"/>
  <c r="S54" i="71" s="1"/>
  <c r="S90" i="71" s="1"/>
  <c r="T53" i="71"/>
  <c r="S17" i="71"/>
  <c r="S53" i="71" s="1"/>
  <c r="S89" i="71" s="1"/>
  <c r="L89" i="71"/>
  <c r="T88" i="71"/>
  <c r="S16" i="71"/>
  <c r="S52" i="71" s="1"/>
  <c r="S88" i="71" s="1"/>
  <c r="T51" i="71"/>
  <c r="S15" i="71"/>
  <c r="S51" i="71" s="1"/>
  <c r="S87" i="71" s="1"/>
  <c r="L123" i="71"/>
  <c r="T50" i="71"/>
  <c r="S14" i="71"/>
  <c r="S50" i="71" s="1"/>
  <c r="S86" i="71" s="1"/>
  <c r="L86" i="71"/>
  <c r="T49" i="71"/>
  <c r="S13" i="71"/>
  <c r="S49" i="71" s="1"/>
  <c r="S85" i="71" s="1"/>
  <c r="L85" i="71"/>
  <c r="T84" i="71"/>
  <c r="S12" i="71"/>
  <c r="S48" i="71" s="1"/>
  <c r="S84" i="71" s="1"/>
  <c r="T83" i="71"/>
  <c r="S11" i="71"/>
  <c r="S47" i="71" s="1"/>
  <c r="S83" i="71" s="1"/>
  <c r="L119" i="71"/>
  <c r="T46" i="71"/>
  <c r="S10" i="71"/>
  <c r="S46" i="71" s="1"/>
  <c r="S82" i="71" s="1"/>
  <c r="T45" i="71"/>
  <c r="S9" i="71"/>
  <c r="S45" i="71" s="1"/>
  <c r="S81" i="71" s="1"/>
  <c r="T80" i="71"/>
  <c r="S8" i="71"/>
  <c r="S44" i="71" s="1"/>
  <c r="S80" i="71" s="1"/>
  <c r="S4" i="71"/>
  <c r="Y6" i="16"/>
  <c r="Z6" i="16"/>
  <c r="Z79" i="16" s="1"/>
  <c r="AA6" i="16"/>
  <c r="AA79" i="16" s="1"/>
  <c r="AB6" i="16"/>
  <c r="X6" i="16"/>
  <c r="X79" i="16" s="1"/>
  <c r="W18" i="16"/>
  <c r="W90" i="16" s="1"/>
  <c r="W9" i="16"/>
  <c r="W81" i="16" s="1"/>
  <c r="W10" i="16"/>
  <c r="W82" i="16" s="1"/>
  <c r="W11" i="16"/>
  <c r="W83" i="16" s="1"/>
  <c r="W12" i="16"/>
  <c r="W84" i="16" s="1"/>
  <c r="W13" i="16"/>
  <c r="W14" i="16"/>
  <c r="W86" i="16" s="1"/>
  <c r="W15" i="16"/>
  <c r="W87" i="16" s="1"/>
  <c r="W16" i="16"/>
  <c r="W8" i="16"/>
  <c r="W80" i="16" s="1"/>
  <c r="W85" i="16"/>
  <c r="W74" i="16"/>
  <c r="W72" i="16"/>
  <c r="W71" i="16"/>
  <c r="W70" i="16"/>
  <c r="W69" i="16"/>
  <c r="W68" i="16"/>
  <c r="W67" i="16"/>
  <c r="W66" i="16"/>
  <c r="W65" i="16"/>
  <c r="W64" i="16"/>
  <c r="W56" i="16"/>
  <c r="W54" i="16"/>
  <c r="W53" i="16"/>
  <c r="W52" i="16"/>
  <c r="W51" i="16"/>
  <c r="W50" i="16"/>
  <c r="W49" i="16"/>
  <c r="W48" i="16"/>
  <c r="W47" i="16"/>
  <c r="W46" i="16"/>
  <c r="AF44" i="16"/>
  <c r="AE44" i="16"/>
  <c r="AD44" i="16"/>
  <c r="AF43" i="16"/>
  <c r="AE43" i="16"/>
  <c r="AD43" i="16"/>
  <c r="W36" i="16"/>
  <c r="W34" i="16"/>
  <c r="W33" i="16"/>
  <c r="W32" i="16"/>
  <c r="W31" i="16"/>
  <c r="W30" i="16"/>
  <c r="W29" i="16"/>
  <c r="W28" i="16"/>
  <c r="W27" i="16"/>
  <c r="W26" i="16"/>
  <c r="AF24" i="16"/>
  <c r="AE24" i="16"/>
  <c r="AD24" i="16"/>
  <c r="AF23" i="16"/>
  <c r="AE23" i="16"/>
  <c r="AD23" i="16"/>
  <c r="W88" i="16"/>
  <c r="AB8" i="16" a="1"/>
  <c r="AB10" i="16" s="1"/>
  <c r="AA8" i="16" a="1"/>
  <c r="AA15" i="16" s="1"/>
  <c r="Z8" i="16" a="1"/>
  <c r="Z16" i="16" s="1"/>
  <c r="Y8" i="16" a="1"/>
  <c r="Y15" i="16" s="1"/>
  <c r="X8" i="16" a="1"/>
  <c r="X9" i="16" s="1"/>
  <c r="N6" i="16"/>
  <c r="O6" i="16"/>
  <c r="P6" i="16"/>
  <c r="P24" i="16" s="1"/>
  <c r="Q6" i="16"/>
  <c r="M6" i="16"/>
  <c r="M79" i="16" s="1"/>
  <c r="L18" i="16"/>
  <c r="L90" i="16" s="1"/>
  <c r="L9" i="16"/>
  <c r="L10" i="16"/>
  <c r="L11" i="16"/>
  <c r="L83" i="16" s="1"/>
  <c r="L12" i="16"/>
  <c r="L84" i="16" s="1"/>
  <c r="L13" i="16"/>
  <c r="L14" i="16"/>
  <c r="L15" i="16"/>
  <c r="L87" i="16" s="1"/>
  <c r="L16" i="16"/>
  <c r="L8" i="16"/>
  <c r="L80" i="16" s="1"/>
  <c r="L74" i="16"/>
  <c r="L72" i="16"/>
  <c r="L71" i="16"/>
  <c r="L70" i="16"/>
  <c r="L69" i="16"/>
  <c r="L68" i="16"/>
  <c r="L67" i="16"/>
  <c r="L66" i="16"/>
  <c r="L65" i="16"/>
  <c r="L64" i="16"/>
  <c r="L56" i="16"/>
  <c r="L54" i="16"/>
  <c r="L53" i="16"/>
  <c r="L52" i="16"/>
  <c r="L51" i="16"/>
  <c r="L50" i="16"/>
  <c r="L49" i="16"/>
  <c r="L48" i="16"/>
  <c r="L47" i="16"/>
  <c r="L46" i="16"/>
  <c r="U44" i="16"/>
  <c r="T44" i="16"/>
  <c r="S44" i="16"/>
  <c r="U43" i="16"/>
  <c r="T43" i="16"/>
  <c r="S43" i="16"/>
  <c r="L36" i="16"/>
  <c r="L34" i="16"/>
  <c r="L33" i="16"/>
  <c r="L32" i="16"/>
  <c r="L31" i="16"/>
  <c r="L30" i="16"/>
  <c r="L29" i="16"/>
  <c r="L28" i="16"/>
  <c r="L27" i="16"/>
  <c r="L26" i="16"/>
  <c r="U24" i="16"/>
  <c r="T24" i="16"/>
  <c r="S24" i="16"/>
  <c r="U23" i="16"/>
  <c r="T23" i="16"/>
  <c r="S23" i="16"/>
  <c r="L88" i="16"/>
  <c r="L86" i="16"/>
  <c r="L85" i="16"/>
  <c r="L82" i="16"/>
  <c r="L81" i="16"/>
  <c r="Q8" i="16" a="1"/>
  <c r="Q10" i="16" s="1"/>
  <c r="P8" i="16" a="1"/>
  <c r="P8" i="16" s="1"/>
  <c r="O8" i="16" a="1"/>
  <c r="O14" i="16" s="1"/>
  <c r="N8" i="16" a="1"/>
  <c r="N16" i="16" s="1"/>
  <c r="M8" i="16" a="1"/>
  <c r="M14" i="16" s="1"/>
  <c r="O54" i="109" l="1"/>
  <c r="O31" i="109"/>
  <c r="AK26" i="109"/>
  <c r="AK31" i="109"/>
  <c r="AK32" i="109"/>
  <c r="AK34" i="109"/>
  <c r="AK27" i="109"/>
  <c r="AU54" i="109"/>
  <c r="AK29" i="109"/>
  <c r="AF12" i="71"/>
  <c r="AF48" i="71" s="1"/>
  <c r="AF84" i="71" s="1"/>
  <c r="AK36" i="109"/>
  <c r="AK54" i="109"/>
  <c r="AK28" i="109"/>
  <c r="AK30" i="109"/>
  <c r="AF9" i="71"/>
  <c r="AF45" i="71" s="1"/>
  <c r="AF81" i="71" s="1"/>
  <c r="AF18" i="71"/>
  <c r="AF54" i="71" s="1"/>
  <c r="AF90" i="71" s="1"/>
  <c r="AF23" i="71"/>
  <c r="AF59" i="71" s="1"/>
  <c r="AF95" i="71" s="1"/>
  <c r="AE83" i="71"/>
  <c r="AE48" i="71"/>
  <c r="AE56" i="71"/>
  <c r="AF11" i="71"/>
  <c r="AF47" i="71" s="1"/>
  <c r="AF83" i="71" s="1"/>
  <c r="AF15" i="71"/>
  <c r="AF51" i="71" s="1"/>
  <c r="AF87" i="71" s="1"/>
  <c r="AF20" i="71"/>
  <c r="AF56" i="71" s="1"/>
  <c r="AF92" i="71" s="1"/>
  <c r="AF29" i="71"/>
  <c r="AF65" i="71" s="1"/>
  <c r="AF101" i="71" s="1"/>
  <c r="AE64" i="71"/>
  <c r="AE95" i="71"/>
  <c r="AE44" i="71"/>
  <c r="AE91" i="71"/>
  <c r="AF30" i="71"/>
  <c r="AF66" i="71" s="1"/>
  <c r="AF102" i="71" s="1"/>
  <c r="AE68" i="71"/>
  <c r="AF8" i="71"/>
  <c r="AF44" i="71" s="1"/>
  <c r="AF80" i="71" s="1"/>
  <c r="AF21" i="71"/>
  <c r="AF57" i="71" s="1"/>
  <c r="AF93" i="71" s="1"/>
  <c r="AE87" i="71"/>
  <c r="AE52" i="71"/>
  <c r="AE60" i="71"/>
  <c r="U24" i="71"/>
  <c r="U60" i="71" s="1"/>
  <c r="U96" i="71" s="1"/>
  <c r="AF27" i="71"/>
  <c r="AF63" i="71" s="1"/>
  <c r="AF99" i="71" s="1"/>
  <c r="AF32" i="71"/>
  <c r="AF68" i="71" s="1"/>
  <c r="AF104" i="71" s="1"/>
  <c r="AE103" i="71"/>
  <c r="T91" i="71"/>
  <c r="U31" i="71"/>
  <c r="U67" i="71" s="1"/>
  <c r="U103" i="71" s="1"/>
  <c r="T87" i="71"/>
  <c r="T103" i="71"/>
  <c r="T99" i="71"/>
  <c r="T8" i="16" a="1"/>
  <c r="T11" i="16" s="1"/>
  <c r="E30" i="109"/>
  <c r="J34" i="109"/>
  <c r="E29" i="109"/>
  <c r="A1" i="108"/>
  <c r="A40" i="108"/>
  <c r="A79" i="108"/>
  <c r="AD65" i="71"/>
  <c r="AD101" i="71" s="1"/>
  <c r="P79" i="16"/>
  <c r="AD53" i="71"/>
  <c r="AD89" i="71" s="1"/>
  <c r="AD61" i="71"/>
  <c r="AD97" i="71" s="1"/>
  <c r="AD49" i="71"/>
  <c r="AD85" i="71" s="1"/>
  <c r="AD62" i="71"/>
  <c r="AD98" i="71" s="1"/>
  <c r="X15" i="16"/>
  <c r="X87" i="16" s="1"/>
  <c r="S60" i="71"/>
  <c r="S96" i="71" s="1"/>
  <c r="AD44" i="71"/>
  <c r="AD80" i="71" s="1"/>
  <c r="AD50" i="71"/>
  <c r="AD86" i="71" s="1"/>
  <c r="AD56" i="71"/>
  <c r="AD92" i="71" s="1"/>
  <c r="E36" i="109"/>
  <c r="E28" i="109"/>
  <c r="O26" i="109"/>
  <c r="O36" i="109"/>
  <c r="O28" i="109"/>
  <c r="O32" i="109"/>
  <c r="O30" i="109"/>
  <c r="E31" i="109"/>
  <c r="O49" i="109"/>
  <c r="E45" i="109"/>
  <c r="J33" i="109"/>
  <c r="J54" i="109"/>
  <c r="J29" i="109"/>
  <c r="J27" i="109"/>
  <c r="E54" i="109"/>
  <c r="J28" i="109"/>
  <c r="J30" i="109"/>
  <c r="J36" i="109"/>
  <c r="J31" i="109"/>
  <c r="J51" i="109"/>
  <c r="E33" i="109"/>
  <c r="E27" i="109"/>
  <c r="O47" i="109"/>
  <c r="J44" i="109"/>
  <c r="O46" i="109"/>
  <c r="E49" i="109"/>
  <c r="E46" i="109"/>
  <c r="E52" i="109"/>
  <c r="J46" i="109"/>
  <c r="E48" i="109"/>
  <c r="J52" i="109"/>
  <c r="N16" i="108"/>
  <c r="Q44" i="71"/>
  <c r="Q45" i="71"/>
  <c r="Q47" i="71"/>
  <c r="Q48" i="71"/>
  <c r="Q63" i="71"/>
  <c r="Q64" i="71"/>
  <c r="U18" i="71"/>
  <c r="U54" i="71" s="1"/>
  <c r="U90" i="71" s="1"/>
  <c r="Q52" i="71"/>
  <c r="Q67" i="71"/>
  <c r="M142" i="71"/>
  <c r="Q55" i="71"/>
  <c r="Q59" i="71"/>
  <c r="U12" i="71"/>
  <c r="U48" i="71" s="1"/>
  <c r="U84" i="71" s="1"/>
  <c r="N31" i="108"/>
  <c r="N48" i="71"/>
  <c r="U9" i="71"/>
  <c r="U45" i="71" s="1"/>
  <c r="U81" i="71" s="1"/>
  <c r="U21" i="71"/>
  <c r="U57" i="71" s="1"/>
  <c r="U93" i="71" s="1"/>
  <c r="N54" i="71"/>
  <c r="S4" i="16"/>
  <c r="S42" i="16" s="1"/>
  <c r="O79" i="16"/>
  <c r="U30" i="71"/>
  <c r="U66" i="71" s="1"/>
  <c r="U102" i="71" s="1"/>
  <c r="N44" i="71"/>
  <c r="N55" i="71"/>
  <c r="Q60" i="71"/>
  <c r="N66" i="71"/>
  <c r="N67" i="71"/>
  <c r="P142" i="71"/>
  <c r="N50" i="71"/>
  <c r="M106" i="71"/>
  <c r="U27" i="71"/>
  <c r="U63" i="71" s="1"/>
  <c r="U99" i="71" s="1"/>
  <c r="S67" i="71"/>
  <c r="S103" i="71" s="1"/>
  <c r="U11" i="71"/>
  <c r="U47" i="71" s="1"/>
  <c r="U83" i="71" s="1"/>
  <c r="N46" i="71"/>
  <c r="N56" i="71"/>
  <c r="N62" i="71"/>
  <c r="W1" i="16"/>
  <c r="W39" i="16" s="1"/>
  <c r="U15" i="71"/>
  <c r="U51" i="71" s="1"/>
  <c r="U87" i="71" s="1"/>
  <c r="N51" i="71"/>
  <c r="Q56" i="71"/>
  <c r="Q68" i="71"/>
  <c r="U23" i="71"/>
  <c r="U59" i="71" s="1"/>
  <c r="U95" i="71" s="1"/>
  <c r="N47" i="71"/>
  <c r="Q51" i="71"/>
  <c r="N52" i="71"/>
  <c r="N58" i="71"/>
  <c r="N63" i="71"/>
  <c r="N59" i="71"/>
  <c r="O142" i="71"/>
  <c r="O52" i="109"/>
  <c r="E50" i="109"/>
  <c r="J48" i="109"/>
  <c r="J32" i="109"/>
  <c r="E32" i="109"/>
  <c r="O48" i="109"/>
  <c r="E34" i="109"/>
  <c r="O44" i="109"/>
  <c r="E26" i="109"/>
  <c r="X52" i="109"/>
  <c r="O41" i="108" s="1"/>
  <c r="AD50" i="109"/>
  <c r="Y50" i="109"/>
  <c r="N39" i="108" s="1"/>
  <c r="R48" i="109"/>
  <c r="AB48" i="109"/>
  <c r="S50" i="109"/>
  <c r="AE26" i="109"/>
  <c r="AE44" i="109"/>
  <c r="Z44" i="109"/>
  <c r="Y45" i="109"/>
  <c r="N34" i="108" s="1"/>
  <c r="R51" i="109"/>
  <c r="Y47" i="109"/>
  <c r="N36" i="108" s="1"/>
  <c r="Y49" i="109"/>
  <c r="N38" i="108" s="1"/>
  <c r="AD46" i="109"/>
  <c r="Y51" i="109"/>
  <c r="N40" i="108" s="1"/>
  <c r="Y52" i="109"/>
  <c r="N41" i="108" s="1"/>
  <c r="AB51" i="109"/>
  <c r="A30" i="109"/>
  <c r="A27" i="109"/>
  <c r="A45" i="109"/>
  <c r="A49" i="109"/>
  <c r="A31" i="109"/>
  <c r="A54" i="109"/>
  <c r="A36" i="109"/>
  <c r="A47" i="109"/>
  <c r="A29" i="109"/>
  <c r="A33" i="109"/>
  <c r="A51" i="109"/>
  <c r="A44" i="109"/>
  <c r="A48" i="109"/>
  <c r="A52" i="109"/>
  <c r="A26" i="109"/>
  <c r="A46" i="109"/>
  <c r="A28" i="109"/>
  <c r="A50" i="109"/>
  <c r="A32" i="109"/>
  <c r="A34" i="109"/>
  <c r="W73" i="71"/>
  <c r="W102" i="71"/>
  <c r="W46" i="71"/>
  <c r="W90" i="71"/>
  <c r="W58" i="71"/>
  <c r="W92" i="71"/>
  <c r="W126" i="71"/>
  <c r="W127" i="71"/>
  <c r="W139" i="71"/>
  <c r="W84" i="71"/>
  <c r="W120" i="71"/>
  <c r="W66" i="71"/>
  <c r="W140" i="71"/>
  <c r="W68" i="71"/>
  <c r="W44" i="71"/>
  <c r="W80" i="71"/>
  <c r="X46" i="71"/>
  <c r="X54" i="71"/>
  <c r="Z106" i="71"/>
  <c r="AA9" i="16"/>
  <c r="AD34" i="71"/>
  <c r="AD70" i="71" s="1"/>
  <c r="AD106" i="71" s="1"/>
  <c r="Y46" i="71"/>
  <c r="AB47" i="71"/>
  <c r="Y50" i="71"/>
  <c r="AB51" i="71"/>
  <c r="Y54" i="71"/>
  <c r="AB55" i="71"/>
  <c r="Y58" i="71"/>
  <c r="AB59" i="71"/>
  <c r="Y62" i="71"/>
  <c r="AB63" i="71"/>
  <c r="Y66" i="71"/>
  <c r="AB67" i="71"/>
  <c r="AE82" i="71"/>
  <c r="AE86" i="71"/>
  <c r="AE90" i="71"/>
  <c r="AE94" i="71"/>
  <c r="AE98" i="71"/>
  <c r="AE102" i="71"/>
  <c r="AA106" i="71"/>
  <c r="AA11" i="16"/>
  <c r="AF10" i="71"/>
  <c r="AF46" i="71" s="1"/>
  <c r="AF82" i="71" s="1"/>
  <c r="AF16" i="71"/>
  <c r="AF52" i="71" s="1"/>
  <c r="AF88" i="71" s="1"/>
  <c r="AF19" i="71"/>
  <c r="AF55" i="71" s="1"/>
  <c r="AF91" i="71" s="1"/>
  <c r="AF22" i="71"/>
  <c r="AF58" i="71" s="1"/>
  <c r="AF94" i="71" s="1"/>
  <c r="AF28" i="71"/>
  <c r="AF64" i="71" s="1"/>
  <c r="AF100" i="71" s="1"/>
  <c r="AF31" i="71"/>
  <c r="AF67" i="71" s="1"/>
  <c r="AF103" i="71" s="1"/>
  <c r="AE34" i="71"/>
  <c r="AE70" i="71" s="1"/>
  <c r="W45" i="71"/>
  <c r="Z46" i="71"/>
  <c r="AD47" i="71"/>
  <c r="AD83" i="71" s="1"/>
  <c r="W49" i="71"/>
  <c r="Z50" i="71"/>
  <c r="AD51" i="71"/>
  <c r="AD87" i="71" s="1"/>
  <c r="W53" i="71"/>
  <c r="Z54" i="71"/>
  <c r="W57" i="71"/>
  <c r="Z58" i="71"/>
  <c r="AD59" i="71"/>
  <c r="AD95" i="71" s="1"/>
  <c r="W61" i="71"/>
  <c r="Z62" i="71"/>
  <c r="AD63" i="71"/>
  <c r="AD99" i="71" s="1"/>
  <c r="W65" i="71"/>
  <c r="Z66" i="71"/>
  <c r="W70" i="71"/>
  <c r="AB106" i="71"/>
  <c r="X62" i="71"/>
  <c r="X10" i="16"/>
  <c r="AA12" i="16"/>
  <c r="AA84" i="16" s="1"/>
  <c r="X45" i="71"/>
  <c r="AA46" i="71"/>
  <c r="X49" i="71"/>
  <c r="AA50" i="71"/>
  <c r="X53" i="71"/>
  <c r="AA54" i="71"/>
  <c r="X57" i="71"/>
  <c r="AA58" i="71"/>
  <c r="X61" i="71"/>
  <c r="AA62" i="71"/>
  <c r="X65" i="71"/>
  <c r="AA66" i="71"/>
  <c r="X70" i="71"/>
  <c r="W83" i="71"/>
  <c r="W87" i="71"/>
  <c r="W91" i="71"/>
  <c r="W95" i="71"/>
  <c r="W99" i="71"/>
  <c r="W103" i="71"/>
  <c r="X50" i="71"/>
  <c r="X58" i="71"/>
  <c r="X66" i="71"/>
  <c r="W136" i="71"/>
  <c r="X11" i="16"/>
  <c r="X83" i="16" s="1"/>
  <c r="AA16" i="16"/>
  <c r="Z72" i="16" s="1"/>
  <c r="W37" i="71"/>
  <c r="AB46" i="71"/>
  <c r="AB50" i="71"/>
  <c r="AB54" i="71"/>
  <c r="AB58" i="71"/>
  <c r="Y61" i="71"/>
  <c r="AB62" i="71"/>
  <c r="Y65" i="71"/>
  <c r="AB66" i="71"/>
  <c r="Y70" i="71"/>
  <c r="AE81" i="71"/>
  <c r="AE85" i="71"/>
  <c r="AE89" i="71"/>
  <c r="AE93" i="71"/>
  <c r="AE97" i="71"/>
  <c r="AE101" i="71"/>
  <c r="AA8" i="16"/>
  <c r="Z45" i="71"/>
  <c r="Z49" i="71"/>
  <c r="Z53" i="71"/>
  <c r="AD54" i="71"/>
  <c r="AD90" i="71" s="1"/>
  <c r="Z57" i="71"/>
  <c r="Z61" i="71"/>
  <c r="Z65" i="71"/>
  <c r="Z70" i="71"/>
  <c r="X12" i="16"/>
  <c r="X84" i="16" s="1"/>
  <c r="AE8" i="16" a="1"/>
  <c r="AE16" i="16" s="1"/>
  <c r="AE34" i="16" s="1"/>
  <c r="X44" i="71"/>
  <c r="AA45" i="71"/>
  <c r="X48" i="71"/>
  <c r="AA49" i="71"/>
  <c r="X52" i="71"/>
  <c r="AA53" i="71"/>
  <c r="X56" i="71"/>
  <c r="AA57" i="71"/>
  <c r="X60" i="71"/>
  <c r="AA61" i="71"/>
  <c r="X64" i="71"/>
  <c r="AA65" i="71"/>
  <c r="X68" i="71"/>
  <c r="AA70" i="71"/>
  <c r="W82" i="71"/>
  <c r="W94" i="71"/>
  <c r="W117" i="71"/>
  <c r="W121" i="71"/>
  <c r="W125" i="71"/>
  <c r="W129" i="71"/>
  <c r="W133" i="71"/>
  <c r="W137" i="71"/>
  <c r="W142" i="71"/>
  <c r="X13" i="16"/>
  <c r="X85" i="16" s="1"/>
  <c r="X14" i="16"/>
  <c r="X86" i="16" s="1"/>
  <c r="AB45" i="71"/>
  <c r="AB49" i="71"/>
  <c r="AB53" i="71"/>
  <c r="Y56" i="71"/>
  <c r="AB57" i="71"/>
  <c r="Y60" i="71"/>
  <c r="AB61" i="71"/>
  <c r="Y64" i="71"/>
  <c r="AB65" i="71"/>
  <c r="Y68" i="71"/>
  <c r="AB70" i="71"/>
  <c r="AD45" i="71"/>
  <c r="AD81" i="71" s="1"/>
  <c r="Z52" i="71"/>
  <c r="Z56" i="71"/>
  <c r="Z60" i="71"/>
  <c r="Z68" i="71"/>
  <c r="Y142" i="71"/>
  <c r="Z44" i="71"/>
  <c r="Z48" i="71"/>
  <c r="Z64" i="71"/>
  <c r="AA44" i="71"/>
  <c r="X47" i="71"/>
  <c r="AA48" i="71"/>
  <c r="X51" i="71"/>
  <c r="AA52" i="71"/>
  <c r="X55" i="71"/>
  <c r="AA56" i="71"/>
  <c r="X59" i="71"/>
  <c r="AA60" i="71"/>
  <c r="X63" i="71"/>
  <c r="AA64" i="71"/>
  <c r="X67" i="71"/>
  <c r="AA68" i="71"/>
  <c r="AF24" i="71"/>
  <c r="AF60" i="71" s="1"/>
  <c r="AF96" i="71" s="1"/>
  <c r="AB68" i="71"/>
  <c r="AA142" i="71"/>
  <c r="Z47" i="71"/>
  <c r="Z51" i="71"/>
  <c r="Z55" i="71"/>
  <c r="Z59" i="71"/>
  <c r="Z63" i="71"/>
  <c r="Z67" i="71"/>
  <c r="L73" i="71"/>
  <c r="L59" i="71"/>
  <c r="L90" i="71"/>
  <c r="L45" i="71"/>
  <c r="L48" i="71"/>
  <c r="L60" i="71"/>
  <c r="L102" i="71"/>
  <c r="L116" i="71"/>
  <c r="O51" i="71"/>
  <c r="O59" i="71"/>
  <c r="Q142" i="71"/>
  <c r="T44" i="71"/>
  <c r="M46" i="71"/>
  <c r="P47" i="71"/>
  <c r="T48" i="71"/>
  <c r="M50" i="71"/>
  <c r="P51" i="71"/>
  <c r="T52" i="71"/>
  <c r="M54" i="71"/>
  <c r="P55" i="71"/>
  <c r="T56" i="71"/>
  <c r="M58" i="71"/>
  <c r="P59" i="71"/>
  <c r="T60" i="71"/>
  <c r="M62" i="71"/>
  <c r="P63" i="71"/>
  <c r="T64" i="71"/>
  <c r="M66" i="71"/>
  <c r="P67" i="71"/>
  <c r="T68" i="71"/>
  <c r="L80" i="71"/>
  <c r="L84" i="71"/>
  <c r="L88" i="71"/>
  <c r="L92" i="71"/>
  <c r="L96" i="71"/>
  <c r="L100" i="71"/>
  <c r="L104" i="71"/>
  <c r="O106" i="71"/>
  <c r="L118" i="71"/>
  <c r="L122" i="71"/>
  <c r="L124" i="71"/>
  <c r="L126" i="71"/>
  <c r="L130" i="71"/>
  <c r="L134" i="71"/>
  <c r="L136" i="71"/>
  <c r="L138" i="71"/>
  <c r="L46" i="71"/>
  <c r="S34" i="71"/>
  <c r="S70" i="71" s="1"/>
  <c r="S106" i="71" s="1"/>
  <c r="T82" i="71"/>
  <c r="T86" i="71"/>
  <c r="T90" i="71"/>
  <c r="T94" i="71"/>
  <c r="T98" i="71"/>
  <c r="T102" i="71"/>
  <c r="P106" i="71"/>
  <c r="M10" i="16"/>
  <c r="M82" i="16" s="1"/>
  <c r="U10" i="71"/>
  <c r="U46" i="71" s="1"/>
  <c r="U82" i="71" s="1"/>
  <c r="U13" i="71"/>
  <c r="U49" i="71" s="1"/>
  <c r="U85" i="71" s="1"/>
  <c r="U16" i="71"/>
  <c r="U52" i="71" s="1"/>
  <c r="U88" i="71" s="1"/>
  <c r="U19" i="71"/>
  <c r="U55" i="71" s="1"/>
  <c r="U91" i="71" s="1"/>
  <c r="U22" i="71"/>
  <c r="U58" i="71" s="1"/>
  <c r="U94" i="71" s="1"/>
  <c r="U25" i="71"/>
  <c r="U61" i="71" s="1"/>
  <c r="U97" i="71" s="1"/>
  <c r="U28" i="71"/>
  <c r="U64" i="71" s="1"/>
  <c r="U100" i="71" s="1"/>
  <c r="T34" i="71"/>
  <c r="T70" i="71" s="1"/>
  <c r="O46" i="71"/>
  <c r="L49" i="71"/>
  <c r="O50" i="71"/>
  <c r="O54" i="71"/>
  <c r="L57" i="71"/>
  <c r="O58" i="71"/>
  <c r="L61" i="71"/>
  <c r="O62" i="71"/>
  <c r="O66" i="71"/>
  <c r="L70" i="71"/>
  <c r="Q106" i="71"/>
  <c r="M45" i="71"/>
  <c r="P46" i="71"/>
  <c r="T47" i="71"/>
  <c r="M49" i="71"/>
  <c r="P50" i="71"/>
  <c r="M53" i="71"/>
  <c r="P54" i="71"/>
  <c r="M57" i="71"/>
  <c r="P58" i="71"/>
  <c r="T59" i="71"/>
  <c r="M61" i="71"/>
  <c r="P62" i="71"/>
  <c r="M65" i="71"/>
  <c r="P66" i="71"/>
  <c r="M70" i="71"/>
  <c r="L83" i="71"/>
  <c r="L87" i="71"/>
  <c r="L91" i="71"/>
  <c r="L95" i="71"/>
  <c r="L99" i="71"/>
  <c r="L103" i="71"/>
  <c r="L37" i="71"/>
  <c r="N45" i="71"/>
  <c r="Q46" i="71"/>
  <c r="N49" i="71"/>
  <c r="Q50" i="71"/>
  <c r="N53" i="71"/>
  <c r="Q54" i="71"/>
  <c r="N57" i="71"/>
  <c r="Q58" i="71"/>
  <c r="N61" i="71"/>
  <c r="Q62" i="71"/>
  <c r="N65" i="71"/>
  <c r="Q66" i="71"/>
  <c r="N70" i="71"/>
  <c r="T81" i="71"/>
  <c r="T85" i="71"/>
  <c r="T89" i="71"/>
  <c r="T93" i="71"/>
  <c r="T97" i="71"/>
  <c r="T101" i="71"/>
  <c r="L58" i="71"/>
  <c r="O45" i="71"/>
  <c r="O49" i="71"/>
  <c r="O53" i="71"/>
  <c r="O57" i="71"/>
  <c r="O61" i="71"/>
  <c r="O65" i="71"/>
  <c r="O70" i="71"/>
  <c r="U8" i="71"/>
  <c r="U14" i="71"/>
  <c r="U50" i="71" s="1"/>
  <c r="U86" i="71" s="1"/>
  <c r="U17" i="71"/>
  <c r="U53" i="71" s="1"/>
  <c r="U89" i="71" s="1"/>
  <c r="U20" i="71"/>
  <c r="U56" i="71" s="1"/>
  <c r="U92" i="71" s="1"/>
  <c r="U26" i="71"/>
  <c r="U62" i="71" s="1"/>
  <c r="U98" i="71" s="1"/>
  <c r="U29" i="71"/>
  <c r="U65" i="71" s="1"/>
  <c r="U101" i="71" s="1"/>
  <c r="U32" i="71"/>
  <c r="U68" i="71" s="1"/>
  <c r="U104" i="71" s="1"/>
  <c r="M44" i="71"/>
  <c r="P45" i="71"/>
  <c r="M48" i="71"/>
  <c r="P49" i="71"/>
  <c r="M52" i="71"/>
  <c r="P53" i="71"/>
  <c r="M56" i="71"/>
  <c r="P57" i="71"/>
  <c r="M60" i="71"/>
  <c r="P61" i="71"/>
  <c r="M64" i="71"/>
  <c r="P65" i="71"/>
  <c r="M68" i="71"/>
  <c r="P70" i="71"/>
  <c r="L117" i="71"/>
  <c r="L121" i="71"/>
  <c r="L125" i="71"/>
  <c r="L127" i="71"/>
  <c r="L129" i="71"/>
  <c r="L133" i="71"/>
  <c r="L137" i="71"/>
  <c r="L139" i="71"/>
  <c r="L142" i="71"/>
  <c r="Q49" i="71"/>
  <c r="Q53" i="71"/>
  <c r="Q57" i="71"/>
  <c r="N60" i="71"/>
  <c r="Q61" i="71"/>
  <c r="N64" i="71"/>
  <c r="Q65" i="71"/>
  <c r="N68" i="71"/>
  <c r="O47" i="71"/>
  <c r="O55" i="71"/>
  <c r="O63" i="71"/>
  <c r="O67" i="71"/>
  <c r="N106" i="71"/>
  <c r="O44" i="71"/>
  <c r="O48" i="71"/>
  <c r="O52" i="71"/>
  <c r="O56" i="71"/>
  <c r="O60" i="71"/>
  <c r="O64" i="71"/>
  <c r="O68" i="71"/>
  <c r="N142" i="71"/>
  <c r="P44" i="71"/>
  <c r="M47" i="71"/>
  <c r="P48" i="71"/>
  <c r="M51" i="71"/>
  <c r="P52" i="71"/>
  <c r="M55" i="71"/>
  <c r="P56" i="71"/>
  <c r="M59" i="71"/>
  <c r="P60" i="71"/>
  <c r="M63" i="71"/>
  <c r="P64" i="71"/>
  <c r="P68" i="71"/>
  <c r="AB24" i="16"/>
  <c r="X71" i="16"/>
  <c r="Y87" i="16"/>
  <c r="Z88" i="16"/>
  <c r="AA87" i="16"/>
  <c r="X81" i="16"/>
  <c r="AB82" i="16"/>
  <c r="AB11" i="16"/>
  <c r="X16" i="16"/>
  <c r="Z8" i="16"/>
  <c r="AA10" i="16"/>
  <c r="AA48" i="16" s="1"/>
  <c r="AB12" i="16"/>
  <c r="AB79" i="16"/>
  <c r="Z10" i="16"/>
  <c r="Y44" i="16"/>
  <c r="AB13" i="16"/>
  <c r="X44" i="16"/>
  <c r="AD79" i="16"/>
  <c r="Y9" i="16"/>
  <c r="X47" i="16" s="1"/>
  <c r="Z11" i="16"/>
  <c r="AD83" i="16" s="1"/>
  <c r="AA13" i="16"/>
  <c r="AB15" i="16"/>
  <c r="AA53" i="16" s="1"/>
  <c r="Z44" i="16"/>
  <c r="X62" i="16"/>
  <c r="AA81" i="16"/>
  <c r="Z9" i="16"/>
  <c r="Z47" i="16" s="1"/>
  <c r="AB14" i="16"/>
  <c r="X8" i="16"/>
  <c r="AB16" i="16"/>
  <c r="AB54" i="16" s="1"/>
  <c r="AE88" i="16" s="1"/>
  <c r="Y62" i="16"/>
  <c r="Y8" i="16"/>
  <c r="Y10" i="16"/>
  <c r="X48" i="16" s="1"/>
  <c r="Z12" i="16"/>
  <c r="AA14" i="16"/>
  <c r="AA44" i="16"/>
  <c r="Y11" i="16"/>
  <c r="Z13" i="16"/>
  <c r="AB44" i="16"/>
  <c r="AE79" i="16" s="1"/>
  <c r="Z62" i="16"/>
  <c r="Y16" i="16"/>
  <c r="Y72" i="16" s="1"/>
  <c r="Y12" i="16"/>
  <c r="Z14" i="16"/>
  <c r="X24" i="16"/>
  <c r="AA62" i="16"/>
  <c r="Y13" i="16"/>
  <c r="Z15" i="16"/>
  <c r="Z71" i="16" s="1"/>
  <c r="Y24" i="16"/>
  <c r="Z24" i="16"/>
  <c r="X82" i="16"/>
  <c r="AB62" i="16"/>
  <c r="AD4" i="16"/>
  <c r="Y14" i="16"/>
  <c r="AB8" i="16"/>
  <c r="AB9" i="16"/>
  <c r="AA47" i="16" s="1"/>
  <c r="AA24" i="16"/>
  <c r="Y79" i="16"/>
  <c r="P62" i="16"/>
  <c r="N88" i="16"/>
  <c r="O86" i="16"/>
  <c r="M86" i="16"/>
  <c r="P80" i="16"/>
  <c r="Q82" i="16"/>
  <c r="P9" i="16"/>
  <c r="Q11" i="16"/>
  <c r="M16" i="16"/>
  <c r="M72" i="16" s="1"/>
  <c r="O8" i="16"/>
  <c r="O64" i="16" s="1"/>
  <c r="P10" i="16"/>
  <c r="P66" i="16" s="1"/>
  <c r="Q12" i="16"/>
  <c r="Q79" i="16"/>
  <c r="O9" i="16"/>
  <c r="P11" i="16"/>
  <c r="Q13" i="16"/>
  <c r="M44" i="16"/>
  <c r="S79" i="16"/>
  <c r="M15" i="16"/>
  <c r="Q14" i="16"/>
  <c r="Q52" i="16" s="1"/>
  <c r="T86" i="16" s="1"/>
  <c r="N44" i="16"/>
  <c r="N9" i="16"/>
  <c r="O11" i="16"/>
  <c r="P13" i="16"/>
  <c r="Q15" i="16"/>
  <c r="O44" i="16"/>
  <c r="M62" i="16"/>
  <c r="N13" i="16"/>
  <c r="O16" i="16"/>
  <c r="M8" i="16"/>
  <c r="N10" i="16"/>
  <c r="O12" i="16"/>
  <c r="P14" i="16"/>
  <c r="O52" i="16" s="1"/>
  <c r="Q16" i="16"/>
  <c r="P44" i="16"/>
  <c r="N62" i="16"/>
  <c r="M11" i="16"/>
  <c r="O15" i="16"/>
  <c r="M12" i="16"/>
  <c r="Q8" i="16"/>
  <c r="P46" i="16" s="1"/>
  <c r="N8" i="16"/>
  <c r="O10" i="16"/>
  <c r="P12" i="16"/>
  <c r="M9" i="16"/>
  <c r="N11" i="16"/>
  <c r="O13" i="16"/>
  <c r="P15" i="16"/>
  <c r="Q44" i="16"/>
  <c r="T79" i="16" s="1"/>
  <c r="O62" i="16"/>
  <c r="P16" i="16"/>
  <c r="M24" i="16"/>
  <c r="N24" i="16"/>
  <c r="Q62" i="16"/>
  <c r="N12" i="16"/>
  <c r="N14" i="16"/>
  <c r="N70" i="16" s="1"/>
  <c r="O24" i="16"/>
  <c r="Q9" i="16"/>
  <c r="N79" i="16"/>
  <c r="S86" i="16"/>
  <c r="M13" i="16"/>
  <c r="N15" i="16"/>
  <c r="Q24" i="16"/>
  <c r="A51" i="51"/>
  <c r="X49" i="16" l="1"/>
  <c r="Z67" i="16"/>
  <c r="X53" i="16"/>
  <c r="AA49" i="16"/>
  <c r="AB52" i="16"/>
  <c r="AE86" i="16" s="1"/>
  <c r="Z54" i="16"/>
  <c r="Z52" i="16"/>
  <c r="X46" i="16"/>
  <c r="AA88" i="16"/>
  <c r="X54" i="16"/>
  <c r="Y54" i="16"/>
  <c r="AA52" i="16"/>
  <c r="AD84" i="16"/>
  <c r="P51" i="16"/>
  <c r="AA50" i="16"/>
  <c r="X50" i="16"/>
  <c r="Y49" i="16"/>
  <c r="M48" i="16"/>
  <c r="Y51" i="16"/>
  <c r="S82" i="16"/>
  <c r="AB46" i="16"/>
  <c r="AE80" i="16" s="1"/>
  <c r="Z48" i="16"/>
  <c r="N47" i="16"/>
  <c r="Y53" i="16"/>
  <c r="Z46" i="16"/>
  <c r="AE106" i="71"/>
  <c r="AF34" i="71"/>
  <c r="AF70" i="71" s="1"/>
  <c r="AF106" i="71" s="1"/>
  <c r="T9" i="16"/>
  <c r="T27" i="16" s="1"/>
  <c r="T10" i="16"/>
  <c r="T28" i="16" s="1"/>
  <c r="T16" i="16"/>
  <c r="T34" i="16" s="1"/>
  <c r="T13" i="16"/>
  <c r="T15" i="16"/>
  <c r="T33" i="16" s="1"/>
  <c r="T8" i="16"/>
  <c r="T12" i="16"/>
  <c r="T30" i="16" s="1"/>
  <c r="T14" i="16"/>
  <c r="T32" i="16" s="1"/>
  <c r="Z49" i="16"/>
  <c r="AD81" i="16"/>
  <c r="AB49" i="16"/>
  <c r="AE83" i="16" s="1"/>
  <c r="O49" i="16"/>
  <c r="AB47" i="16"/>
  <c r="AE81" i="16" s="1"/>
  <c r="AB53" i="16"/>
  <c r="AE87" i="16" s="1"/>
  <c r="AA51" i="16"/>
  <c r="AB51" i="16"/>
  <c r="AE85" i="16" s="1"/>
  <c r="M46" i="16"/>
  <c r="AA80" i="16"/>
  <c r="AD85" i="16"/>
  <c r="X52" i="16"/>
  <c r="N50" i="16"/>
  <c r="Y52" i="16"/>
  <c r="Y46" i="16"/>
  <c r="M53" i="16"/>
  <c r="Q54" i="16"/>
  <c r="T88" i="16" s="1"/>
  <c r="M51" i="16"/>
  <c r="S83" i="16"/>
  <c r="O50" i="16"/>
  <c r="M47" i="16"/>
  <c r="S80" i="16"/>
  <c r="Q53" i="16"/>
  <c r="T87" i="16" s="1"/>
  <c r="S22" i="16"/>
  <c r="N48" i="16"/>
  <c r="O46" i="16"/>
  <c r="Q46" i="16"/>
  <c r="T80" i="16" s="1"/>
  <c r="Q50" i="16"/>
  <c r="T84" i="16" s="1"/>
  <c r="M50" i="16"/>
  <c r="N49" i="16"/>
  <c r="P54" i="16"/>
  <c r="O53" i="16"/>
  <c r="P52" i="16"/>
  <c r="S81" i="16"/>
  <c r="O48" i="16"/>
  <c r="P53" i="16"/>
  <c r="P50" i="16"/>
  <c r="M54" i="16"/>
  <c r="N46" i="16"/>
  <c r="Q47" i="16"/>
  <c r="T81" i="16" s="1"/>
  <c r="O54" i="16"/>
  <c r="N53" i="16"/>
  <c r="Q51" i="16"/>
  <c r="T85" i="16" s="1"/>
  <c r="P49" i="16"/>
  <c r="N51" i="16"/>
  <c r="S87" i="16"/>
  <c r="S84" i="16"/>
  <c r="O47" i="16"/>
  <c r="AE48" i="109"/>
  <c r="AE30" i="109"/>
  <c r="Z48" i="109"/>
  <c r="Z45" i="109"/>
  <c r="AE45" i="109"/>
  <c r="AE27" i="109"/>
  <c r="AC49" i="109"/>
  <c r="X49" i="109"/>
  <c r="O38" i="108" s="1"/>
  <c r="X44" i="109"/>
  <c r="O33" i="108" s="1"/>
  <c r="AC29" i="109"/>
  <c r="AC44" i="109"/>
  <c r="S51" i="109"/>
  <c r="R45" i="109"/>
  <c r="AB45" i="109"/>
  <c r="R52" i="109"/>
  <c r="AB52" i="109"/>
  <c r="R34" i="109"/>
  <c r="R49" i="109"/>
  <c r="R31" i="109"/>
  <c r="AB49" i="109"/>
  <c r="AE50" i="109"/>
  <c r="AE32" i="109"/>
  <c r="Z50" i="109"/>
  <c r="AD48" i="109"/>
  <c r="AD30" i="109"/>
  <c r="Y48" i="109"/>
  <c r="N37" i="108" s="1"/>
  <c r="AE34" i="109"/>
  <c r="Z52" i="109"/>
  <c r="AE52" i="109"/>
  <c r="AC46" i="109"/>
  <c r="X46" i="109"/>
  <c r="O35" i="108" s="1"/>
  <c r="AE47" i="109"/>
  <c r="AE29" i="109"/>
  <c r="Z47" i="109"/>
  <c r="AC51" i="109"/>
  <c r="X51" i="109"/>
  <c r="O40" i="108" s="1"/>
  <c r="AC48" i="109"/>
  <c r="X48" i="109"/>
  <c r="O37" i="108" s="1"/>
  <c r="S44" i="109"/>
  <c r="S26" i="109"/>
  <c r="R47" i="109"/>
  <c r="AB47" i="109"/>
  <c r="S46" i="109"/>
  <c r="AE46" i="109"/>
  <c r="AE28" i="109"/>
  <c r="Z46" i="109"/>
  <c r="AB44" i="109"/>
  <c r="R44" i="109"/>
  <c r="R26" i="109"/>
  <c r="Y44" i="109"/>
  <c r="N33" i="108" s="1"/>
  <c r="AD26" i="109"/>
  <c r="AD44" i="109"/>
  <c r="AC50" i="109"/>
  <c r="X50" i="109"/>
  <c r="O39" i="108" s="1"/>
  <c r="AE51" i="109"/>
  <c r="AE33" i="109"/>
  <c r="Z51" i="109"/>
  <c r="AE49" i="109"/>
  <c r="AE31" i="109"/>
  <c r="Z49" i="109"/>
  <c r="S52" i="109"/>
  <c r="R46" i="109"/>
  <c r="AB46" i="109"/>
  <c r="X47" i="109"/>
  <c r="O36" i="108" s="1"/>
  <c r="AC47" i="109"/>
  <c r="X45" i="109"/>
  <c r="O34" i="108" s="1"/>
  <c r="AC45" i="109"/>
  <c r="R50" i="109"/>
  <c r="AB50" i="109"/>
  <c r="AE54" i="109"/>
  <c r="Z54" i="109"/>
  <c r="AE36" i="109"/>
  <c r="AC52" i="109"/>
  <c r="AB48" i="16"/>
  <c r="AE82" i="16" s="1"/>
  <c r="AB50" i="16"/>
  <c r="AE84" i="16" s="1"/>
  <c r="AA46" i="16"/>
  <c r="AE10" i="16"/>
  <c r="AE28" i="16" s="1"/>
  <c r="AE14" i="16"/>
  <c r="AE32" i="16" s="1"/>
  <c r="AE11" i="16"/>
  <c r="AE29" i="16" s="1"/>
  <c r="AE8" i="16"/>
  <c r="AE26" i="16" s="1"/>
  <c r="AE9" i="16"/>
  <c r="AE27" i="16" s="1"/>
  <c r="AE12" i="16"/>
  <c r="AE30" i="16" s="1"/>
  <c r="AE15" i="16"/>
  <c r="AE33" i="16" s="1"/>
  <c r="AA83" i="16"/>
  <c r="Y47" i="16"/>
  <c r="AD82" i="16"/>
  <c r="Y48" i="16"/>
  <c r="AD88" i="16"/>
  <c r="Z68" i="16"/>
  <c r="AD86" i="16"/>
  <c r="AA54" i="16"/>
  <c r="AD80" i="16"/>
  <c r="X51" i="16"/>
  <c r="Z50" i="16"/>
  <c r="Z51" i="16"/>
  <c r="AD87" i="16"/>
  <c r="Z53" i="16"/>
  <c r="Y50" i="16"/>
  <c r="AE13" i="16"/>
  <c r="AE31" i="16" s="1"/>
  <c r="AA18" i="16"/>
  <c r="AA32" i="16" s="1"/>
  <c r="P47" i="16"/>
  <c r="P48" i="16"/>
  <c r="S88" i="16"/>
  <c r="N54" i="16"/>
  <c r="P18" i="16"/>
  <c r="P90" i="16" s="1"/>
  <c r="U34" i="71"/>
  <c r="U70" i="71" s="1"/>
  <c r="U106" i="71" s="1"/>
  <c r="U44" i="71"/>
  <c r="U80" i="71" s="1"/>
  <c r="N52" i="16"/>
  <c r="S85" i="16"/>
  <c r="M52" i="16"/>
  <c r="Q48" i="16"/>
  <c r="T82" i="16" s="1"/>
  <c r="O51" i="16"/>
  <c r="Q49" i="16"/>
  <c r="T83" i="16" s="1"/>
  <c r="M49" i="16"/>
  <c r="T106" i="71"/>
  <c r="AA86" i="16"/>
  <c r="Z70" i="16"/>
  <c r="Y68" i="16"/>
  <c r="Z84" i="16"/>
  <c r="AB65" i="16"/>
  <c r="O4" i="107" s="1"/>
  <c r="AA65" i="16"/>
  <c r="AD9" i="16"/>
  <c r="AD27" i="16" s="1"/>
  <c r="AB81" i="16"/>
  <c r="Y82" i="16"/>
  <c r="X66" i="16"/>
  <c r="AB68" i="16"/>
  <c r="O7" i="107" s="1"/>
  <c r="AB84" i="16"/>
  <c r="AD12" i="16"/>
  <c r="AA68" i="16"/>
  <c r="AB80" i="16"/>
  <c r="AD8" i="16"/>
  <c r="AD26" i="16" s="1"/>
  <c r="AB18" i="16"/>
  <c r="AB30" i="16" s="1"/>
  <c r="AB64" i="16"/>
  <c r="O3" i="107" s="1"/>
  <c r="AA64" i="16"/>
  <c r="Z82" i="16"/>
  <c r="Y66" i="16"/>
  <c r="AA82" i="16"/>
  <c r="Z66" i="16"/>
  <c r="AB67" i="16"/>
  <c r="O6" i="107" s="1"/>
  <c r="AB83" i="16"/>
  <c r="AA67" i="16"/>
  <c r="AD11" i="16"/>
  <c r="AD29" i="16" s="1"/>
  <c r="AD42" i="16"/>
  <c r="AD22" i="16"/>
  <c r="Y70" i="16"/>
  <c r="Z86" i="16"/>
  <c r="X18" i="16"/>
  <c r="X26" i="16" s="1"/>
  <c r="X80" i="16"/>
  <c r="Z69" i="16"/>
  <c r="AA85" i="16"/>
  <c r="X88" i="16"/>
  <c r="Y85" i="16"/>
  <c r="X69" i="16"/>
  <c r="AD16" i="16"/>
  <c r="AB72" i="16"/>
  <c r="O11" i="107" s="1"/>
  <c r="AB88" i="16"/>
  <c r="AA72" i="16"/>
  <c r="AB71" i="16"/>
  <c r="O10" i="107" s="1"/>
  <c r="AA71" i="16"/>
  <c r="AB87" i="16"/>
  <c r="AD15" i="16"/>
  <c r="Y64" i="16"/>
  <c r="Z18" i="16"/>
  <c r="Z26" i="16" s="1"/>
  <c r="Z80" i="16"/>
  <c r="X68" i="16"/>
  <c r="Y84" i="16"/>
  <c r="X64" i="16"/>
  <c r="Y18" i="16"/>
  <c r="Y80" i="16"/>
  <c r="AD14" i="16"/>
  <c r="AB86" i="16"/>
  <c r="AB70" i="16"/>
  <c r="O9" i="107" s="1"/>
  <c r="AA70" i="16"/>
  <c r="Z83" i="16"/>
  <c r="Y67" i="16"/>
  <c r="AA66" i="16"/>
  <c r="AB69" i="16"/>
  <c r="O8" i="107" s="1"/>
  <c r="AA69" i="16"/>
  <c r="AD13" i="16"/>
  <c r="AD31" i="16" s="1"/>
  <c r="AB85" i="16"/>
  <c r="X70" i="16"/>
  <c r="Y86" i="16"/>
  <c r="Y65" i="16"/>
  <c r="Z81" i="16"/>
  <c r="X65" i="16"/>
  <c r="Y81" i="16"/>
  <c r="Z85" i="16"/>
  <c r="Y69" i="16"/>
  <c r="Z64" i="16"/>
  <c r="AB66" i="16"/>
  <c r="O5" i="107" s="1"/>
  <c r="Z33" i="16"/>
  <c r="Y71" i="16"/>
  <c r="Z87" i="16"/>
  <c r="Y88" i="16"/>
  <c r="X72" i="16"/>
  <c r="Y83" i="16"/>
  <c r="X67" i="16"/>
  <c r="AD10" i="16"/>
  <c r="Z65" i="16"/>
  <c r="Q18" i="16"/>
  <c r="Q32" i="16" s="1"/>
  <c r="Q80" i="16"/>
  <c r="S8" i="16"/>
  <c r="S26" i="16" s="1"/>
  <c r="Q64" i="16"/>
  <c r="P3" i="107" s="1"/>
  <c r="P64" i="16"/>
  <c r="M70" i="16"/>
  <c r="N86" i="16"/>
  <c r="O85" i="16"/>
  <c r="T31" i="16"/>
  <c r="N69" i="16"/>
  <c r="O88" i="16"/>
  <c r="N72" i="16"/>
  <c r="Q83" i="16"/>
  <c r="Q67" i="16"/>
  <c r="P6" i="107" s="1"/>
  <c r="P67" i="16"/>
  <c r="S11" i="16"/>
  <c r="U11" i="16" s="1"/>
  <c r="U29" i="16" s="1"/>
  <c r="P82" i="16"/>
  <c r="O66" i="16"/>
  <c r="N68" i="16"/>
  <c r="O84" i="16"/>
  <c r="Q71" i="16"/>
  <c r="P10" i="107" s="1"/>
  <c r="P71" i="16"/>
  <c r="Q87" i="16"/>
  <c r="S15" i="16"/>
  <c r="N65" i="16"/>
  <c r="O81" i="16"/>
  <c r="M84" i="16"/>
  <c r="N82" i="16"/>
  <c r="M66" i="16"/>
  <c r="O69" i="16"/>
  <c r="P85" i="16"/>
  <c r="N71" i="16"/>
  <c r="O87" i="16"/>
  <c r="M18" i="16"/>
  <c r="M30" i="16" s="1"/>
  <c r="M80" i="16"/>
  <c r="O83" i="16"/>
  <c r="N67" i="16"/>
  <c r="T29" i="16"/>
  <c r="M83" i="16"/>
  <c r="M65" i="16"/>
  <c r="N81" i="16"/>
  <c r="O71" i="16"/>
  <c r="P87" i="16"/>
  <c r="M68" i="16"/>
  <c r="N84" i="16"/>
  <c r="P88" i="16"/>
  <c r="O72" i="16"/>
  <c r="N83" i="16"/>
  <c r="M67" i="16"/>
  <c r="N85" i="16"/>
  <c r="M69" i="16"/>
  <c r="Q84" i="16"/>
  <c r="S12" i="16"/>
  <c r="Q68" i="16"/>
  <c r="P7" i="107" s="1"/>
  <c r="P68" i="16"/>
  <c r="O65" i="16"/>
  <c r="P81" i="16"/>
  <c r="M81" i="16"/>
  <c r="N64" i="16"/>
  <c r="O18" i="16"/>
  <c r="O27" i="16" s="1"/>
  <c r="O80" i="16"/>
  <c r="Q65" i="16"/>
  <c r="P4" i="107" s="1"/>
  <c r="P65" i="16"/>
  <c r="S9" i="16"/>
  <c r="Q81" i="16"/>
  <c r="P84" i="16"/>
  <c r="O68" i="16"/>
  <c r="S14" i="16"/>
  <c r="Q86" i="16"/>
  <c r="Q70" i="16"/>
  <c r="P9" i="107" s="1"/>
  <c r="P70" i="16"/>
  <c r="M88" i="16"/>
  <c r="M71" i="16"/>
  <c r="N87" i="16"/>
  <c r="O82" i="16"/>
  <c r="N66" i="16"/>
  <c r="S16" i="16"/>
  <c r="Q72" i="16"/>
  <c r="P11" i="107" s="1"/>
  <c r="Q88" i="16"/>
  <c r="P72" i="16"/>
  <c r="M87" i="16"/>
  <c r="Q69" i="16"/>
  <c r="P8" i="107" s="1"/>
  <c r="P69" i="16"/>
  <c r="S13" i="16"/>
  <c r="Q85" i="16"/>
  <c r="Q66" i="16"/>
  <c r="P5" i="107" s="1"/>
  <c r="M85" i="16"/>
  <c r="M64" i="16"/>
  <c r="N18" i="16"/>
  <c r="N27" i="16" s="1"/>
  <c r="N80" i="16"/>
  <c r="P86" i="16"/>
  <c r="O70" i="16"/>
  <c r="P83" i="16"/>
  <c r="O67" i="16"/>
  <c r="S10" i="16"/>
  <c r="A1" i="49"/>
  <c r="AK1" i="80"/>
  <c r="W1" i="80"/>
  <c r="Z27" i="16" l="1"/>
  <c r="Z29" i="16"/>
  <c r="AB32" i="16"/>
  <c r="U16" i="16"/>
  <c r="U34" i="16" s="1"/>
  <c r="AF12" i="16"/>
  <c r="AF30" i="16" s="1"/>
  <c r="AB29" i="16"/>
  <c r="AB31" i="16"/>
  <c r="Z31" i="16"/>
  <c r="AA28" i="16"/>
  <c r="AB33" i="16"/>
  <c r="Z28" i="16"/>
  <c r="AF15" i="16"/>
  <c r="AF33" i="16" s="1"/>
  <c r="AF14" i="16"/>
  <c r="AF32" i="16" s="1"/>
  <c r="U13" i="16"/>
  <c r="U31" i="16" s="1"/>
  <c r="T18" i="16"/>
  <c r="T36" i="16" s="1"/>
  <c r="U12" i="16"/>
  <c r="U30" i="16" s="1"/>
  <c r="U9" i="16"/>
  <c r="U27" i="16" s="1"/>
  <c r="U10" i="16"/>
  <c r="U28" i="16" s="1"/>
  <c r="T26" i="16"/>
  <c r="AF9" i="16"/>
  <c r="AF27" i="16" s="1"/>
  <c r="U15" i="16"/>
  <c r="U33" i="16" s="1"/>
  <c r="X34" i="16"/>
  <c r="S29" i="16"/>
  <c r="Q34" i="16"/>
  <c r="S27" i="16"/>
  <c r="N28" i="16"/>
  <c r="S31" i="16"/>
  <c r="N26" i="16"/>
  <c r="N29" i="16"/>
  <c r="N32" i="16"/>
  <c r="AC28" i="109"/>
  <c r="R36" i="109"/>
  <c r="AB54" i="109"/>
  <c r="R54" i="109"/>
  <c r="R30" i="109"/>
  <c r="R33" i="109"/>
  <c r="S54" i="109"/>
  <c r="S36" i="109"/>
  <c r="S27" i="109"/>
  <c r="S30" i="109"/>
  <c r="S32" i="109"/>
  <c r="S29" i="109"/>
  <c r="S31" i="109"/>
  <c r="AC26" i="109"/>
  <c r="AC30" i="109"/>
  <c r="AC31" i="109"/>
  <c r="AC54" i="109"/>
  <c r="AC36" i="109"/>
  <c r="X54" i="109"/>
  <c r="O43" i="108" s="1"/>
  <c r="AC34" i="109"/>
  <c r="AC32" i="109"/>
  <c r="S28" i="109"/>
  <c r="AC33" i="109"/>
  <c r="R27" i="109"/>
  <c r="R28" i="109"/>
  <c r="S33" i="109"/>
  <c r="AC27" i="109"/>
  <c r="R32" i="109"/>
  <c r="S34" i="109"/>
  <c r="AD36" i="109"/>
  <c r="Y54" i="109"/>
  <c r="N43" i="108" s="1"/>
  <c r="AD29" i="109"/>
  <c r="AD54" i="109"/>
  <c r="AD32" i="109"/>
  <c r="AD27" i="109"/>
  <c r="AD28" i="109"/>
  <c r="AD33" i="109"/>
  <c r="AD34" i="109"/>
  <c r="AD31" i="109"/>
  <c r="R29" i="109"/>
  <c r="B31" i="109"/>
  <c r="B29" i="109"/>
  <c r="B33" i="109"/>
  <c r="B32" i="109"/>
  <c r="B27" i="109"/>
  <c r="B36" i="109"/>
  <c r="B34" i="109"/>
  <c r="B28" i="109"/>
  <c r="B30" i="109"/>
  <c r="Y28" i="16"/>
  <c r="X56" i="16"/>
  <c r="Y29" i="16"/>
  <c r="AA31" i="16"/>
  <c r="AF11" i="16"/>
  <c r="AF29" i="16" s="1"/>
  <c r="AF10" i="16"/>
  <c r="AF28" i="16" s="1"/>
  <c r="AD33" i="16"/>
  <c r="AA56" i="16"/>
  <c r="AB56" i="16"/>
  <c r="AE90" i="16" s="1"/>
  <c r="AB27" i="16"/>
  <c r="AE18" i="16"/>
  <c r="AE36" i="16" s="1"/>
  <c r="Y34" i="16"/>
  <c r="Z30" i="16"/>
  <c r="Y56" i="16"/>
  <c r="AD90" i="16"/>
  <c r="AF16" i="16"/>
  <c r="AF34" i="16" s="1"/>
  <c r="AD34" i="16"/>
  <c r="AD32" i="16"/>
  <c r="AF13" i="16"/>
  <c r="AF31" i="16" s="1"/>
  <c r="AB34" i="16"/>
  <c r="AB26" i="16"/>
  <c r="AA26" i="16"/>
  <c r="AA27" i="16"/>
  <c r="AA33" i="16"/>
  <c r="Z56" i="16"/>
  <c r="AA30" i="16"/>
  <c r="AA29" i="16"/>
  <c r="AA90" i="16"/>
  <c r="AA36" i="16"/>
  <c r="AA34" i="16"/>
  <c r="AD28" i="16"/>
  <c r="AD30" i="16"/>
  <c r="S90" i="16"/>
  <c r="N56" i="16"/>
  <c r="S28" i="16"/>
  <c r="P36" i="16"/>
  <c r="P30" i="16"/>
  <c r="O74" i="16"/>
  <c r="M26" i="16"/>
  <c r="O28" i="16"/>
  <c r="P32" i="16"/>
  <c r="O29" i="16"/>
  <c r="M33" i="16"/>
  <c r="P27" i="16"/>
  <c r="P26" i="16"/>
  <c r="O56" i="16"/>
  <c r="P33" i="16"/>
  <c r="P31" i="16"/>
  <c r="P56" i="16"/>
  <c r="Q56" i="16"/>
  <c r="T90" i="16" s="1"/>
  <c r="O34" i="16"/>
  <c r="N30" i="16"/>
  <c r="M56" i="16"/>
  <c r="M34" i="16"/>
  <c r="S33" i="16"/>
  <c r="S30" i="16"/>
  <c r="S34" i="16"/>
  <c r="M31" i="16"/>
  <c r="O26" i="16"/>
  <c r="P34" i="16"/>
  <c r="Q30" i="16"/>
  <c r="O33" i="16"/>
  <c r="O31" i="16"/>
  <c r="Q26" i="16"/>
  <c r="P29" i="16"/>
  <c r="U14" i="16"/>
  <c r="U32" i="16" s="1"/>
  <c r="S32" i="16"/>
  <c r="N31" i="16"/>
  <c r="P28" i="16"/>
  <c r="Y30" i="16"/>
  <c r="Y32" i="16"/>
  <c r="Z90" i="16"/>
  <c r="Z36" i="16"/>
  <c r="Y74" i="16"/>
  <c r="Z34" i="16"/>
  <c r="Z74" i="16"/>
  <c r="X90" i="16"/>
  <c r="X36" i="16"/>
  <c r="X27" i="16"/>
  <c r="X30" i="16"/>
  <c r="X33" i="16"/>
  <c r="X32" i="16"/>
  <c r="X29" i="16"/>
  <c r="X28" i="16"/>
  <c r="X31" i="16"/>
  <c r="Y36" i="16"/>
  <c r="Y90" i="16"/>
  <c r="X74" i="16"/>
  <c r="Y33" i="16"/>
  <c r="Y27" i="16"/>
  <c r="Z32" i="16"/>
  <c r="AB74" i="16"/>
  <c r="O13" i="107" s="1"/>
  <c r="AB90" i="16"/>
  <c r="AA74" i="16"/>
  <c r="AB36" i="16"/>
  <c r="AB28" i="16"/>
  <c r="Y26" i="16"/>
  <c r="Y31" i="16"/>
  <c r="AF8" i="16"/>
  <c r="AF26" i="16" s="1"/>
  <c r="AD18" i="16"/>
  <c r="Q90" i="16"/>
  <c r="Q74" i="16"/>
  <c r="P13" i="107" s="1"/>
  <c r="P74" i="16"/>
  <c r="Q36" i="16"/>
  <c r="Q28" i="16"/>
  <c r="Q31" i="16"/>
  <c r="Q33" i="16"/>
  <c r="O90" i="16"/>
  <c r="N74" i="16"/>
  <c r="O36" i="16"/>
  <c r="O32" i="16"/>
  <c r="U8" i="16"/>
  <c r="U26" i="16" s="1"/>
  <c r="S18" i="16"/>
  <c r="M90" i="16"/>
  <c r="M36" i="16"/>
  <c r="M32" i="16"/>
  <c r="M28" i="16"/>
  <c r="M29" i="16"/>
  <c r="O30" i="16"/>
  <c r="Q29" i="16"/>
  <c r="N90" i="16"/>
  <c r="M74" i="16"/>
  <c r="N36" i="16"/>
  <c r="N34" i="16"/>
  <c r="Q27" i="16"/>
  <c r="M27" i="16"/>
  <c r="N33" i="16"/>
  <c r="A1" i="71"/>
  <c r="A1" i="103"/>
  <c r="A1" i="105"/>
  <c r="A1" i="101"/>
  <c r="A1" i="102"/>
  <c r="A1" i="97"/>
  <c r="U18" i="16" l="1"/>
  <c r="U36" i="16" s="1"/>
  <c r="S36" i="16"/>
  <c r="AF18" i="16"/>
  <c r="AF36" i="16" s="1"/>
  <c r="AD36" i="16"/>
  <c r="F35" i="105"/>
  <c r="G35" i="105"/>
  <c r="J35" i="105"/>
  <c r="K35" i="105"/>
  <c r="B35" i="105"/>
  <c r="C35" i="105"/>
  <c r="O7" i="105"/>
  <c r="N7" i="105"/>
  <c r="A35" i="105"/>
  <c r="A10" i="105"/>
  <c r="A11" i="105"/>
  <c r="A12" i="105"/>
  <c r="A13" i="105"/>
  <c r="A14" i="105"/>
  <c r="A15" i="105"/>
  <c r="A16" i="105"/>
  <c r="A17" i="105"/>
  <c r="A18" i="105"/>
  <c r="A19" i="105"/>
  <c r="A20" i="105"/>
  <c r="A21" i="105"/>
  <c r="A22" i="105"/>
  <c r="A23" i="105"/>
  <c r="A24" i="105"/>
  <c r="A25" i="105"/>
  <c r="A26" i="105"/>
  <c r="A27" i="105"/>
  <c r="A28" i="105"/>
  <c r="A29" i="105"/>
  <c r="A30" i="105"/>
  <c r="A31" i="105"/>
  <c r="A32" i="105"/>
  <c r="A33" i="105"/>
  <c r="A9" i="105"/>
  <c r="A8" i="71"/>
  <c r="R9" i="105"/>
  <c r="Q9" i="105"/>
  <c r="O9" i="105"/>
  <c r="N9" i="105"/>
  <c r="L28" i="105"/>
  <c r="R33" i="105" l="1"/>
  <c r="Q33" i="105"/>
  <c r="O33" i="105"/>
  <c r="N33" i="105"/>
  <c r="L33" i="105"/>
  <c r="H33" i="105"/>
  <c r="D33" i="105"/>
  <c r="R32" i="105"/>
  <c r="Q32" i="105"/>
  <c r="O32" i="105"/>
  <c r="N32" i="105"/>
  <c r="L32" i="105"/>
  <c r="H32" i="105"/>
  <c r="D32" i="105"/>
  <c r="R31" i="105"/>
  <c r="Q31" i="105"/>
  <c r="O31" i="105"/>
  <c r="N31" i="105"/>
  <c r="L31" i="105"/>
  <c r="H31" i="105"/>
  <c r="D31" i="105"/>
  <c r="R30" i="105"/>
  <c r="Q30" i="105"/>
  <c r="O30" i="105"/>
  <c r="N30" i="105"/>
  <c r="L30" i="105"/>
  <c r="H30" i="105"/>
  <c r="D30" i="105"/>
  <c r="R29" i="105"/>
  <c r="Q29" i="105"/>
  <c r="O29" i="105"/>
  <c r="N29" i="105"/>
  <c r="L29" i="105"/>
  <c r="H29" i="105"/>
  <c r="D29" i="105"/>
  <c r="R28" i="105"/>
  <c r="Q28" i="105"/>
  <c r="O28" i="105"/>
  <c r="N28" i="105"/>
  <c r="H28" i="105"/>
  <c r="D28" i="105"/>
  <c r="R27" i="105"/>
  <c r="Q27" i="105"/>
  <c r="O27" i="105"/>
  <c r="N27" i="105"/>
  <c r="L27" i="105"/>
  <c r="H27" i="105"/>
  <c r="D27" i="105"/>
  <c r="R26" i="105"/>
  <c r="Q26" i="105"/>
  <c r="O26" i="105"/>
  <c r="N26" i="105"/>
  <c r="L26" i="105"/>
  <c r="H26" i="105"/>
  <c r="D26" i="105"/>
  <c r="R25" i="105"/>
  <c r="Q25" i="105"/>
  <c r="O25" i="105"/>
  <c r="N25" i="105"/>
  <c r="L25" i="105"/>
  <c r="H25" i="105"/>
  <c r="D25" i="105"/>
  <c r="R24" i="105"/>
  <c r="Q24" i="105"/>
  <c r="O24" i="105"/>
  <c r="N24" i="105"/>
  <c r="L24" i="105"/>
  <c r="H24" i="105"/>
  <c r="D24" i="105"/>
  <c r="R23" i="105"/>
  <c r="Q23" i="105"/>
  <c r="O23" i="105"/>
  <c r="N23" i="105"/>
  <c r="L23" i="105"/>
  <c r="H23" i="105"/>
  <c r="D23" i="105"/>
  <c r="R22" i="105"/>
  <c r="Q22" i="105"/>
  <c r="O22" i="105"/>
  <c r="N22" i="105"/>
  <c r="L22" i="105"/>
  <c r="H22" i="105"/>
  <c r="D22" i="105"/>
  <c r="R21" i="105"/>
  <c r="Q21" i="105"/>
  <c r="O21" i="105"/>
  <c r="N21" i="105"/>
  <c r="L21" i="105"/>
  <c r="H21" i="105"/>
  <c r="D21" i="105"/>
  <c r="R20" i="105"/>
  <c r="Q20" i="105"/>
  <c r="O20" i="105"/>
  <c r="N20" i="105"/>
  <c r="L20" i="105"/>
  <c r="H20" i="105"/>
  <c r="D20" i="105"/>
  <c r="R19" i="105"/>
  <c r="Q19" i="105"/>
  <c r="O19" i="105"/>
  <c r="N19" i="105"/>
  <c r="L19" i="105"/>
  <c r="H19" i="105"/>
  <c r="D19" i="105"/>
  <c r="R18" i="105"/>
  <c r="Q18" i="105"/>
  <c r="O18" i="105"/>
  <c r="N18" i="105"/>
  <c r="L18" i="105"/>
  <c r="H18" i="105"/>
  <c r="D18" i="105"/>
  <c r="R17" i="105"/>
  <c r="Q17" i="105"/>
  <c r="O17" i="105"/>
  <c r="N17" i="105"/>
  <c r="L17" i="105"/>
  <c r="H17" i="105"/>
  <c r="D17" i="105"/>
  <c r="R16" i="105"/>
  <c r="Q16" i="105"/>
  <c r="O16" i="105"/>
  <c r="N16" i="105"/>
  <c r="L16" i="105"/>
  <c r="H16" i="105"/>
  <c r="D16" i="105"/>
  <c r="R15" i="105"/>
  <c r="Q15" i="105"/>
  <c r="O15" i="105"/>
  <c r="N15" i="105"/>
  <c r="L15" i="105"/>
  <c r="H15" i="105"/>
  <c r="D15" i="105"/>
  <c r="R14" i="105"/>
  <c r="Q14" i="105"/>
  <c r="O14" i="105"/>
  <c r="N14" i="105"/>
  <c r="L14" i="105"/>
  <c r="H14" i="105"/>
  <c r="D14" i="105"/>
  <c r="R13" i="105"/>
  <c r="Q13" i="105"/>
  <c r="O13" i="105"/>
  <c r="N13" i="105"/>
  <c r="L13" i="105"/>
  <c r="H13" i="105"/>
  <c r="D13" i="105"/>
  <c r="R12" i="105"/>
  <c r="Q12" i="105"/>
  <c r="O12" i="105"/>
  <c r="N12" i="105"/>
  <c r="L12" i="105"/>
  <c r="H12" i="105"/>
  <c r="D12" i="105"/>
  <c r="R11" i="105"/>
  <c r="Q11" i="105"/>
  <c r="O11" i="105"/>
  <c r="N11" i="105"/>
  <c r="L11" i="105"/>
  <c r="H11" i="105"/>
  <c r="D11" i="105"/>
  <c r="R10" i="105"/>
  <c r="Q10" i="105"/>
  <c r="O10" i="105"/>
  <c r="N10" i="105"/>
  <c r="L10" i="105"/>
  <c r="H10" i="105"/>
  <c r="D10" i="105"/>
  <c r="L9" i="105"/>
  <c r="H9" i="105"/>
  <c r="D9" i="105"/>
  <c r="U7" i="105"/>
  <c r="T7" i="105"/>
  <c r="R7" i="105"/>
  <c r="Q7" i="105"/>
  <c r="L35" i="105" l="1"/>
  <c r="D35" i="105"/>
  <c r="H35" i="105"/>
  <c r="T9" i="105"/>
  <c r="O35" i="105"/>
  <c r="R35" i="105"/>
  <c r="Q35" i="105"/>
  <c r="N35" i="105"/>
  <c r="U10" i="105"/>
  <c r="U11" i="105"/>
  <c r="U12" i="105"/>
  <c r="U13" i="105"/>
  <c r="U14" i="105"/>
  <c r="U15" i="105"/>
  <c r="U16" i="105"/>
  <c r="U17" i="105"/>
  <c r="U18" i="105"/>
  <c r="U19" i="105"/>
  <c r="U20" i="105"/>
  <c r="U21" i="105"/>
  <c r="U22" i="105"/>
  <c r="U23" i="105"/>
  <c r="U24" i="105"/>
  <c r="U25" i="105"/>
  <c r="U26" i="105"/>
  <c r="U27" i="105"/>
  <c r="U28" i="105"/>
  <c r="U29" i="105"/>
  <c r="U30" i="105"/>
  <c r="U31" i="105"/>
  <c r="U32" i="105"/>
  <c r="U33" i="105"/>
  <c r="T11" i="105"/>
  <c r="T12" i="105"/>
  <c r="T13" i="105"/>
  <c r="T14" i="105"/>
  <c r="T15" i="105"/>
  <c r="T16" i="105"/>
  <c r="T17" i="105"/>
  <c r="T18" i="105"/>
  <c r="T19" i="105"/>
  <c r="T20" i="105"/>
  <c r="T21" i="105"/>
  <c r="T22" i="105"/>
  <c r="T23" i="105"/>
  <c r="T24" i="105"/>
  <c r="T25" i="105"/>
  <c r="T26" i="105"/>
  <c r="T27" i="105"/>
  <c r="T28" i="105"/>
  <c r="T29" i="105"/>
  <c r="T30" i="105"/>
  <c r="T31" i="105"/>
  <c r="T32" i="105"/>
  <c r="T33" i="105"/>
  <c r="U9" i="105"/>
  <c r="T10" i="105"/>
  <c r="A18" i="104"/>
  <c r="A13" i="104"/>
  <c r="A8" i="104"/>
  <c r="A1" i="104" s="1"/>
  <c r="B8" i="49"/>
  <c r="C8" i="49"/>
  <c r="E8" i="49"/>
  <c r="B9" i="49"/>
  <c r="C9" i="49"/>
  <c r="E9" i="49"/>
  <c r="B10" i="49"/>
  <c r="C10" i="49"/>
  <c r="E10" i="49"/>
  <c r="B11" i="49"/>
  <c r="C11" i="49"/>
  <c r="E11" i="49"/>
  <c r="B12" i="49"/>
  <c r="C12" i="49"/>
  <c r="E12" i="49"/>
  <c r="B13" i="49"/>
  <c r="C13" i="49"/>
  <c r="E13" i="49"/>
  <c r="B14" i="49"/>
  <c r="C14" i="49"/>
  <c r="E14" i="49"/>
  <c r="B15" i="49"/>
  <c r="C15" i="49"/>
  <c r="E15" i="49"/>
  <c r="B16" i="49"/>
  <c r="C16" i="49"/>
  <c r="E16" i="49"/>
  <c r="B17" i="49"/>
  <c r="C17" i="49"/>
  <c r="E17" i="49"/>
  <c r="B18" i="49"/>
  <c r="C18" i="49"/>
  <c r="E18" i="49"/>
  <c r="B19" i="49"/>
  <c r="C19" i="49"/>
  <c r="E19" i="49"/>
  <c r="B20" i="49"/>
  <c r="C20" i="49"/>
  <c r="E20" i="49"/>
  <c r="B21" i="49"/>
  <c r="C21" i="49"/>
  <c r="E21" i="49"/>
  <c r="B22" i="49"/>
  <c r="C22" i="49"/>
  <c r="E22" i="49"/>
  <c r="B23" i="49"/>
  <c r="C23" i="49"/>
  <c r="E23" i="49"/>
  <c r="B24" i="49"/>
  <c r="C24" i="49"/>
  <c r="E24" i="49"/>
  <c r="B25" i="49"/>
  <c r="C25" i="49"/>
  <c r="E25" i="49"/>
  <c r="B26" i="49"/>
  <c r="C26" i="49"/>
  <c r="E26" i="49"/>
  <c r="B27" i="49"/>
  <c r="C27" i="49"/>
  <c r="E27" i="49"/>
  <c r="B28" i="49"/>
  <c r="C28" i="49"/>
  <c r="E28" i="49"/>
  <c r="B29" i="49"/>
  <c r="C29" i="49"/>
  <c r="E29" i="49"/>
  <c r="B30" i="49"/>
  <c r="C30" i="49"/>
  <c r="E30" i="49"/>
  <c r="B31" i="49"/>
  <c r="C31" i="49"/>
  <c r="E31" i="49"/>
  <c r="E7" i="49"/>
  <c r="C7" i="49"/>
  <c r="B7" i="49"/>
  <c r="G7" i="49" s="1"/>
  <c r="U35" i="105" l="1"/>
  <c r="T35" i="105"/>
  <c r="F330" i="104"/>
  <c r="F329" i="104"/>
  <c r="D330" i="104"/>
  <c r="D329" i="104"/>
  <c r="B330" i="104"/>
  <c r="B329" i="104"/>
  <c r="B35" i="104"/>
  <c r="B30" i="104" l="1"/>
  <c r="O554" i="102" l="1"/>
  <c r="N564" i="102"/>
  <c r="X540" i="102"/>
  <c r="W540" i="102"/>
  <c r="V540" i="102"/>
  <c r="X539" i="102"/>
  <c r="W539" i="102"/>
  <c r="V539" i="102"/>
  <c r="S540" i="102"/>
  <c r="R540" i="102"/>
  <c r="Q540" i="102"/>
  <c r="S539" i="102"/>
  <c r="R539" i="102"/>
  <c r="Q539" i="102"/>
  <c r="N540" i="102"/>
  <c r="M540" i="102"/>
  <c r="L540" i="102"/>
  <c r="N539" i="102"/>
  <c r="M539" i="102"/>
  <c r="L539" i="102"/>
  <c r="I540" i="102"/>
  <c r="H540" i="102"/>
  <c r="G540" i="102"/>
  <c r="I539" i="102"/>
  <c r="H539" i="102"/>
  <c r="G539" i="102"/>
  <c r="B540" i="102"/>
  <c r="C540" i="102"/>
  <c r="D540" i="102"/>
  <c r="C539" i="102"/>
  <c r="D539" i="102"/>
  <c r="B539" i="102"/>
  <c r="X536" i="102"/>
  <c r="W536" i="102"/>
  <c r="V536" i="102"/>
  <c r="S536" i="102"/>
  <c r="R536" i="102"/>
  <c r="Q536" i="102"/>
  <c r="N536" i="102"/>
  <c r="M536" i="102"/>
  <c r="L536" i="102"/>
  <c r="I536" i="102"/>
  <c r="H536" i="102"/>
  <c r="G536" i="102"/>
  <c r="D536" i="102"/>
  <c r="C536" i="102"/>
  <c r="B536" i="102"/>
  <c r="Y535" i="102"/>
  <c r="T535" i="102"/>
  <c r="O535" i="102"/>
  <c r="J535" i="102"/>
  <c r="E535" i="102"/>
  <c r="Y534" i="102"/>
  <c r="T534" i="102"/>
  <c r="O534" i="102"/>
  <c r="J534" i="102"/>
  <c r="E534" i="102"/>
  <c r="X531" i="102"/>
  <c r="W531" i="102"/>
  <c r="V531" i="102"/>
  <c r="S531" i="102"/>
  <c r="R531" i="102"/>
  <c r="Q531" i="102"/>
  <c r="N531" i="102"/>
  <c r="M531" i="102"/>
  <c r="L531" i="102"/>
  <c r="I531" i="102"/>
  <c r="H531" i="102"/>
  <c r="G531" i="102"/>
  <c r="D531" i="102"/>
  <c r="C531" i="102"/>
  <c r="B531" i="102"/>
  <c r="Y530" i="102"/>
  <c r="T530" i="102"/>
  <c r="O530" i="102"/>
  <c r="J530" i="102"/>
  <c r="E530" i="102"/>
  <c r="Y529" i="102"/>
  <c r="T529" i="102"/>
  <c r="O529" i="102"/>
  <c r="J529" i="102"/>
  <c r="E529" i="102"/>
  <c r="X526" i="102"/>
  <c r="W526" i="102"/>
  <c r="V526" i="102"/>
  <c r="S526" i="102"/>
  <c r="R526" i="102"/>
  <c r="Q526" i="102"/>
  <c r="N526" i="102"/>
  <c r="M526" i="102"/>
  <c r="L526" i="102"/>
  <c r="I526" i="102"/>
  <c r="H526" i="102"/>
  <c r="G526" i="102"/>
  <c r="D526" i="102"/>
  <c r="C526" i="102"/>
  <c r="B526" i="102"/>
  <c r="Y525" i="102"/>
  <c r="T525" i="102"/>
  <c r="O525" i="102"/>
  <c r="J525" i="102"/>
  <c r="E525" i="102"/>
  <c r="Y524" i="102"/>
  <c r="T524" i="102"/>
  <c r="O524" i="102"/>
  <c r="J524" i="102"/>
  <c r="E524" i="102"/>
  <c r="X521" i="102"/>
  <c r="W521" i="102"/>
  <c r="V521" i="102"/>
  <c r="S521" i="102"/>
  <c r="R521" i="102"/>
  <c r="Q521" i="102"/>
  <c r="N521" i="102"/>
  <c r="M521" i="102"/>
  <c r="L521" i="102"/>
  <c r="I521" i="102"/>
  <c r="H521" i="102"/>
  <c r="G521" i="102"/>
  <c r="D521" i="102"/>
  <c r="C521" i="102"/>
  <c r="B521" i="102"/>
  <c r="Y520" i="102"/>
  <c r="T520" i="102"/>
  <c r="O520" i="102"/>
  <c r="J520" i="102"/>
  <c r="E520" i="102"/>
  <c r="Y519" i="102"/>
  <c r="T519" i="102"/>
  <c r="O519" i="102"/>
  <c r="J519" i="102"/>
  <c r="E519" i="102"/>
  <c r="X486" i="102"/>
  <c r="W486" i="102"/>
  <c r="V486" i="102"/>
  <c r="S486" i="102"/>
  <c r="R486" i="102"/>
  <c r="Q486" i="102"/>
  <c r="N486" i="102"/>
  <c r="M486" i="102"/>
  <c r="L486" i="102"/>
  <c r="I486" i="102"/>
  <c r="H486" i="102"/>
  <c r="G486" i="102"/>
  <c r="D486" i="102"/>
  <c r="C486" i="102"/>
  <c r="B486" i="102"/>
  <c r="Y485" i="102"/>
  <c r="T485" i="102"/>
  <c r="O485" i="102"/>
  <c r="J485" i="102"/>
  <c r="E485" i="102"/>
  <c r="Y484" i="102"/>
  <c r="T484" i="102"/>
  <c r="O484" i="102"/>
  <c r="J484" i="102"/>
  <c r="E484" i="102"/>
  <c r="X476" i="102"/>
  <c r="W476" i="102"/>
  <c r="V476" i="102"/>
  <c r="S476" i="102"/>
  <c r="R476" i="102"/>
  <c r="Q476" i="102"/>
  <c r="N476" i="102"/>
  <c r="M476" i="102"/>
  <c r="L476" i="102"/>
  <c r="I476" i="102"/>
  <c r="H476" i="102"/>
  <c r="G476" i="102"/>
  <c r="D476" i="102"/>
  <c r="C476" i="102"/>
  <c r="B476" i="102"/>
  <c r="Y475" i="102"/>
  <c r="T475" i="102"/>
  <c r="O475" i="102"/>
  <c r="J475" i="102"/>
  <c r="E475" i="102"/>
  <c r="Y474" i="102"/>
  <c r="T474" i="102"/>
  <c r="O474" i="102"/>
  <c r="J474" i="102"/>
  <c r="E474" i="102"/>
  <c r="X465" i="102"/>
  <c r="W465" i="102"/>
  <c r="V465" i="102"/>
  <c r="X464" i="102"/>
  <c r="W464" i="102"/>
  <c r="V464" i="102"/>
  <c r="S465" i="102"/>
  <c r="R465" i="102"/>
  <c r="Q465" i="102"/>
  <c r="S464" i="102"/>
  <c r="R464" i="102"/>
  <c r="Q464" i="102"/>
  <c r="N465" i="102"/>
  <c r="M465" i="102"/>
  <c r="L465" i="102"/>
  <c r="N464" i="102"/>
  <c r="M464" i="102"/>
  <c r="L464" i="102"/>
  <c r="I465" i="102"/>
  <c r="H465" i="102"/>
  <c r="G465" i="102"/>
  <c r="I464" i="102"/>
  <c r="H464" i="102"/>
  <c r="G464" i="102"/>
  <c r="B465" i="102"/>
  <c r="C465" i="102"/>
  <c r="D465" i="102"/>
  <c r="C464" i="102"/>
  <c r="D464" i="102"/>
  <c r="B464" i="102"/>
  <c r="X461" i="102"/>
  <c r="W461" i="102"/>
  <c r="V461" i="102"/>
  <c r="S461" i="102"/>
  <c r="R461" i="102"/>
  <c r="Q461" i="102"/>
  <c r="N461" i="102"/>
  <c r="M461" i="102"/>
  <c r="L461" i="102"/>
  <c r="I461" i="102"/>
  <c r="H461" i="102"/>
  <c r="G461" i="102"/>
  <c r="D461" i="102"/>
  <c r="C461" i="102"/>
  <c r="B461" i="102"/>
  <c r="Y460" i="102"/>
  <c r="T460" i="102"/>
  <c r="O460" i="102"/>
  <c r="J460" i="102"/>
  <c r="E460" i="102"/>
  <c r="Y459" i="102"/>
  <c r="T459" i="102"/>
  <c r="O459" i="102"/>
  <c r="J459" i="102"/>
  <c r="E459" i="102"/>
  <c r="X456" i="102"/>
  <c r="W456" i="102"/>
  <c r="V456" i="102"/>
  <c r="S456" i="102"/>
  <c r="R456" i="102"/>
  <c r="Q456" i="102"/>
  <c r="N456" i="102"/>
  <c r="M456" i="102"/>
  <c r="L456" i="102"/>
  <c r="I456" i="102"/>
  <c r="H456" i="102"/>
  <c r="G456" i="102"/>
  <c r="D456" i="102"/>
  <c r="C456" i="102"/>
  <c r="B456" i="102"/>
  <c r="Y455" i="102"/>
  <c r="T455" i="102"/>
  <c r="O455" i="102"/>
  <c r="J455" i="102"/>
  <c r="E455" i="102"/>
  <c r="Y454" i="102"/>
  <c r="T454" i="102"/>
  <c r="O454" i="102"/>
  <c r="J454" i="102"/>
  <c r="E454" i="102"/>
  <c r="X451" i="102"/>
  <c r="W451" i="102"/>
  <c r="V451" i="102"/>
  <c r="S451" i="102"/>
  <c r="R451" i="102"/>
  <c r="Q451" i="102"/>
  <c r="N451" i="102"/>
  <c r="M451" i="102"/>
  <c r="L451" i="102"/>
  <c r="I451" i="102"/>
  <c r="H451" i="102"/>
  <c r="G451" i="102"/>
  <c r="D451" i="102"/>
  <c r="C451" i="102"/>
  <c r="B451" i="102"/>
  <c r="Y450" i="102"/>
  <c r="T450" i="102"/>
  <c r="O450" i="102"/>
  <c r="J450" i="102"/>
  <c r="E450" i="102"/>
  <c r="Y449" i="102"/>
  <c r="T449" i="102"/>
  <c r="O449" i="102"/>
  <c r="J449" i="102"/>
  <c r="E449" i="102"/>
  <c r="X446" i="102"/>
  <c r="W446" i="102"/>
  <c r="V446" i="102"/>
  <c r="S446" i="102"/>
  <c r="R446" i="102"/>
  <c r="Q446" i="102"/>
  <c r="N446" i="102"/>
  <c r="M446" i="102"/>
  <c r="L446" i="102"/>
  <c r="I446" i="102"/>
  <c r="H446" i="102"/>
  <c r="G446" i="102"/>
  <c r="D446" i="102"/>
  <c r="C446" i="102"/>
  <c r="B446" i="102"/>
  <c r="Y445" i="102"/>
  <c r="T445" i="102"/>
  <c r="O445" i="102"/>
  <c r="J445" i="102"/>
  <c r="E445" i="102"/>
  <c r="Y444" i="102"/>
  <c r="T444" i="102"/>
  <c r="O444" i="102"/>
  <c r="J444" i="102"/>
  <c r="E444" i="102"/>
  <c r="X441" i="102"/>
  <c r="W441" i="102"/>
  <c r="V441" i="102"/>
  <c r="S441" i="102"/>
  <c r="R441" i="102"/>
  <c r="Q441" i="102"/>
  <c r="N441" i="102"/>
  <c r="M441" i="102"/>
  <c r="L441" i="102"/>
  <c r="I441" i="102"/>
  <c r="H441" i="102"/>
  <c r="G441" i="102"/>
  <c r="D441" i="102"/>
  <c r="C441" i="102"/>
  <c r="B441" i="102"/>
  <c r="Y440" i="102"/>
  <c r="T440" i="102"/>
  <c r="O440" i="102"/>
  <c r="J440" i="102"/>
  <c r="E440" i="102"/>
  <c r="Y439" i="102"/>
  <c r="T439" i="102"/>
  <c r="O439" i="102"/>
  <c r="J439" i="102"/>
  <c r="E439" i="102"/>
  <c r="X436" i="102"/>
  <c r="W436" i="102"/>
  <c r="V436" i="102"/>
  <c r="S436" i="102"/>
  <c r="R436" i="102"/>
  <c r="Q436" i="102"/>
  <c r="N436" i="102"/>
  <c r="M436" i="102"/>
  <c r="L436" i="102"/>
  <c r="I436" i="102"/>
  <c r="H436" i="102"/>
  <c r="G436" i="102"/>
  <c r="D436" i="102"/>
  <c r="C436" i="102"/>
  <c r="B436" i="102"/>
  <c r="Y435" i="102"/>
  <c r="T435" i="102"/>
  <c r="O435" i="102"/>
  <c r="J435" i="102"/>
  <c r="E435" i="102"/>
  <c r="Y434" i="102"/>
  <c r="T434" i="102"/>
  <c r="O434" i="102"/>
  <c r="J434" i="102"/>
  <c r="E434" i="102"/>
  <c r="X425" i="102"/>
  <c r="W425" i="102"/>
  <c r="V425" i="102"/>
  <c r="X424" i="102"/>
  <c r="W424" i="102"/>
  <c r="V424" i="102"/>
  <c r="S425" i="102"/>
  <c r="R425" i="102"/>
  <c r="Q425" i="102"/>
  <c r="S424" i="102"/>
  <c r="R424" i="102"/>
  <c r="Q424" i="102"/>
  <c r="N425" i="102"/>
  <c r="M425" i="102"/>
  <c r="L425" i="102"/>
  <c r="N424" i="102"/>
  <c r="M424" i="102"/>
  <c r="L424" i="102"/>
  <c r="I425" i="102"/>
  <c r="H425" i="102"/>
  <c r="G425" i="102"/>
  <c r="I424" i="102"/>
  <c r="H424" i="102"/>
  <c r="G424" i="102"/>
  <c r="B425" i="102"/>
  <c r="C425" i="102"/>
  <c r="D425" i="102"/>
  <c r="C424" i="102"/>
  <c r="D424" i="102"/>
  <c r="B424" i="102"/>
  <c r="X421" i="102"/>
  <c r="W421" i="102"/>
  <c r="V421" i="102"/>
  <c r="S421" i="102"/>
  <c r="R421" i="102"/>
  <c r="Q421" i="102"/>
  <c r="N421" i="102"/>
  <c r="M421" i="102"/>
  <c r="L421" i="102"/>
  <c r="I421" i="102"/>
  <c r="H421" i="102"/>
  <c r="G421" i="102"/>
  <c r="D421" i="102"/>
  <c r="C421" i="102"/>
  <c r="B421" i="102"/>
  <c r="Y420" i="102"/>
  <c r="T420" i="102"/>
  <c r="O420" i="102"/>
  <c r="J420" i="102"/>
  <c r="E420" i="102"/>
  <c r="Y419" i="102"/>
  <c r="T419" i="102"/>
  <c r="O419" i="102"/>
  <c r="J419" i="102"/>
  <c r="E419" i="102"/>
  <c r="X416" i="102"/>
  <c r="W416" i="102"/>
  <c r="V416" i="102"/>
  <c r="S416" i="102"/>
  <c r="R416" i="102"/>
  <c r="Q416" i="102"/>
  <c r="N416" i="102"/>
  <c r="M416" i="102"/>
  <c r="L416" i="102"/>
  <c r="I416" i="102"/>
  <c r="H416" i="102"/>
  <c r="G416" i="102"/>
  <c r="D416" i="102"/>
  <c r="C416" i="102"/>
  <c r="B416" i="102"/>
  <c r="Y415" i="102"/>
  <c r="T415" i="102"/>
  <c r="O415" i="102"/>
  <c r="J415" i="102"/>
  <c r="E415" i="102"/>
  <c r="Y414" i="102"/>
  <c r="T414" i="102"/>
  <c r="O414" i="102"/>
  <c r="J414" i="102"/>
  <c r="E414" i="102"/>
  <c r="X411" i="102"/>
  <c r="W411" i="102"/>
  <c r="V411" i="102"/>
  <c r="S411" i="102"/>
  <c r="R411" i="102"/>
  <c r="Q411" i="102"/>
  <c r="N411" i="102"/>
  <c r="M411" i="102"/>
  <c r="L411" i="102"/>
  <c r="I411" i="102"/>
  <c r="H411" i="102"/>
  <c r="G411" i="102"/>
  <c r="D411" i="102"/>
  <c r="C411" i="102"/>
  <c r="B411" i="102"/>
  <c r="Y410" i="102"/>
  <c r="T410" i="102"/>
  <c r="O410" i="102"/>
  <c r="J410" i="102"/>
  <c r="E410" i="102"/>
  <c r="Y409" i="102"/>
  <c r="T409" i="102"/>
  <c r="O409" i="102"/>
  <c r="J409" i="102"/>
  <c r="E409" i="102"/>
  <c r="X406" i="102"/>
  <c r="W406" i="102"/>
  <c r="V406" i="102"/>
  <c r="S406" i="102"/>
  <c r="R406" i="102"/>
  <c r="Q406" i="102"/>
  <c r="N406" i="102"/>
  <c r="M406" i="102"/>
  <c r="L406" i="102"/>
  <c r="I406" i="102"/>
  <c r="H406" i="102"/>
  <c r="G406" i="102"/>
  <c r="D406" i="102"/>
  <c r="C406" i="102"/>
  <c r="B406" i="102"/>
  <c r="Y405" i="102"/>
  <c r="T405" i="102"/>
  <c r="O405" i="102"/>
  <c r="J405" i="102"/>
  <c r="E405" i="102"/>
  <c r="Y404" i="102"/>
  <c r="T404" i="102"/>
  <c r="O404" i="102"/>
  <c r="J404" i="102"/>
  <c r="E404" i="102"/>
  <c r="X401" i="102"/>
  <c r="W401" i="102"/>
  <c r="V401" i="102"/>
  <c r="S401" i="102"/>
  <c r="R401" i="102"/>
  <c r="Q401" i="102"/>
  <c r="N401" i="102"/>
  <c r="M401" i="102"/>
  <c r="L401" i="102"/>
  <c r="I401" i="102"/>
  <c r="H401" i="102"/>
  <c r="G401" i="102"/>
  <c r="D401" i="102"/>
  <c r="C401" i="102"/>
  <c r="B401" i="102"/>
  <c r="Y400" i="102"/>
  <c r="T400" i="102"/>
  <c r="O400" i="102"/>
  <c r="J400" i="102"/>
  <c r="E400" i="102"/>
  <c r="Y399" i="102"/>
  <c r="T399" i="102"/>
  <c r="O399" i="102"/>
  <c r="J399" i="102"/>
  <c r="E399" i="102"/>
  <c r="X396" i="102"/>
  <c r="W396" i="102"/>
  <c r="V396" i="102"/>
  <c r="S396" i="102"/>
  <c r="R396" i="102"/>
  <c r="Q396" i="102"/>
  <c r="N396" i="102"/>
  <c r="M396" i="102"/>
  <c r="L396" i="102"/>
  <c r="I396" i="102"/>
  <c r="H396" i="102"/>
  <c r="G396" i="102"/>
  <c r="D396" i="102"/>
  <c r="C396" i="102"/>
  <c r="B396" i="102"/>
  <c r="Y395" i="102"/>
  <c r="T395" i="102"/>
  <c r="O395" i="102"/>
  <c r="J395" i="102"/>
  <c r="E395" i="102"/>
  <c r="Y394" i="102"/>
  <c r="T394" i="102"/>
  <c r="O394" i="102"/>
  <c r="J394" i="102"/>
  <c r="E394" i="102"/>
  <c r="X391" i="102"/>
  <c r="W391" i="102"/>
  <c r="V391" i="102"/>
  <c r="S391" i="102"/>
  <c r="R391" i="102"/>
  <c r="Q391" i="102"/>
  <c r="N391" i="102"/>
  <c r="M391" i="102"/>
  <c r="L391" i="102"/>
  <c r="I391" i="102"/>
  <c r="H391" i="102"/>
  <c r="G391" i="102"/>
  <c r="D391" i="102"/>
  <c r="C391" i="102"/>
  <c r="B391" i="102"/>
  <c r="Y390" i="102"/>
  <c r="T390" i="102"/>
  <c r="O390" i="102"/>
  <c r="J390" i="102"/>
  <c r="E390" i="102"/>
  <c r="Y389" i="102"/>
  <c r="T389" i="102"/>
  <c r="O389" i="102"/>
  <c r="J389" i="102"/>
  <c r="E389" i="102"/>
  <c r="E379" i="102"/>
  <c r="X381" i="102"/>
  <c r="W381" i="102"/>
  <c r="V381" i="102"/>
  <c r="S381" i="102"/>
  <c r="R381" i="102"/>
  <c r="Q381" i="102"/>
  <c r="N381" i="102"/>
  <c r="M381" i="102"/>
  <c r="L381" i="102"/>
  <c r="I381" i="102"/>
  <c r="H381" i="102"/>
  <c r="G381" i="102"/>
  <c r="D381" i="102"/>
  <c r="C381" i="102"/>
  <c r="B381" i="102"/>
  <c r="Y380" i="102"/>
  <c r="T380" i="102"/>
  <c r="O380" i="102"/>
  <c r="J380" i="102"/>
  <c r="E380" i="102"/>
  <c r="Y379" i="102"/>
  <c r="T379" i="102"/>
  <c r="O379" i="102"/>
  <c r="J379" i="102"/>
  <c r="X565" i="102"/>
  <c r="W565" i="102"/>
  <c r="V565" i="102"/>
  <c r="S565" i="102"/>
  <c r="R565" i="102"/>
  <c r="Q565" i="102"/>
  <c r="N565" i="102"/>
  <c r="M565" i="102"/>
  <c r="L565" i="102"/>
  <c r="I565" i="102"/>
  <c r="H565" i="102"/>
  <c r="G565" i="102"/>
  <c r="D565" i="102"/>
  <c r="C565" i="102"/>
  <c r="B565" i="102"/>
  <c r="X564" i="102"/>
  <c r="W564" i="102"/>
  <c r="V564" i="102"/>
  <c r="S564" i="102"/>
  <c r="R564" i="102"/>
  <c r="Q564" i="102"/>
  <c r="M564" i="102"/>
  <c r="L564" i="102"/>
  <c r="I564" i="102"/>
  <c r="H564" i="102"/>
  <c r="G564" i="102"/>
  <c r="D564" i="102"/>
  <c r="C564" i="102"/>
  <c r="B564" i="102"/>
  <c r="X561" i="102"/>
  <c r="W561" i="102"/>
  <c r="V561" i="102"/>
  <c r="S561" i="102"/>
  <c r="R561" i="102"/>
  <c r="Q561" i="102"/>
  <c r="N561" i="102"/>
  <c r="M561" i="102"/>
  <c r="L561" i="102"/>
  <c r="I561" i="102"/>
  <c r="H561" i="102"/>
  <c r="G561" i="102"/>
  <c r="D561" i="102"/>
  <c r="C561" i="102"/>
  <c r="B561" i="102"/>
  <c r="Y560" i="102"/>
  <c r="T560" i="102"/>
  <c r="O560" i="102"/>
  <c r="J560" i="102"/>
  <c r="E560" i="102"/>
  <c r="Y559" i="102"/>
  <c r="T559" i="102"/>
  <c r="O559" i="102"/>
  <c r="J559" i="102"/>
  <c r="E559" i="102"/>
  <c r="X556" i="102"/>
  <c r="W556" i="102"/>
  <c r="V556" i="102"/>
  <c r="S556" i="102"/>
  <c r="R556" i="102"/>
  <c r="Q556" i="102"/>
  <c r="N556" i="102"/>
  <c r="M556" i="102"/>
  <c r="L556" i="102"/>
  <c r="I556" i="102"/>
  <c r="H556" i="102"/>
  <c r="G556" i="102"/>
  <c r="D556" i="102"/>
  <c r="C556" i="102"/>
  <c r="B556" i="102"/>
  <c r="Y555" i="102"/>
  <c r="T555" i="102"/>
  <c r="O555" i="102"/>
  <c r="J555" i="102"/>
  <c r="E555" i="102"/>
  <c r="Y554" i="102"/>
  <c r="T554" i="102"/>
  <c r="J554" i="102"/>
  <c r="E554" i="102"/>
  <c r="X551" i="102"/>
  <c r="W551" i="102"/>
  <c r="V551" i="102"/>
  <c r="S551" i="102"/>
  <c r="R551" i="102"/>
  <c r="Q551" i="102"/>
  <c r="N551" i="102"/>
  <c r="M551" i="102"/>
  <c r="L551" i="102"/>
  <c r="I551" i="102"/>
  <c r="H551" i="102"/>
  <c r="G551" i="102"/>
  <c r="D551" i="102"/>
  <c r="C551" i="102"/>
  <c r="B551" i="102"/>
  <c r="Y550" i="102"/>
  <c r="T550" i="102"/>
  <c r="O550" i="102"/>
  <c r="J550" i="102"/>
  <c r="E550" i="102"/>
  <c r="Y549" i="102"/>
  <c r="T549" i="102"/>
  <c r="O549" i="102"/>
  <c r="J549" i="102"/>
  <c r="E549" i="102"/>
  <c r="X510" i="102"/>
  <c r="W510" i="102"/>
  <c r="V510" i="102"/>
  <c r="S510" i="102"/>
  <c r="R510" i="102"/>
  <c r="Q510" i="102"/>
  <c r="N510" i="102"/>
  <c r="M510" i="102"/>
  <c r="L510" i="102"/>
  <c r="I510" i="102"/>
  <c r="H510" i="102"/>
  <c r="G510" i="102"/>
  <c r="D510" i="102"/>
  <c r="C510" i="102"/>
  <c r="B510" i="102"/>
  <c r="X509" i="102"/>
  <c r="W509" i="102"/>
  <c r="V509" i="102"/>
  <c r="S509" i="102"/>
  <c r="R509" i="102"/>
  <c r="Q509" i="102"/>
  <c r="N509" i="102"/>
  <c r="M509" i="102"/>
  <c r="L509" i="102"/>
  <c r="I509" i="102"/>
  <c r="H509" i="102"/>
  <c r="G509" i="102"/>
  <c r="D509" i="102"/>
  <c r="C509" i="102"/>
  <c r="B509" i="102"/>
  <c r="X506" i="102"/>
  <c r="W506" i="102"/>
  <c r="V506" i="102"/>
  <c r="S506" i="102"/>
  <c r="R506" i="102"/>
  <c r="Q506" i="102"/>
  <c r="N506" i="102"/>
  <c r="M506" i="102"/>
  <c r="L506" i="102"/>
  <c r="I506" i="102"/>
  <c r="H506" i="102"/>
  <c r="G506" i="102"/>
  <c r="D506" i="102"/>
  <c r="C506" i="102"/>
  <c r="B506" i="102"/>
  <c r="Y505" i="102"/>
  <c r="T505" i="102"/>
  <c r="O505" i="102"/>
  <c r="J505" i="102"/>
  <c r="E505" i="102"/>
  <c r="Y504" i="102"/>
  <c r="T504" i="102"/>
  <c r="O504" i="102"/>
  <c r="J504" i="102"/>
  <c r="E504" i="102"/>
  <c r="X501" i="102"/>
  <c r="W501" i="102"/>
  <c r="V501" i="102"/>
  <c r="S501" i="102"/>
  <c r="R501" i="102"/>
  <c r="Q501" i="102"/>
  <c r="N501" i="102"/>
  <c r="M501" i="102"/>
  <c r="L501" i="102"/>
  <c r="I501" i="102"/>
  <c r="H501" i="102"/>
  <c r="G501" i="102"/>
  <c r="D501" i="102"/>
  <c r="C501" i="102"/>
  <c r="B501" i="102"/>
  <c r="Y500" i="102"/>
  <c r="T500" i="102"/>
  <c r="O500" i="102"/>
  <c r="J500" i="102"/>
  <c r="E500" i="102"/>
  <c r="Y499" i="102"/>
  <c r="T499" i="102"/>
  <c r="O499" i="102"/>
  <c r="J499" i="102"/>
  <c r="E499" i="102"/>
  <c r="X496" i="102"/>
  <c r="W496" i="102"/>
  <c r="V496" i="102"/>
  <c r="S496" i="102"/>
  <c r="R496" i="102"/>
  <c r="Q496" i="102"/>
  <c r="N496" i="102"/>
  <c r="M496" i="102"/>
  <c r="L496" i="102"/>
  <c r="I496" i="102"/>
  <c r="H496" i="102"/>
  <c r="G496" i="102"/>
  <c r="D496" i="102"/>
  <c r="C496" i="102"/>
  <c r="B496" i="102"/>
  <c r="Y495" i="102"/>
  <c r="T495" i="102"/>
  <c r="O495" i="102"/>
  <c r="J495" i="102"/>
  <c r="E495" i="102"/>
  <c r="Y494" i="102"/>
  <c r="T494" i="102"/>
  <c r="O494" i="102"/>
  <c r="J494" i="102"/>
  <c r="E494" i="102"/>
  <c r="X370" i="102"/>
  <c r="W370" i="102"/>
  <c r="V370" i="102"/>
  <c r="B313" i="104" s="1"/>
  <c r="S370" i="102"/>
  <c r="R370" i="102"/>
  <c r="Q370" i="102"/>
  <c r="N370" i="102"/>
  <c r="M370" i="102"/>
  <c r="L370" i="102"/>
  <c r="I370" i="102"/>
  <c r="H370" i="102"/>
  <c r="G370" i="102"/>
  <c r="D370" i="102"/>
  <c r="C370" i="102"/>
  <c r="B370" i="102"/>
  <c r="X369" i="102"/>
  <c r="W369" i="102"/>
  <c r="V369" i="102"/>
  <c r="S369" i="102"/>
  <c r="R369" i="102"/>
  <c r="Q369" i="102"/>
  <c r="N369" i="102"/>
  <c r="M369" i="102"/>
  <c r="L369" i="102"/>
  <c r="I369" i="102"/>
  <c r="H369" i="102"/>
  <c r="G369" i="102"/>
  <c r="D369" i="102"/>
  <c r="C369" i="102"/>
  <c r="B369" i="102"/>
  <c r="X366" i="102"/>
  <c r="W366" i="102"/>
  <c r="V366" i="102"/>
  <c r="S366" i="102"/>
  <c r="R366" i="102"/>
  <c r="Q366" i="102"/>
  <c r="N366" i="102"/>
  <c r="M366" i="102"/>
  <c r="L366" i="102"/>
  <c r="I366" i="102"/>
  <c r="H366" i="102"/>
  <c r="G366" i="102"/>
  <c r="D366" i="102"/>
  <c r="C366" i="102"/>
  <c r="B366" i="102"/>
  <c r="Y365" i="102"/>
  <c r="T365" i="102"/>
  <c r="O365" i="102"/>
  <c r="J365" i="102"/>
  <c r="E365" i="102"/>
  <c r="Y364" i="102"/>
  <c r="T364" i="102"/>
  <c r="O364" i="102"/>
  <c r="J364" i="102"/>
  <c r="E364" i="102"/>
  <c r="X361" i="102"/>
  <c r="W361" i="102"/>
  <c r="V361" i="102"/>
  <c r="S361" i="102"/>
  <c r="R361" i="102"/>
  <c r="Q361" i="102"/>
  <c r="N361" i="102"/>
  <c r="M361" i="102"/>
  <c r="L361" i="102"/>
  <c r="I361" i="102"/>
  <c r="H361" i="102"/>
  <c r="G361" i="102"/>
  <c r="D361" i="102"/>
  <c r="C361" i="102"/>
  <c r="B361" i="102"/>
  <c r="Y360" i="102"/>
  <c r="T360" i="102"/>
  <c r="O360" i="102"/>
  <c r="J360" i="102"/>
  <c r="E360" i="102"/>
  <c r="Y359" i="102"/>
  <c r="T359" i="102"/>
  <c r="O359" i="102"/>
  <c r="J359" i="102"/>
  <c r="E359" i="102"/>
  <c r="X356" i="102"/>
  <c r="W356" i="102"/>
  <c r="V356" i="102"/>
  <c r="S356" i="102"/>
  <c r="R356" i="102"/>
  <c r="Q356" i="102"/>
  <c r="N356" i="102"/>
  <c r="M356" i="102"/>
  <c r="L356" i="102"/>
  <c r="I356" i="102"/>
  <c r="H356" i="102"/>
  <c r="G356" i="102"/>
  <c r="D356" i="102"/>
  <c r="C356" i="102"/>
  <c r="B356" i="102"/>
  <c r="Y355" i="102"/>
  <c r="T355" i="102"/>
  <c r="O355" i="102"/>
  <c r="J355" i="102"/>
  <c r="E355" i="102"/>
  <c r="Y354" i="102"/>
  <c r="T354" i="102"/>
  <c r="O354" i="102"/>
  <c r="J354" i="102"/>
  <c r="E354" i="102"/>
  <c r="X345" i="102"/>
  <c r="W345" i="102"/>
  <c r="V345" i="102"/>
  <c r="S345" i="102"/>
  <c r="R345" i="102"/>
  <c r="Q345" i="102"/>
  <c r="N345" i="102"/>
  <c r="M345" i="102"/>
  <c r="L345" i="102"/>
  <c r="I345" i="102"/>
  <c r="H345" i="102"/>
  <c r="G345" i="102"/>
  <c r="D345" i="102"/>
  <c r="C345" i="102"/>
  <c r="B345" i="102"/>
  <c r="X344" i="102"/>
  <c r="W344" i="102"/>
  <c r="V344" i="102"/>
  <c r="S344" i="102"/>
  <c r="R344" i="102"/>
  <c r="Q344" i="102"/>
  <c r="N344" i="102"/>
  <c r="M344" i="102"/>
  <c r="L344" i="102"/>
  <c r="I344" i="102"/>
  <c r="H344" i="102"/>
  <c r="G344" i="102"/>
  <c r="D344" i="102"/>
  <c r="C344" i="102"/>
  <c r="B344" i="102"/>
  <c r="X341" i="102"/>
  <c r="W341" i="102"/>
  <c r="V341" i="102"/>
  <c r="S341" i="102"/>
  <c r="R341" i="102"/>
  <c r="Q341" i="102"/>
  <c r="N341" i="102"/>
  <c r="M341" i="102"/>
  <c r="L341" i="102"/>
  <c r="I341" i="102"/>
  <c r="H341" i="102"/>
  <c r="G341" i="102"/>
  <c r="D341" i="102"/>
  <c r="C341" i="102"/>
  <c r="B341" i="102"/>
  <c r="Y340" i="102"/>
  <c r="T340" i="102"/>
  <c r="O340" i="102"/>
  <c r="J340" i="102"/>
  <c r="E340" i="102"/>
  <c r="Y339" i="102"/>
  <c r="T339" i="102"/>
  <c r="O339" i="102"/>
  <c r="J339" i="102"/>
  <c r="E339" i="102"/>
  <c r="X336" i="102"/>
  <c r="W336" i="102"/>
  <c r="V336" i="102"/>
  <c r="S336" i="102"/>
  <c r="R336" i="102"/>
  <c r="Q336" i="102"/>
  <c r="N336" i="102"/>
  <c r="M336" i="102"/>
  <c r="L336" i="102"/>
  <c r="I336" i="102"/>
  <c r="H336" i="102"/>
  <c r="G336" i="102"/>
  <c r="D336" i="102"/>
  <c r="C336" i="102"/>
  <c r="B336" i="102"/>
  <c r="Y335" i="102"/>
  <c r="T335" i="102"/>
  <c r="O335" i="102"/>
  <c r="J335" i="102"/>
  <c r="E335" i="102"/>
  <c r="Y334" i="102"/>
  <c r="T334" i="102"/>
  <c r="O334" i="102"/>
  <c r="J334" i="102"/>
  <c r="E334" i="102"/>
  <c r="X331" i="102"/>
  <c r="W331" i="102"/>
  <c r="V331" i="102"/>
  <c r="S331" i="102"/>
  <c r="R331" i="102"/>
  <c r="Q331" i="102"/>
  <c r="N331" i="102"/>
  <c r="M331" i="102"/>
  <c r="L331" i="102"/>
  <c r="I331" i="102"/>
  <c r="H331" i="102"/>
  <c r="G331" i="102"/>
  <c r="D331" i="102"/>
  <c r="C331" i="102"/>
  <c r="B331" i="102"/>
  <c r="Y330" i="102"/>
  <c r="T330" i="102"/>
  <c r="O330" i="102"/>
  <c r="J330" i="102"/>
  <c r="E330" i="102"/>
  <c r="Y329" i="102"/>
  <c r="T329" i="102"/>
  <c r="O329" i="102"/>
  <c r="J329" i="102"/>
  <c r="E329" i="102"/>
  <c r="X320" i="102"/>
  <c r="W320" i="102"/>
  <c r="V320" i="102"/>
  <c r="S320" i="102"/>
  <c r="R320" i="102"/>
  <c r="Q320" i="102"/>
  <c r="N320" i="102"/>
  <c r="M320" i="102"/>
  <c r="L320" i="102"/>
  <c r="I320" i="102"/>
  <c r="H320" i="102"/>
  <c r="G320" i="102"/>
  <c r="D320" i="102"/>
  <c r="C320" i="102"/>
  <c r="B320" i="102"/>
  <c r="X319" i="102"/>
  <c r="W319" i="102"/>
  <c r="V319" i="102"/>
  <c r="S319" i="102"/>
  <c r="R319" i="102"/>
  <c r="Q319" i="102"/>
  <c r="N319" i="102"/>
  <c r="M319" i="102"/>
  <c r="L319" i="102"/>
  <c r="I319" i="102"/>
  <c r="H319" i="102"/>
  <c r="G319" i="102"/>
  <c r="D319" i="102"/>
  <c r="C319" i="102"/>
  <c r="B319" i="102"/>
  <c r="X316" i="102"/>
  <c r="W316" i="102"/>
  <c r="V316" i="102"/>
  <c r="S316" i="102"/>
  <c r="R316" i="102"/>
  <c r="Q316" i="102"/>
  <c r="N316" i="102"/>
  <c r="M316" i="102"/>
  <c r="L316" i="102"/>
  <c r="I316" i="102"/>
  <c r="H316" i="102"/>
  <c r="G316" i="102"/>
  <c r="D316" i="102"/>
  <c r="C316" i="102"/>
  <c r="B316" i="102"/>
  <c r="Y315" i="102"/>
  <c r="T315" i="102"/>
  <c r="O315" i="102"/>
  <c r="J315" i="102"/>
  <c r="E315" i="102"/>
  <c r="Y314" i="102"/>
  <c r="T314" i="102"/>
  <c r="O314" i="102"/>
  <c r="J314" i="102"/>
  <c r="E314" i="102"/>
  <c r="X311" i="102"/>
  <c r="W311" i="102"/>
  <c r="V311" i="102"/>
  <c r="S311" i="102"/>
  <c r="R311" i="102"/>
  <c r="Q311" i="102"/>
  <c r="N311" i="102"/>
  <c r="M311" i="102"/>
  <c r="L311" i="102"/>
  <c r="I311" i="102"/>
  <c r="H311" i="102"/>
  <c r="G311" i="102"/>
  <c r="D311" i="102"/>
  <c r="C311" i="102"/>
  <c r="B311" i="102"/>
  <c r="Y310" i="102"/>
  <c r="T310" i="102"/>
  <c r="O310" i="102"/>
  <c r="J310" i="102"/>
  <c r="E310" i="102"/>
  <c r="Y309" i="102"/>
  <c r="T309" i="102"/>
  <c r="O309" i="102"/>
  <c r="J309" i="102"/>
  <c r="E309" i="102"/>
  <c r="X306" i="102"/>
  <c r="W306" i="102"/>
  <c r="V306" i="102"/>
  <c r="S306" i="102"/>
  <c r="R306" i="102"/>
  <c r="Q306" i="102"/>
  <c r="N306" i="102"/>
  <c r="M306" i="102"/>
  <c r="L306" i="102"/>
  <c r="I306" i="102"/>
  <c r="H306" i="102"/>
  <c r="G306" i="102"/>
  <c r="D306" i="102"/>
  <c r="C306" i="102"/>
  <c r="B306" i="102"/>
  <c r="Y305" i="102"/>
  <c r="T305" i="102"/>
  <c r="O305" i="102"/>
  <c r="J305" i="102"/>
  <c r="E305" i="102"/>
  <c r="Y304" i="102"/>
  <c r="T304" i="102"/>
  <c r="O304" i="102"/>
  <c r="J304" i="102"/>
  <c r="E304" i="102"/>
  <c r="X295" i="102"/>
  <c r="W295" i="102"/>
  <c r="V295" i="102"/>
  <c r="X294" i="102"/>
  <c r="W294" i="102"/>
  <c r="V294" i="102"/>
  <c r="S295" i="102"/>
  <c r="R295" i="102"/>
  <c r="Q295" i="102"/>
  <c r="S294" i="102"/>
  <c r="R294" i="102"/>
  <c r="Q294" i="102"/>
  <c r="N295" i="102"/>
  <c r="M295" i="102"/>
  <c r="L295" i="102"/>
  <c r="N294" i="102"/>
  <c r="M294" i="102"/>
  <c r="L294" i="102"/>
  <c r="I295" i="102"/>
  <c r="H295" i="102"/>
  <c r="G295" i="102"/>
  <c r="I294" i="102"/>
  <c r="H294" i="102"/>
  <c r="G294" i="102"/>
  <c r="B295" i="102"/>
  <c r="C295" i="102"/>
  <c r="D295" i="102"/>
  <c r="C294" i="102"/>
  <c r="D294" i="102"/>
  <c r="B294" i="102"/>
  <c r="X291" i="102"/>
  <c r="W291" i="102"/>
  <c r="V291" i="102"/>
  <c r="S291" i="102"/>
  <c r="R291" i="102"/>
  <c r="Q291" i="102"/>
  <c r="N291" i="102"/>
  <c r="M291" i="102"/>
  <c r="L291" i="102"/>
  <c r="I291" i="102"/>
  <c r="H291" i="102"/>
  <c r="G291" i="102"/>
  <c r="D291" i="102"/>
  <c r="C291" i="102"/>
  <c r="B291" i="102"/>
  <c r="Y290" i="102"/>
  <c r="T290" i="102"/>
  <c r="O290" i="102"/>
  <c r="J290" i="102"/>
  <c r="E290" i="102"/>
  <c r="Y289" i="102"/>
  <c r="T289" i="102"/>
  <c r="O289" i="102"/>
  <c r="J289" i="102"/>
  <c r="E289" i="102"/>
  <c r="X286" i="102"/>
  <c r="W286" i="102"/>
  <c r="V286" i="102"/>
  <c r="S286" i="102"/>
  <c r="R286" i="102"/>
  <c r="Q286" i="102"/>
  <c r="N286" i="102"/>
  <c r="M286" i="102"/>
  <c r="L286" i="102"/>
  <c r="I286" i="102"/>
  <c r="H286" i="102"/>
  <c r="G286" i="102"/>
  <c r="D286" i="102"/>
  <c r="C286" i="102"/>
  <c r="B286" i="102"/>
  <c r="Y285" i="102"/>
  <c r="T285" i="102"/>
  <c r="O285" i="102"/>
  <c r="J285" i="102"/>
  <c r="E285" i="102"/>
  <c r="Y284" i="102"/>
  <c r="T284" i="102"/>
  <c r="O284" i="102"/>
  <c r="J284" i="102"/>
  <c r="E284" i="102"/>
  <c r="X275" i="102"/>
  <c r="W275" i="102"/>
  <c r="V275" i="102"/>
  <c r="X274" i="102"/>
  <c r="W274" i="102"/>
  <c r="V274" i="102"/>
  <c r="S275" i="102"/>
  <c r="R275" i="102"/>
  <c r="Q275" i="102"/>
  <c r="S274" i="102"/>
  <c r="R274" i="102"/>
  <c r="Q274" i="102"/>
  <c r="N275" i="102"/>
  <c r="M275" i="102"/>
  <c r="L275" i="102"/>
  <c r="N274" i="102"/>
  <c r="M274" i="102"/>
  <c r="L274" i="102"/>
  <c r="I275" i="102"/>
  <c r="H275" i="102"/>
  <c r="G275" i="102"/>
  <c r="I274" i="102"/>
  <c r="H274" i="102"/>
  <c r="G274" i="102"/>
  <c r="B275" i="102"/>
  <c r="C275" i="102"/>
  <c r="D275" i="102"/>
  <c r="C274" i="102"/>
  <c r="D274" i="102"/>
  <c r="B274" i="102"/>
  <c r="X271" i="102"/>
  <c r="W271" i="102"/>
  <c r="V271" i="102"/>
  <c r="S271" i="102"/>
  <c r="R271" i="102"/>
  <c r="Q271" i="102"/>
  <c r="N271" i="102"/>
  <c r="M271" i="102"/>
  <c r="L271" i="102"/>
  <c r="I271" i="102"/>
  <c r="H271" i="102"/>
  <c r="G271" i="102"/>
  <c r="D271" i="102"/>
  <c r="C271" i="102"/>
  <c r="B271" i="102"/>
  <c r="Y270" i="102"/>
  <c r="T270" i="102"/>
  <c r="O270" i="102"/>
  <c r="J270" i="102"/>
  <c r="E270" i="102"/>
  <c r="Y269" i="102"/>
  <c r="T269" i="102"/>
  <c r="O269" i="102"/>
  <c r="J269" i="102"/>
  <c r="E269" i="102"/>
  <c r="X266" i="102"/>
  <c r="W266" i="102"/>
  <c r="V266" i="102"/>
  <c r="S266" i="102"/>
  <c r="R266" i="102"/>
  <c r="Q266" i="102"/>
  <c r="N266" i="102"/>
  <c r="M266" i="102"/>
  <c r="L266" i="102"/>
  <c r="I266" i="102"/>
  <c r="H266" i="102"/>
  <c r="G266" i="102"/>
  <c r="D266" i="102"/>
  <c r="C266" i="102"/>
  <c r="B266" i="102"/>
  <c r="Y265" i="102"/>
  <c r="T265" i="102"/>
  <c r="O265" i="102"/>
  <c r="J265" i="102"/>
  <c r="E265" i="102"/>
  <c r="Y264" i="102"/>
  <c r="T264" i="102"/>
  <c r="O264" i="102"/>
  <c r="J264" i="102"/>
  <c r="E264" i="102"/>
  <c r="X261" i="102"/>
  <c r="W261" i="102"/>
  <c r="V261" i="102"/>
  <c r="S261" i="102"/>
  <c r="R261" i="102"/>
  <c r="Q261" i="102"/>
  <c r="N261" i="102"/>
  <c r="M261" i="102"/>
  <c r="L261" i="102"/>
  <c r="I261" i="102"/>
  <c r="H261" i="102"/>
  <c r="G261" i="102"/>
  <c r="D261" i="102"/>
  <c r="C261" i="102"/>
  <c r="B261" i="102"/>
  <c r="Y260" i="102"/>
  <c r="T260" i="102"/>
  <c r="O260" i="102"/>
  <c r="J260" i="102"/>
  <c r="E260" i="102"/>
  <c r="Y259" i="102"/>
  <c r="T259" i="102"/>
  <c r="O259" i="102"/>
  <c r="J259" i="102"/>
  <c r="E259" i="102"/>
  <c r="X256" i="102"/>
  <c r="W256" i="102"/>
  <c r="V256" i="102"/>
  <c r="S256" i="102"/>
  <c r="R256" i="102"/>
  <c r="Q256" i="102"/>
  <c r="N256" i="102"/>
  <c r="M256" i="102"/>
  <c r="L256" i="102"/>
  <c r="I256" i="102"/>
  <c r="H256" i="102"/>
  <c r="G256" i="102"/>
  <c r="D256" i="102"/>
  <c r="C256" i="102"/>
  <c r="B256" i="102"/>
  <c r="Y255" i="102"/>
  <c r="T255" i="102"/>
  <c r="O255" i="102"/>
  <c r="J255" i="102"/>
  <c r="E255" i="102"/>
  <c r="Y254" i="102"/>
  <c r="T254" i="102"/>
  <c r="O254" i="102"/>
  <c r="J254" i="102"/>
  <c r="E254" i="102"/>
  <c r="X251" i="102"/>
  <c r="W251" i="102"/>
  <c r="V251" i="102"/>
  <c r="S251" i="102"/>
  <c r="R251" i="102"/>
  <c r="Q251" i="102"/>
  <c r="N251" i="102"/>
  <c r="M251" i="102"/>
  <c r="L251" i="102"/>
  <c r="I251" i="102"/>
  <c r="H251" i="102"/>
  <c r="G251" i="102"/>
  <c r="D251" i="102"/>
  <c r="C251" i="102"/>
  <c r="B251" i="102"/>
  <c r="Y250" i="102"/>
  <c r="T250" i="102"/>
  <c r="O250" i="102"/>
  <c r="J250" i="102"/>
  <c r="E250" i="102"/>
  <c r="Y249" i="102"/>
  <c r="T249" i="102"/>
  <c r="O249" i="102"/>
  <c r="J249" i="102"/>
  <c r="E249" i="102"/>
  <c r="B239" i="102"/>
  <c r="B236" i="102"/>
  <c r="E234" i="102"/>
  <c r="X240" i="102"/>
  <c r="W240" i="102"/>
  <c r="V240" i="102"/>
  <c r="S240" i="102"/>
  <c r="R240" i="102"/>
  <c r="Q240" i="102"/>
  <c r="N240" i="102"/>
  <c r="M240" i="102"/>
  <c r="L240" i="102"/>
  <c r="I240" i="102"/>
  <c r="H240" i="102"/>
  <c r="G240" i="102"/>
  <c r="D240" i="102"/>
  <c r="C240" i="102"/>
  <c r="B240" i="102"/>
  <c r="X239" i="102"/>
  <c r="W239" i="102"/>
  <c r="V239" i="102"/>
  <c r="S239" i="102"/>
  <c r="R239" i="102"/>
  <c r="Q239" i="102"/>
  <c r="N239" i="102"/>
  <c r="M239" i="102"/>
  <c r="L239" i="102"/>
  <c r="I239" i="102"/>
  <c r="H239" i="102"/>
  <c r="G239" i="102"/>
  <c r="D239" i="102"/>
  <c r="C239" i="102"/>
  <c r="X236" i="102"/>
  <c r="W236" i="102"/>
  <c r="V236" i="102"/>
  <c r="S236" i="102"/>
  <c r="R236" i="102"/>
  <c r="Q236" i="102"/>
  <c r="N236" i="102"/>
  <c r="M236" i="102"/>
  <c r="L236" i="102"/>
  <c r="I236" i="102"/>
  <c r="H236" i="102"/>
  <c r="G236" i="102"/>
  <c r="D236" i="102"/>
  <c r="C236" i="102"/>
  <c r="Y235" i="102"/>
  <c r="T235" i="102"/>
  <c r="O235" i="102"/>
  <c r="J235" i="102"/>
  <c r="E235" i="102"/>
  <c r="Y234" i="102"/>
  <c r="T234" i="102"/>
  <c r="O234" i="102"/>
  <c r="J234" i="102"/>
  <c r="X231" i="102"/>
  <c r="W231" i="102"/>
  <c r="V231" i="102"/>
  <c r="S231" i="102"/>
  <c r="R231" i="102"/>
  <c r="Q231" i="102"/>
  <c r="N231" i="102"/>
  <c r="M231" i="102"/>
  <c r="L231" i="102"/>
  <c r="I231" i="102"/>
  <c r="H231" i="102"/>
  <c r="G231" i="102"/>
  <c r="D231" i="102"/>
  <c r="C231" i="102"/>
  <c r="B231" i="102"/>
  <c r="Y230" i="102"/>
  <c r="T230" i="102"/>
  <c r="O230" i="102"/>
  <c r="J230" i="102"/>
  <c r="E230" i="102"/>
  <c r="Y229" i="102"/>
  <c r="T229" i="102"/>
  <c r="O229" i="102"/>
  <c r="J229" i="102"/>
  <c r="E229" i="102"/>
  <c r="X226" i="102"/>
  <c r="W226" i="102"/>
  <c r="V226" i="102"/>
  <c r="S226" i="102"/>
  <c r="R226" i="102"/>
  <c r="Q226" i="102"/>
  <c r="N226" i="102"/>
  <c r="M226" i="102"/>
  <c r="L226" i="102"/>
  <c r="I226" i="102"/>
  <c r="H226" i="102"/>
  <c r="G226" i="102"/>
  <c r="D226" i="102"/>
  <c r="C226" i="102"/>
  <c r="B226" i="102"/>
  <c r="Y225" i="102"/>
  <c r="T225" i="102"/>
  <c r="O225" i="102"/>
  <c r="J225" i="102"/>
  <c r="E225" i="102"/>
  <c r="Y224" i="102"/>
  <c r="T224" i="102"/>
  <c r="O224" i="102"/>
  <c r="J224" i="102"/>
  <c r="E224" i="102"/>
  <c r="X215" i="102"/>
  <c r="W215" i="102"/>
  <c r="V215" i="102"/>
  <c r="S215" i="102"/>
  <c r="R215" i="102"/>
  <c r="Q215" i="102"/>
  <c r="N215" i="102"/>
  <c r="M215" i="102"/>
  <c r="L215" i="102"/>
  <c r="I215" i="102"/>
  <c r="H215" i="102"/>
  <c r="G215" i="102"/>
  <c r="D215" i="102"/>
  <c r="C215" i="102"/>
  <c r="B215" i="102"/>
  <c r="X214" i="102"/>
  <c r="W214" i="102"/>
  <c r="V214" i="102"/>
  <c r="S214" i="102"/>
  <c r="R214" i="102"/>
  <c r="Q214" i="102"/>
  <c r="N214" i="102"/>
  <c r="M214" i="102"/>
  <c r="L214" i="102"/>
  <c r="I214" i="102"/>
  <c r="H214" i="102"/>
  <c r="G214" i="102"/>
  <c r="D214" i="102"/>
  <c r="C214" i="102"/>
  <c r="B214" i="102"/>
  <c r="X211" i="102"/>
  <c r="W211" i="102"/>
  <c r="V211" i="102"/>
  <c r="S211" i="102"/>
  <c r="R211" i="102"/>
  <c r="Q211" i="102"/>
  <c r="N211" i="102"/>
  <c r="M211" i="102"/>
  <c r="L211" i="102"/>
  <c r="I211" i="102"/>
  <c r="H211" i="102"/>
  <c r="G211" i="102"/>
  <c r="D211" i="102"/>
  <c r="C211" i="102"/>
  <c r="B211" i="102"/>
  <c r="Y210" i="102"/>
  <c r="T210" i="102"/>
  <c r="O210" i="102"/>
  <c r="J210" i="102"/>
  <c r="E210" i="102"/>
  <c r="Y209" i="102"/>
  <c r="T209" i="102"/>
  <c r="O209" i="102"/>
  <c r="J209" i="102"/>
  <c r="E209" i="102"/>
  <c r="X206" i="102"/>
  <c r="W206" i="102"/>
  <c r="V206" i="102"/>
  <c r="S206" i="102"/>
  <c r="R206" i="102"/>
  <c r="Q206" i="102"/>
  <c r="N206" i="102"/>
  <c r="M206" i="102"/>
  <c r="L206" i="102"/>
  <c r="I206" i="102"/>
  <c r="H206" i="102"/>
  <c r="G206" i="102"/>
  <c r="D206" i="102"/>
  <c r="C206" i="102"/>
  <c r="B206" i="102"/>
  <c r="Y205" i="102"/>
  <c r="T205" i="102"/>
  <c r="O205" i="102"/>
  <c r="J205" i="102"/>
  <c r="E205" i="102"/>
  <c r="Y204" i="102"/>
  <c r="T204" i="102"/>
  <c r="O204" i="102"/>
  <c r="J204" i="102"/>
  <c r="E204" i="102"/>
  <c r="X201" i="102"/>
  <c r="W201" i="102"/>
  <c r="V201" i="102"/>
  <c r="S201" i="102"/>
  <c r="R201" i="102"/>
  <c r="Q201" i="102"/>
  <c r="N201" i="102"/>
  <c r="M201" i="102"/>
  <c r="L201" i="102"/>
  <c r="I201" i="102"/>
  <c r="H201" i="102"/>
  <c r="G201" i="102"/>
  <c r="D201" i="102"/>
  <c r="C201" i="102"/>
  <c r="B201" i="102"/>
  <c r="Y200" i="102"/>
  <c r="T200" i="102"/>
  <c r="O200" i="102"/>
  <c r="J200" i="102"/>
  <c r="E200" i="102"/>
  <c r="Y199" i="102"/>
  <c r="T199" i="102"/>
  <c r="O199" i="102"/>
  <c r="J199" i="102"/>
  <c r="E199" i="102"/>
  <c r="B189" i="102"/>
  <c r="X190" i="102"/>
  <c r="W190" i="102"/>
  <c r="V190" i="102"/>
  <c r="S190" i="102"/>
  <c r="R190" i="102"/>
  <c r="Q190" i="102"/>
  <c r="N190" i="102"/>
  <c r="M190" i="102"/>
  <c r="L190" i="102"/>
  <c r="I190" i="102"/>
  <c r="H190" i="102"/>
  <c r="G190" i="102"/>
  <c r="D190" i="102"/>
  <c r="C190" i="102"/>
  <c r="B190" i="102"/>
  <c r="X189" i="102"/>
  <c r="W189" i="102"/>
  <c r="V189" i="102"/>
  <c r="S189" i="102"/>
  <c r="R189" i="102"/>
  <c r="Q189" i="102"/>
  <c r="N189" i="102"/>
  <c r="M189" i="102"/>
  <c r="L189" i="102"/>
  <c r="I189" i="102"/>
  <c r="H189" i="102"/>
  <c r="G189" i="102"/>
  <c r="D189" i="102"/>
  <c r="C189" i="102"/>
  <c r="X186" i="102"/>
  <c r="W186" i="102"/>
  <c r="V186" i="102"/>
  <c r="S186" i="102"/>
  <c r="R186" i="102"/>
  <c r="Q186" i="102"/>
  <c r="N186" i="102"/>
  <c r="M186" i="102"/>
  <c r="L186" i="102"/>
  <c r="I186" i="102"/>
  <c r="H186" i="102"/>
  <c r="G186" i="102"/>
  <c r="D186" i="102"/>
  <c r="C186" i="102"/>
  <c r="B186" i="102"/>
  <c r="Y185" i="102"/>
  <c r="T185" i="102"/>
  <c r="O185" i="102"/>
  <c r="J185" i="102"/>
  <c r="E185" i="102"/>
  <c r="Y184" i="102"/>
  <c r="T184" i="102"/>
  <c r="O184" i="102"/>
  <c r="J184" i="102"/>
  <c r="E184" i="102"/>
  <c r="X181" i="102"/>
  <c r="W181" i="102"/>
  <c r="V181" i="102"/>
  <c r="S181" i="102"/>
  <c r="R181" i="102"/>
  <c r="Q181" i="102"/>
  <c r="N181" i="102"/>
  <c r="M181" i="102"/>
  <c r="L181" i="102"/>
  <c r="I181" i="102"/>
  <c r="H181" i="102"/>
  <c r="G181" i="102"/>
  <c r="D181" i="102"/>
  <c r="C181" i="102"/>
  <c r="B181" i="102"/>
  <c r="Y180" i="102"/>
  <c r="T180" i="102"/>
  <c r="O180" i="102"/>
  <c r="J180" i="102"/>
  <c r="E180" i="102"/>
  <c r="Y179" i="102"/>
  <c r="T179" i="102"/>
  <c r="O179" i="102"/>
  <c r="J179" i="102"/>
  <c r="E179" i="102"/>
  <c r="X176" i="102"/>
  <c r="W176" i="102"/>
  <c r="V176" i="102"/>
  <c r="S176" i="102"/>
  <c r="R176" i="102"/>
  <c r="Q176" i="102"/>
  <c r="N176" i="102"/>
  <c r="M176" i="102"/>
  <c r="L176" i="102"/>
  <c r="I176" i="102"/>
  <c r="H176" i="102"/>
  <c r="G176" i="102"/>
  <c r="D176" i="102"/>
  <c r="C176" i="102"/>
  <c r="B176" i="102"/>
  <c r="Y175" i="102"/>
  <c r="T175" i="102"/>
  <c r="O175" i="102"/>
  <c r="J175" i="102"/>
  <c r="E175" i="102"/>
  <c r="Y174" i="102"/>
  <c r="T174" i="102"/>
  <c r="O174" i="102"/>
  <c r="J174" i="102"/>
  <c r="E174" i="102"/>
  <c r="X166" i="102"/>
  <c r="W166" i="102"/>
  <c r="V166" i="102"/>
  <c r="S166" i="102"/>
  <c r="R166" i="102"/>
  <c r="Q166" i="102"/>
  <c r="N166" i="102"/>
  <c r="M166" i="102"/>
  <c r="L166" i="102"/>
  <c r="I166" i="102"/>
  <c r="H166" i="102"/>
  <c r="G166" i="102"/>
  <c r="D166" i="102"/>
  <c r="C166" i="102"/>
  <c r="B166" i="102"/>
  <c r="Y165" i="102"/>
  <c r="T165" i="102"/>
  <c r="O165" i="102"/>
  <c r="J165" i="102"/>
  <c r="E165" i="102"/>
  <c r="Y164" i="102"/>
  <c r="T164" i="102"/>
  <c r="O164" i="102"/>
  <c r="J164" i="102"/>
  <c r="E164" i="102"/>
  <c r="X155" i="102"/>
  <c r="W155" i="102"/>
  <c r="V155" i="102"/>
  <c r="X154" i="102"/>
  <c r="W154" i="102"/>
  <c r="V154" i="102"/>
  <c r="S155" i="102"/>
  <c r="R155" i="102"/>
  <c r="Q155" i="102"/>
  <c r="S154" i="102"/>
  <c r="R154" i="102"/>
  <c r="Q154" i="102"/>
  <c r="N155" i="102"/>
  <c r="M155" i="102"/>
  <c r="L155" i="102"/>
  <c r="N154" i="102"/>
  <c r="M154" i="102"/>
  <c r="L154" i="102"/>
  <c r="I155" i="102"/>
  <c r="H155" i="102"/>
  <c r="G155" i="102"/>
  <c r="I154" i="102"/>
  <c r="H154" i="102"/>
  <c r="G154" i="102"/>
  <c r="B155" i="102"/>
  <c r="C155" i="102"/>
  <c r="D155" i="102"/>
  <c r="C154" i="102"/>
  <c r="D154" i="102"/>
  <c r="B154" i="102"/>
  <c r="B151" i="102"/>
  <c r="X151" i="102"/>
  <c r="W151" i="102"/>
  <c r="V151" i="102"/>
  <c r="S151" i="102"/>
  <c r="R151" i="102"/>
  <c r="Q151" i="102"/>
  <c r="N151" i="102"/>
  <c r="M151" i="102"/>
  <c r="L151" i="102"/>
  <c r="I151" i="102"/>
  <c r="H151" i="102"/>
  <c r="G151" i="102"/>
  <c r="D151" i="102"/>
  <c r="C151" i="102"/>
  <c r="Y150" i="102"/>
  <c r="T150" i="102"/>
  <c r="O150" i="102"/>
  <c r="J150" i="102"/>
  <c r="E150" i="102"/>
  <c r="Y149" i="102"/>
  <c r="T149" i="102"/>
  <c r="O149" i="102"/>
  <c r="J149" i="102"/>
  <c r="E149" i="102"/>
  <c r="X146" i="102"/>
  <c r="W146" i="102"/>
  <c r="V146" i="102"/>
  <c r="S146" i="102"/>
  <c r="R146" i="102"/>
  <c r="Q146" i="102"/>
  <c r="N146" i="102"/>
  <c r="M146" i="102"/>
  <c r="L146" i="102"/>
  <c r="I146" i="102"/>
  <c r="H146" i="102"/>
  <c r="G146" i="102"/>
  <c r="D146" i="102"/>
  <c r="C146" i="102"/>
  <c r="B146" i="102"/>
  <c r="Y145" i="102"/>
  <c r="T145" i="102"/>
  <c r="O145" i="102"/>
  <c r="J145" i="102"/>
  <c r="E145" i="102"/>
  <c r="Y144" i="102"/>
  <c r="T144" i="102"/>
  <c r="O144" i="102"/>
  <c r="J144" i="102"/>
  <c r="E144" i="102"/>
  <c r="X141" i="102"/>
  <c r="W141" i="102"/>
  <c r="V141" i="102"/>
  <c r="S141" i="102"/>
  <c r="R141" i="102"/>
  <c r="Q141" i="102"/>
  <c r="N141" i="102"/>
  <c r="M141" i="102"/>
  <c r="L141" i="102"/>
  <c r="I141" i="102"/>
  <c r="H141" i="102"/>
  <c r="G141" i="102"/>
  <c r="D141" i="102"/>
  <c r="C141" i="102"/>
  <c r="B141" i="102"/>
  <c r="Y140" i="102"/>
  <c r="T140" i="102"/>
  <c r="O140" i="102"/>
  <c r="J140" i="102"/>
  <c r="E140" i="102"/>
  <c r="Y139" i="102"/>
  <c r="T139" i="102"/>
  <c r="O139" i="102"/>
  <c r="J139" i="102"/>
  <c r="E139" i="102"/>
  <c r="X136" i="102"/>
  <c r="W136" i="102"/>
  <c r="V136" i="102"/>
  <c r="S136" i="102"/>
  <c r="R136" i="102"/>
  <c r="Q136" i="102"/>
  <c r="N136" i="102"/>
  <c r="M136" i="102"/>
  <c r="L136" i="102"/>
  <c r="I136" i="102"/>
  <c r="H136" i="102"/>
  <c r="G136" i="102"/>
  <c r="D136" i="102"/>
  <c r="C136" i="102"/>
  <c r="B136" i="102"/>
  <c r="Y135" i="102"/>
  <c r="T135" i="102"/>
  <c r="O135" i="102"/>
  <c r="J135" i="102"/>
  <c r="E135" i="102"/>
  <c r="Y134" i="102"/>
  <c r="T134" i="102"/>
  <c r="O134" i="102"/>
  <c r="J134" i="102"/>
  <c r="E134" i="102"/>
  <c r="X131" i="102"/>
  <c r="W131" i="102"/>
  <c r="V131" i="102"/>
  <c r="S131" i="102"/>
  <c r="R131" i="102"/>
  <c r="Q131" i="102"/>
  <c r="N131" i="102"/>
  <c r="M131" i="102"/>
  <c r="L131" i="102"/>
  <c r="I131" i="102"/>
  <c r="H131" i="102"/>
  <c r="G131" i="102"/>
  <c r="D131" i="102"/>
  <c r="C131" i="102"/>
  <c r="B131" i="102"/>
  <c r="Y130" i="102"/>
  <c r="T130" i="102"/>
  <c r="O130" i="102"/>
  <c r="J130" i="102"/>
  <c r="E130" i="102"/>
  <c r="Y129" i="102"/>
  <c r="T129" i="102"/>
  <c r="O129" i="102"/>
  <c r="J129" i="102"/>
  <c r="E129" i="102"/>
  <c r="X126" i="102"/>
  <c r="W126" i="102"/>
  <c r="V126" i="102"/>
  <c r="S126" i="102"/>
  <c r="R126" i="102"/>
  <c r="Q126" i="102"/>
  <c r="N126" i="102"/>
  <c r="M126" i="102"/>
  <c r="L126" i="102"/>
  <c r="I126" i="102"/>
  <c r="H126" i="102"/>
  <c r="G126" i="102"/>
  <c r="D126" i="102"/>
  <c r="C126" i="102"/>
  <c r="B126" i="102"/>
  <c r="Y125" i="102"/>
  <c r="T125" i="102"/>
  <c r="O125" i="102"/>
  <c r="J125" i="102"/>
  <c r="E125" i="102"/>
  <c r="Y124" i="102"/>
  <c r="T124" i="102"/>
  <c r="O124" i="102"/>
  <c r="J124" i="102"/>
  <c r="E124" i="102"/>
  <c r="X121" i="102"/>
  <c r="W121" i="102"/>
  <c r="V121" i="102"/>
  <c r="S121" i="102"/>
  <c r="R121" i="102"/>
  <c r="Q121" i="102"/>
  <c r="N121" i="102"/>
  <c r="M121" i="102"/>
  <c r="L121" i="102"/>
  <c r="I121" i="102"/>
  <c r="H121" i="102"/>
  <c r="G121" i="102"/>
  <c r="D121" i="102"/>
  <c r="C121" i="102"/>
  <c r="B121" i="102"/>
  <c r="Y120" i="102"/>
  <c r="T120" i="102"/>
  <c r="O120" i="102"/>
  <c r="J120" i="102"/>
  <c r="E120" i="102"/>
  <c r="Y119" i="102"/>
  <c r="T119" i="102"/>
  <c r="O119" i="102"/>
  <c r="J119" i="102"/>
  <c r="E119" i="102"/>
  <c r="X116" i="102"/>
  <c r="W116" i="102"/>
  <c r="V116" i="102"/>
  <c r="S116" i="102"/>
  <c r="R116" i="102"/>
  <c r="Q116" i="102"/>
  <c r="N116" i="102"/>
  <c r="M116" i="102"/>
  <c r="L116" i="102"/>
  <c r="I116" i="102"/>
  <c r="H116" i="102"/>
  <c r="G116" i="102"/>
  <c r="D116" i="102"/>
  <c r="C116" i="102"/>
  <c r="B116" i="102"/>
  <c r="Y115" i="102"/>
  <c r="T115" i="102"/>
  <c r="O115" i="102"/>
  <c r="J115" i="102"/>
  <c r="E115" i="102"/>
  <c r="Y114" i="102"/>
  <c r="T114" i="102"/>
  <c r="O114" i="102"/>
  <c r="J114" i="102"/>
  <c r="E114" i="102"/>
  <c r="X111" i="102"/>
  <c r="W111" i="102"/>
  <c r="V111" i="102"/>
  <c r="S111" i="102"/>
  <c r="R111" i="102"/>
  <c r="Q111" i="102"/>
  <c r="N111" i="102"/>
  <c r="M111" i="102"/>
  <c r="L111" i="102"/>
  <c r="I111" i="102"/>
  <c r="H111" i="102"/>
  <c r="G111" i="102"/>
  <c r="D111" i="102"/>
  <c r="C111" i="102"/>
  <c r="B111" i="102"/>
  <c r="Y110" i="102"/>
  <c r="T110" i="102"/>
  <c r="O110" i="102"/>
  <c r="J110" i="102"/>
  <c r="E110" i="102"/>
  <c r="Y109" i="102"/>
  <c r="T109" i="102"/>
  <c r="O109" i="102"/>
  <c r="J109" i="102"/>
  <c r="E109" i="102"/>
  <c r="X106" i="102"/>
  <c r="W106" i="102"/>
  <c r="V106" i="102"/>
  <c r="S106" i="102"/>
  <c r="R106" i="102"/>
  <c r="Q106" i="102"/>
  <c r="N106" i="102"/>
  <c r="M106" i="102"/>
  <c r="L106" i="102"/>
  <c r="I106" i="102"/>
  <c r="H106" i="102"/>
  <c r="G106" i="102"/>
  <c r="D106" i="102"/>
  <c r="C106" i="102"/>
  <c r="B106" i="102"/>
  <c r="Y105" i="102"/>
  <c r="T105" i="102"/>
  <c r="O105" i="102"/>
  <c r="J105" i="102"/>
  <c r="E105" i="102"/>
  <c r="Y104" i="102"/>
  <c r="T104" i="102"/>
  <c r="O104" i="102"/>
  <c r="J104" i="102"/>
  <c r="E104" i="102"/>
  <c r="X101" i="102"/>
  <c r="W101" i="102"/>
  <c r="V101" i="102"/>
  <c r="S101" i="102"/>
  <c r="R101" i="102"/>
  <c r="Q101" i="102"/>
  <c r="N101" i="102"/>
  <c r="M101" i="102"/>
  <c r="L101" i="102"/>
  <c r="I101" i="102"/>
  <c r="H101" i="102"/>
  <c r="G101" i="102"/>
  <c r="D101" i="102"/>
  <c r="C101" i="102"/>
  <c r="B101" i="102"/>
  <c r="Y100" i="102"/>
  <c r="T100" i="102"/>
  <c r="O100" i="102"/>
  <c r="J100" i="102"/>
  <c r="E100" i="102"/>
  <c r="Y99" i="102"/>
  <c r="T99" i="102"/>
  <c r="O99" i="102"/>
  <c r="J99" i="102"/>
  <c r="E99" i="102"/>
  <c r="X96" i="102"/>
  <c r="W96" i="102"/>
  <c r="V96" i="102"/>
  <c r="S96" i="102"/>
  <c r="R96" i="102"/>
  <c r="Q96" i="102"/>
  <c r="N96" i="102"/>
  <c r="M96" i="102"/>
  <c r="L96" i="102"/>
  <c r="I96" i="102"/>
  <c r="H96" i="102"/>
  <c r="G96" i="102"/>
  <c r="D96" i="102"/>
  <c r="C96" i="102"/>
  <c r="B96" i="102"/>
  <c r="Y95" i="102"/>
  <c r="T95" i="102"/>
  <c r="O95" i="102"/>
  <c r="J95" i="102"/>
  <c r="E95" i="102"/>
  <c r="Y94" i="102"/>
  <c r="T94" i="102"/>
  <c r="O94" i="102"/>
  <c r="J94" i="102"/>
  <c r="E94" i="102"/>
  <c r="X91" i="102"/>
  <c r="W91" i="102"/>
  <c r="V91" i="102"/>
  <c r="S91" i="102"/>
  <c r="R91" i="102"/>
  <c r="Q91" i="102"/>
  <c r="N91" i="102"/>
  <c r="M91" i="102"/>
  <c r="L91" i="102"/>
  <c r="I91" i="102"/>
  <c r="H91" i="102"/>
  <c r="G91" i="102"/>
  <c r="D91" i="102"/>
  <c r="C91" i="102"/>
  <c r="B91" i="102"/>
  <c r="Y90" i="102"/>
  <c r="T90" i="102"/>
  <c r="O90" i="102"/>
  <c r="J90" i="102"/>
  <c r="E90" i="102"/>
  <c r="Y89" i="102"/>
  <c r="T89" i="102"/>
  <c r="O89" i="102"/>
  <c r="J89" i="102"/>
  <c r="E89" i="102"/>
  <c r="X86" i="102"/>
  <c r="W86" i="102"/>
  <c r="V86" i="102"/>
  <c r="S86" i="102"/>
  <c r="R86" i="102"/>
  <c r="Q86" i="102"/>
  <c r="N86" i="102"/>
  <c r="M86" i="102"/>
  <c r="L86" i="102"/>
  <c r="I86" i="102"/>
  <c r="H86" i="102"/>
  <c r="G86" i="102"/>
  <c r="D86" i="102"/>
  <c r="C86" i="102"/>
  <c r="B86" i="102"/>
  <c r="Y85" i="102"/>
  <c r="T85" i="102"/>
  <c r="O85" i="102"/>
  <c r="J85" i="102"/>
  <c r="E85" i="102"/>
  <c r="Y84" i="102"/>
  <c r="T84" i="102"/>
  <c r="O84" i="102"/>
  <c r="J84" i="102"/>
  <c r="E84" i="102"/>
  <c r="X81" i="102"/>
  <c r="W81" i="102"/>
  <c r="V81" i="102"/>
  <c r="S81" i="102"/>
  <c r="R81" i="102"/>
  <c r="Q81" i="102"/>
  <c r="N81" i="102"/>
  <c r="M81" i="102"/>
  <c r="L81" i="102"/>
  <c r="I81" i="102"/>
  <c r="H81" i="102"/>
  <c r="G81" i="102"/>
  <c r="D81" i="102"/>
  <c r="C81" i="102"/>
  <c r="B81" i="102"/>
  <c r="Y80" i="102"/>
  <c r="T80" i="102"/>
  <c r="O80" i="102"/>
  <c r="J80" i="102"/>
  <c r="E80" i="102"/>
  <c r="Y79" i="102"/>
  <c r="T79" i="102"/>
  <c r="O79" i="102"/>
  <c r="J79" i="102"/>
  <c r="E79" i="102"/>
  <c r="X76" i="102"/>
  <c r="W76" i="102"/>
  <c r="V76" i="102"/>
  <c r="S76" i="102"/>
  <c r="R76" i="102"/>
  <c r="Q76" i="102"/>
  <c r="N76" i="102"/>
  <c r="M76" i="102"/>
  <c r="L76" i="102"/>
  <c r="I76" i="102"/>
  <c r="H76" i="102"/>
  <c r="G76" i="102"/>
  <c r="D76" i="102"/>
  <c r="C76" i="102"/>
  <c r="B76" i="102"/>
  <c r="Y75" i="102"/>
  <c r="T75" i="102"/>
  <c r="O75" i="102"/>
  <c r="J75" i="102"/>
  <c r="E75" i="102"/>
  <c r="Y74" i="102"/>
  <c r="T74" i="102"/>
  <c r="O74" i="102"/>
  <c r="J74" i="102"/>
  <c r="E74" i="102"/>
  <c r="X65" i="102"/>
  <c r="W65" i="102"/>
  <c r="V65" i="102"/>
  <c r="X64" i="102"/>
  <c r="W64" i="102"/>
  <c r="V64" i="102"/>
  <c r="S65" i="102"/>
  <c r="R65" i="102"/>
  <c r="Q65" i="102"/>
  <c r="S64" i="102"/>
  <c r="R64" i="102"/>
  <c r="Q64" i="102"/>
  <c r="N65" i="102"/>
  <c r="M65" i="102"/>
  <c r="L65" i="102"/>
  <c r="N64" i="102"/>
  <c r="M64" i="102"/>
  <c r="L64" i="102"/>
  <c r="I65" i="102"/>
  <c r="H65" i="102"/>
  <c r="G65" i="102"/>
  <c r="I64" i="102"/>
  <c r="H64" i="102"/>
  <c r="G64" i="102"/>
  <c r="B65" i="102"/>
  <c r="C65" i="102"/>
  <c r="D65" i="102"/>
  <c r="C64" i="102"/>
  <c r="D64" i="102"/>
  <c r="B64" i="102"/>
  <c r="X61" i="102"/>
  <c r="W61" i="102"/>
  <c r="V61" i="102"/>
  <c r="S61" i="102"/>
  <c r="R61" i="102"/>
  <c r="Q61" i="102"/>
  <c r="N61" i="102"/>
  <c r="M61" i="102"/>
  <c r="L61" i="102"/>
  <c r="I61" i="102"/>
  <c r="H61" i="102"/>
  <c r="G61" i="102"/>
  <c r="D61" i="102"/>
  <c r="C61" i="102"/>
  <c r="B61" i="102"/>
  <c r="Y60" i="102"/>
  <c r="T60" i="102"/>
  <c r="O60" i="102"/>
  <c r="J60" i="102"/>
  <c r="E60" i="102"/>
  <c r="Y59" i="102"/>
  <c r="T59" i="102"/>
  <c r="O59" i="102"/>
  <c r="J59" i="102"/>
  <c r="E59" i="102"/>
  <c r="X56" i="102"/>
  <c r="W56" i="102"/>
  <c r="V56" i="102"/>
  <c r="S56" i="102"/>
  <c r="R56" i="102"/>
  <c r="Q56" i="102"/>
  <c r="N56" i="102"/>
  <c r="M56" i="102"/>
  <c r="L56" i="102"/>
  <c r="I56" i="102"/>
  <c r="H56" i="102"/>
  <c r="G56" i="102"/>
  <c r="D56" i="102"/>
  <c r="C56" i="102"/>
  <c r="B56" i="102"/>
  <c r="Y55" i="102"/>
  <c r="T55" i="102"/>
  <c r="O55" i="102"/>
  <c r="J55" i="102"/>
  <c r="E55" i="102"/>
  <c r="Y54" i="102"/>
  <c r="T54" i="102"/>
  <c r="O54" i="102"/>
  <c r="J54" i="102"/>
  <c r="E54" i="102"/>
  <c r="X51" i="102"/>
  <c r="W51" i="102"/>
  <c r="V51" i="102"/>
  <c r="S51" i="102"/>
  <c r="R51" i="102"/>
  <c r="Q51" i="102"/>
  <c r="N51" i="102"/>
  <c r="M51" i="102"/>
  <c r="L51" i="102"/>
  <c r="I51" i="102"/>
  <c r="H51" i="102"/>
  <c r="G51" i="102"/>
  <c r="D51" i="102"/>
  <c r="C51" i="102"/>
  <c r="B51" i="102"/>
  <c r="Y50" i="102"/>
  <c r="T50" i="102"/>
  <c r="O50" i="102"/>
  <c r="J50" i="102"/>
  <c r="E50" i="102"/>
  <c r="Y49" i="102"/>
  <c r="T49" i="102"/>
  <c r="O49" i="102"/>
  <c r="J49" i="102"/>
  <c r="E49" i="102"/>
  <c r="X40" i="102"/>
  <c r="W40" i="102"/>
  <c r="V40" i="102"/>
  <c r="X39" i="102"/>
  <c r="W39" i="102"/>
  <c r="V39" i="102"/>
  <c r="S40" i="102"/>
  <c r="R40" i="102"/>
  <c r="Q40" i="102"/>
  <c r="S39" i="102"/>
  <c r="R39" i="102"/>
  <c r="Q39" i="102"/>
  <c r="N40" i="102"/>
  <c r="M40" i="102"/>
  <c r="L40" i="102"/>
  <c r="N39" i="102"/>
  <c r="M39" i="102"/>
  <c r="L39" i="102"/>
  <c r="I40" i="102"/>
  <c r="H40" i="102"/>
  <c r="G40" i="102"/>
  <c r="I39" i="102"/>
  <c r="H39" i="102"/>
  <c r="G39" i="102"/>
  <c r="B40" i="102"/>
  <c r="C40" i="102"/>
  <c r="D40" i="102"/>
  <c r="C39" i="102"/>
  <c r="D39" i="102"/>
  <c r="B39" i="102"/>
  <c r="X36" i="102"/>
  <c r="W36" i="102"/>
  <c r="V36" i="102"/>
  <c r="S36" i="102"/>
  <c r="R36" i="102"/>
  <c r="Q36" i="102"/>
  <c r="N36" i="102"/>
  <c r="M36" i="102"/>
  <c r="L36" i="102"/>
  <c r="I36" i="102"/>
  <c r="H36" i="102"/>
  <c r="G36" i="102"/>
  <c r="D36" i="102"/>
  <c r="C36" i="102"/>
  <c r="B36" i="102"/>
  <c r="Y35" i="102"/>
  <c r="T35" i="102"/>
  <c r="O35" i="102"/>
  <c r="J35" i="102"/>
  <c r="E35" i="102"/>
  <c r="Y34" i="102"/>
  <c r="T34" i="102"/>
  <c r="O34" i="102"/>
  <c r="J34" i="102"/>
  <c r="E34" i="102"/>
  <c r="X31" i="102"/>
  <c r="W31" i="102"/>
  <c r="V31" i="102"/>
  <c r="S31" i="102"/>
  <c r="R31" i="102"/>
  <c r="Q31" i="102"/>
  <c r="N31" i="102"/>
  <c r="M31" i="102"/>
  <c r="L31" i="102"/>
  <c r="I31" i="102"/>
  <c r="H31" i="102"/>
  <c r="G31" i="102"/>
  <c r="D31" i="102"/>
  <c r="C31" i="102"/>
  <c r="B31" i="102"/>
  <c r="Y30" i="102"/>
  <c r="T30" i="102"/>
  <c r="O30" i="102"/>
  <c r="J30" i="102"/>
  <c r="E30" i="102"/>
  <c r="Y29" i="102"/>
  <c r="T29" i="102"/>
  <c r="O29" i="102"/>
  <c r="J29" i="102"/>
  <c r="E29" i="102"/>
  <c r="X21" i="102"/>
  <c r="W21" i="102"/>
  <c r="V21" i="102"/>
  <c r="S21" i="102"/>
  <c r="R21" i="102"/>
  <c r="Q21" i="102"/>
  <c r="N21" i="102"/>
  <c r="M21" i="102"/>
  <c r="L21" i="102"/>
  <c r="I21" i="102"/>
  <c r="H21" i="102"/>
  <c r="G21" i="102"/>
  <c r="D21" i="102"/>
  <c r="C21" i="102"/>
  <c r="B21" i="102"/>
  <c r="Y20" i="102"/>
  <c r="T20" i="102"/>
  <c r="O20" i="102"/>
  <c r="J20" i="102"/>
  <c r="E20" i="102"/>
  <c r="Y19" i="102"/>
  <c r="T19" i="102"/>
  <c r="O19" i="102"/>
  <c r="J19" i="102"/>
  <c r="E19" i="102"/>
  <c r="X11" i="102"/>
  <c r="W11" i="102"/>
  <c r="V11" i="102"/>
  <c r="Y10" i="102"/>
  <c r="Y9" i="102"/>
  <c r="S11" i="102"/>
  <c r="R11" i="102"/>
  <c r="Q11" i="102"/>
  <c r="T10" i="102"/>
  <c r="T9" i="102"/>
  <c r="N11" i="102"/>
  <c r="M11" i="102"/>
  <c r="L11" i="102"/>
  <c r="O10" i="102"/>
  <c r="O9" i="102"/>
  <c r="I11" i="102"/>
  <c r="H11" i="102"/>
  <c r="G11" i="102"/>
  <c r="J10" i="102"/>
  <c r="J9" i="102"/>
  <c r="C11" i="102"/>
  <c r="D11" i="102"/>
  <c r="B11" i="102"/>
  <c r="E10" i="102"/>
  <c r="E9" i="102"/>
  <c r="J251" i="102" l="1"/>
  <c r="O425" i="102"/>
  <c r="Y425" i="102"/>
  <c r="O506" i="102"/>
  <c r="X426" i="102"/>
  <c r="T201" i="102"/>
  <c r="H66" i="102"/>
  <c r="G276" i="102"/>
  <c r="S41" i="102"/>
  <c r="E539" i="102"/>
  <c r="T39" i="102"/>
  <c r="O131" i="102"/>
  <c r="V321" i="102"/>
  <c r="T31" i="102"/>
  <c r="X156" i="102"/>
  <c r="Y155" i="102"/>
  <c r="J190" i="102"/>
  <c r="E206" i="102"/>
  <c r="E274" i="102"/>
  <c r="H241" i="102"/>
  <c r="N276" i="102"/>
  <c r="S566" i="102"/>
  <c r="N566" i="102"/>
  <c r="D41" i="102"/>
  <c r="W41" i="102"/>
  <c r="C66" i="102"/>
  <c r="Y76" i="102"/>
  <c r="Q156" i="102"/>
  <c r="J306" i="102"/>
  <c r="E496" i="102"/>
  <c r="T565" i="102"/>
  <c r="T381" i="102"/>
  <c r="O396" i="102"/>
  <c r="C41" i="102"/>
  <c r="X41" i="102"/>
  <c r="E214" i="102"/>
  <c r="T215" i="102"/>
  <c r="C276" i="102"/>
  <c r="Q41" i="102"/>
  <c r="E151" i="102"/>
  <c r="B156" i="102"/>
  <c r="W296" i="102"/>
  <c r="H321" i="102"/>
  <c r="I566" i="102"/>
  <c r="D156" i="102"/>
  <c r="T166" i="102"/>
  <c r="V241" i="102"/>
  <c r="O286" i="102"/>
  <c r="C296" i="102"/>
  <c r="I321" i="102"/>
  <c r="O536" i="102"/>
  <c r="N541" i="102"/>
  <c r="Y295" i="102"/>
  <c r="O56" i="102"/>
  <c r="M276" i="102"/>
  <c r="J401" i="102"/>
  <c r="E416" i="102"/>
  <c r="T11" i="102"/>
  <c r="E176" i="102"/>
  <c r="O236" i="102"/>
  <c r="Q296" i="102"/>
  <c r="T425" i="102"/>
  <c r="L511" i="102"/>
  <c r="M41" i="102"/>
  <c r="E56" i="102"/>
  <c r="S66" i="102"/>
  <c r="J81" i="102"/>
  <c r="J186" i="102"/>
  <c r="H276" i="102"/>
  <c r="O561" i="102"/>
  <c r="O416" i="102"/>
  <c r="N466" i="102"/>
  <c r="J146" i="102"/>
  <c r="J151" i="102"/>
  <c r="Y540" i="102"/>
  <c r="E36" i="102"/>
  <c r="M541" i="102"/>
  <c r="O39" i="102"/>
  <c r="O186" i="102"/>
  <c r="E465" i="102"/>
  <c r="L296" i="102"/>
  <c r="T316" i="102"/>
  <c r="B511" i="102"/>
  <c r="G466" i="102"/>
  <c r="Y451" i="102"/>
  <c r="R541" i="102"/>
  <c r="T261" i="102"/>
  <c r="O291" i="102"/>
  <c r="T465" i="102"/>
  <c r="J11" i="102"/>
  <c r="Y21" i="102"/>
  <c r="E39" i="102"/>
  <c r="I41" i="102"/>
  <c r="V41" i="102"/>
  <c r="E51" i="102"/>
  <c r="T101" i="102"/>
  <c r="E106" i="102"/>
  <c r="O116" i="102"/>
  <c r="M156" i="102"/>
  <c r="M191" i="102"/>
  <c r="E190" i="102"/>
  <c r="O201" i="102"/>
  <c r="I216" i="102"/>
  <c r="W216" i="102"/>
  <c r="O215" i="102"/>
  <c r="E240" i="102"/>
  <c r="E236" i="102"/>
  <c r="J256" i="102"/>
  <c r="T266" i="102"/>
  <c r="E271" i="102"/>
  <c r="E294" i="102"/>
  <c r="Y294" i="102"/>
  <c r="O316" i="102"/>
  <c r="E320" i="102"/>
  <c r="L346" i="102"/>
  <c r="X346" i="102"/>
  <c r="I371" i="102"/>
  <c r="W371" i="102"/>
  <c r="H511" i="102"/>
  <c r="H566" i="102"/>
  <c r="W566" i="102"/>
  <c r="T406" i="102"/>
  <c r="O421" i="102"/>
  <c r="C426" i="102"/>
  <c r="X541" i="102"/>
  <c r="Y186" i="102"/>
  <c r="B466" i="102"/>
  <c r="Y64" i="102"/>
  <c r="E76" i="102"/>
  <c r="T189" i="102"/>
  <c r="E201" i="102"/>
  <c r="E215" i="102"/>
  <c r="O231" i="102"/>
  <c r="T239" i="102"/>
  <c r="T331" i="102"/>
  <c r="E336" i="102"/>
  <c r="E356" i="102"/>
  <c r="O366" i="102"/>
  <c r="B371" i="102"/>
  <c r="E565" i="102"/>
  <c r="E381" i="102"/>
  <c r="O391" i="102"/>
  <c r="Y401" i="102"/>
  <c r="J406" i="102"/>
  <c r="J424" i="102"/>
  <c r="N426" i="102"/>
  <c r="O436" i="102"/>
  <c r="T451" i="102"/>
  <c r="T456" i="102"/>
  <c r="T461" i="102"/>
  <c r="G41" i="102"/>
  <c r="R296" i="102"/>
  <c r="H426" i="102"/>
  <c r="O36" i="102"/>
  <c r="J56" i="102"/>
  <c r="X66" i="102"/>
  <c r="E86" i="102"/>
  <c r="O86" i="102"/>
  <c r="O96" i="102"/>
  <c r="Y106" i="102"/>
  <c r="J111" i="102"/>
  <c r="O136" i="102"/>
  <c r="Y146" i="102"/>
  <c r="Y151" i="102"/>
  <c r="Y166" i="102"/>
  <c r="J176" i="102"/>
  <c r="Y275" i="102"/>
  <c r="I426" i="102"/>
  <c r="Y424" i="102"/>
  <c r="E436" i="102"/>
  <c r="Y456" i="102"/>
  <c r="J461" i="102"/>
  <c r="E65" i="102"/>
  <c r="Y65" i="102"/>
  <c r="J76" i="102"/>
  <c r="Y189" i="102"/>
  <c r="J201" i="102"/>
  <c r="T211" i="102"/>
  <c r="J215" i="102"/>
  <c r="E251" i="102"/>
  <c r="E275" i="102"/>
  <c r="T295" i="102"/>
  <c r="Y306" i="102"/>
  <c r="Y311" i="102"/>
  <c r="J316" i="102"/>
  <c r="Y345" i="102"/>
  <c r="J356" i="102"/>
  <c r="O401" i="102"/>
  <c r="Y416" i="102"/>
  <c r="D426" i="102"/>
  <c r="J425" i="102"/>
  <c r="J231" i="102"/>
  <c r="X371" i="102"/>
  <c r="E11" i="102"/>
  <c r="C191" i="102"/>
  <c r="C321" i="102"/>
  <c r="E155" i="102"/>
  <c r="M566" i="102"/>
  <c r="Y526" i="102"/>
  <c r="Y11" i="102"/>
  <c r="J21" i="102"/>
  <c r="Y39" i="102"/>
  <c r="T61" i="102"/>
  <c r="O101" i="102"/>
  <c r="Y111" i="102"/>
  <c r="Y121" i="102"/>
  <c r="J126" i="102"/>
  <c r="O141" i="102"/>
  <c r="J189" i="102"/>
  <c r="Y190" i="102"/>
  <c r="T206" i="102"/>
  <c r="T226" i="102"/>
  <c r="E231" i="102"/>
  <c r="G241" i="102"/>
  <c r="S241" i="102"/>
  <c r="O256" i="102"/>
  <c r="Y261" i="102"/>
  <c r="Y266" i="102"/>
  <c r="J271" i="102"/>
  <c r="Y274" i="102"/>
  <c r="J331" i="102"/>
  <c r="D346" i="102"/>
  <c r="R346" i="102"/>
  <c r="E366" i="102"/>
  <c r="C371" i="102"/>
  <c r="Q371" i="102"/>
  <c r="T496" i="102"/>
  <c r="E501" i="102"/>
  <c r="E509" i="102"/>
  <c r="T510" i="102"/>
  <c r="E551" i="102"/>
  <c r="E556" i="102"/>
  <c r="E564" i="102"/>
  <c r="E391" i="102"/>
  <c r="J465" i="102"/>
  <c r="X466" i="102"/>
  <c r="E486" i="102"/>
  <c r="T486" i="102"/>
  <c r="E521" i="102"/>
  <c r="O531" i="102"/>
  <c r="Y536" i="102"/>
  <c r="O539" i="102"/>
  <c r="S541" i="102"/>
  <c r="N321" i="102"/>
  <c r="J501" i="102"/>
  <c r="W511" i="102"/>
  <c r="N346" i="102"/>
  <c r="D241" i="102"/>
  <c r="L276" i="102"/>
  <c r="I296" i="102"/>
  <c r="M511" i="102"/>
  <c r="D541" i="102"/>
  <c r="M66" i="102"/>
  <c r="Y81" i="102"/>
  <c r="T91" i="102"/>
  <c r="O151" i="102"/>
  <c r="G156" i="102"/>
  <c r="N156" i="102"/>
  <c r="W276" i="102"/>
  <c r="M296" i="102"/>
  <c r="T366" i="102"/>
  <c r="J370" i="102"/>
  <c r="E506" i="102"/>
  <c r="T509" i="102"/>
  <c r="T551" i="102"/>
  <c r="E561" i="102"/>
  <c r="E441" i="102"/>
  <c r="Y461" i="102"/>
  <c r="D466" i="102"/>
  <c r="R466" i="102"/>
  <c r="Y465" i="102"/>
  <c r="J476" i="102"/>
  <c r="T521" i="102"/>
  <c r="I511" i="102"/>
  <c r="J556" i="102"/>
  <c r="O31" i="102"/>
  <c r="M216" i="102"/>
  <c r="M371" i="102"/>
  <c r="E31" i="102"/>
  <c r="D321" i="102"/>
  <c r="E40" i="102"/>
  <c r="J65" i="102"/>
  <c r="W66" i="102"/>
  <c r="Y91" i="102"/>
  <c r="J96" i="102"/>
  <c r="J136" i="102"/>
  <c r="E141" i="102"/>
  <c r="T146" i="102"/>
  <c r="T151" i="102"/>
  <c r="H156" i="102"/>
  <c r="O155" i="102"/>
  <c r="T155" i="102"/>
  <c r="O176" i="102"/>
  <c r="I191" i="102"/>
  <c r="S216" i="102"/>
  <c r="G296" i="102"/>
  <c r="N296" i="102"/>
  <c r="Y316" i="102"/>
  <c r="O320" i="102"/>
  <c r="Y336" i="102"/>
  <c r="Y356" i="102"/>
  <c r="Y370" i="102"/>
  <c r="T506" i="102"/>
  <c r="T561" i="102"/>
  <c r="E401" i="102"/>
  <c r="J416" i="102"/>
  <c r="T421" i="102"/>
  <c r="W426" i="102"/>
  <c r="J436" i="102"/>
  <c r="O464" i="102"/>
  <c r="S466" i="102"/>
  <c r="Y476" i="102"/>
  <c r="J486" i="102"/>
  <c r="G541" i="102"/>
  <c r="E306" i="102"/>
  <c r="T121" i="102"/>
  <c r="E331" i="102"/>
  <c r="B346" i="102"/>
  <c r="E186" i="102"/>
  <c r="R241" i="102"/>
  <c r="R321" i="102"/>
  <c r="T64" i="102"/>
  <c r="T76" i="102"/>
  <c r="Y126" i="102"/>
  <c r="Y131" i="102"/>
  <c r="Y136" i="102"/>
  <c r="J141" i="102"/>
  <c r="V156" i="102"/>
  <c r="E166" i="102"/>
  <c r="O181" i="102"/>
  <c r="X191" i="102"/>
  <c r="H216" i="102"/>
  <c r="T231" i="102"/>
  <c r="L241" i="102"/>
  <c r="X241" i="102"/>
  <c r="T256" i="102"/>
  <c r="O271" i="102"/>
  <c r="D276" i="102"/>
  <c r="J286" i="102"/>
  <c r="H296" i="102"/>
  <c r="O311" i="102"/>
  <c r="O319" i="102"/>
  <c r="Y341" i="102"/>
  <c r="O345" i="102"/>
  <c r="Y361" i="102"/>
  <c r="J366" i="102"/>
  <c r="G511" i="102"/>
  <c r="S511" i="102"/>
  <c r="E536" i="102"/>
  <c r="T540" i="102"/>
  <c r="I541" i="102"/>
  <c r="E21" i="102"/>
  <c r="Y36" i="102"/>
  <c r="T40" i="102"/>
  <c r="Y56" i="102"/>
  <c r="E64" i="102"/>
  <c r="T136" i="102"/>
  <c r="T275" i="102"/>
  <c r="D296" i="102"/>
  <c r="J295" i="102"/>
  <c r="O424" i="102"/>
  <c r="S426" i="102"/>
  <c r="Y436" i="102"/>
  <c r="J441" i="102"/>
  <c r="E456" i="102"/>
  <c r="N41" i="102"/>
  <c r="R41" i="102"/>
  <c r="O51" i="102"/>
  <c r="Y61" i="102"/>
  <c r="E189" i="102"/>
  <c r="T251" i="102"/>
  <c r="E256" i="102"/>
  <c r="O261" i="102"/>
  <c r="O266" i="102"/>
  <c r="O496" i="102"/>
  <c r="Y506" i="102"/>
  <c r="Y561" i="102"/>
  <c r="O565" i="102"/>
  <c r="O381" i="102"/>
  <c r="Y391" i="102"/>
  <c r="J396" i="102"/>
  <c r="E406" i="102"/>
  <c r="O411" i="102"/>
  <c r="O526" i="102"/>
  <c r="C541" i="102"/>
  <c r="J540" i="102"/>
  <c r="T539" i="102"/>
  <c r="O40" i="102"/>
  <c r="E261" i="102"/>
  <c r="Y446" i="102"/>
  <c r="S156" i="102"/>
  <c r="O226" i="102"/>
  <c r="B241" i="102"/>
  <c r="N241" i="102"/>
  <c r="R276" i="102"/>
  <c r="E295" i="102"/>
  <c r="N511" i="102"/>
  <c r="B426" i="102"/>
  <c r="E424" i="102"/>
  <c r="J451" i="102"/>
  <c r="J456" i="102"/>
  <c r="Y441" i="102"/>
  <c r="E540" i="102"/>
  <c r="O126" i="102"/>
  <c r="O154" i="102"/>
  <c r="L156" i="102"/>
  <c r="J31" i="102"/>
  <c r="T36" i="102"/>
  <c r="T56" i="102"/>
  <c r="O61" i="102"/>
  <c r="G66" i="102"/>
  <c r="N66" i="102"/>
  <c r="J86" i="102"/>
  <c r="E96" i="102"/>
  <c r="O106" i="102"/>
  <c r="Y116" i="102"/>
  <c r="J121" i="102"/>
  <c r="T126" i="102"/>
  <c r="E131" i="102"/>
  <c r="T186" i="102"/>
  <c r="D191" i="102"/>
  <c r="R191" i="102"/>
  <c r="O211" i="102"/>
  <c r="N216" i="102"/>
  <c r="O274" i="102"/>
  <c r="J311" i="102"/>
  <c r="Y319" i="102"/>
  <c r="T336" i="102"/>
  <c r="T341" i="102"/>
  <c r="G346" i="102"/>
  <c r="S346" i="102"/>
  <c r="J345" i="102"/>
  <c r="D371" i="102"/>
  <c r="R371" i="102"/>
  <c r="C511" i="102"/>
  <c r="C566" i="102"/>
  <c r="Q566" i="102"/>
  <c r="E464" i="102"/>
  <c r="I466" i="102"/>
  <c r="Y464" i="102"/>
  <c r="E476" i="102"/>
  <c r="J531" i="102"/>
  <c r="O11" i="102"/>
  <c r="O239" i="102"/>
  <c r="E461" i="102"/>
  <c r="O21" i="102"/>
  <c r="J40" i="102"/>
  <c r="Y40" i="102"/>
  <c r="J51" i="102"/>
  <c r="T96" i="102"/>
  <c r="E126" i="102"/>
  <c r="O166" i="102"/>
  <c r="Y181" i="102"/>
  <c r="S191" i="102"/>
  <c r="C216" i="102"/>
  <c r="Q216" i="102"/>
  <c r="O251" i="102"/>
  <c r="S276" i="102"/>
  <c r="Y291" i="102"/>
  <c r="O306" i="102"/>
  <c r="X321" i="102"/>
  <c r="Y331" i="102"/>
  <c r="H346" i="102"/>
  <c r="V346" i="102"/>
  <c r="T361" i="102"/>
  <c r="G371" i="102"/>
  <c r="S371" i="102"/>
  <c r="Y406" i="102"/>
  <c r="J411" i="102"/>
  <c r="E421" i="102"/>
  <c r="J536" i="102"/>
  <c r="Y539" i="102"/>
  <c r="T21" i="102"/>
  <c r="L41" i="102"/>
  <c r="Y51" i="102"/>
  <c r="O65" i="102"/>
  <c r="O76" i="102"/>
  <c r="T86" i="102"/>
  <c r="E91" i="102"/>
  <c r="Y101" i="102"/>
  <c r="J116" i="102"/>
  <c r="T141" i="102"/>
  <c r="E146" i="102"/>
  <c r="Y176" i="102"/>
  <c r="J181" i="102"/>
  <c r="N191" i="102"/>
  <c r="T190" i="102"/>
  <c r="O206" i="102"/>
  <c r="Y211" i="102"/>
  <c r="O214" i="102"/>
  <c r="X216" i="102"/>
  <c r="Y226" i="102"/>
  <c r="Y231" i="102"/>
  <c r="J236" i="102"/>
  <c r="Y236" i="102"/>
  <c r="I241" i="102"/>
  <c r="Y239" i="102"/>
  <c r="O240" i="102"/>
  <c r="Y271" i="102"/>
  <c r="Y286" i="102"/>
  <c r="J291" i="102"/>
  <c r="S296" i="102"/>
  <c r="T311" i="102"/>
  <c r="G321" i="102"/>
  <c r="S321" i="102"/>
  <c r="J320" i="102"/>
  <c r="Y320" i="102"/>
  <c r="E341" i="102"/>
  <c r="E344" i="102"/>
  <c r="T344" i="102"/>
  <c r="T345" i="102"/>
  <c r="T356" i="102"/>
  <c r="E361" i="102"/>
  <c r="E369" i="102"/>
  <c r="N371" i="102"/>
  <c r="T370" i="102"/>
  <c r="O501" i="102"/>
  <c r="O509" i="102"/>
  <c r="X511" i="102"/>
  <c r="O551" i="102"/>
  <c r="O556" i="102"/>
  <c r="O564" i="102"/>
  <c r="X566" i="102"/>
  <c r="Y396" i="102"/>
  <c r="T401" i="102"/>
  <c r="O406" i="102"/>
  <c r="Y411" i="102"/>
  <c r="T416" i="102"/>
  <c r="M426" i="102"/>
  <c r="J446" i="102"/>
  <c r="O461" i="102"/>
  <c r="T476" i="102"/>
  <c r="O521" i="102"/>
  <c r="Y531" i="102"/>
  <c r="T536" i="102"/>
  <c r="W541" i="102"/>
  <c r="I66" i="102"/>
  <c r="R66" i="102"/>
  <c r="O81" i="102"/>
  <c r="E101" i="102"/>
  <c r="T106" i="102"/>
  <c r="O111" i="102"/>
  <c r="W156" i="102"/>
  <c r="H191" i="102"/>
  <c r="E211" i="102"/>
  <c r="D216" i="102"/>
  <c r="R216" i="102"/>
  <c r="E226" i="102"/>
  <c r="E239" i="102"/>
  <c r="T240" i="102"/>
  <c r="E266" i="102"/>
  <c r="I276" i="102"/>
  <c r="E286" i="102"/>
  <c r="M321" i="102"/>
  <c r="J336" i="102"/>
  <c r="J341" i="102"/>
  <c r="I346" i="102"/>
  <c r="Y344" i="102"/>
  <c r="H371" i="102"/>
  <c r="Y369" i="102"/>
  <c r="J496" i="102"/>
  <c r="D511" i="102"/>
  <c r="R511" i="102"/>
  <c r="J510" i="102"/>
  <c r="D566" i="102"/>
  <c r="R566" i="102"/>
  <c r="J565" i="102"/>
  <c r="J381" i="102"/>
  <c r="T391" i="102"/>
  <c r="E396" i="102"/>
  <c r="E411" i="102"/>
  <c r="J421" i="102"/>
  <c r="O441" i="102"/>
  <c r="O446" i="102"/>
  <c r="O451" i="102"/>
  <c r="Y486" i="102"/>
  <c r="T526" i="102"/>
  <c r="E531" i="102"/>
  <c r="T51" i="102"/>
  <c r="E61" i="102"/>
  <c r="O64" i="102"/>
  <c r="T81" i="102"/>
  <c r="Y86" i="102"/>
  <c r="J91" i="102"/>
  <c r="Y96" i="102"/>
  <c r="J101" i="102"/>
  <c r="T111" i="102"/>
  <c r="E116" i="102"/>
  <c r="O121" i="102"/>
  <c r="T131" i="102"/>
  <c r="Y141" i="102"/>
  <c r="E154" i="102"/>
  <c r="T176" i="102"/>
  <c r="E181" i="102"/>
  <c r="W191" i="102"/>
  <c r="O190" i="102"/>
  <c r="Y201" i="102"/>
  <c r="J206" i="102"/>
  <c r="J214" i="102"/>
  <c r="Y215" i="102"/>
  <c r="Y256" i="102"/>
  <c r="J261" i="102"/>
  <c r="T271" i="102"/>
  <c r="J275" i="102"/>
  <c r="T286" i="102"/>
  <c r="E291" i="102"/>
  <c r="T306" i="102"/>
  <c r="E311" i="102"/>
  <c r="E319" i="102"/>
  <c r="O331" i="102"/>
  <c r="O336" i="102"/>
  <c r="O356" i="102"/>
  <c r="J361" i="102"/>
  <c r="Y366" i="102"/>
  <c r="L371" i="102"/>
  <c r="Y496" i="102"/>
  <c r="T501" i="102"/>
  <c r="Y510" i="102"/>
  <c r="J551" i="102"/>
  <c r="T556" i="102"/>
  <c r="J564" i="102"/>
  <c r="Y565" i="102"/>
  <c r="Y381" i="102"/>
  <c r="T396" i="102"/>
  <c r="T411" i="102"/>
  <c r="Y421" i="102"/>
  <c r="T424" i="102"/>
  <c r="T436" i="102"/>
  <c r="T441" i="102"/>
  <c r="O456" i="102"/>
  <c r="O476" i="102"/>
  <c r="J521" i="102"/>
  <c r="E526" i="102"/>
  <c r="T531" i="102"/>
  <c r="Y31" i="102"/>
  <c r="J36" i="102"/>
  <c r="H41" i="102"/>
  <c r="J61" i="102"/>
  <c r="T65" i="102"/>
  <c r="E81" i="102"/>
  <c r="O91" i="102"/>
  <c r="J106" i="102"/>
  <c r="E111" i="102"/>
  <c r="T116" i="102"/>
  <c r="E121" i="102"/>
  <c r="J131" i="102"/>
  <c r="E136" i="102"/>
  <c r="O146" i="102"/>
  <c r="I156" i="102"/>
  <c r="R156" i="102"/>
  <c r="J166" i="102"/>
  <c r="T181" i="102"/>
  <c r="O189" i="102"/>
  <c r="Y206" i="102"/>
  <c r="J211" i="102"/>
  <c r="Y214" i="102"/>
  <c r="J226" i="102"/>
  <c r="T236" i="102"/>
  <c r="J240" i="102"/>
  <c r="Y240" i="102"/>
  <c r="Y251" i="102"/>
  <c r="J266" i="102"/>
  <c r="Q276" i="102"/>
  <c r="X276" i="102"/>
  <c r="T291" i="102"/>
  <c r="X296" i="102"/>
  <c r="E316" i="102"/>
  <c r="T319" i="102"/>
  <c r="T320" i="102"/>
  <c r="O341" i="102"/>
  <c r="O344" i="102"/>
  <c r="E345" i="102"/>
  <c r="O361" i="102"/>
  <c r="O369" i="102"/>
  <c r="Y501" i="102"/>
  <c r="J506" i="102"/>
  <c r="Y509" i="102"/>
  <c r="Y551" i="102"/>
  <c r="Y556" i="102"/>
  <c r="J561" i="102"/>
  <c r="Y564" i="102"/>
  <c r="J391" i="102"/>
  <c r="R426" i="102"/>
  <c r="E446" i="102"/>
  <c r="T446" i="102"/>
  <c r="E451" i="102"/>
  <c r="H466" i="102"/>
  <c r="O465" i="102"/>
  <c r="O486" i="102"/>
  <c r="Y521" i="102"/>
  <c r="J526" i="102"/>
  <c r="H541" i="102"/>
  <c r="O540" i="102"/>
  <c r="Q541" i="102"/>
  <c r="J539" i="102"/>
  <c r="B541" i="102"/>
  <c r="V541" i="102"/>
  <c r="L541" i="102"/>
  <c r="V466" i="102"/>
  <c r="T464" i="102"/>
  <c r="L466" i="102"/>
  <c r="Q466" i="102"/>
  <c r="J464" i="102"/>
  <c r="C466" i="102"/>
  <c r="M466" i="102"/>
  <c r="W466" i="102"/>
  <c r="G426" i="102"/>
  <c r="E425" i="102"/>
  <c r="V426" i="102"/>
  <c r="Q426" i="102"/>
  <c r="L426" i="102"/>
  <c r="G566" i="102"/>
  <c r="J566" i="102" s="1"/>
  <c r="T564" i="102"/>
  <c r="B566" i="102"/>
  <c r="L566" i="102"/>
  <c r="V566" i="102"/>
  <c r="J509" i="102"/>
  <c r="O510" i="102"/>
  <c r="V511" i="102"/>
  <c r="Q511" i="102"/>
  <c r="E510" i="102"/>
  <c r="J369" i="102"/>
  <c r="T369" i="102"/>
  <c r="E370" i="102"/>
  <c r="O370" i="102"/>
  <c r="V371" i="102"/>
  <c r="Q346" i="102"/>
  <c r="J344" i="102"/>
  <c r="C346" i="102"/>
  <c r="M346" i="102"/>
  <c r="W346" i="102"/>
  <c r="Q321" i="102"/>
  <c r="J319" i="102"/>
  <c r="B321" i="102"/>
  <c r="L321" i="102"/>
  <c r="W321" i="102"/>
  <c r="O294" i="102"/>
  <c r="J294" i="102"/>
  <c r="T294" i="102"/>
  <c r="O295" i="102"/>
  <c r="V296" i="102"/>
  <c r="B296" i="102"/>
  <c r="J274" i="102"/>
  <c r="T274" i="102"/>
  <c r="O275" i="102"/>
  <c r="V276" i="102"/>
  <c r="B276" i="102"/>
  <c r="Q241" i="102"/>
  <c r="J239" i="102"/>
  <c r="M241" i="102"/>
  <c r="C241" i="102"/>
  <c r="W241" i="102"/>
  <c r="G216" i="102"/>
  <c r="T214" i="102"/>
  <c r="B216" i="102"/>
  <c r="L216" i="102"/>
  <c r="V216" i="102"/>
  <c r="G191" i="102"/>
  <c r="B191" i="102"/>
  <c r="L191" i="102"/>
  <c r="Q191" i="102"/>
  <c r="V191" i="102"/>
  <c r="Y154" i="102"/>
  <c r="J155" i="102"/>
  <c r="C156" i="102"/>
  <c r="J154" i="102"/>
  <c r="T154" i="102"/>
  <c r="D66" i="102"/>
  <c r="J64" i="102"/>
  <c r="B66" i="102"/>
  <c r="V66" i="102"/>
  <c r="L66" i="102"/>
  <c r="Q66" i="102"/>
  <c r="J39" i="102"/>
  <c r="B41" i="102"/>
  <c r="N1294" i="103"/>
  <c r="M1294" i="103"/>
  <c r="L1294" i="103"/>
  <c r="I1294" i="103"/>
  <c r="H1294" i="103"/>
  <c r="G1294" i="103"/>
  <c r="D1294" i="103"/>
  <c r="C1294" i="103"/>
  <c r="B1294" i="103"/>
  <c r="O1292" i="103"/>
  <c r="J1292" i="103"/>
  <c r="E1292" i="103"/>
  <c r="O1291" i="103"/>
  <c r="J1291" i="103"/>
  <c r="E1291" i="103"/>
  <c r="O1290" i="103"/>
  <c r="J1290" i="103"/>
  <c r="E1290" i="103"/>
  <c r="O1289" i="103"/>
  <c r="J1289" i="103"/>
  <c r="E1289" i="103"/>
  <c r="O1288" i="103"/>
  <c r="J1288" i="103"/>
  <c r="E1288" i="103"/>
  <c r="O1287" i="103"/>
  <c r="J1287" i="103"/>
  <c r="E1287" i="103"/>
  <c r="O1286" i="103"/>
  <c r="J1286" i="103"/>
  <c r="E1286" i="103"/>
  <c r="O1285" i="103"/>
  <c r="J1285" i="103"/>
  <c r="E1285" i="103"/>
  <c r="O1284" i="103"/>
  <c r="J1284" i="103"/>
  <c r="E1284" i="103"/>
  <c r="O1282" i="103"/>
  <c r="J1282" i="103"/>
  <c r="E1282" i="103"/>
  <c r="L1281" i="103"/>
  <c r="G1281" i="103"/>
  <c r="B1281" i="103"/>
  <c r="N1277" i="103"/>
  <c r="M1277" i="103"/>
  <c r="L1277" i="103"/>
  <c r="I1277" i="103"/>
  <c r="H1277" i="103"/>
  <c r="G1277" i="103"/>
  <c r="D1277" i="103"/>
  <c r="C1277" i="103"/>
  <c r="B1277" i="103"/>
  <c r="O1275" i="103"/>
  <c r="J1275" i="103"/>
  <c r="E1275" i="103"/>
  <c r="O1274" i="103"/>
  <c r="J1274" i="103"/>
  <c r="E1274" i="103"/>
  <c r="O1273" i="103"/>
  <c r="J1273" i="103"/>
  <c r="E1273" i="103"/>
  <c r="O1272" i="103"/>
  <c r="J1272" i="103"/>
  <c r="E1272" i="103"/>
  <c r="O1271" i="103"/>
  <c r="J1271" i="103"/>
  <c r="E1271" i="103"/>
  <c r="O1270" i="103"/>
  <c r="J1270" i="103"/>
  <c r="E1270" i="103"/>
  <c r="O1269" i="103"/>
  <c r="J1269" i="103"/>
  <c r="E1269" i="103"/>
  <c r="O1268" i="103"/>
  <c r="J1268" i="103"/>
  <c r="E1268" i="103"/>
  <c r="O1267" i="103"/>
  <c r="J1267" i="103"/>
  <c r="E1267" i="103"/>
  <c r="O1265" i="103"/>
  <c r="J1265" i="103"/>
  <c r="E1265" i="103"/>
  <c r="L1264" i="103"/>
  <c r="G1264" i="103"/>
  <c r="B1264" i="103"/>
  <c r="N1260" i="103"/>
  <c r="M1260" i="103"/>
  <c r="L1260" i="103"/>
  <c r="I1260" i="103"/>
  <c r="H1260" i="103"/>
  <c r="G1260" i="103"/>
  <c r="D1260" i="103"/>
  <c r="C1260" i="103"/>
  <c r="B1260" i="103"/>
  <c r="O1258" i="103"/>
  <c r="J1258" i="103"/>
  <c r="E1258" i="103"/>
  <c r="O1257" i="103"/>
  <c r="J1257" i="103"/>
  <c r="E1257" i="103"/>
  <c r="O1256" i="103"/>
  <c r="J1256" i="103"/>
  <c r="E1256" i="103"/>
  <c r="O1255" i="103"/>
  <c r="J1255" i="103"/>
  <c r="E1255" i="103"/>
  <c r="O1254" i="103"/>
  <c r="J1254" i="103"/>
  <c r="E1254" i="103"/>
  <c r="O1253" i="103"/>
  <c r="J1253" i="103"/>
  <c r="E1253" i="103"/>
  <c r="O1252" i="103"/>
  <c r="J1252" i="103"/>
  <c r="E1252" i="103"/>
  <c r="O1251" i="103"/>
  <c r="J1251" i="103"/>
  <c r="E1251" i="103"/>
  <c r="O1250" i="103"/>
  <c r="J1250" i="103"/>
  <c r="E1250" i="103"/>
  <c r="O1248" i="103"/>
  <c r="J1248" i="103"/>
  <c r="E1248" i="103"/>
  <c r="L1247" i="103"/>
  <c r="G1247" i="103"/>
  <c r="B1247" i="103"/>
  <c r="N1243" i="103"/>
  <c r="M1243" i="103"/>
  <c r="L1243" i="103"/>
  <c r="I1243" i="103"/>
  <c r="H1243" i="103"/>
  <c r="G1243" i="103"/>
  <c r="D1243" i="103"/>
  <c r="C1243" i="103"/>
  <c r="B1243" i="103"/>
  <c r="O1241" i="103"/>
  <c r="J1241" i="103"/>
  <c r="E1241" i="103"/>
  <c r="O1240" i="103"/>
  <c r="J1240" i="103"/>
  <c r="E1240" i="103"/>
  <c r="O1239" i="103"/>
  <c r="J1239" i="103"/>
  <c r="E1239" i="103"/>
  <c r="O1238" i="103"/>
  <c r="J1238" i="103"/>
  <c r="E1238" i="103"/>
  <c r="O1237" i="103"/>
  <c r="J1237" i="103"/>
  <c r="E1237" i="103"/>
  <c r="O1236" i="103"/>
  <c r="J1236" i="103"/>
  <c r="E1236" i="103"/>
  <c r="O1235" i="103"/>
  <c r="J1235" i="103"/>
  <c r="E1235" i="103"/>
  <c r="O1234" i="103"/>
  <c r="J1234" i="103"/>
  <c r="E1234" i="103"/>
  <c r="O1233" i="103"/>
  <c r="J1233" i="103"/>
  <c r="E1233" i="103"/>
  <c r="O1231" i="103"/>
  <c r="J1231" i="103"/>
  <c r="E1231" i="103"/>
  <c r="L1230" i="103"/>
  <c r="G1230" i="103"/>
  <c r="B1230" i="103"/>
  <c r="N1226" i="103"/>
  <c r="M1226" i="103"/>
  <c r="L1226" i="103"/>
  <c r="I1226" i="103"/>
  <c r="H1226" i="103"/>
  <c r="G1226" i="103"/>
  <c r="D1226" i="103"/>
  <c r="C1226" i="103"/>
  <c r="B1226" i="103"/>
  <c r="O1224" i="103"/>
  <c r="J1224" i="103"/>
  <c r="E1224" i="103"/>
  <c r="O1223" i="103"/>
  <c r="J1223" i="103"/>
  <c r="E1223" i="103"/>
  <c r="O1222" i="103"/>
  <c r="J1222" i="103"/>
  <c r="E1222" i="103"/>
  <c r="O1221" i="103"/>
  <c r="J1221" i="103"/>
  <c r="E1221" i="103"/>
  <c r="O1220" i="103"/>
  <c r="J1220" i="103"/>
  <c r="E1220" i="103"/>
  <c r="O1219" i="103"/>
  <c r="J1219" i="103"/>
  <c r="E1219" i="103"/>
  <c r="O1218" i="103"/>
  <c r="J1218" i="103"/>
  <c r="E1218" i="103"/>
  <c r="O1217" i="103"/>
  <c r="J1217" i="103"/>
  <c r="E1217" i="103"/>
  <c r="O1216" i="103"/>
  <c r="J1216" i="103"/>
  <c r="E1216" i="103"/>
  <c r="O1214" i="103"/>
  <c r="J1214" i="103"/>
  <c r="E1214" i="103"/>
  <c r="L1213" i="103"/>
  <c r="G1213" i="103"/>
  <c r="B1213" i="103"/>
  <c r="N1209" i="103"/>
  <c r="M1209" i="103"/>
  <c r="L1209" i="103"/>
  <c r="I1209" i="103"/>
  <c r="H1209" i="103"/>
  <c r="G1209" i="103"/>
  <c r="D1209" i="103"/>
  <c r="C1209" i="103"/>
  <c r="B1209" i="103"/>
  <c r="O1207" i="103"/>
  <c r="J1207" i="103"/>
  <c r="E1207" i="103"/>
  <c r="O1206" i="103"/>
  <c r="J1206" i="103"/>
  <c r="E1206" i="103"/>
  <c r="O1205" i="103"/>
  <c r="J1205" i="103"/>
  <c r="E1205" i="103"/>
  <c r="O1204" i="103"/>
  <c r="J1204" i="103"/>
  <c r="E1204" i="103"/>
  <c r="O1203" i="103"/>
  <c r="J1203" i="103"/>
  <c r="E1203" i="103"/>
  <c r="O1202" i="103"/>
  <c r="J1202" i="103"/>
  <c r="E1202" i="103"/>
  <c r="O1201" i="103"/>
  <c r="J1201" i="103"/>
  <c r="E1201" i="103"/>
  <c r="O1200" i="103"/>
  <c r="J1200" i="103"/>
  <c r="E1200" i="103"/>
  <c r="O1199" i="103"/>
  <c r="J1199" i="103"/>
  <c r="E1199" i="103"/>
  <c r="O1197" i="103"/>
  <c r="J1197" i="103"/>
  <c r="E1197" i="103"/>
  <c r="L1196" i="103"/>
  <c r="G1196" i="103"/>
  <c r="B1196" i="103"/>
  <c r="N1192" i="103"/>
  <c r="M1192" i="103"/>
  <c r="L1192" i="103"/>
  <c r="I1192" i="103"/>
  <c r="H1192" i="103"/>
  <c r="G1192" i="103"/>
  <c r="D1192" i="103"/>
  <c r="C1192" i="103"/>
  <c r="B1192" i="103"/>
  <c r="O1190" i="103"/>
  <c r="J1190" i="103"/>
  <c r="E1190" i="103"/>
  <c r="O1189" i="103"/>
  <c r="J1189" i="103"/>
  <c r="E1189" i="103"/>
  <c r="O1188" i="103"/>
  <c r="J1188" i="103"/>
  <c r="E1188" i="103"/>
  <c r="O1187" i="103"/>
  <c r="J1187" i="103"/>
  <c r="E1187" i="103"/>
  <c r="O1186" i="103"/>
  <c r="J1186" i="103"/>
  <c r="E1186" i="103"/>
  <c r="O1185" i="103"/>
  <c r="J1185" i="103"/>
  <c r="E1185" i="103"/>
  <c r="O1184" i="103"/>
  <c r="J1184" i="103"/>
  <c r="E1184" i="103"/>
  <c r="O1183" i="103"/>
  <c r="J1183" i="103"/>
  <c r="E1183" i="103"/>
  <c r="O1182" i="103"/>
  <c r="J1182" i="103"/>
  <c r="E1182" i="103"/>
  <c r="O1180" i="103"/>
  <c r="J1180" i="103"/>
  <c r="E1180" i="103"/>
  <c r="L1179" i="103"/>
  <c r="G1179" i="103"/>
  <c r="B1179" i="103"/>
  <c r="N1175" i="103"/>
  <c r="M1175" i="103"/>
  <c r="L1175" i="103"/>
  <c r="I1175" i="103"/>
  <c r="H1175" i="103"/>
  <c r="G1175" i="103"/>
  <c r="D1175" i="103"/>
  <c r="C1175" i="103"/>
  <c r="B1175" i="103"/>
  <c r="O1173" i="103"/>
  <c r="J1173" i="103"/>
  <c r="E1173" i="103"/>
  <c r="O1172" i="103"/>
  <c r="J1172" i="103"/>
  <c r="E1172" i="103"/>
  <c r="O1171" i="103"/>
  <c r="J1171" i="103"/>
  <c r="E1171" i="103"/>
  <c r="O1170" i="103"/>
  <c r="J1170" i="103"/>
  <c r="E1170" i="103"/>
  <c r="O1169" i="103"/>
  <c r="J1169" i="103"/>
  <c r="E1169" i="103"/>
  <c r="O1168" i="103"/>
  <c r="J1168" i="103"/>
  <c r="E1168" i="103"/>
  <c r="O1167" i="103"/>
  <c r="J1167" i="103"/>
  <c r="E1167" i="103"/>
  <c r="O1166" i="103"/>
  <c r="J1166" i="103"/>
  <c r="E1166" i="103"/>
  <c r="O1165" i="103"/>
  <c r="J1165" i="103"/>
  <c r="E1165" i="103"/>
  <c r="O1163" i="103"/>
  <c r="J1163" i="103"/>
  <c r="E1163" i="103"/>
  <c r="L1162" i="103"/>
  <c r="G1162" i="103"/>
  <c r="B1162" i="103"/>
  <c r="N1158" i="103"/>
  <c r="M1158" i="103"/>
  <c r="L1158" i="103"/>
  <c r="I1158" i="103"/>
  <c r="H1158" i="103"/>
  <c r="G1158" i="103"/>
  <c r="D1158" i="103"/>
  <c r="C1158" i="103"/>
  <c r="B1158" i="103"/>
  <c r="O1156" i="103"/>
  <c r="J1156" i="103"/>
  <c r="E1156" i="103"/>
  <c r="O1155" i="103"/>
  <c r="J1155" i="103"/>
  <c r="E1155" i="103"/>
  <c r="O1154" i="103"/>
  <c r="J1154" i="103"/>
  <c r="E1154" i="103"/>
  <c r="O1153" i="103"/>
  <c r="J1153" i="103"/>
  <c r="E1153" i="103"/>
  <c r="O1152" i="103"/>
  <c r="J1152" i="103"/>
  <c r="E1152" i="103"/>
  <c r="O1151" i="103"/>
  <c r="J1151" i="103"/>
  <c r="E1151" i="103"/>
  <c r="O1150" i="103"/>
  <c r="J1150" i="103"/>
  <c r="E1150" i="103"/>
  <c r="O1149" i="103"/>
  <c r="J1149" i="103"/>
  <c r="E1149" i="103"/>
  <c r="O1148" i="103"/>
  <c r="J1148" i="103"/>
  <c r="E1148" i="103"/>
  <c r="O1146" i="103"/>
  <c r="J1146" i="103"/>
  <c r="E1146" i="103"/>
  <c r="L1145" i="103"/>
  <c r="G1145" i="103"/>
  <c r="B1145" i="103"/>
  <c r="N1141" i="103"/>
  <c r="M1141" i="103"/>
  <c r="L1141" i="103"/>
  <c r="I1141" i="103"/>
  <c r="H1141" i="103"/>
  <c r="G1141" i="103"/>
  <c r="D1141" i="103"/>
  <c r="C1141" i="103"/>
  <c r="B1141" i="103"/>
  <c r="O1139" i="103"/>
  <c r="J1139" i="103"/>
  <c r="E1139" i="103"/>
  <c r="O1138" i="103"/>
  <c r="J1138" i="103"/>
  <c r="E1138" i="103"/>
  <c r="O1137" i="103"/>
  <c r="J1137" i="103"/>
  <c r="E1137" i="103"/>
  <c r="O1136" i="103"/>
  <c r="J1136" i="103"/>
  <c r="E1136" i="103"/>
  <c r="O1135" i="103"/>
  <c r="J1135" i="103"/>
  <c r="E1135" i="103"/>
  <c r="O1134" i="103"/>
  <c r="J1134" i="103"/>
  <c r="E1134" i="103"/>
  <c r="O1133" i="103"/>
  <c r="J1133" i="103"/>
  <c r="E1133" i="103"/>
  <c r="O1132" i="103"/>
  <c r="J1132" i="103"/>
  <c r="E1132" i="103"/>
  <c r="O1131" i="103"/>
  <c r="J1131" i="103"/>
  <c r="E1131" i="103"/>
  <c r="O1129" i="103"/>
  <c r="J1129" i="103"/>
  <c r="E1129" i="103"/>
  <c r="L1128" i="103"/>
  <c r="G1128" i="103"/>
  <c r="B1128" i="103"/>
  <c r="N1124" i="103"/>
  <c r="M1124" i="103"/>
  <c r="L1124" i="103"/>
  <c r="I1124" i="103"/>
  <c r="H1124" i="103"/>
  <c r="G1124" i="103"/>
  <c r="D1124" i="103"/>
  <c r="C1124" i="103"/>
  <c r="B1124" i="103"/>
  <c r="O1122" i="103"/>
  <c r="J1122" i="103"/>
  <c r="E1122" i="103"/>
  <c r="O1121" i="103"/>
  <c r="J1121" i="103"/>
  <c r="E1121" i="103"/>
  <c r="O1120" i="103"/>
  <c r="J1120" i="103"/>
  <c r="E1120" i="103"/>
  <c r="O1119" i="103"/>
  <c r="J1119" i="103"/>
  <c r="E1119" i="103"/>
  <c r="O1118" i="103"/>
  <c r="J1118" i="103"/>
  <c r="E1118" i="103"/>
  <c r="O1117" i="103"/>
  <c r="J1117" i="103"/>
  <c r="E1117" i="103"/>
  <c r="O1116" i="103"/>
  <c r="J1116" i="103"/>
  <c r="E1116" i="103"/>
  <c r="O1115" i="103"/>
  <c r="J1115" i="103"/>
  <c r="E1115" i="103"/>
  <c r="O1114" i="103"/>
  <c r="J1114" i="103"/>
  <c r="E1114" i="103"/>
  <c r="O1112" i="103"/>
  <c r="J1112" i="103"/>
  <c r="E1112" i="103"/>
  <c r="L1111" i="103"/>
  <c r="G1111" i="103"/>
  <c r="B1111" i="103"/>
  <c r="N1107" i="103"/>
  <c r="M1107" i="103"/>
  <c r="L1107" i="103"/>
  <c r="I1107" i="103"/>
  <c r="H1107" i="103"/>
  <c r="G1107" i="103"/>
  <c r="D1107" i="103"/>
  <c r="C1107" i="103"/>
  <c r="B1107" i="103"/>
  <c r="O1105" i="103"/>
  <c r="J1105" i="103"/>
  <c r="E1105" i="103"/>
  <c r="O1104" i="103"/>
  <c r="J1104" i="103"/>
  <c r="E1104" i="103"/>
  <c r="O1103" i="103"/>
  <c r="J1103" i="103"/>
  <c r="E1103" i="103"/>
  <c r="O1102" i="103"/>
  <c r="J1102" i="103"/>
  <c r="E1102" i="103"/>
  <c r="O1101" i="103"/>
  <c r="J1101" i="103"/>
  <c r="E1101" i="103"/>
  <c r="O1100" i="103"/>
  <c r="J1100" i="103"/>
  <c r="E1100" i="103"/>
  <c r="O1099" i="103"/>
  <c r="J1099" i="103"/>
  <c r="E1099" i="103"/>
  <c r="O1098" i="103"/>
  <c r="J1098" i="103"/>
  <c r="E1098" i="103"/>
  <c r="O1097" i="103"/>
  <c r="J1097" i="103"/>
  <c r="E1097" i="103"/>
  <c r="O1095" i="103"/>
  <c r="J1095" i="103"/>
  <c r="E1095" i="103"/>
  <c r="L1094" i="103"/>
  <c r="G1094" i="103"/>
  <c r="B1094" i="103"/>
  <c r="N1090" i="103"/>
  <c r="M1090" i="103"/>
  <c r="L1090" i="103"/>
  <c r="I1090" i="103"/>
  <c r="H1090" i="103"/>
  <c r="G1090" i="103"/>
  <c r="D1090" i="103"/>
  <c r="C1090" i="103"/>
  <c r="B1090" i="103"/>
  <c r="O1088" i="103"/>
  <c r="J1088" i="103"/>
  <c r="E1088" i="103"/>
  <c r="O1087" i="103"/>
  <c r="J1087" i="103"/>
  <c r="E1087" i="103"/>
  <c r="O1086" i="103"/>
  <c r="J1086" i="103"/>
  <c r="E1086" i="103"/>
  <c r="O1085" i="103"/>
  <c r="J1085" i="103"/>
  <c r="E1085" i="103"/>
  <c r="O1084" i="103"/>
  <c r="J1084" i="103"/>
  <c r="E1084" i="103"/>
  <c r="O1083" i="103"/>
  <c r="J1083" i="103"/>
  <c r="E1083" i="103"/>
  <c r="O1082" i="103"/>
  <c r="J1082" i="103"/>
  <c r="E1082" i="103"/>
  <c r="O1081" i="103"/>
  <c r="J1081" i="103"/>
  <c r="E1081" i="103"/>
  <c r="O1080" i="103"/>
  <c r="J1080" i="103"/>
  <c r="E1080" i="103"/>
  <c r="O1078" i="103"/>
  <c r="J1078" i="103"/>
  <c r="E1078" i="103"/>
  <c r="L1077" i="103"/>
  <c r="G1077" i="103"/>
  <c r="B1077" i="103"/>
  <c r="N1073" i="103"/>
  <c r="M1073" i="103"/>
  <c r="L1073" i="103"/>
  <c r="I1073" i="103"/>
  <c r="H1073" i="103"/>
  <c r="G1073" i="103"/>
  <c r="D1073" i="103"/>
  <c r="C1073" i="103"/>
  <c r="B1073" i="103"/>
  <c r="O1071" i="103"/>
  <c r="J1071" i="103"/>
  <c r="E1071" i="103"/>
  <c r="O1070" i="103"/>
  <c r="J1070" i="103"/>
  <c r="E1070" i="103"/>
  <c r="O1069" i="103"/>
  <c r="J1069" i="103"/>
  <c r="E1069" i="103"/>
  <c r="O1068" i="103"/>
  <c r="J1068" i="103"/>
  <c r="E1068" i="103"/>
  <c r="O1067" i="103"/>
  <c r="J1067" i="103"/>
  <c r="E1067" i="103"/>
  <c r="O1066" i="103"/>
  <c r="J1066" i="103"/>
  <c r="E1066" i="103"/>
  <c r="O1065" i="103"/>
  <c r="J1065" i="103"/>
  <c r="E1065" i="103"/>
  <c r="O1064" i="103"/>
  <c r="J1064" i="103"/>
  <c r="E1064" i="103"/>
  <c r="O1063" i="103"/>
  <c r="J1063" i="103"/>
  <c r="E1063" i="103"/>
  <c r="O1061" i="103"/>
  <c r="J1061" i="103"/>
  <c r="E1061" i="103"/>
  <c r="L1060" i="103"/>
  <c r="G1060" i="103"/>
  <c r="B1060" i="103"/>
  <c r="N1056" i="103"/>
  <c r="M1056" i="103"/>
  <c r="L1056" i="103"/>
  <c r="I1056" i="103"/>
  <c r="H1056" i="103"/>
  <c r="G1056" i="103"/>
  <c r="D1056" i="103"/>
  <c r="C1056" i="103"/>
  <c r="B1056" i="103"/>
  <c r="O1054" i="103"/>
  <c r="J1054" i="103"/>
  <c r="E1054" i="103"/>
  <c r="O1053" i="103"/>
  <c r="J1053" i="103"/>
  <c r="E1053" i="103"/>
  <c r="O1052" i="103"/>
  <c r="J1052" i="103"/>
  <c r="E1052" i="103"/>
  <c r="O1051" i="103"/>
  <c r="J1051" i="103"/>
  <c r="E1051" i="103"/>
  <c r="O1050" i="103"/>
  <c r="J1050" i="103"/>
  <c r="E1050" i="103"/>
  <c r="O1049" i="103"/>
  <c r="J1049" i="103"/>
  <c r="E1049" i="103"/>
  <c r="O1048" i="103"/>
  <c r="J1048" i="103"/>
  <c r="E1048" i="103"/>
  <c r="O1047" i="103"/>
  <c r="J1047" i="103"/>
  <c r="E1047" i="103"/>
  <c r="O1046" i="103"/>
  <c r="J1046" i="103"/>
  <c r="E1046" i="103"/>
  <c r="O1044" i="103"/>
  <c r="J1044" i="103"/>
  <c r="E1044" i="103"/>
  <c r="L1043" i="103"/>
  <c r="G1043" i="103"/>
  <c r="B1043" i="103"/>
  <c r="N1039" i="103"/>
  <c r="M1039" i="103"/>
  <c r="L1039" i="103"/>
  <c r="I1039" i="103"/>
  <c r="H1039" i="103"/>
  <c r="G1039" i="103"/>
  <c r="D1039" i="103"/>
  <c r="C1039" i="103"/>
  <c r="B1039" i="103"/>
  <c r="O1037" i="103"/>
  <c r="J1037" i="103"/>
  <c r="E1037" i="103"/>
  <c r="O1036" i="103"/>
  <c r="J1036" i="103"/>
  <c r="E1036" i="103"/>
  <c r="O1035" i="103"/>
  <c r="J1035" i="103"/>
  <c r="E1035" i="103"/>
  <c r="O1034" i="103"/>
  <c r="J1034" i="103"/>
  <c r="E1034" i="103"/>
  <c r="O1033" i="103"/>
  <c r="J1033" i="103"/>
  <c r="E1033" i="103"/>
  <c r="O1032" i="103"/>
  <c r="J1032" i="103"/>
  <c r="E1032" i="103"/>
  <c r="O1031" i="103"/>
  <c r="J1031" i="103"/>
  <c r="E1031" i="103"/>
  <c r="O1030" i="103"/>
  <c r="J1030" i="103"/>
  <c r="E1030" i="103"/>
  <c r="O1029" i="103"/>
  <c r="J1029" i="103"/>
  <c r="E1029" i="103"/>
  <c r="O1027" i="103"/>
  <c r="J1027" i="103"/>
  <c r="E1027" i="103"/>
  <c r="L1026" i="103"/>
  <c r="G1026" i="103"/>
  <c r="B1026" i="103"/>
  <c r="N1022" i="103"/>
  <c r="M1022" i="103"/>
  <c r="L1022" i="103"/>
  <c r="I1022" i="103"/>
  <c r="H1022" i="103"/>
  <c r="G1022" i="103"/>
  <c r="D1022" i="103"/>
  <c r="C1022" i="103"/>
  <c r="B1022" i="103"/>
  <c r="O1020" i="103"/>
  <c r="J1020" i="103"/>
  <c r="E1020" i="103"/>
  <c r="O1019" i="103"/>
  <c r="J1019" i="103"/>
  <c r="E1019" i="103"/>
  <c r="O1018" i="103"/>
  <c r="J1018" i="103"/>
  <c r="E1018" i="103"/>
  <c r="O1017" i="103"/>
  <c r="J1017" i="103"/>
  <c r="E1017" i="103"/>
  <c r="O1016" i="103"/>
  <c r="J1016" i="103"/>
  <c r="E1016" i="103"/>
  <c r="O1015" i="103"/>
  <c r="J1015" i="103"/>
  <c r="E1015" i="103"/>
  <c r="O1014" i="103"/>
  <c r="J1014" i="103"/>
  <c r="E1014" i="103"/>
  <c r="O1013" i="103"/>
  <c r="J1013" i="103"/>
  <c r="E1013" i="103"/>
  <c r="O1012" i="103"/>
  <c r="J1012" i="103"/>
  <c r="E1012" i="103"/>
  <c r="O1010" i="103"/>
  <c r="J1010" i="103"/>
  <c r="E1010" i="103"/>
  <c r="L1009" i="103"/>
  <c r="G1009" i="103"/>
  <c r="B1009" i="103"/>
  <c r="N1005" i="103"/>
  <c r="M1005" i="103"/>
  <c r="L1005" i="103"/>
  <c r="I1005" i="103"/>
  <c r="H1005" i="103"/>
  <c r="G1005" i="103"/>
  <c r="D1005" i="103"/>
  <c r="C1005" i="103"/>
  <c r="B1005" i="103"/>
  <c r="O1003" i="103"/>
  <c r="J1003" i="103"/>
  <c r="E1003" i="103"/>
  <c r="O1002" i="103"/>
  <c r="J1002" i="103"/>
  <c r="E1002" i="103"/>
  <c r="O1001" i="103"/>
  <c r="J1001" i="103"/>
  <c r="E1001" i="103"/>
  <c r="O1000" i="103"/>
  <c r="J1000" i="103"/>
  <c r="E1000" i="103"/>
  <c r="O999" i="103"/>
  <c r="J999" i="103"/>
  <c r="E999" i="103"/>
  <c r="O998" i="103"/>
  <c r="J998" i="103"/>
  <c r="E998" i="103"/>
  <c r="O997" i="103"/>
  <c r="J997" i="103"/>
  <c r="E997" i="103"/>
  <c r="O996" i="103"/>
  <c r="J996" i="103"/>
  <c r="E996" i="103"/>
  <c r="O995" i="103"/>
  <c r="J995" i="103"/>
  <c r="E995" i="103"/>
  <c r="O993" i="103"/>
  <c r="J993" i="103"/>
  <c r="E993" i="103"/>
  <c r="L992" i="103"/>
  <c r="G992" i="103"/>
  <c r="B992" i="103"/>
  <c r="N988" i="103"/>
  <c r="M988" i="103"/>
  <c r="L988" i="103"/>
  <c r="I988" i="103"/>
  <c r="H988" i="103"/>
  <c r="G988" i="103"/>
  <c r="D988" i="103"/>
  <c r="C988" i="103"/>
  <c r="B988" i="103"/>
  <c r="O986" i="103"/>
  <c r="J986" i="103"/>
  <c r="E986" i="103"/>
  <c r="O985" i="103"/>
  <c r="J985" i="103"/>
  <c r="E985" i="103"/>
  <c r="O984" i="103"/>
  <c r="J984" i="103"/>
  <c r="E984" i="103"/>
  <c r="O983" i="103"/>
  <c r="J983" i="103"/>
  <c r="E983" i="103"/>
  <c r="O982" i="103"/>
  <c r="J982" i="103"/>
  <c r="E982" i="103"/>
  <c r="O981" i="103"/>
  <c r="J981" i="103"/>
  <c r="E981" i="103"/>
  <c r="O980" i="103"/>
  <c r="J980" i="103"/>
  <c r="E980" i="103"/>
  <c r="O979" i="103"/>
  <c r="J979" i="103"/>
  <c r="E979" i="103"/>
  <c r="O978" i="103"/>
  <c r="J978" i="103"/>
  <c r="E978" i="103"/>
  <c r="O976" i="103"/>
  <c r="J976" i="103"/>
  <c r="E976" i="103"/>
  <c r="L975" i="103"/>
  <c r="G975" i="103"/>
  <c r="B975" i="103"/>
  <c r="N971" i="103"/>
  <c r="M971" i="103"/>
  <c r="L971" i="103"/>
  <c r="I971" i="103"/>
  <c r="H971" i="103"/>
  <c r="G971" i="103"/>
  <c r="D971" i="103"/>
  <c r="C971" i="103"/>
  <c r="B971" i="103"/>
  <c r="O969" i="103"/>
  <c r="J969" i="103"/>
  <c r="E969" i="103"/>
  <c r="O968" i="103"/>
  <c r="J968" i="103"/>
  <c r="E968" i="103"/>
  <c r="O967" i="103"/>
  <c r="J967" i="103"/>
  <c r="E967" i="103"/>
  <c r="O966" i="103"/>
  <c r="J966" i="103"/>
  <c r="E966" i="103"/>
  <c r="O965" i="103"/>
  <c r="J965" i="103"/>
  <c r="E965" i="103"/>
  <c r="O964" i="103"/>
  <c r="J964" i="103"/>
  <c r="E964" i="103"/>
  <c r="O963" i="103"/>
  <c r="J963" i="103"/>
  <c r="E963" i="103"/>
  <c r="O962" i="103"/>
  <c r="J962" i="103"/>
  <c r="E962" i="103"/>
  <c r="O961" i="103"/>
  <c r="J961" i="103"/>
  <c r="E961" i="103"/>
  <c r="O959" i="103"/>
  <c r="J959" i="103"/>
  <c r="E959" i="103"/>
  <c r="L958" i="103"/>
  <c r="G958" i="103"/>
  <c r="B958" i="103"/>
  <c r="N954" i="103"/>
  <c r="M954" i="103"/>
  <c r="L954" i="103"/>
  <c r="I954" i="103"/>
  <c r="H954" i="103"/>
  <c r="G954" i="103"/>
  <c r="D954" i="103"/>
  <c r="C954" i="103"/>
  <c r="B954" i="103"/>
  <c r="O952" i="103"/>
  <c r="J952" i="103"/>
  <c r="E952" i="103"/>
  <c r="O951" i="103"/>
  <c r="J951" i="103"/>
  <c r="E951" i="103"/>
  <c r="O950" i="103"/>
  <c r="J950" i="103"/>
  <c r="E950" i="103"/>
  <c r="O949" i="103"/>
  <c r="J949" i="103"/>
  <c r="E949" i="103"/>
  <c r="O948" i="103"/>
  <c r="J948" i="103"/>
  <c r="E948" i="103"/>
  <c r="O947" i="103"/>
  <c r="J947" i="103"/>
  <c r="E947" i="103"/>
  <c r="O946" i="103"/>
  <c r="J946" i="103"/>
  <c r="E946" i="103"/>
  <c r="O945" i="103"/>
  <c r="J945" i="103"/>
  <c r="E945" i="103"/>
  <c r="O944" i="103"/>
  <c r="J944" i="103"/>
  <c r="E944" i="103"/>
  <c r="O942" i="103"/>
  <c r="J942" i="103"/>
  <c r="E942" i="103"/>
  <c r="L941" i="103"/>
  <c r="G941" i="103"/>
  <c r="B941" i="103"/>
  <c r="N937" i="103"/>
  <c r="M937" i="103"/>
  <c r="L937" i="103"/>
  <c r="I937" i="103"/>
  <c r="H937" i="103"/>
  <c r="G937" i="103"/>
  <c r="D937" i="103"/>
  <c r="C937" i="103"/>
  <c r="B937" i="103"/>
  <c r="O935" i="103"/>
  <c r="J935" i="103"/>
  <c r="E935" i="103"/>
  <c r="O934" i="103"/>
  <c r="J934" i="103"/>
  <c r="E934" i="103"/>
  <c r="O933" i="103"/>
  <c r="J933" i="103"/>
  <c r="E933" i="103"/>
  <c r="O932" i="103"/>
  <c r="J932" i="103"/>
  <c r="E932" i="103"/>
  <c r="O931" i="103"/>
  <c r="J931" i="103"/>
  <c r="E931" i="103"/>
  <c r="O930" i="103"/>
  <c r="J930" i="103"/>
  <c r="E930" i="103"/>
  <c r="O929" i="103"/>
  <c r="J929" i="103"/>
  <c r="E929" i="103"/>
  <c r="O928" i="103"/>
  <c r="J928" i="103"/>
  <c r="E928" i="103"/>
  <c r="O927" i="103"/>
  <c r="J927" i="103"/>
  <c r="E927" i="103"/>
  <c r="O925" i="103"/>
  <c r="J925" i="103"/>
  <c r="E925" i="103"/>
  <c r="L924" i="103"/>
  <c r="G924" i="103"/>
  <c r="B924" i="103"/>
  <c r="N920" i="103"/>
  <c r="M920" i="103"/>
  <c r="L920" i="103"/>
  <c r="I920" i="103"/>
  <c r="H920" i="103"/>
  <c r="G920" i="103"/>
  <c r="D920" i="103"/>
  <c r="C920" i="103"/>
  <c r="B920" i="103"/>
  <c r="O918" i="103"/>
  <c r="J918" i="103"/>
  <c r="E918" i="103"/>
  <c r="O917" i="103"/>
  <c r="J917" i="103"/>
  <c r="E917" i="103"/>
  <c r="O916" i="103"/>
  <c r="J916" i="103"/>
  <c r="E916" i="103"/>
  <c r="O915" i="103"/>
  <c r="J915" i="103"/>
  <c r="E915" i="103"/>
  <c r="O914" i="103"/>
  <c r="J914" i="103"/>
  <c r="E914" i="103"/>
  <c r="O913" i="103"/>
  <c r="J913" i="103"/>
  <c r="E913" i="103"/>
  <c r="O912" i="103"/>
  <c r="J912" i="103"/>
  <c r="E912" i="103"/>
  <c r="O911" i="103"/>
  <c r="J911" i="103"/>
  <c r="E911" i="103"/>
  <c r="O910" i="103"/>
  <c r="J910" i="103"/>
  <c r="E910" i="103"/>
  <c r="O908" i="103"/>
  <c r="J908" i="103"/>
  <c r="E908" i="103"/>
  <c r="L907" i="103"/>
  <c r="G907" i="103"/>
  <c r="B907" i="103"/>
  <c r="N903" i="103"/>
  <c r="M903" i="103"/>
  <c r="L903" i="103"/>
  <c r="I903" i="103"/>
  <c r="H903" i="103"/>
  <c r="G903" i="103"/>
  <c r="D903" i="103"/>
  <c r="C903" i="103"/>
  <c r="B903" i="103"/>
  <c r="O901" i="103"/>
  <c r="J901" i="103"/>
  <c r="E901" i="103"/>
  <c r="O900" i="103"/>
  <c r="J900" i="103"/>
  <c r="E900" i="103"/>
  <c r="O899" i="103"/>
  <c r="J899" i="103"/>
  <c r="E899" i="103"/>
  <c r="O898" i="103"/>
  <c r="J898" i="103"/>
  <c r="E898" i="103"/>
  <c r="O897" i="103"/>
  <c r="J897" i="103"/>
  <c r="E897" i="103"/>
  <c r="O896" i="103"/>
  <c r="J896" i="103"/>
  <c r="E896" i="103"/>
  <c r="O895" i="103"/>
  <c r="J895" i="103"/>
  <c r="E895" i="103"/>
  <c r="O894" i="103"/>
  <c r="J894" i="103"/>
  <c r="E894" i="103"/>
  <c r="O893" i="103"/>
  <c r="J893" i="103"/>
  <c r="E893" i="103"/>
  <c r="O891" i="103"/>
  <c r="J891" i="103"/>
  <c r="E891" i="103"/>
  <c r="L890" i="103"/>
  <c r="G890" i="103"/>
  <c r="B890" i="103"/>
  <c r="N886" i="103"/>
  <c r="M886" i="103"/>
  <c r="L886" i="103"/>
  <c r="I886" i="103"/>
  <c r="H886" i="103"/>
  <c r="G886" i="103"/>
  <c r="D886" i="103"/>
  <c r="C886" i="103"/>
  <c r="B886" i="103"/>
  <c r="O884" i="103"/>
  <c r="J884" i="103"/>
  <c r="E884" i="103"/>
  <c r="O883" i="103"/>
  <c r="J883" i="103"/>
  <c r="E883" i="103"/>
  <c r="O882" i="103"/>
  <c r="J882" i="103"/>
  <c r="E882" i="103"/>
  <c r="O881" i="103"/>
  <c r="J881" i="103"/>
  <c r="E881" i="103"/>
  <c r="O880" i="103"/>
  <c r="J880" i="103"/>
  <c r="E880" i="103"/>
  <c r="O879" i="103"/>
  <c r="J879" i="103"/>
  <c r="E879" i="103"/>
  <c r="O878" i="103"/>
  <c r="J878" i="103"/>
  <c r="E878" i="103"/>
  <c r="O877" i="103"/>
  <c r="J877" i="103"/>
  <c r="E877" i="103"/>
  <c r="O876" i="103"/>
  <c r="J876" i="103"/>
  <c r="E876" i="103"/>
  <c r="O874" i="103"/>
  <c r="J874" i="103"/>
  <c r="E874" i="103"/>
  <c r="L873" i="103"/>
  <c r="G873" i="103"/>
  <c r="B873" i="103"/>
  <c r="N869" i="103"/>
  <c r="M869" i="103"/>
  <c r="L869" i="103"/>
  <c r="I869" i="103"/>
  <c r="H869" i="103"/>
  <c r="G869" i="103"/>
  <c r="D869" i="103"/>
  <c r="C869" i="103"/>
  <c r="B869" i="103"/>
  <c r="O867" i="103"/>
  <c r="J867" i="103"/>
  <c r="E867" i="103"/>
  <c r="O866" i="103"/>
  <c r="J866" i="103"/>
  <c r="E866" i="103"/>
  <c r="O865" i="103"/>
  <c r="J865" i="103"/>
  <c r="E865" i="103"/>
  <c r="O864" i="103"/>
  <c r="J864" i="103"/>
  <c r="E864" i="103"/>
  <c r="O863" i="103"/>
  <c r="J863" i="103"/>
  <c r="E863" i="103"/>
  <c r="O862" i="103"/>
  <c r="J862" i="103"/>
  <c r="E862" i="103"/>
  <c r="O861" i="103"/>
  <c r="J861" i="103"/>
  <c r="E861" i="103"/>
  <c r="O860" i="103"/>
  <c r="J860" i="103"/>
  <c r="E860" i="103"/>
  <c r="O859" i="103"/>
  <c r="J859" i="103"/>
  <c r="E859" i="103"/>
  <c r="O857" i="103"/>
  <c r="J857" i="103"/>
  <c r="E857" i="103"/>
  <c r="L856" i="103"/>
  <c r="G856" i="103"/>
  <c r="B856" i="103"/>
  <c r="N852" i="103"/>
  <c r="M852" i="103"/>
  <c r="L852" i="103"/>
  <c r="I852" i="103"/>
  <c r="H852" i="103"/>
  <c r="G852" i="103"/>
  <c r="D852" i="103"/>
  <c r="C852" i="103"/>
  <c r="B852" i="103"/>
  <c r="O850" i="103"/>
  <c r="J850" i="103"/>
  <c r="E850" i="103"/>
  <c r="O849" i="103"/>
  <c r="J849" i="103"/>
  <c r="E849" i="103"/>
  <c r="O848" i="103"/>
  <c r="J848" i="103"/>
  <c r="E848" i="103"/>
  <c r="O847" i="103"/>
  <c r="J847" i="103"/>
  <c r="E847" i="103"/>
  <c r="O846" i="103"/>
  <c r="J846" i="103"/>
  <c r="E846" i="103"/>
  <c r="O845" i="103"/>
  <c r="J845" i="103"/>
  <c r="E845" i="103"/>
  <c r="O844" i="103"/>
  <c r="J844" i="103"/>
  <c r="E844" i="103"/>
  <c r="O843" i="103"/>
  <c r="J843" i="103"/>
  <c r="E843" i="103"/>
  <c r="O842" i="103"/>
  <c r="J842" i="103"/>
  <c r="E842" i="103"/>
  <c r="O840" i="103"/>
  <c r="J840" i="103"/>
  <c r="E840" i="103"/>
  <c r="L839" i="103"/>
  <c r="G839" i="103"/>
  <c r="B839" i="103"/>
  <c r="N835" i="103"/>
  <c r="M835" i="103"/>
  <c r="L835" i="103"/>
  <c r="I835" i="103"/>
  <c r="H835" i="103"/>
  <c r="G835" i="103"/>
  <c r="D835" i="103"/>
  <c r="C835" i="103"/>
  <c r="B835" i="103"/>
  <c r="O833" i="103"/>
  <c r="J833" i="103"/>
  <c r="E833" i="103"/>
  <c r="O832" i="103"/>
  <c r="J832" i="103"/>
  <c r="E832" i="103"/>
  <c r="O831" i="103"/>
  <c r="J831" i="103"/>
  <c r="E831" i="103"/>
  <c r="O830" i="103"/>
  <c r="J830" i="103"/>
  <c r="E830" i="103"/>
  <c r="O829" i="103"/>
  <c r="J829" i="103"/>
  <c r="E829" i="103"/>
  <c r="O828" i="103"/>
  <c r="J828" i="103"/>
  <c r="E828" i="103"/>
  <c r="O827" i="103"/>
  <c r="J827" i="103"/>
  <c r="E827" i="103"/>
  <c r="O826" i="103"/>
  <c r="J826" i="103"/>
  <c r="E826" i="103"/>
  <c r="O825" i="103"/>
  <c r="J825" i="103"/>
  <c r="E825" i="103"/>
  <c r="O823" i="103"/>
  <c r="J823" i="103"/>
  <c r="E823" i="103"/>
  <c r="L822" i="103"/>
  <c r="G822" i="103"/>
  <c r="B822" i="103"/>
  <c r="N818" i="103"/>
  <c r="M818" i="103"/>
  <c r="L818" i="103"/>
  <c r="I818" i="103"/>
  <c r="H818" i="103"/>
  <c r="G818" i="103"/>
  <c r="D818" i="103"/>
  <c r="C818" i="103"/>
  <c r="B818" i="103"/>
  <c r="O816" i="103"/>
  <c r="J816" i="103"/>
  <c r="E816" i="103"/>
  <c r="O815" i="103"/>
  <c r="J815" i="103"/>
  <c r="E815" i="103"/>
  <c r="O814" i="103"/>
  <c r="J814" i="103"/>
  <c r="E814" i="103"/>
  <c r="O813" i="103"/>
  <c r="J813" i="103"/>
  <c r="E813" i="103"/>
  <c r="O812" i="103"/>
  <c r="J812" i="103"/>
  <c r="E812" i="103"/>
  <c r="O811" i="103"/>
  <c r="J811" i="103"/>
  <c r="E811" i="103"/>
  <c r="O810" i="103"/>
  <c r="J810" i="103"/>
  <c r="E810" i="103"/>
  <c r="O809" i="103"/>
  <c r="J809" i="103"/>
  <c r="E809" i="103"/>
  <c r="O808" i="103"/>
  <c r="J808" i="103"/>
  <c r="E808" i="103"/>
  <c r="O806" i="103"/>
  <c r="J806" i="103"/>
  <c r="E806" i="103"/>
  <c r="L805" i="103"/>
  <c r="G805" i="103"/>
  <c r="B805" i="103"/>
  <c r="N801" i="103"/>
  <c r="M801" i="103"/>
  <c r="L801" i="103"/>
  <c r="I801" i="103"/>
  <c r="H801" i="103"/>
  <c r="G801" i="103"/>
  <c r="D801" i="103"/>
  <c r="C801" i="103"/>
  <c r="B801" i="103"/>
  <c r="O799" i="103"/>
  <c r="J799" i="103"/>
  <c r="E799" i="103"/>
  <c r="O798" i="103"/>
  <c r="J798" i="103"/>
  <c r="E798" i="103"/>
  <c r="O797" i="103"/>
  <c r="J797" i="103"/>
  <c r="E797" i="103"/>
  <c r="O796" i="103"/>
  <c r="J796" i="103"/>
  <c r="E796" i="103"/>
  <c r="O795" i="103"/>
  <c r="J795" i="103"/>
  <c r="E795" i="103"/>
  <c r="O794" i="103"/>
  <c r="J794" i="103"/>
  <c r="E794" i="103"/>
  <c r="O793" i="103"/>
  <c r="J793" i="103"/>
  <c r="E793" i="103"/>
  <c r="O792" i="103"/>
  <c r="J792" i="103"/>
  <c r="E792" i="103"/>
  <c r="O791" i="103"/>
  <c r="J791" i="103"/>
  <c r="E791" i="103"/>
  <c r="O789" i="103"/>
  <c r="J789" i="103"/>
  <c r="E789" i="103"/>
  <c r="L788" i="103"/>
  <c r="G788" i="103"/>
  <c r="B788" i="103"/>
  <c r="N784" i="103"/>
  <c r="M784" i="103"/>
  <c r="L784" i="103"/>
  <c r="I784" i="103"/>
  <c r="H784" i="103"/>
  <c r="G784" i="103"/>
  <c r="D784" i="103"/>
  <c r="C784" i="103"/>
  <c r="B784" i="103"/>
  <c r="O782" i="103"/>
  <c r="J782" i="103"/>
  <c r="E782" i="103"/>
  <c r="O781" i="103"/>
  <c r="J781" i="103"/>
  <c r="E781" i="103"/>
  <c r="O780" i="103"/>
  <c r="J780" i="103"/>
  <c r="E780" i="103"/>
  <c r="O779" i="103"/>
  <c r="J779" i="103"/>
  <c r="E779" i="103"/>
  <c r="O778" i="103"/>
  <c r="J778" i="103"/>
  <c r="E778" i="103"/>
  <c r="O777" i="103"/>
  <c r="J777" i="103"/>
  <c r="E777" i="103"/>
  <c r="O776" i="103"/>
  <c r="J776" i="103"/>
  <c r="E776" i="103"/>
  <c r="O775" i="103"/>
  <c r="J775" i="103"/>
  <c r="E775" i="103"/>
  <c r="O774" i="103"/>
  <c r="J774" i="103"/>
  <c r="E774" i="103"/>
  <c r="O772" i="103"/>
  <c r="J772" i="103"/>
  <c r="E772" i="103"/>
  <c r="L771" i="103"/>
  <c r="G771" i="103"/>
  <c r="B771" i="103"/>
  <c r="N767" i="103"/>
  <c r="M767" i="103"/>
  <c r="L767" i="103"/>
  <c r="I767" i="103"/>
  <c r="H767" i="103"/>
  <c r="G767" i="103"/>
  <c r="D767" i="103"/>
  <c r="C767" i="103"/>
  <c r="B767" i="103"/>
  <c r="O765" i="103"/>
  <c r="J765" i="103"/>
  <c r="E765" i="103"/>
  <c r="O764" i="103"/>
  <c r="J764" i="103"/>
  <c r="E764" i="103"/>
  <c r="O763" i="103"/>
  <c r="J763" i="103"/>
  <c r="E763" i="103"/>
  <c r="O762" i="103"/>
  <c r="J762" i="103"/>
  <c r="E762" i="103"/>
  <c r="O761" i="103"/>
  <c r="J761" i="103"/>
  <c r="E761" i="103"/>
  <c r="O760" i="103"/>
  <c r="J760" i="103"/>
  <c r="E760" i="103"/>
  <c r="O759" i="103"/>
  <c r="J759" i="103"/>
  <c r="E759" i="103"/>
  <c r="O758" i="103"/>
  <c r="J758" i="103"/>
  <c r="E758" i="103"/>
  <c r="O757" i="103"/>
  <c r="J757" i="103"/>
  <c r="E757" i="103"/>
  <c r="O755" i="103"/>
  <c r="J755" i="103"/>
  <c r="E755" i="103"/>
  <c r="L754" i="103"/>
  <c r="G754" i="103"/>
  <c r="B754" i="103"/>
  <c r="N750" i="103"/>
  <c r="M750" i="103"/>
  <c r="L750" i="103"/>
  <c r="I750" i="103"/>
  <c r="H750" i="103"/>
  <c r="G750" i="103"/>
  <c r="D750" i="103"/>
  <c r="C750" i="103"/>
  <c r="B750" i="103"/>
  <c r="O748" i="103"/>
  <c r="J748" i="103"/>
  <c r="E748" i="103"/>
  <c r="O747" i="103"/>
  <c r="J747" i="103"/>
  <c r="E747" i="103"/>
  <c r="O746" i="103"/>
  <c r="J746" i="103"/>
  <c r="E746" i="103"/>
  <c r="O745" i="103"/>
  <c r="J745" i="103"/>
  <c r="E745" i="103"/>
  <c r="O744" i="103"/>
  <c r="J744" i="103"/>
  <c r="E744" i="103"/>
  <c r="O743" i="103"/>
  <c r="J743" i="103"/>
  <c r="E743" i="103"/>
  <c r="O742" i="103"/>
  <c r="J742" i="103"/>
  <c r="E742" i="103"/>
  <c r="O741" i="103"/>
  <c r="J741" i="103"/>
  <c r="E741" i="103"/>
  <c r="O740" i="103"/>
  <c r="J740" i="103"/>
  <c r="E740" i="103"/>
  <c r="O738" i="103"/>
  <c r="J738" i="103"/>
  <c r="E738" i="103"/>
  <c r="L737" i="103"/>
  <c r="G737" i="103"/>
  <c r="B737" i="103"/>
  <c r="N733" i="103"/>
  <c r="M733" i="103"/>
  <c r="L733" i="103"/>
  <c r="I733" i="103"/>
  <c r="H733" i="103"/>
  <c r="G733" i="103"/>
  <c r="D733" i="103"/>
  <c r="C733" i="103"/>
  <c r="B733" i="103"/>
  <c r="O731" i="103"/>
  <c r="J731" i="103"/>
  <c r="E731" i="103"/>
  <c r="O730" i="103"/>
  <c r="J730" i="103"/>
  <c r="E730" i="103"/>
  <c r="O729" i="103"/>
  <c r="J729" i="103"/>
  <c r="E729" i="103"/>
  <c r="O728" i="103"/>
  <c r="J728" i="103"/>
  <c r="E728" i="103"/>
  <c r="O727" i="103"/>
  <c r="J727" i="103"/>
  <c r="E727" i="103"/>
  <c r="O726" i="103"/>
  <c r="J726" i="103"/>
  <c r="E726" i="103"/>
  <c r="O725" i="103"/>
  <c r="J725" i="103"/>
  <c r="E725" i="103"/>
  <c r="O724" i="103"/>
  <c r="J724" i="103"/>
  <c r="E724" i="103"/>
  <c r="O723" i="103"/>
  <c r="J723" i="103"/>
  <c r="E723" i="103"/>
  <c r="O721" i="103"/>
  <c r="J721" i="103"/>
  <c r="E721" i="103"/>
  <c r="L720" i="103"/>
  <c r="G720" i="103"/>
  <c r="B720" i="103"/>
  <c r="N716" i="103"/>
  <c r="M716" i="103"/>
  <c r="L716" i="103"/>
  <c r="I716" i="103"/>
  <c r="H716" i="103"/>
  <c r="G716" i="103"/>
  <c r="D716" i="103"/>
  <c r="C716" i="103"/>
  <c r="B716" i="103"/>
  <c r="O714" i="103"/>
  <c r="J714" i="103"/>
  <c r="E714" i="103"/>
  <c r="O713" i="103"/>
  <c r="J713" i="103"/>
  <c r="E713" i="103"/>
  <c r="O712" i="103"/>
  <c r="J712" i="103"/>
  <c r="E712" i="103"/>
  <c r="O711" i="103"/>
  <c r="J711" i="103"/>
  <c r="E711" i="103"/>
  <c r="O710" i="103"/>
  <c r="J710" i="103"/>
  <c r="E710" i="103"/>
  <c r="O709" i="103"/>
  <c r="J709" i="103"/>
  <c r="E709" i="103"/>
  <c r="O708" i="103"/>
  <c r="J708" i="103"/>
  <c r="E708" i="103"/>
  <c r="O707" i="103"/>
  <c r="J707" i="103"/>
  <c r="E707" i="103"/>
  <c r="O706" i="103"/>
  <c r="J706" i="103"/>
  <c r="E706" i="103"/>
  <c r="O704" i="103"/>
  <c r="J704" i="103"/>
  <c r="E704" i="103"/>
  <c r="L703" i="103"/>
  <c r="G703" i="103"/>
  <c r="B703" i="103"/>
  <c r="N699" i="103"/>
  <c r="M699" i="103"/>
  <c r="L699" i="103"/>
  <c r="I699" i="103"/>
  <c r="H699" i="103"/>
  <c r="G699" i="103"/>
  <c r="D699" i="103"/>
  <c r="C699" i="103"/>
  <c r="B699" i="103"/>
  <c r="O697" i="103"/>
  <c r="J697" i="103"/>
  <c r="E697" i="103"/>
  <c r="O696" i="103"/>
  <c r="J696" i="103"/>
  <c r="E696" i="103"/>
  <c r="O695" i="103"/>
  <c r="J695" i="103"/>
  <c r="E695" i="103"/>
  <c r="O694" i="103"/>
  <c r="J694" i="103"/>
  <c r="E694" i="103"/>
  <c r="O693" i="103"/>
  <c r="J693" i="103"/>
  <c r="E693" i="103"/>
  <c r="O692" i="103"/>
  <c r="J692" i="103"/>
  <c r="E692" i="103"/>
  <c r="O691" i="103"/>
  <c r="J691" i="103"/>
  <c r="E691" i="103"/>
  <c r="O690" i="103"/>
  <c r="J690" i="103"/>
  <c r="E690" i="103"/>
  <c r="O689" i="103"/>
  <c r="J689" i="103"/>
  <c r="E689" i="103"/>
  <c r="O687" i="103"/>
  <c r="J687" i="103"/>
  <c r="E687" i="103"/>
  <c r="L686" i="103"/>
  <c r="G686" i="103"/>
  <c r="B686" i="103"/>
  <c r="N682" i="103"/>
  <c r="M682" i="103"/>
  <c r="L682" i="103"/>
  <c r="I682" i="103"/>
  <c r="H682" i="103"/>
  <c r="G682" i="103"/>
  <c r="D682" i="103"/>
  <c r="C682" i="103"/>
  <c r="B682" i="103"/>
  <c r="O680" i="103"/>
  <c r="J680" i="103"/>
  <c r="E680" i="103"/>
  <c r="O679" i="103"/>
  <c r="J679" i="103"/>
  <c r="E679" i="103"/>
  <c r="O678" i="103"/>
  <c r="J678" i="103"/>
  <c r="E678" i="103"/>
  <c r="O677" i="103"/>
  <c r="J677" i="103"/>
  <c r="E677" i="103"/>
  <c r="O676" i="103"/>
  <c r="J676" i="103"/>
  <c r="E676" i="103"/>
  <c r="O675" i="103"/>
  <c r="J675" i="103"/>
  <c r="E675" i="103"/>
  <c r="O674" i="103"/>
  <c r="J674" i="103"/>
  <c r="E674" i="103"/>
  <c r="O673" i="103"/>
  <c r="J673" i="103"/>
  <c r="E673" i="103"/>
  <c r="O672" i="103"/>
  <c r="J672" i="103"/>
  <c r="E672" i="103"/>
  <c r="O670" i="103"/>
  <c r="J670" i="103"/>
  <c r="E670" i="103"/>
  <c r="L669" i="103"/>
  <c r="G669" i="103"/>
  <c r="B669" i="103"/>
  <c r="N665" i="103"/>
  <c r="M665" i="103"/>
  <c r="L665" i="103"/>
  <c r="I665" i="103"/>
  <c r="H665" i="103"/>
  <c r="G665" i="103"/>
  <c r="D665" i="103"/>
  <c r="C665" i="103"/>
  <c r="B665" i="103"/>
  <c r="O663" i="103"/>
  <c r="J663" i="103"/>
  <c r="E663" i="103"/>
  <c r="O662" i="103"/>
  <c r="J662" i="103"/>
  <c r="E662" i="103"/>
  <c r="O661" i="103"/>
  <c r="J661" i="103"/>
  <c r="E661" i="103"/>
  <c r="O660" i="103"/>
  <c r="J660" i="103"/>
  <c r="E660" i="103"/>
  <c r="O659" i="103"/>
  <c r="J659" i="103"/>
  <c r="E659" i="103"/>
  <c r="O658" i="103"/>
  <c r="J658" i="103"/>
  <c r="E658" i="103"/>
  <c r="O657" i="103"/>
  <c r="J657" i="103"/>
  <c r="E657" i="103"/>
  <c r="O656" i="103"/>
  <c r="J656" i="103"/>
  <c r="E656" i="103"/>
  <c r="O655" i="103"/>
  <c r="J655" i="103"/>
  <c r="E655" i="103"/>
  <c r="O653" i="103"/>
  <c r="J653" i="103"/>
  <c r="E653" i="103"/>
  <c r="L652" i="103"/>
  <c r="G652" i="103"/>
  <c r="B652" i="103"/>
  <c r="N648" i="103"/>
  <c r="M648" i="103"/>
  <c r="L648" i="103"/>
  <c r="I648" i="103"/>
  <c r="H648" i="103"/>
  <c r="G648" i="103"/>
  <c r="D648" i="103"/>
  <c r="C648" i="103"/>
  <c r="B648" i="103"/>
  <c r="O646" i="103"/>
  <c r="J646" i="103"/>
  <c r="E646" i="103"/>
  <c r="O645" i="103"/>
  <c r="J645" i="103"/>
  <c r="E645" i="103"/>
  <c r="O644" i="103"/>
  <c r="J644" i="103"/>
  <c r="E644" i="103"/>
  <c r="O643" i="103"/>
  <c r="J643" i="103"/>
  <c r="E643" i="103"/>
  <c r="O642" i="103"/>
  <c r="J642" i="103"/>
  <c r="E642" i="103"/>
  <c r="O641" i="103"/>
  <c r="J641" i="103"/>
  <c r="E641" i="103"/>
  <c r="O640" i="103"/>
  <c r="J640" i="103"/>
  <c r="E640" i="103"/>
  <c r="O639" i="103"/>
  <c r="J639" i="103"/>
  <c r="E639" i="103"/>
  <c r="O638" i="103"/>
  <c r="J638" i="103"/>
  <c r="E638" i="103"/>
  <c r="O636" i="103"/>
  <c r="J636" i="103"/>
  <c r="E636" i="103"/>
  <c r="L635" i="103"/>
  <c r="G635" i="103"/>
  <c r="B635" i="103"/>
  <c r="N631" i="103"/>
  <c r="M631" i="103"/>
  <c r="L631" i="103"/>
  <c r="I631" i="103"/>
  <c r="H631" i="103"/>
  <c r="G631" i="103"/>
  <c r="D631" i="103"/>
  <c r="C631" i="103"/>
  <c r="B631" i="103"/>
  <c r="O629" i="103"/>
  <c r="J629" i="103"/>
  <c r="E629" i="103"/>
  <c r="O628" i="103"/>
  <c r="J628" i="103"/>
  <c r="E628" i="103"/>
  <c r="O627" i="103"/>
  <c r="J627" i="103"/>
  <c r="E627" i="103"/>
  <c r="O626" i="103"/>
  <c r="J626" i="103"/>
  <c r="E626" i="103"/>
  <c r="O625" i="103"/>
  <c r="J625" i="103"/>
  <c r="E625" i="103"/>
  <c r="O624" i="103"/>
  <c r="J624" i="103"/>
  <c r="E624" i="103"/>
  <c r="O623" i="103"/>
  <c r="J623" i="103"/>
  <c r="E623" i="103"/>
  <c r="O622" i="103"/>
  <c r="J622" i="103"/>
  <c r="E622" i="103"/>
  <c r="O621" i="103"/>
  <c r="J621" i="103"/>
  <c r="E621" i="103"/>
  <c r="O619" i="103"/>
  <c r="J619" i="103"/>
  <c r="E619" i="103"/>
  <c r="L618" i="103"/>
  <c r="G618" i="103"/>
  <c r="B618" i="103"/>
  <c r="N614" i="103"/>
  <c r="M614" i="103"/>
  <c r="L614" i="103"/>
  <c r="I614" i="103"/>
  <c r="H614" i="103"/>
  <c r="G614" i="103"/>
  <c r="D614" i="103"/>
  <c r="C614" i="103"/>
  <c r="B614" i="103"/>
  <c r="O612" i="103"/>
  <c r="J612" i="103"/>
  <c r="E612" i="103"/>
  <c r="O611" i="103"/>
  <c r="J611" i="103"/>
  <c r="E611" i="103"/>
  <c r="O610" i="103"/>
  <c r="J610" i="103"/>
  <c r="E610" i="103"/>
  <c r="O609" i="103"/>
  <c r="J609" i="103"/>
  <c r="E609" i="103"/>
  <c r="O608" i="103"/>
  <c r="J608" i="103"/>
  <c r="E608" i="103"/>
  <c r="O607" i="103"/>
  <c r="J607" i="103"/>
  <c r="E607" i="103"/>
  <c r="O606" i="103"/>
  <c r="J606" i="103"/>
  <c r="E606" i="103"/>
  <c r="O605" i="103"/>
  <c r="J605" i="103"/>
  <c r="E605" i="103"/>
  <c r="O604" i="103"/>
  <c r="J604" i="103"/>
  <c r="E604" i="103"/>
  <c r="O602" i="103"/>
  <c r="J602" i="103"/>
  <c r="E602" i="103"/>
  <c r="L601" i="103"/>
  <c r="G601" i="103"/>
  <c r="B601" i="103"/>
  <c r="N597" i="103"/>
  <c r="M597" i="103"/>
  <c r="L597" i="103"/>
  <c r="I597" i="103"/>
  <c r="H597" i="103"/>
  <c r="G597" i="103"/>
  <c r="D597" i="103"/>
  <c r="C597" i="103"/>
  <c r="B597" i="103"/>
  <c r="O595" i="103"/>
  <c r="J595" i="103"/>
  <c r="E595" i="103"/>
  <c r="O594" i="103"/>
  <c r="J594" i="103"/>
  <c r="E594" i="103"/>
  <c r="O593" i="103"/>
  <c r="J593" i="103"/>
  <c r="E593" i="103"/>
  <c r="O592" i="103"/>
  <c r="J592" i="103"/>
  <c r="E592" i="103"/>
  <c r="O591" i="103"/>
  <c r="J591" i="103"/>
  <c r="E591" i="103"/>
  <c r="O590" i="103"/>
  <c r="J590" i="103"/>
  <c r="E590" i="103"/>
  <c r="O589" i="103"/>
  <c r="J589" i="103"/>
  <c r="E589" i="103"/>
  <c r="O588" i="103"/>
  <c r="J588" i="103"/>
  <c r="E588" i="103"/>
  <c r="O587" i="103"/>
  <c r="J587" i="103"/>
  <c r="E587" i="103"/>
  <c r="O585" i="103"/>
  <c r="J585" i="103"/>
  <c r="E585" i="103"/>
  <c r="L584" i="103"/>
  <c r="G584" i="103"/>
  <c r="B584" i="103"/>
  <c r="N580" i="103"/>
  <c r="M580" i="103"/>
  <c r="L580" i="103"/>
  <c r="I580" i="103"/>
  <c r="H580" i="103"/>
  <c r="G580" i="103"/>
  <c r="D580" i="103"/>
  <c r="C580" i="103"/>
  <c r="B580" i="103"/>
  <c r="O578" i="103"/>
  <c r="J578" i="103"/>
  <c r="E578" i="103"/>
  <c r="O577" i="103"/>
  <c r="J577" i="103"/>
  <c r="E577" i="103"/>
  <c r="O576" i="103"/>
  <c r="J576" i="103"/>
  <c r="E576" i="103"/>
  <c r="O575" i="103"/>
  <c r="J575" i="103"/>
  <c r="E575" i="103"/>
  <c r="O574" i="103"/>
  <c r="J574" i="103"/>
  <c r="E574" i="103"/>
  <c r="O573" i="103"/>
  <c r="J573" i="103"/>
  <c r="E573" i="103"/>
  <c r="O572" i="103"/>
  <c r="J572" i="103"/>
  <c r="E572" i="103"/>
  <c r="O571" i="103"/>
  <c r="J571" i="103"/>
  <c r="E571" i="103"/>
  <c r="O570" i="103"/>
  <c r="J570" i="103"/>
  <c r="E570" i="103"/>
  <c r="O568" i="103"/>
  <c r="J568" i="103"/>
  <c r="E568" i="103"/>
  <c r="L567" i="103"/>
  <c r="G567" i="103"/>
  <c r="B567" i="103"/>
  <c r="N563" i="103"/>
  <c r="M563" i="103"/>
  <c r="L563" i="103"/>
  <c r="I563" i="103"/>
  <c r="H563" i="103"/>
  <c r="G563" i="103"/>
  <c r="D563" i="103"/>
  <c r="C563" i="103"/>
  <c r="B563" i="103"/>
  <c r="O561" i="103"/>
  <c r="J561" i="103"/>
  <c r="E561" i="103"/>
  <c r="O560" i="103"/>
  <c r="J560" i="103"/>
  <c r="E560" i="103"/>
  <c r="O559" i="103"/>
  <c r="J559" i="103"/>
  <c r="E559" i="103"/>
  <c r="O558" i="103"/>
  <c r="J558" i="103"/>
  <c r="E558" i="103"/>
  <c r="O557" i="103"/>
  <c r="J557" i="103"/>
  <c r="E557" i="103"/>
  <c r="O556" i="103"/>
  <c r="J556" i="103"/>
  <c r="E556" i="103"/>
  <c r="O555" i="103"/>
  <c r="J555" i="103"/>
  <c r="E555" i="103"/>
  <c r="O554" i="103"/>
  <c r="J554" i="103"/>
  <c r="E554" i="103"/>
  <c r="O553" i="103"/>
  <c r="J553" i="103"/>
  <c r="E553" i="103"/>
  <c r="O551" i="103"/>
  <c r="J551" i="103"/>
  <c r="E551" i="103"/>
  <c r="L550" i="103"/>
  <c r="G550" i="103"/>
  <c r="B550" i="103"/>
  <c r="N546" i="103"/>
  <c r="M546" i="103"/>
  <c r="L546" i="103"/>
  <c r="I546" i="103"/>
  <c r="H546" i="103"/>
  <c r="G546" i="103"/>
  <c r="D546" i="103"/>
  <c r="C546" i="103"/>
  <c r="B546" i="103"/>
  <c r="O544" i="103"/>
  <c r="J544" i="103"/>
  <c r="E544" i="103"/>
  <c r="O543" i="103"/>
  <c r="J543" i="103"/>
  <c r="E543" i="103"/>
  <c r="O542" i="103"/>
  <c r="J542" i="103"/>
  <c r="E542" i="103"/>
  <c r="O541" i="103"/>
  <c r="J541" i="103"/>
  <c r="E541" i="103"/>
  <c r="O540" i="103"/>
  <c r="J540" i="103"/>
  <c r="E540" i="103"/>
  <c r="O539" i="103"/>
  <c r="J539" i="103"/>
  <c r="E539" i="103"/>
  <c r="O538" i="103"/>
  <c r="J538" i="103"/>
  <c r="E538" i="103"/>
  <c r="O537" i="103"/>
  <c r="J537" i="103"/>
  <c r="E537" i="103"/>
  <c r="O536" i="103"/>
  <c r="J536" i="103"/>
  <c r="E536" i="103"/>
  <c r="O534" i="103"/>
  <c r="J534" i="103"/>
  <c r="E534" i="103"/>
  <c r="L533" i="103"/>
  <c r="G533" i="103"/>
  <c r="B533" i="103"/>
  <c r="N529" i="103"/>
  <c r="M529" i="103"/>
  <c r="L529" i="103"/>
  <c r="I529" i="103"/>
  <c r="H529" i="103"/>
  <c r="G529" i="103"/>
  <c r="D529" i="103"/>
  <c r="C529" i="103"/>
  <c r="B529" i="103"/>
  <c r="O527" i="103"/>
  <c r="J527" i="103"/>
  <c r="E527" i="103"/>
  <c r="O526" i="103"/>
  <c r="J526" i="103"/>
  <c r="E526" i="103"/>
  <c r="O525" i="103"/>
  <c r="J525" i="103"/>
  <c r="E525" i="103"/>
  <c r="O524" i="103"/>
  <c r="J524" i="103"/>
  <c r="E524" i="103"/>
  <c r="O523" i="103"/>
  <c r="J523" i="103"/>
  <c r="E523" i="103"/>
  <c r="O522" i="103"/>
  <c r="J522" i="103"/>
  <c r="E522" i="103"/>
  <c r="O521" i="103"/>
  <c r="J521" i="103"/>
  <c r="E521" i="103"/>
  <c r="O520" i="103"/>
  <c r="J520" i="103"/>
  <c r="E520" i="103"/>
  <c r="O519" i="103"/>
  <c r="J519" i="103"/>
  <c r="E519" i="103"/>
  <c r="O517" i="103"/>
  <c r="J517" i="103"/>
  <c r="E517" i="103"/>
  <c r="L516" i="103"/>
  <c r="G516" i="103"/>
  <c r="B516" i="103"/>
  <c r="N512" i="103"/>
  <c r="M512" i="103"/>
  <c r="L512" i="103"/>
  <c r="I512" i="103"/>
  <c r="H512" i="103"/>
  <c r="G512" i="103"/>
  <c r="D512" i="103"/>
  <c r="C512" i="103"/>
  <c r="B512" i="103"/>
  <c r="O510" i="103"/>
  <c r="J510" i="103"/>
  <c r="E510" i="103"/>
  <c r="O509" i="103"/>
  <c r="J509" i="103"/>
  <c r="E509" i="103"/>
  <c r="O508" i="103"/>
  <c r="J508" i="103"/>
  <c r="E508" i="103"/>
  <c r="O507" i="103"/>
  <c r="J507" i="103"/>
  <c r="E507" i="103"/>
  <c r="O506" i="103"/>
  <c r="J506" i="103"/>
  <c r="E506" i="103"/>
  <c r="O505" i="103"/>
  <c r="J505" i="103"/>
  <c r="E505" i="103"/>
  <c r="O504" i="103"/>
  <c r="J504" i="103"/>
  <c r="E504" i="103"/>
  <c r="O503" i="103"/>
  <c r="J503" i="103"/>
  <c r="E503" i="103"/>
  <c r="O502" i="103"/>
  <c r="J502" i="103"/>
  <c r="E502" i="103"/>
  <c r="O500" i="103"/>
  <c r="J500" i="103"/>
  <c r="E500" i="103"/>
  <c r="L499" i="103"/>
  <c r="G499" i="103"/>
  <c r="B499" i="103"/>
  <c r="N495" i="103"/>
  <c r="M495" i="103"/>
  <c r="L495" i="103"/>
  <c r="I495" i="103"/>
  <c r="H495" i="103"/>
  <c r="G495" i="103"/>
  <c r="D495" i="103"/>
  <c r="C495" i="103"/>
  <c r="B495" i="103"/>
  <c r="O493" i="103"/>
  <c r="J493" i="103"/>
  <c r="E493" i="103"/>
  <c r="O492" i="103"/>
  <c r="J492" i="103"/>
  <c r="E492" i="103"/>
  <c r="O491" i="103"/>
  <c r="J491" i="103"/>
  <c r="E491" i="103"/>
  <c r="O490" i="103"/>
  <c r="J490" i="103"/>
  <c r="E490" i="103"/>
  <c r="O489" i="103"/>
  <c r="J489" i="103"/>
  <c r="E489" i="103"/>
  <c r="O488" i="103"/>
  <c r="J488" i="103"/>
  <c r="E488" i="103"/>
  <c r="O487" i="103"/>
  <c r="J487" i="103"/>
  <c r="E487" i="103"/>
  <c r="O486" i="103"/>
  <c r="J486" i="103"/>
  <c r="E486" i="103"/>
  <c r="O485" i="103"/>
  <c r="J485" i="103"/>
  <c r="E485" i="103"/>
  <c r="O483" i="103"/>
  <c r="J483" i="103"/>
  <c r="E483" i="103"/>
  <c r="L482" i="103"/>
  <c r="G482" i="103"/>
  <c r="B482" i="103"/>
  <c r="N478" i="103"/>
  <c r="M478" i="103"/>
  <c r="L478" i="103"/>
  <c r="I478" i="103"/>
  <c r="H478" i="103"/>
  <c r="G478" i="103"/>
  <c r="D478" i="103"/>
  <c r="C478" i="103"/>
  <c r="B478" i="103"/>
  <c r="O476" i="103"/>
  <c r="J476" i="103"/>
  <c r="E476" i="103"/>
  <c r="O475" i="103"/>
  <c r="J475" i="103"/>
  <c r="E475" i="103"/>
  <c r="O474" i="103"/>
  <c r="J474" i="103"/>
  <c r="E474" i="103"/>
  <c r="O473" i="103"/>
  <c r="J473" i="103"/>
  <c r="E473" i="103"/>
  <c r="O472" i="103"/>
  <c r="J472" i="103"/>
  <c r="E472" i="103"/>
  <c r="O471" i="103"/>
  <c r="J471" i="103"/>
  <c r="E471" i="103"/>
  <c r="O470" i="103"/>
  <c r="J470" i="103"/>
  <c r="E470" i="103"/>
  <c r="O469" i="103"/>
  <c r="J469" i="103"/>
  <c r="E469" i="103"/>
  <c r="O468" i="103"/>
  <c r="J468" i="103"/>
  <c r="E468" i="103"/>
  <c r="O466" i="103"/>
  <c r="J466" i="103"/>
  <c r="E466" i="103"/>
  <c r="L465" i="103"/>
  <c r="G465" i="103"/>
  <c r="B465" i="103"/>
  <c r="N461" i="103"/>
  <c r="M461" i="103"/>
  <c r="L461" i="103"/>
  <c r="I461" i="103"/>
  <c r="H461" i="103"/>
  <c r="G461" i="103"/>
  <c r="D461" i="103"/>
  <c r="C461" i="103"/>
  <c r="B461" i="103"/>
  <c r="O459" i="103"/>
  <c r="J459" i="103"/>
  <c r="E459" i="103"/>
  <c r="O458" i="103"/>
  <c r="J458" i="103"/>
  <c r="E458" i="103"/>
  <c r="O457" i="103"/>
  <c r="J457" i="103"/>
  <c r="E457" i="103"/>
  <c r="O456" i="103"/>
  <c r="J456" i="103"/>
  <c r="E456" i="103"/>
  <c r="O455" i="103"/>
  <c r="J455" i="103"/>
  <c r="E455" i="103"/>
  <c r="O454" i="103"/>
  <c r="J454" i="103"/>
  <c r="E454" i="103"/>
  <c r="O453" i="103"/>
  <c r="J453" i="103"/>
  <c r="E453" i="103"/>
  <c r="O452" i="103"/>
  <c r="J452" i="103"/>
  <c r="E452" i="103"/>
  <c r="O451" i="103"/>
  <c r="J451" i="103"/>
  <c r="E451" i="103"/>
  <c r="O449" i="103"/>
  <c r="J449" i="103"/>
  <c r="E449" i="103"/>
  <c r="L448" i="103"/>
  <c r="G448" i="103"/>
  <c r="B448" i="103"/>
  <c r="N444" i="103"/>
  <c r="M444" i="103"/>
  <c r="L444" i="103"/>
  <c r="I444" i="103"/>
  <c r="H444" i="103"/>
  <c r="G444" i="103"/>
  <c r="D444" i="103"/>
  <c r="C444" i="103"/>
  <c r="B444" i="103"/>
  <c r="O442" i="103"/>
  <c r="J442" i="103"/>
  <c r="E442" i="103"/>
  <c r="O441" i="103"/>
  <c r="J441" i="103"/>
  <c r="E441" i="103"/>
  <c r="O440" i="103"/>
  <c r="J440" i="103"/>
  <c r="E440" i="103"/>
  <c r="O439" i="103"/>
  <c r="J439" i="103"/>
  <c r="E439" i="103"/>
  <c r="O438" i="103"/>
  <c r="J438" i="103"/>
  <c r="E438" i="103"/>
  <c r="O437" i="103"/>
  <c r="J437" i="103"/>
  <c r="E437" i="103"/>
  <c r="O436" i="103"/>
  <c r="J436" i="103"/>
  <c r="E436" i="103"/>
  <c r="O435" i="103"/>
  <c r="J435" i="103"/>
  <c r="E435" i="103"/>
  <c r="O434" i="103"/>
  <c r="J434" i="103"/>
  <c r="E434" i="103"/>
  <c r="O432" i="103"/>
  <c r="J432" i="103"/>
  <c r="E432" i="103"/>
  <c r="L431" i="103"/>
  <c r="G431" i="103"/>
  <c r="B431" i="103"/>
  <c r="N427" i="103"/>
  <c r="M427" i="103"/>
  <c r="L427" i="103"/>
  <c r="I427" i="103"/>
  <c r="H427" i="103"/>
  <c r="G427" i="103"/>
  <c r="D427" i="103"/>
  <c r="C427" i="103"/>
  <c r="B427" i="103"/>
  <c r="O425" i="103"/>
  <c r="J425" i="103"/>
  <c r="E425" i="103"/>
  <c r="O424" i="103"/>
  <c r="J424" i="103"/>
  <c r="E424" i="103"/>
  <c r="O423" i="103"/>
  <c r="J423" i="103"/>
  <c r="E423" i="103"/>
  <c r="O422" i="103"/>
  <c r="J422" i="103"/>
  <c r="E422" i="103"/>
  <c r="O421" i="103"/>
  <c r="J421" i="103"/>
  <c r="E421" i="103"/>
  <c r="O420" i="103"/>
  <c r="J420" i="103"/>
  <c r="E420" i="103"/>
  <c r="O419" i="103"/>
  <c r="J419" i="103"/>
  <c r="E419" i="103"/>
  <c r="O418" i="103"/>
  <c r="J418" i="103"/>
  <c r="E418" i="103"/>
  <c r="O417" i="103"/>
  <c r="J417" i="103"/>
  <c r="E417" i="103"/>
  <c r="O415" i="103"/>
  <c r="J415" i="103"/>
  <c r="E415" i="103"/>
  <c r="L414" i="103"/>
  <c r="G414" i="103"/>
  <c r="B414" i="103"/>
  <c r="N410" i="103"/>
  <c r="M410" i="103"/>
  <c r="L410" i="103"/>
  <c r="I410" i="103"/>
  <c r="H410" i="103"/>
  <c r="G410" i="103"/>
  <c r="D410" i="103"/>
  <c r="C410" i="103"/>
  <c r="B410" i="103"/>
  <c r="O408" i="103"/>
  <c r="J408" i="103"/>
  <c r="E408" i="103"/>
  <c r="O407" i="103"/>
  <c r="J407" i="103"/>
  <c r="E407" i="103"/>
  <c r="O406" i="103"/>
  <c r="J406" i="103"/>
  <c r="E406" i="103"/>
  <c r="O405" i="103"/>
  <c r="J405" i="103"/>
  <c r="E405" i="103"/>
  <c r="O404" i="103"/>
  <c r="J404" i="103"/>
  <c r="E404" i="103"/>
  <c r="O403" i="103"/>
  <c r="J403" i="103"/>
  <c r="E403" i="103"/>
  <c r="O402" i="103"/>
  <c r="J402" i="103"/>
  <c r="E402" i="103"/>
  <c r="O401" i="103"/>
  <c r="J401" i="103"/>
  <c r="E401" i="103"/>
  <c r="O400" i="103"/>
  <c r="J400" i="103"/>
  <c r="E400" i="103"/>
  <c r="O398" i="103"/>
  <c r="J398" i="103"/>
  <c r="E398" i="103"/>
  <c r="L397" i="103"/>
  <c r="G397" i="103"/>
  <c r="B397" i="103"/>
  <c r="N393" i="103"/>
  <c r="M393" i="103"/>
  <c r="L393" i="103"/>
  <c r="I393" i="103"/>
  <c r="H393" i="103"/>
  <c r="G393" i="103"/>
  <c r="D393" i="103"/>
  <c r="C393" i="103"/>
  <c r="B393" i="103"/>
  <c r="O391" i="103"/>
  <c r="J391" i="103"/>
  <c r="E391" i="103"/>
  <c r="O390" i="103"/>
  <c r="J390" i="103"/>
  <c r="E390" i="103"/>
  <c r="O389" i="103"/>
  <c r="J389" i="103"/>
  <c r="E389" i="103"/>
  <c r="O388" i="103"/>
  <c r="J388" i="103"/>
  <c r="E388" i="103"/>
  <c r="O387" i="103"/>
  <c r="J387" i="103"/>
  <c r="E387" i="103"/>
  <c r="O386" i="103"/>
  <c r="J386" i="103"/>
  <c r="E386" i="103"/>
  <c r="O385" i="103"/>
  <c r="J385" i="103"/>
  <c r="E385" i="103"/>
  <c r="O384" i="103"/>
  <c r="J384" i="103"/>
  <c r="E384" i="103"/>
  <c r="O383" i="103"/>
  <c r="J383" i="103"/>
  <c r="E383" i="103"/>
  <c r="O381" i="103"/>
  <c r="J381" i="103"/>
  <c r="E381" i="103"/>
  <c r="L380" i="103"/>
  <c r="G380" i="103"/>
  <c r="B380" i="103"/>
  <c r="N376" i="103"/>
  <c r="M376" i="103"/>
  <c r="L376" i="103"/>
  <c r="I376" i="103"/>
  <c r="H376" i="103"/>
  <c r="G376" i="103"/>
  <c r="D376" i="103"/>
  <c r="C376" i="103"/>
  <c r="B376" i="103"/>
  <c r="O374" i="103"/>
  <c r="J374" i="103"/>
  <c r="E374" i="103"/>
  <c r="O373" i="103"/>
  <c r="J373" i="103"/>
  <c r="E373" i="103"/>
  <c r="O372" i="103"/>
  <c r="J372" i="103"/>
  <c r="E372" i="103"/>
  <c r="O371" i="103"/>
  <c r="J371" i="103"/>
  <c r="E371" i="103"/>
  <c r="O370" i="103"/>
  <c r="J370" i="103"/>
  <c r="E370" i="103"/>
  <c r="O369" i="103"/>
  <c r="J369" i="103"/>
  <c r="E369" i="103"/>
  <c r="O368" i="103"/>
  <c r="J368" i="103"/>
  <c r="E368" i="103"/>
  <c r="O367" i="103"/>
  <c r="J367" i="103"/>
  <c r="E367" i="103"/>
  <c r="O366" i="103"/>
  <c r="J366" i="103"/>
  <c r="E366" i="103"/>
  <c r="O364" i="103"/>
  <c r="J364" i="103"/>
  <c r="E364" i="103"/>
  <c r="L363" i="103"/>
  <c r="G363" i="103"/>
  <c r="B363" i="103"/>
  <c r="N359" i="103"/>
  <c r="M359" i="103"/>
  <c r="L359" i="103"/>
  <c r="I359" i="103"/>
  <c r="H359" i="103"/>
  <c r="G359" i="103"/>
  <c r="D359" i="103"/>
  <c r="C359" i="103"/>
  <c r="B359" i="103"/>
  <c r="O357" i="103"/>
  <c r="J357" i="103"/>
  <c r="E357" i="103"/>
  <c r="O356" i="103"/>
  <c r="J356" i="103"/>
  <c r="E356" i="103"/>
  <c r="O355" i="103"/>
  <c r="J355" i="103"/>
  <c r="E355" i="103"/>
  <c r="O354" i="103"/>
  <c r="J354" i="103"/>
  <c r="E354" i="103"/>
  <c r="O353" i="103"/>
  <c r="J353" i="103"/>
  <c r="E353" i="103"/>
  <c r="O352" i="103"/>
  <c r="J352" i="103"/>
  <c r="E352" i="103"/>
  <c r="O351" i="103"/>
  <c r="J351" i="103"/>
  <c r="E351" i="103"/>
  <c r="O350" i="103"/>
  <c r="J350" i="103"/>
  <c r="E350" i="103"/>
  <c r="O349" i="103"/>
  <c r="J349" i="103"/>
  <c r="E349" i="103"/>
  <c r="O347" i="103"/>
  <c r="J347" i="103"/>
  <c r="E347" i="103"/>
  <c r="L346" i="103"/>
  <c r="G346" i="103"/>
  <c r="B346" i="103"/>
  <c r="N342" i="103"/>
  <c r="M342" i="103"/>
  <c r="L342" i="103"/>
  <c r="I342" i="103"/>
  <c r="H342" i="103"/>
  <c r="G342" i="103"/>
  <c r="D342" i="103"/>
  <c r="C342" i="103"/>
  <c r="B342" i="103"/>
  <c r="O340" i="103"/>
  <c r="J340" i="103"/>
  <c r="E340" i="103"/>
  <c r="O339" i="103"/>
  <c r="J339" i="103"/>
  <c r="E339" i="103"/>
  <c r="O338" i="103"/>
  <c r="J338" i="103"/>
  <c r="E338" i="103"/>
  <c r="O337" i="103"/>
  <c r="J337" i="103"/>
  <c r="E337" i="103"/>
  <c r="O336" i="103"/>
  <c r="J336" i="103"/>
  <c r="E336" i="103"/>
  <c r="O335" i="103"/>
  <c r="J335" i="103"/>
  <c r="E335" i="103"/>
  <c r="O334" i="103"/>
  <c r="J334" i="103"/>
  <c r="E334" i="103"/>
  <c r="O333" i="103"/>
  <c r="J333" i="103"/>
  <c r="E333" i="103"/>
  <c r="O332" i="103"/>
  <c r="J332" i="103"/>
  <c r="E332" i="103"/>
  <c r="O330" i="103"/>
  <c r="J330" i="103"/>
  <c r="E330" i="103"/>
  <c r="L329" i="103"/>
  <c r="G329" i="103"/>
  <c r="B329" i="103"/>
  <c r="N325" i="103"/>
  <c r="M325" i="103"/>
  <c r="L325" i="103"/>
  <c r="I325" i="103"/>
  <c r="H325" i="103"/>
  <c r="G325" i="103"/>
  <c r="D325" i="103"/>
  <c r="C325" i="103"/>
  <c r="B325" i="103"/>
  <c r="O323" i="103"/>
  <c r="J323" i="103"/>
  <c r="E323" i="103"/>
  <c r="O322" i="103"/>
  <c r="J322" i="103"/>
  <c r="E322" i="103"/>
  <c r="O321" i="103"/>
  <c r="J321" i="103"/>
  <c r="E321" i="103"/>
  <c r="O320" i="103"/>
  <c r="J320" i="103"/>
  <c r="E320" i="103"/>
  <c r="O319" i="103"/>
  <c r="J319" i="103"/>
  <c r="E319" i="103"/>
  <c r="O318" i="103"/>
  <c r="J318" i="103"/>
  <c r="E318" i="103"/>
  <c r="O317" i="103"/>
  <c r="J317" i="103"/>
  <c r="E317" i="103"/>
  <c r="O316" i="103"/>
  <c r="J316" i="103"/>
  <c r="E316" i="103"/>
  <c r="O315" i="103"/>
  <c r="J315" i="103"/>
  <c r="E315" i="103"/>
  <c r="O313" i="103"/>
  <c r="J313" i="103"/>
  <c r="E313" i="103"/>
  <c r="L312" i="103"/>
  <c r="G312" i="103"/>
  <c r="B312" i="103"/>
  <c r="N308" i="103"/>
  <c r="M308" i="103"/>
  <c r="L308" i="103"/>
  <c r="I308" i="103"/>
  <c r="H308" i="103"/>
  <c r="G308" i="103"/>
  <c r="D308" i="103"/>
  <c r="C308" i="103"/>
  <c r="B308" i="103"/>
  <c r="O306" i="103"/>
  <c r="J306" i="103"/>
  <c r="E306" i="103"/>
  <c r="O305" i="103"/>
  <c r="J305" i="103"/>
  <c r="E305" i="103"/>
  <c r="O304" i="103"/>
  <c r="J304" i="103"/>
  <c r="E304" i="103"/>
  <c r="O303" i="103"/>
  <c r="J303" i="103"/>
  <c r="E303" i="103"/>
  <c r="O302" i="103"/>
  <c r="J302" i="103"/>
  <c r="E302" i="103"/>
  <c r="O301" i="103"/>
  <c r="J301" i="103"/>
  <c r="E301" i="103"/>
  <c r="O300" i="103"/>
  <c r="J300" i="103"/>
  <c r="E300" i="103"/>
  <c r="O299" i="103"/>
  <c r="J299" i="103"/>
  <c r="E299" i="103"/>
  <c r="O298" i="103"/>
  <c r="J298" i="103"/>
  <c r="E298" i="103"/>
  <c r="O296" i="103"/>
  <c r="J296" i="103"/>
  <c r="E296" i="103"/>
  <c r="L295" i="103"/>
  <c r="G295" i="103"/>
  <c r="B295" i="103"/>
  <c r="N291" i="103"/>
  <c r="M291" i="103"/>
  <c r="L291" i="103"/>
  <c r="I291" i="103"/>
  <c r="H291" i="103"/>
  <c r="G291" i="103"/>
  <c r="D291" i="103"/>
  <c r="C291" i="103"/>
  <c r="B291" i="103"/>
  <c r="O289" i="103"/>
  <c r="J289" i="103"/>
  <c r="E289" i="103"/>
  <c r="O288" i="103"/>
  <c r="J288" i="103"/>
  <c r="E288" i="103"/>
  <c r="O287" i="103"/>
  <c r="J287" i="103"/>
  <c r="E287" i="103"/>
  <c r="O286" i="103"/>
  <c r="J286" i="103"/>
  <c r="E286" i="103"/>
  <c r="O285" i="103"/>
  <c r="J285" i="103"/>
  <c r="E285" i="103"/>
  <c r="O284" i="103"/>
  <c r="J284" i="103"/>
  <c r="E284" i="103"/>
  <c r="O283" i="103"/>
  <c r="J283" i="103"/>
  <c r="E283" i="103"/>
  <c r="O282" i="103"/>
  <c r="J282" i="103"/>
  <c r="E282" i="103"/>
  <c r="O281" i="103"/>
  <c r="J281" i="103"/>
  <c r="E281" i="103"/>
  <c r="O279" i="103"/>
  <c r="J279" i="103"/>
  <c r="E279" i="103"/>
  <c r="L278" i="103"/>
  <c r="G278" i="103"/>
  <c r="B278" i="103"/>
  <c r="N274" i="103"/>
  <c r="M274" i="103"/>
  <c r="L274" i="103"/>
  <c r="I274" i="103"/>
  <c r="H274" i="103"/>
  <c r="G274" i="103"/>
  <c r="D274" i="103"/>
  <c r="C274" i="103"/>
  <c r="B274" i="103"/>
  <c r="O272" i="103"/>
  <c r="J272" i="103"/>
  <c r="E272" i="103"/>
  <c r="O271" i="103"/>
  <c r="J271" i="103"/>
  <c r="E271" i="103"/>
  <c r="O270" i="103"/>
  <c r="J270" i="103"/>
  <c r="E270" i="103"/>
  <c r="O269" i="103"/>
  <c r="J269" i="103"/>
  <c r="E269" i="103"/>
  <c r="O268" i="103"/>
  <c r="J268" i="103"/>
  <c r="E268" i="103"/>
  <c r="O267" i="103"/>
  <c r="J267" i="103"/>
  <c r="E267" i="103"/>
  <c r="O266" i="103"/>
  <c r="J266" i="103"/>
  <c r="E266" i="103"/>
  <c r="O265" i="103"/>
  <c r="J265" i="103"/>
  <c r="E265" i="103"/>
  <c r="O264" i="103"/>
  <c r="J264" i="103"/>
  <c r="E264" i="103"/>
  <c r="O262" i="103"/>
  <c r="J262" i="103"/>
  <c r="E262" i="103"/>
  <c r="L261" i="103"/>
  <c r="G261" i="103"/>
  <c r="B261" i="103"/>
  <c r="N257" i="103"/>
  <c r="M257" i="103"/>
  <c r="L257" i="103"/>
  <c r="I257" i="103"/>
  <c r="H257" i="103"/>
  <c r="G257" i="103"/>
  <c r="D257" i="103"/>
  <c r="C257" i="103"/>
  <c r="B257" i="103"/>
  <c r="O255" i="103"/>
  <c r="J255" i="103"/>
  <c r="E255" i="103"/>
  <c r="O254" i="103"/>
  <c r="J254" i="103"/>
  <c r="E254" i="103"/>
  <c r="O253" i="103"/>
  <c r="J253" i="103"/>
  <c r="E253" i="103"/>
  <c r="O252" i="103"/>
  <c r="J252" i="103"/>
  <c r="E252" i="103"/>
  <c r="O251" i="103"/>
  <c r="J251" i="103"/>
  <c r="E251" i="103"/>
  <c r="O250" i="103"/>
  <c r="J250" i="103"/>
  <c r="E250" i="103"/>
  <c r="O249" i="103"/>
  <c r="J249" i="103"/>
  <c r="E249" i="103"/>
  <c r="O248" i="103"/>
  <c r="J248" i="103"/>
  <c r="E248" i="103"/>
  <c r="O247" i="103"/>
  <c r="J247" i="103"/>
  <c r="E247" i="103"/>
  <c r="O245" i="103"/>
  <c r="J245" i="103"/>
  <c r="E245" i="103"/>
  <c r="L244" i="103"/>
  <c r="G244" i="103"/>
  <c r="B244" i="103"/>
  <c r="N240" i="103"/>
  <c r="M240" i="103"/>
  <c r="L240" i="103"/>
  <c r="I240" i="103"/>
  <c r="H240" i="103"/>
  <c r="G240" i="103"/>
  <c r="D240" i="103"/>
  <c r="C240" i="103"/>
  <c r="B240" i="103"/>
  <c r="O238" i="103"/>
  <c r="J238" i="103"/>
  <c r="E238" i="103"/>
  <c r="O237" i="103"/>
  <c r="J237" i="103"/>
  <c r="E237" i="103"/>
  <c r="O236" i="103"/>
  <c r="J236" i="103"/>
  <c r="E236" i="103"/>
  <c r="O235" i="103"/>
  <c r="J235" i="103"/>
  <c r="E235" i="103"/>
  <c r="O234" i="103"/>
  <c r="J234" i="103"/>
  <c r="E234" i="103"/>
  <c r="O233" i="103"/>
  <c r="J233" i="103"/>
  <c r="E233" i="103"/>
  <c r="O232" i="103"/>
  <c r="J232" i="103"/>
  <c r="E232" i="103"/>
  <c r="O231" i="103"/>
  <c r="J231" i="103"/>
  <c r="E231" i="103"/>
  <c r="O230" i="103"/>
  <c r="J230" i="103"/>
  <c r="E230" i="103"/>
  <c r="O228" i="103"/>
  <c r="J228" i="103"/>
  <c r="E228" i="103"/>
  <c r="L227" i="103"/>
  <c r="G227" i="103"/>
  <c r="B227" i="103"/>
  <c r="N223" i="103"/>
  <c r="M223" i="103"/>
  <c r="L223" i="103"/>
  <c r="I223" i="103"/>
  <c r="H223" i="103"/>
  <c r="G223" i="103"/>
  <c r="D223" i="103"/>
  <c r="C223" i="103"/>
  <c r="B223" i="103"/>
  <c r="O221" i="103"/>
  <c r="J221" i="103"/>
  <c r="E221" i="103"/>
  <c r="O220" i="103"/>
  <c r="J220" i="103"/>
  <c r="E220" i="103"/>
  <c r="O219" i="103"/>
  <c r="J219" i="103"/>
  <c r="E219" i="103"/>
  <c r="O218" i="103"/>
  <c r="J218" i="103"/>
  <c r="E218" i="103"/>
  <c r="O217" i="103"/>
  <c r="J217" i="103"/>
  <c r="E217" i="103"/>
  <c r="O216" i="103"/>
  <c r="J216" i="103"/>
  <c r="E216" i="103"/>
  <c r="O215" i="103"/>
  <c r="J215" i="103"/>
  <c r="E215" i="103"/>
  <c r="O214" i="103"/>
  <c r="J214" i="103"/>
  <c r="E214" i="103"/>
  <c r="O213" i="103"/>
  <c r="J213" i="103"/>
  <c r="E213" i="103"/>
  <c r="O211" i="103"/>
  <c r="J211" i="103"/>
  <c r="E211" i="103"/>
  <c r="L210" i="103"/>
  <c r="G210" i="103"/>
  <c r="B210" i="103"/>
  <c r="N206" i="103"/>
  <c r="M206" i="103"/>
  <c r="L206" i="103"/>
  <c r="I206" i="103"/>
  <c r="H206" i="103"/>
  <c r="G206" i="103"/>
  <c r="D206" i="103"/>
  <c r="C206" i="103"/>
  <c r="B206" i="103"/>
  <c r="O204" i="103"/>
  <c r="J204" i="103"/>
  <c r="E204" i="103"/>
  <c r="O203" i="103"/>
  <c r="J203" i="103"/>
  <c r="E203" i="103"/>
  <c r="O202" i="103"/>
  <c r="J202" i="103"/>
  <c r="E202" i="103"/>
  <c r="O201" i="103"/>
  <c r="J201" i="103"/>
  <c r="E201" i="103"/>
  <c r="O200" i="103"/>
  <c r="J200" i="103"/>
  <c r="E200" i="103"/>
  <c r="O199" i="103"/>
  <c r="J199" i="103"/>
  <c r="E199" i="103"/>
  <c r="O198" i="103"/>
  <c r="J198" i="103"/>
  <c r="E198" i="103"/>
  <c r="O197" i="103"/>
  <c r="J197" i="103"/>
  <c r="E197" i="103"/>
  <c r="O196" i="103"/>
  <c r="J196" i="103"/>
  <c r="E196" i="103"/>
  <c r="O194" i="103"/>
  <c r="J194" i="103"/>
  <c r="E194" i="103"/>
  <c r="L193" i="103"/>
  <c r="G193" i="103"/>
  <c r="B193" i="103"/>
  <c r="N189" i="103"/>
  <c r="M189" i="103"/>
  <c r="L189" i="103"/>
  <c r="I189" i="103"/>
  <c r="H189" i="103"/>
  <c r="G189" i="103"/>
  <c r="D189" i="103"/>
  <c r="C189" i="103"/>
  <c r="B189" i="103"/>
  <c r="O187" i="103"/>
  <c r="J187" i="103"/>
  <c r="E187" i="103"/>
  <c r="O186" i="103"/>
  <c r="J186" i="103"/>
  <c r="E186" i="103"/>
  <c r="O185" i="103"/>
  <c r="J185" i="103"/>
  <c r="E185" i="103"/>
  <c r="O184" i="103"/>
  <c r="J184" i="103"/>
  <c r="E184" i="103"/>
  <c r="O183" i="103"/>
  <c r="J183" i="103"/>
  <c r="E183" i="103"/>
  <c r="O182" i="103"/>
  <c r="J182" i="103"/>
  <c r="E182" i="103"/>
  <c r="O181" i="103"/>
  <c r="J181" i="103"/>
  <c r="E181" i="103"/>
  <c r="O180" i="103"/>
  <c r="J180" i="103"/>
  <c r="E180" i="103"/>
  <c r="O179" i="103"/>
  <c r="J179" i="103"/>
  <c r="E179" i="103"/>
  <c r="O177" i="103"/>
  <c r="J177" i="103"/>
  <c r="E177" i="103"/>
  <c r="L176" i="103"/>
  <c r="G176" i="103"/>
  <c r="B176" i="103"/>
  <c r="N172" i="103"/>
  <c r="M172" i="103"/>
  <c r="L172" i="103"/>
  <c r="I172" i="103"/>
  <c r="H172" i="103"/>
  <c r="G172" i="103"/>
  <c r="D172" i="103"/>
  <c r="C172" i="103"/>
  <c r="B172" i="103"/>
  <c r="O170" i="103"/>
  <c r="J170" i="103"/>
  <c r="E170" i="103"/>
  <c r="O169" i="103"/>
  <c r="J169" i="103"/>
  <c r="E169" i="103"/>
  <c r="O168" i="103"/>
  <c r="J168" i="103"/>
  <c r="E168" i="103"/>
  <c r="O167" i="103"/>
  <c r="J167" i="103"/>
  <c r="E167" i="103"/>
  <c r="O166" i="103"/>
  <c r="J166" i="103"/>
  <c r="E166" i="103"/>
  <c r="O165" i="103"/>
  <c r="J165" i="103"/>
  <c r="E165" i="103"/>
  <c r="O164" i="103"/>
  <c r="J164" i="103"/>
  <c r="E164" i="103"/>
  <c r="O163" i="103"/>
  <c r="J163" i="103"/>
  <c r="E163" i="103"/>
  <c r="O162" i="103"/>
  <c r="J162" i="103"/>
  <c r="E162" i="103"/>
  <c r="O160" i="103"/>
  <c r="J160" i="103"/>
  <c r="E160" i="103"/>
  <c r="L159" i="103"/>
  <c r="G159" i="103"/>
  <c r="B159" i="103"/>
  <c r="N155" i="103"/>
  <c r="M155" i="103"/>
  <c r="L155" i="103"/>
  <c r="I155" i="103"/>
  <c r="H155" i="103"/>
  <c r="G155" i="103"/>
  <c r="D155" i="103"/>
  <c r="C155" i="103"/>
  <c r="B155" i="103"/>
  <c r="O153" i="103"/>
  <c r="J153" i="103"/>
  <c r="E153" i="103"/>
  <c r="O152" i="103"/>
  <c r="J152" i="103"/>
  <c r="E152" i="103"/>
  <c r="O151" i="103"/>
  <c r="J151" i="103"/>
  <c r="E151" i="103"/>
  <c r="O150" i="103"/>
  <c r="J150" i="103"/>
  <c r="E150" i="103"/>
  <c r="O149" i="103"/>
  <c r="J149" i="103"/>
  <c r="E149" i="103"/>
  <c r="O148" i="103"/>
  <c r="J148" i="103"/>
  <c r="E148" i="103"/>
  <c r="O147" i="103"/>
  <c r="J147" i="103"/>
  <c r="E147" i="103"/>
  <c r="O146" i="103"/>
  <c r="J146" i="103"/>
  <c r="E146" i="103"/>
  <c r="O145" i="103"/>
  <c r="J145" i="103"/>
  <c r="E145" i="103"/>
  <c r="O143" i="103"/>
  <c r="J143" i="103"/>
  <c r="E143" i="103"/>
  <c r="L142" i="103"/>
  <c r="G142" i="103"/>
  <c r="B142" i="103"/>
  <c r="N138" i="103"/>
  <c r="M138" i="103"/>
  <c r="L138" i="103"/>
  <c r="I138" i="103"/>
  <c r="H138" i="103"/>
  <c r="G138" i="103"/>
  <c r="D138" i="103"/>
  <c r="C138" i="103"/>
  <c r="B138" i="103"/>
  <c r="O136" i="103"/>
  <c r="J136" i="103"/>
  <c r="E136" i="103"/>
  <c r="O135" i="103"/>
  <c r="J135" i="103"/>
  <c r="E135" i="103"/>
  <c r="O134" i="103"/>
  <c r="J134" i="103"/>
  <c r="E134" i="103"/>
  <c r="O133" i="103"/>
  <c r="J133" i="103"/>
  <c r="E133" i="103"/>
  <c r="O132" i="103"/>
  <c r="J132" i="103"/>
  <c r="E132" i="103"/>
  <c r="O131" i="103"/>
  <c r="J131" i="103"/>
  <c r="E131" i="103"/>
  <c r="O130" i="103"/>
  <c r="J130" i="103"/>
  <c r="E130" i="103"/>
  <c r="O129" i="103"/>
  <c r="J129" i="103"/>
  <c r="E129" i="103"/>
  <c r="O128" i="103"/>
  <c r="J128" i="103"/>
  <c r="E128" i="103"/>
  <c r="O126" i="103"/>
  <c r="J126" i="103"/>
  <c r="E126" i="103"/>
  <c r="L125" i="103"/>
  <c r="G125" i="103"/>
  <c r="B125" i="103"/>
  <c r="N121" i="103"/>
  <c r="M121" i="103"/>
  <c r="L121" i="103"/>
  <c r="I121" i="103"/>
  <c r="H121" i="103"/>
  <c r="G121" i="103"/>
  <c r="D121" i="103"/>
  <c r="C121" i="103"/>
  <c r="B121" i="103"/>
  <c r="O119" i="103"/>
  <c r="J119" i="103"/>
  <c r="E119" i="103"/>
  <c r="O118" i="103"/>
  <c r="J118" i="103"/>
  <c r="E118" i="103"/>
  <c r="O117" i="103"/>
  <c r="J117" i="103"/>
  <c r="E117" i="103"/>
  <c r="O116" i="103"/>
  <c r="J116" i="103"/>
  <c r="E116" i="103"/>
  <c r="O115" i="103"/>
  <c r="J115" i="103"/>
  <c r="E115" i="103"/>
  <c r="O114" i="103"/>
  <c r="J114" i="103"/>
  <c r="E114" i="103"/>
  <c r="O113" i="103"/>
  <c r="J113" i="103"/>
  <c r="E113" i="103"/>
  <c r="O112" i="103"/>
  <c r="J112" i="103"/>
  <c r="E112" i="103"/>
  <c r="O111" i="103"/>
  <c r="J111" i="103"/>
  <c r="E111" i="103"/>
  <c r="O109" i="103"/>
  <c r="J109" i="103"/>
  <c r="E109" i="103"/>
  <c r="L108" i="103"/>
  <c r="G108" i="103"/>
  <c r="B108" i="103"/>
  <c r="N104" i="103"/>
  <c r="M104" i="103"/>
  <c r="L104" i="103"/>
  <c r="I104" i="103"/>
  <c r="H104" i="103"/>
  <c r="G104" i="103"/>
  <c r="D104" i="103"/>
  <c r="C104" i="103"/>
  <c r="B104" i="103"/>
  <c r="O102" i="103"/>
  <c r="J102" i="103"/>
  <c r="E102" i="103"/>
  <c r="O101" i="103"/>
  <c r="J101" i="103"/>
  <c r="E101" i="103"/>
  <c r="O100" i="103"/>
  <c r="J100" i="103"/>
  <c r="E100" i="103"/>
  <c r="O99" i="103"/>
  <c r="J99" i="103"/>
  <c r="E99" i="103"/>
  <c r="O98" i="103"/>
  <c r="J98" i="103"/>
  <c r="E98" i="103"/>
  <c r="O97" i="103"/>
  <c r="J97" i="103"/>
  <c r="E97" i="103"/>
  <c r="O96" i="103"/>
  <c r="J96" i="103"/>
  <c r="E96" i="103"/>
  <c r="O95" i="103"/>
  <c r="J95" i="103"/>
  <c r="E95" i="103"/>
  <c r="O94" i="103"/>
  <c r="J94" i="103"/>
  <c r="E94" i="103"/>
  <c r="O92" i="103"/>
  <c r="J92" i="103"/>
  <c r="E92" i="103"/>
  <c r="L91" i="103"/>
  <c r="G91" i="103"/>
  <c r="B91" i="103"/>
  <c r="N87" i="103"/>
  <c r="M87" i="103"/>
  <c r="L87" i="103"/>
  <c r="I87" i="103"/>
  <c r="H87" i="103"/>
  <c r="G87" i="103"/>
  <c r="D87" i="103"/>
  <c r="C87" i="103"/>
  <c r="B87" i="103"/>
  <c r="O85" i="103"/>
  <c r="J85" i="103"/>
  <c r="E85" i="103"/>
  <c r="O84" i="103"/>
  <c r="J84" i="103"/>
  <c r="E84" i="103"/>
  <c r="O83" i="103"/>
  <c r="J83" i="103"/>
  <c r="E83" i="103"/>
  <c r="O82" i="103"/>
  <c r="J82" i="103"/>
  <c r="E82" i="103"/>
  <c r="O81" i="103"/>
  <c r="J81" i="103"/>
  <c r="E81" i="103"/>
  <c r="O80" i="103"/>
  <c r="J80" i="103"/>
  <c r="E80" i="103"/>
  <c r="O79" i="103"/>
  <c r="J79" i="103"/>
  <c r="E79" i="103"/>
  <c r="O78" i="103"/>
  <c r="J78" i="103"/>
  <c r="E78" i="103"/>
  <c r="O77" i="103"/>
  <c r="J77" i="103"/>
  <c r="E77" i="103"/>
  <c r="O75" i="103"/>
  <c r="J75" i="103"/>
  <c r="E75" i="103"/>
  <c r="L74" i="103"/>
  <c r="G74" i="103"/>
  <c r="B74" i="103"/>
  <c r="N70" i="103"/>
  <c r="M70" i="103"/>
  <c r="L70" i="103"/>
  <c r="I70" i="103"/>
  <c r="H70" i="103"/>
  <c r="G70" i="103"/>
  <c r="D70" i="103"/>
  <c r="C70" i="103"/>
  <c r="B70" i="103"/>
  <c r="O68" i="103"/>
  <c r="J68" i="103"/>
  <c r="E68" i="103"/>
  <c r="O67" i="103"/>
  <c r="J67" i="103"/>
  <c r="E67" i="103"/>
  <c r="O66" i="103"/>
  <c r="J66" i="103"/>
  <c r="E66" i="103"/>
  <c r="O65" i="103"/>
  <c r="J65" i="103"/>
  <c r="E65" i="103"/>
  <c r="O64" i="103"/>
  <c r="J64" i="103"/>
  <c r="E64" i="103"/>
  <c r="O63" i="103"/>
  <c r="J63" i="103"/>
  <c r="E63" i="103"/>
  <c r="O62" i="103"/>
  <c r="J62" i="103"/>
  <c r="E62" i="103"/>
  <c r="O61" i="103"/>
  <c r="J61" i="103"/>
  <c r="E61" i="103"/>
  <c r="O60" i="103"/>
  <c r="J60" i="103"/>
  <c r="E60" i="103"/>
  <c r="O58" i="103"/>
  <c r="J58" i="103"/>
  <c r="E58" i="103"/>
  <c r="L57" i="103"/>
  <c r="G57" i="103"/>
  <c r="B57" i="103"/>
  <c r="N53" i="103"/>
  <c r="M53" i="103"/>
  <c r="L53" i="103"/>
  <c r="I53" i="103"/>
  <c r="H53" i="103"/>
  <c r="G53" i="103"/>
  <c r="D53" i="103"/>
  <c r="C53" i="103"/>
  <c r="B53" i="103"/>
  <c r="O51" i="103"/>
  <c r="J51" i="103"/>
  <c r="E51" i="103"/>
  <c r="O50" i="103"/>
  <c r="J50" i="103"/>
  <c r="E50" i="103"/>
  <c r="O49" i="103"/>
  <c r="J49" i="103"/>
  <c r="E49" i="103"/>
  <c r="O48" i="103"/>
  <c r="J48" i="103"/>
  <c r="E48" i="103"/>
  <c r="O47" i="103"/>
  <c r="J47" i="103"/>
  <c r="E47" i="103"/>
  <c r="O46" i="103"/>
  <c r="J46" i="103"/>
  <c r="E46" i="103"/>
  <c r="O45" i="103"/>
  <c r="J45" i="103"/>
  <c r="E45" i="103"/>
  <c r="O44" i="103"/>
  <c r="J44" i="103"/>
  <c r="E44" i="103"/>
  <c r="O43" i="103"/>
  <c r="J43" i="103"/>
  <c r="E43" i="103"/>
  <c r="O41" i="103"/>
  <c r="J41" i="103"/>
  <c r="E41" i="103"/>
  <c r="L40" i="103"/>
  <c r="G40" i="103"/>
  <c r="B40" i="103"/>
  <c r="J30" i="103"/>
  <c r="C36" i="103"/>
  <c r="D36" i="103"/>
  <c r="G36" i="103"/>
  <c r="H36" i="103"/>
  <c r="I36" i="103"/>
  <c r="L36" i="103"/>
  <c r="M36" i="103"/>
  <c r="N36" i="103"/>
  <c r="E276" i="102" l="1"/>
  <c r="Y156" i="102"/>
  <c r="E41" i="102"/>
  <c r="E321" i="102"/>
  <c r="E241" i="102"/>
  <c r="J466" i="102"/>
  <c r="T156" i="102"/>
  <c r="J321" i="102"/>
  <c r="E296" i="102"/>
  <c r="Y41" i="102"/>
  <c r="E156" i="102"/>
  <c r="T216" i="102"/>
  <c r="O541" i="102"/>
  <c r="J66" i="102"/>
  <c r="E426" i="102"/>
  <c r="T321" i="102"/>
  <c r="J426" i="102"/>
  <c r="J276" i="102"/>
  <c r="E511" i="102"/>
  <c r="T371" i="102"/>
  <c r="J511" i="102"/>
  <c r="T41" i="102"/>
  <c r="O276" i="102"/>
  <c r="J156" i="102"/>
  <c r="J41" i="102"/>
  <c r="J216" i="102"/>
  <c r="O511" i="102"/>
  <c r="T296" i="102"/>
  <c r="O156" i="102"/>
  <c r="J541" i="102"/>
  <c r="Y191" i="102"/>
  <c r="Y276" i="102"/>
  <c r="O566" i="102"/>
  <c r="J296" i="102"/>
  <c r="O296" i="102"/>
  <c r="E346" i="102"/>
  <c r="E371" i="102"/>
  <c r="O191" i="102"/>
  <c r="O41" i="102"/>
  <c r="O426" i="102"/>
  <c r="J241" i="102"/>
  <c r="O371" i="102"/>
  <c r="Y371" i="102"/>
  <c r="T241" i="102"/>
  <c r="Y296" i="102"/>
  <c r="O321" i="102"/>
  <c r="T346" i="102"/>
  <c r="T511" i="102"/>
  <c r="E566" i="102"/>
  <c r="E466" i="102"/>
  <c r="Y66" i="102"/>
  <c r="E191" i="102"/>
  <c r="Y241" i="102"/>
  <c r="T426" i="102"/>
  <c r="Y346" i="102"/>
  <c r="E66" i="102"/>
  <c r="O346" i="102"/>
  <c r="Y426" i="102"/>
  <c r="T466" i="102"/>
  <c r="T541" i="102"/>
  <c r="J346" i="102"/>
  <c r="O66" i="102"/>
  <c r="Y216" i="102"/>
  <c r="Y566" i="102"/>
  <c r="T276" i="102"/>
  <c r="J371" i="102"/>
  <c r="T66" i="102"/>
  <c r="T191" i="102"/>
  <c r="Y321" i="102"/>
  <c r="O241" i="102"/>
  <c r="Y511" i="102"/>
  <c r="Y466" i="102"/>
  <c r="O216" i="102"/>
  <c r="O466" i="102"/>
  <c r="Y541" i="102"/>
  <c r="T566" i="102"/>
  <c r="J191" i="102"/>
  <c r="E216" i="102"/>
  <c r="E541" i="102"/>
  <c r="E546" i="103"/>
  <c r="O580" i="103"/>
  <c r="J631" i="103"/>
  <c r="E682" i="103"/>
  <c r="O682" i="103"/>
  <c r="O716" i="103"/>
  <c r="J767" i="103"/>
  <c r="E818" i="103"/>
  <c r="O818" i="103"/>
  <c r="O852" i="103"/>
  <c r="J903" i="103"/>
  <c r="E954" i="103"/>
  <c r="O988" i="103"/>
  <c r="E1090" i="103"/>
  <c r="J1175" i="103"/>
  <c r="E1226" i="103"/>
  <c r="O1260" i="103"/>
  <c r="E53" i="103"/>
  <c r="O70" i="103"/>
  <c r="J410" i="103"/>
  <c r="O359" i="103"/>
  <c r="E529" i="103"/>
  <c r="O87" i="103"/>
  <c r="E461" i="103"/>
  <c r="J138" i="103"/>
  <c r="E189" i="103"/>
  <c r="E325" i="103"/>
  <c r="E240" i="103"/>
  <c r="E376" i="103"/>
  <c r="J546" i="103"/>
  <c r="J818" i="103"/>
  <c r="J1090" i="103"/>
  <c r="O1243" i="103"/>
  <c r="E1277" i="103"/>
  <c r="O53" i="103"/>
  <c r="J376" i="103"/>
  <c r="O461" i="103"/>
  <c r="O886" i="103"/>
  <c r="E1192" i="103"/>
  <c r="O1226" i="103"/>
  <c r="J240" i="103"/>
  <c r="J291" i="103"/>
  <c r="J427" i="103"/>
  <c r="J648" i="103"/>
  <c r="O733" i="103"/>
  <c r="O869" i="103"/>
  <c r="E1107" i="103"/>
  <c r="O1277" i="103"/>
  <c r="J70" i="103"/>
  <c r="E121" i="103"/>
  <c r="J206" i="103"/>
  <c r="E257" i="103"/>
  <c r="O291" i="103"/>
  <c r="J342" i="103"/>
  <c r="E393" i="103"/>
  <c r="O427" i="103"/>
  <c r="J478" i="103"/>
  <c r="J563" i="103"/>
  <c r="E614" i="103"/>
  <c r="O648" i="103"/>
  <c r="J699" i="103"/>
  <c r="E750" i="103"/>
  <c r="O784" i="103"/>
  <c r="J835" i="103"/>
  <c r="O920" i="103"/>
  <c r="J971" i="103"/>
  <c r="E1022" i="103"/>
  <c r="O1056" i="103"/>
  <c r="J1107" i="103"/>
  <c r="E1124" i="103"/>
  <c r="O1124" i="103"/>
  <c r="E1158" i="103"/>
  <c r="O1192" i="103"/>
  <c r="J1243" i="103"/>
  <c r="E1294" i="103"/>
  <c r="J53" i="103"/>
  <c r="E70" i="103"/>
  <c r="J325" i="103"/>
  <c r="E869" i="103"/>
  <c r="O1022" i="103"/>
  <c r="E1243" i="103"/>
  <c r="E155" i="103"/>
  <c r="E291" i="103"/>
  <c r="J512" i="103"/>
  <c r="E648" i="103"/>
  <c r="J733" i="103"/>
  <c r="E886" i="103"/>
  <c r="E1056" i="103"/>
  <c r="E206" i="103"/>
  <c r="O240" i="103"/>
  <c r="O376" i="103"/>
  <c r="E478" i="103"/>
  <c r="O495" i="103"/>
  <c r="J614" i="103"/>
  <c r="J920" i="103"/>
  <c r="E971" i="103"/>
  <c r="O1141" i="103"/>
  <c r="J121" i="103"/>
  <c r="E172" i="103"/>
  <c r="O206" i="103"/>
  <c r="J257" i="103"/>
  <c r="E308" i="103"/>
  <c r="O342" i="103"/>
  <c r="J393" i="103"/>
  <c r="E444" i="103"/>
  <c r="O478" i="103"/>
  <c r="J529" i="103"/>
  <c r="O563" i="103"/>
  <c r="E665" i="103"/>
  <c r="O699" i="103"/>
  <c r="J750" i="103"/>
  <c r="E801" i="103"/>
  <c r="O835" i="103"/>
  <c r="J869" i="103"/>
  <c r="J886" i="103"/>
  <c r="E937" i="103"/>
  <c r="O971" i="103"/>
  <c r="J1022" i="103"/>
  <c r="E1073" i="103"/>
  <c r="O1107" i="103"/>
  <c r="E1209" i="103"/>
  <c r="J1294" i="103"/>
  <c r="O138" i="103"/>
  <c r="O274" i="103"/>
  <c r="J461" i="103"/>
  <c r="E512" i="103"/>
  <c r="E733" i="103"/>
  <c r="J1039" i="103"/>
  <c r="J1226" i="103"/>
  <c r="E427" i="103"/>
  <c r="O1090" i="103"/>
  <c r="J1277" i="103"/>
  <c r="E563" i="103"/>
  <c r="J1005" i="103"/>
  <c r="J1192" i="103"/>
  <c r="O121" i="103"/>
  <c r="J172" i="103"/>
  <c r="E223" i="103"/>
  <c r="O223" i="103"/>
  <c r="J274" i="103"/>
  <c r="J308" i="103"/>
  <c r="E359" i="103"/>
  <c r="J444" i="103"/>
  <c r="E495" i="103"/>
  <c r="O512" i="103"/>
  <c r="E580" i="103"/>
  <c r="O597" i="103"/>
  <c r="O614" i="103"/>
  <c r="J665" i="103"/>
  <c r="E716" i="103"/>
  <c r="O750" i="103"/>
  <c r="J801" i="103"/>
  <c r="E852" i="103"/>
  <c r="J937" i="103"/>
  <c r="E988" i="103"/>
  <c r="J1073" i="103"/>
  <c r="O1158" i="103"/>
  <c r="J1158" i="103"/>
  <c r="J1209" i="103"/>
  <c r="E1260" i="103"/>
  <c r="O1294" i="103"/>
  <c r="J189" i="103"/>
  <c r="O257" i="103"/>
  <c r="O393" i="103"/>
  <c r="O410" i="103"/>
  <c r="E597" i="103"/>
  <c r="O631" i="103"/>
  <c r="J682" i="103"/>
  <c r="O767" i="103"/>
  <c r="O903" i="103"/>
  <c r="J954" i="103"/>
  <c r="E1005" i="103"/>
  <c r="O1039" i="103"/>
  <c r="E1141" i="103"/>
  <c r="O1175" i="103"/>
  <c r="J104" i="103"/>
  <c r="O189" i="103"/>
  <c r="O325" i="103"/>
  <c r="O529" i="103"/>
  <c r="O546" i="103"/>
  <c r="J597" i="103"/>
  <c r="E784" i="103"/>
  <c r="E920" i="103"/>
  <c r="O954" i="103"/>
  <c r="J1141" i="103"/>
  <c r="J155" i="103"/>
  <c r="E342" i="103"/>
  <c r="E699" i="103"/>
  <c r="J784" i="103"/>
  <c r="E835" i="103"/>
  <c r="O1005" i="103"/>
  <c r="J1056" i="103"/>
  <c r="E87" i="103"/>
  <c r="J87" i="103"/>
  <c r="E104" i="103"/>
  <c r="O104" i="103"/>
  <c r="E138" i="103"/>
  <c r="O155" i="103"/>
  <c r="O172" i="103"/>
  <c r="J223" i="103"/>
  <c r="E274" i="103"/>
  <c r="O308" i="103"/>
  <c r="J359" i="103"/>
  <c r="E410" i="103"/>
  <c r="O444" i="103"/>
  <c r="J495" i="103"/>
  <c r="J580" i="103"/>
  <c r="E631" i="103"/>
  <c r="O665" i="103"/>
  <c r="J716" i="103"/>
  <c r="E767" i="103"/>
  <c r="O801" i="103"/>
  <c r="J852" i="103"/>
  <c r="E903" i="103"/>
  <c r="O937" i="103"/>
  <c r="J988" i="103"/>
  <c r="E1039" i="103"/>
  <c r="O1073" i="103"/>
  <c r="J1124" i="103"/>
  <c r="E1175" i="103"/>
  <c r="O1209" i="103"/>
  <c r="J1260" i="103"/>
  <c r="D134" i="101"/>
  <c r="H47" i="101" l="1"/>
  <c r="L706" i="101"/>
  <c r="B716" i="101"/>
  <c r="K699" i="101"/>
  <c r="J699" i="101"/>
  <c r="G699" i="101"/>
  <c r="F699" i="101"/>
  <c r="C699" i="101"/>
  <c r="B699" i="101"/>
  <c r="L697" i="101"/>
  <c r="H697" i="101"/>
  <c r="D697" i="101"/>
  <c r="L696" i="101"/>
  <c r="H696" i="101"/>
  <c r="D696" i="101"/>
  <c r="L695" i="101"/>
  <c r="H695" i="101"/>
  <c r="D695" i="101"/>
  <c r="L694" i="101"/>
  <c r="H694" i="101"/>
  <c r="D694" i="101"/>
  <c r="L693" i="101"/>
  <c r="H693" i="101"/>
  <c r="D693" i="101"/>
  <c r="L692" i="101"/>
  <c r="H692" i="101"/>
  <c r="D692" i="101"/>
  <c r="L691" i="101"/>
  <c r="H691" i="101"/>
  <c r="D691" i="101"/>
  <c r="L690" i="101"/>
  <c r="H690" i="101"/>
  <c r="D690" i="101"/>
  <c r="L689" i="101"/>
  <c r="H689" i="101"/>
  <c r="D689" i="101"/>
  <c r="K682" i="101"/>
  <c r="J682" i="101"/>
  <c r="G682" i="101"/>
  <c r="F682" i="101"/>
  <c r="C682" i="101"/>
  <c r="B682" i="101"/>
  <c r="L680" i="101"/>
  <c r="H680" i="101"/>
  <c r="D680" i="101"/>
  <c r="L679" i="101"/>
  <c r="H679" i="101"/>
  <c r="D679" i="101"/>
  <c r="L678" i="101"/>
  <c r="H678" i="101"/>
  <c r="D678" i="101"/>
  <c r="L677" i="101"/>
  <c r="H677" i="101"/>
  <c r="D677" i="101"/>
  <c r="L676" i="101"/>
  <c r="H676" i="101"/>
  <c r="D676" i="101"/>
  <c r="L675" i="101"/>
  <c r="H675" i="101"/>
  <c r="D675" i="101"/>
  <c r="L674" i="101"/>
  <c r="H674" i="101"/>
  <c r="D674" i="101"/>
  <c r="L673" i="101"/>
  <c r="H673" i="101"/>
  <c r="D673" i="101"/>
  <c r="L672" i="101"/>
  <c r="H672" i="101"/>
  <c r="D672" i="101"/>
  <c r="K665" i="101"/>
  <c r="J665" i="101"/>
  <c r="G665" i="101"/>
  <c r="F665" i="101"/>
  <c r="C665" i="101"/>
  <c r="B665" i="101"/>
  <c r="L663" i="101"/>
  <c r="H663" i="101"/>
  <c r="D663" i="101"/>
  <c r="L662" i="101"/>
  <c r="H662" i="101"/>
  <c r="D662" i="101"/>
  <c r="L661" i="101"/>
  <c r="H661" i="101"/>
  <c r="D661" i="101"/>
  <c r="L660" i="101"/>
  <c r="H660" i="101"/>
  <c r="D660" i="101"/>
  <c r="L659" i="101"/>
  <c r="H659" i="101"/>
  <c r="D659" i="101"/>
  <c r="L658" i="101"/>
  <c r="H658" i="101"/>
  <c r="D658" i="101"/>
  <c r="L657" i="101"/>
  <c r="H657" i="101"/>
  <c r="D657" i="101"/>
  <c r="L656" i="101"/>
  <c r="H656" i="101"/>
  <c r="D656" i="101"/>
  <c r="L655" i="101"/>
  <c r="H655" i="101"/>
  <c r="D655" i="101"/>
  <c r="K648" i="101"/>
  <c r="J648" i="101"/>
  <c r="G648" i="101"/>
  <c r="F648" i="101"/>
  <c r="C648" i="101"/>
  <c r="B648" i="101"/>
  <c r="L646" i="101"/>
  <c r="H646" i="101"/>
  <c r="D646" i="101"/>
  <c r="L645" i="101"/>
  <c r="H645" i="101"/>
  <c r="D645" i="101"/>
  <c r="L644" i="101"/>
  <c r="H644" i="101"/>
  <c r="D644" i="101"/>
  <c r="L643" i="101"/>
  <c r="H643" i="101"/>
  <c r="D643" i="101"/>
  <c r="L642" i="101"/>
  <c r="H642" i="101"/>
  <c r="D642" i="101"/>
  <c r="L641" i="101"/>
  <c r="H641" i="101"/>
  <c r="D641" i="101"/>
  <c r="L640" i="101"/>
  <c r="H640" i="101"/>
  <c r="D640" i="101"/>
  <c r="L639" i="101"/>
  <c r="H639" i="101"/>
  <c r="D639" i="101"/>
  <c r="L638" i="101"/>
  <c r="H638" i="101"/>
  <c r="D638" i="101"/>
  <c r="K631" i="101"/>
  <c r="J631" i="101"/>
  <c r="G631" i="101"/>
  <c r="F631" i="101"/>
  <c r="C631" i="101"/>
  <c r="B631" i="101"/>
  <c r="L629" i="101"/>
  <c r="H629" i="101"/>
  <c r="D629" i="101"/>
  <c r="L628" i="101"/>
  <c r="H628" i="101"/>
  <c r="D628" i="101"/>
  <c r="L627" i="101"/>
  <c r="H627" i="101"/>
  <c r="D627" i="101"/>
  <c r="L626" i="101"/>
  <c r="H626" i="101"/>
  <c r="D626" i="101"/>
  <c r="L625" i="101"/>
  <c r="H625" i="101"/>
  <c r="D625" i="101"/>
  <c r="L624" i="101"/>
  <c r="H624" i="101"/>
  <c r="D624" i="101"/>
  <c r="L623" i="101"/>
  <c r="H623" i="101"/>
  <c r="D623" i="101"/>
  <c r="L622" i="101"/>
  <c r="H622" i="101"/>
  <c r="D622" i="101"/>
  <c r="L621" i="101"/>
  <c r="H621" i="101"/>
  <c r="D621" i="101"/>
  <c r="K614" i="101"/>
  <c r="J614" i="101"/>
  <c r="G614" i="101"/>
  <c r="F614" i="101"/>
  <c r="C614" i="101"/>
  <c r="B614" i="101"/>
  <c r="L612" i="101"/>
  <c r="H612" i="101"/>
  <c r="D612" i="101"/>
  <c r="L611" i="101"/>
  <c r="H611" i="101"/>
  <c r="D611" i="101"/>
  <c r="L610" i="101"/>
  <c r="H610" i="101"/>
  <c r="D610" i="101"/>
  <c r="L609" i="101"/>
  <c r="H609" i="101"/>
  <c r="D609" i="101"/>
  <c r="L608" i="101"/>
  <c r="H608" i="101"/>
  <c r="D608" i="101"/>
  <c r="L607" i="101"/>
  <c r="H607" i="101"/>
  <c r="D607" i="101"/>
  <c r="L606" i="101"/>
  <c r="H606" i="101"/>
  <c r="D606" i="101"/>
  <c r="L605" i="101"/>
  <c r="H605" i="101"/>
  <c r="D605" i="101"/>
  <c r="L604" i="101"/>
  <c r="H604" i="101"/>
  <c r="D604" i="101"/>
  <c r="K597" i="101"/>
  <c r="J597" i="101"/>
  <c r="G597" i="101"/>
  <c r="F597" i="101"/>
  <c r="C597" i="101"/>
  <c r="B597" i="101"/>
  <c r="L595" i="101"/>
  <c r="H595" i="101"/>
  <c r="D595" i="101"/>
  <c r="L594" i="101"/>
  <c r="H594" i="101"/>
  <c r="D594" i="101"/>
  <c r="L593" i="101"/>
  <c r="H593" i="101"/>
  <c r="D593" i="101"/>
  <c r="L592" i="101"/>
  <c r="H592" i="101"/>
  <c r="D592" i="101"/>
  <c r="L591" i="101"/>
  <c r="H591" i="101"/>
  <c r="D591" i="101"/>
  <c r="L590" i="101"/>
  <c r="H590" i="101"/>
  <c r="D590" i="101"/>
  <c r="L589" i="101"/>
  <c r="H589" i="101"/>
  <c r="D589" i="101"/>
  <c r="L588" i="101"/>
  <c r="H588" i="101"/>
  <c r="D588" i="101"/>
  <c r="L587" i="101"/>
  <c r="H587" i="101"/>
  <c r="D587" i="101"/>
  <c r="K580" i="101"/>
  <c r="J580" i="101"/>
  <c r="G580" i="101"/>
  <c r="F580" i="101"/>
  <c r="C580" i="101"/>
  <c r="B580" i="101"/>
  <c r="L578" i="101"/>
  <c r="H578" i="101"/>
  <c r="D578" i="101"/>
  <c r="L577" i="101"/>
  <c r="H577" i="101"/>
  <c r="D577" i="101"/>
  <c r="L576" i="101"/>
  <c r="H576" i="101"/>
  <c r="D576" i="101"/>
  <c r="L575" i="101"/>
  <c r="H575" i="101"/>
  <c r="D575" i="101"/>
  <c r="L574" i="101"/>
  <c r="H574" i="101"/>
  <c r="D574" i="101"/>
  <c r="L573" i="101"/>
  <c r="H573" i="101"/>
  <c r="D573" i="101"/>
  <c r="L572" i="101"/>
  <c r="H572" i="101"/>
  <c r="D572" i="101"/>
  <c r="L571" i="101"/>
  <c r="H571" i="101"/>
  <c r="D571" i="101"/>
  <c r="L570" i="101"/>
  <c r="H570" i="101"/>
  <c r="D570" i="101"/>
  <c r="K563" i="101"/>
  <c r="J563" i="101"/>
  <c r="G563" i="101"/>
  <c r="F563" i="101"/>
  <c r="C563" i="101"/>
  <c r="B563" i="101"/>
  <c r="L561" i="101"/>
  <c r="H561" i="101"/>
  <c r="D561" i="101"/>
  <c r="L560" i="101"/>
  <c r="H560" i="101"/>
  <c r="D560" i="101"/>
  <c r="L559" i="101"/>
  <c r="H559" i="101"/>
  <c r="D559" i="101"/>
  <c r="L558" i="101"/>
  <c r="H558" i="101"/>
  <c r="D558" i="101"/>
  <c r="L557" i="101"/>
  <c r="H557" i="101"/>
  <c r="D557" i="101"/>
  <c r="L556" i="101"/>
  <c r="H556" i="101"/>
  <c r="D556" i="101"/>
  <c r="L555" i="101"/>
  <c r="H555" i="101"/>
  <c r="D555" i="101"/>
  <c r="L554" i="101"/>
  <c r="H554" i="101"/>
  <c r="D554" i="101"/>
  <c r="L553" i="101"/>
  <c r="H553" i="101"/>
  <c r="D553" i="101"/>
  <c r="K546" i="101"/>
  <c r="J546" i="101"/>
  <c r="G546" i="101"/>
  <c r="F546" i="101"/>
  <c r="C546" i="101"/>
  <c r="B546" i="101"/>
  <c r="L544" i="101"/>
  <c r="H544" i="101"/>
  <c r="D544" i="101"/>
  <c r="L543" i="101"/>
  <c r="H543" i="101"/>
  <c r="D543" i="101"/>
  <c r="L542" i="101"/>
  <c r="H542" i="101"/>
  <c r="D542" i="101"/>
  <c r="L541" i="101"/>
  <c r="H541" i="101"/>
  <c r="D541" i="101"/>
  <c r="L540" i="101"/>
  <c r="H540" i="101"/>
  <c r="D540" i="101"/>
  <c r="L539" i="101"/>
  <c r="H539" i="101"/>
  <c r="D539" i="101"/>
  <c r="L538" i="101"/>
  <c r="H538" i="101"/>
  <c r="D538" i="101"/>
  <c r="L537" i="101"/>
  <c r="H537" i="101"/>
  <c r="D537" i="101"/>
  <c r="L536" i="101"/>
  <c r="H536" i="101"/>
  <c r="D536" i="101"/>
  <c r="K529" i="101"/>
  <c r="J529" i="101"/>
  <c r="G529" i="101"/>
  <c r="F529" i="101"/>
  <c r="C529" i="101"/>
  <c r="B529" i="101"/>
  <c r="L527" i="101"/>
  <c r="H527" i="101"/>
  <c r="D527" i="101"/>
  <c r="L526" i="101"/>
  <c r="H526" i="101"/>
  <c r="D526" i="101"/>
  <c r="L525" i="101"/>
  <c r="H525" i="101"/>
  <c r="D525" i="101"/>
  <c r="L524" i="101"/>
  <c r="H524" i="101"/>
  <c r="D524" i="101"/>
  <c r="L523" i="101"/>
  <c r="H523" i="101"/>
  <c r="D523" i="101"/>
  <c r="L522" i="101"/>
  <c r="H522" i="101"/>
  <c r="D522" i="101"/>
  <c r="L521" i="101"/>
  <c r="H521" i="101"/>
  <c r="D521" i="101"/>
  <c r="L520" i="101"/>
  <c r="H520" i="101"/>
  <c r="D520" i="101"/>
  <c r="L519" i="101"/>
  <c r="H519" i="101"/>
  <c r="D519" i="101"/>
  <c r="K512" i="101"/>
  <c r="J512" i="101"/>
  <c r="G512" i="101"/>
  <c r="F512" i="101"/>
  <c r="C512" i="101"/>
  <c r="B512" i="101"/>
  <c r="L510" i="101"/>
  <c r="H510" i="101"/>
  <c r="D510" i="101"/>
  <c r="L509" i="101"/>
  <c r="H509" i="101"/>
  <c r="D509" i="101"/>
  <c r="L508" i="101"/>
  <c r="H508" i="101"/>
  <c r="D508" i="101"/>
  <c r="L507" i="101"/>
  <c r="H507" i="101"/>
  <c r="D507" i="101"/>
  <c r="L506" i="101"/>
  <c r="H506" i="101"/>
  <c r="D506" i="101"/>
  <c r="L505" i="101"/>
  <c r="H505" i="101"/>
  <c r="D505" i="101"/>
  <c r="L504" i="101"/>
  <c r="H504" i="101"/>
  <c r="D504" i="101"/>
  <c r="L503" i="101"/>
  <c r="H503" i="101"/>
  <c r="D503" i="101"/>
  <c r="L502" i="101"/>
  <c r="H502" i="101"/>
  <c r="D502" i="101"/>
  <c r="K495" i="101"/>
  <c r="J495" i="101"/>
  <c r="G495" i="101"/>
  <c r="F495" i="101"/>
  <c r="C495" i="101"/>
  <c r="B495" i="101"/>
  <c r="L493" i="101"/>
  <c r="H493" i="101"/>
  <c r="D493" i="101"/>
  <c r="L492" i="101"/>
  <c r="H492" i="101"/>
  <c r="D492" i="101"/>
  <c r="L491" i="101"/>
  <c r="H491" i="101"/>
  <c r="D491" i="101"/>
  <c r="L490" i="101"/>
  <c r="H490" i="101"/>
  <c r="D490" i="101"/>
  <c r="L489" i="101"/>
  <c r="H489" i="101"/>
  <c r="D489" i="101"/>
  <c r="L488" i="101"/>
  <c r="H488" i="101"/>
  <c r="D488" i="101"/>
  <c r="L487" i="101"/>
  <c r="H487" i="101"/>
  <c r="D487" i="101"/>
  <c r="L486" i="101"/>
  <c r="H486" i="101"/>
  <c r="D486" i="101"/>
  <c r="L485" i="101"/>
  <c r="H485" i="101"/>
  <c r="D485" i="101"/>
  <c r="K478" i="101"/>
  <c r="J478" i="101"/>
  <c r="G478" i="101"/>
  <c r="F478" i="101"/>
  <c r="C478" i="101"/>
  <c r="B478" i="101"/>
  <c r="L476" i="101"/>
  <c r="H476" i="101"/>
  <c r="D476" i="101"/>
  <c r="L475" i="101"/>
  <c r="H475" i="101"/>
  <c r="D475" i="101"/>
  <c r="L474" i="101"/>
  <c r="H474" i="101"/>
  <c r="D474" i="101"/>
  <c r="L473" i="101"/>
  <c r="H473" i="101"/>
  <c r="D473" i="101"/>
  <c r="L472" i="101"/>
  <c r="H472" i="101"/>
  <c r="D472" i="101"/>
  <c r="L471" i="101"/>
  <c r="H471" i="101"/>
  <c r="D471" i="101"/>
  <c r="L470" i="101"/>
  <c r="H470" i="101"/>
  <c r="D470" i="101"/>
  <c r="L469" i="101"/>
  <c r="H469" i="101"/>
  <c r="D469" i="101"/>
  <c r="L468" i="101"/>
  <c r="H468" i="101"/>
  <c r="D468" i="101"/>
  <c r="K461" i="101"/>
  <c r="J461" i="101"/>
  <c r="G461" i="101"/>
  <c r="F461" i="101"/>
  <c r="C461" i="101"/>
  <c r="B461" i="101"/>
  <c r="L459" i="101"/>
  <c r="H459" i="101"/>
  <c r="D459" i="101"/>
  <c r="L458" i="101"/>
  <c r="H458" i="101"/>
  <c r="D458" i="101"/>
  <c r="L457" i="101"/>
  <c r="H457" i="101"/>
  <c r="D457" i="101"/>
  <c r="L456" i="101"/>
  <c r="H456" i="101"/>
  <c r="D456" i="101"/>
  <c r="L455" i="101"/>
  <c r="H455" i="101"/>
  <c r="D455" i="101"/>
  <c r="L454" i="101"/>
  <c r="H454" i="101"/>
  <c r="D454" i="101"/>
  <c r="L453" i="101"/>
  <c r="H453" i="101"/>
  <c r="D453" i="101"/>
  <c r="L452" i="101"/>
  <c r="H452" i="101"/>
  <c r="D452" i="101"/>
  <c r="L451" i="101"/>
  <c r="H451" i="101"/>
  <c r="D451" i="101"/>
  <c r="K444" i="101"/>
  <c r="J444" i="101"/>
  <c r="G444" i="101"/>
  <c r="F444" i="101"/>
  <c r="C444" i="101"/>
  <c r="B444" i="101"/>
  <c r="L442" i="101"/>
  <c r="H442" i="101"/>
  <c r="D442" i="101"/>
  <c r="L441" i="101"/>
  <c r="H441" i="101"/>
  <c r="D441" i="101"/>
  <c r="L440" i="101"/>
  <c r="H440" i="101"/>
  <c r="D440" i="101"/>
  <c r="L439" i="101"/>
  <c r="H439" i="101"/>
  <c r="D439" i="101"/>
  <c r="L438" i="101"/>
  <c r="H438" i="101"/>
  <c r="D438" i="101"/>
  <c r="L437" i="101"/>
  <c r="H437" i="101"/>
  <c r="D437" i="101"/>
  <c r="L436" i="101"/>
  <c r="H436" i="101"/>
  <c r="D436" i="101"/>
  <c r="L435" i="101"/>
  <c r="H435" i="101"/>
  <c r="D435" i="101"/>
  <c r="L434" i="101"/>
  <c r="H434" i="101"/>
  <c r="D434" i="101"/>
  <c r="K427" i="101"/>
  <c r="J427" i="101"/>
  <c r="G427" i="101"/>
  <c r="F427" i="101"/>
  <c r="C427" i="101"/>
  <c r="B427" i="101"/>
  <c r="L425" i="101"/>
  <c r="H425" i="101"/>
  <c r="D425" i="101"/>
  <c r="L424" i="101"/>
  <c r="H424" i="101"/>
  <c r="D424" i="101"/>
  <c r="L423" i="101"/>
  <c r="H423" i="101"/>
  <c r="D423" i="101"/>
  <c r="L422" i="101"/>
  <c r="H422" i="101"/>
  <c r="D422" i="101"/>
  <c r="L421" i="101"/>
  <c r="H421" i="101"/>
  <c r="D421" i="101"/>
  <c r="L420" i="101"/>
  <c r="H420" i="101"/>
  <c r="D420" i="101"/>
  <c r="L419" i="101"/>
  <c r="H419" i="101"/>
  <c r="D419" i="101"/>
  <c r="L418" i="101"/>
  <c r="H418" i="101"/>
  <c r="D418" i="101"/>
  <c r="L417" i="101"/>
  <c r="H417" i="101"/>
  <c r="D417" i="101"/>
  <c r="K410" i="101"/>
  <c r="J410" i="101"/>
  <c r="G410" i="101"/>
  <c r="F410" i="101"/>
  <c r="C410" i="101"/>
  <c r="B410" i="101"/>
  <c r="L408" i="101"/>
  <c r="H408" i="101"/>
  <c r="D408" i="101"/>
  <c r="L407" i="101"/>
  <c r="H407" i="101"/>
  <c r="D407" i="101"/>
  <c r="L406" i="101"/>
  <c r="H406" i="101"/>
  <c r="D406" i="101"/>
  <c r="L405" i="101"/>
  <c r="H405" i="101"/>
  <c r="D405" i="101"/>
  <c r="L404" i="101"/>
  <c r="H404" i="101"/>
  <c r="D404" i="101"/>
  <c r="L403" i="101"/>
  <c r="H403" i="101"/>
  <c r="D403" i="101"/>
  <c r="L402" i="101"/>
  <c r="H402" i="101"/>
  <c r="D402" i="101"/>
  <c r="L401" i="101"/>
  <c r="H401" i="101"/>
  <c r="D401" i="101"/>
  <c r="L400" i="101"/>
  <c r="H400" i="101"/>
  <c r="D400" i="101"/>
  <c r="K393" i="101"/>
  <c r="J393" i="101"/>
  <c r="G393" i="101"/>
  <c r="F393" i="101"/>
  <c r="C393" i="101"/>
  <c r="B393" i="101"/>
  <c r="L391" i="101"/>
  <c r="H391" i="101"/>
  <c r="D391" i="101"/>
  <c r="L390" i="101"/>
  <c r="H390" i="101"/>
  <c r="D390" i="101"/>
  <c r="L389" i="101"/>
  <c r="H389" i="101"/>
  <c r="D389" i="101"/>
  <c r="L388" i="101"/>
  <c r="H388" i="101"/>
  <c r="D388" i="101"/>
  <c r="L387" i="101"/>
  <c r="H387" i="101"/>
  <c r="D387" i="101"/>
  <c r="L386" i="101"/>
  <c r="H386" i="101"/>
  <c r="D386" i="101"/>
  <c r="L385" i="101"/>
  <c r="H385" i="101"/>
  <c r="D385" i="101"/>
  <c r="L384" i="101"/>
  <c r="H384" i="101"/>
  <c r="D384" i="101"/>
  <c r="L383" i="101"/>
  <c r="H383" i="101"/>
  <c r="D383" i="101"/>
  <c r="K376" i="101"/>
  <c r="J376" i="101"/>
  <c r="G376" i="101"/>
  <c r="F376" i="101"/>
  <c r="C376" i="101"/>
  <c r="B376" i="101"/>
  <c r="L374" i="101"/>
  <c r="H374" i="101"/>
  <c r="D374" i="101"/>
  <c r="L373" i="101"/>
  <c r="H373" i="101"/>
  <c r="D373" i="101"/>
  <c r="L372" i="101"/>
  <c r="H372" i="101"/>
  <c r="D372" i="101"/>
  <c r="L371" i="101"/>
  <c r="H371" i="101"/>
  <c r="D371" i="101"/>
  <c r="L370" i="101"/>
  <c r="H370" i="101"/>
  <c r="D370" i="101"/>
  <c r="L369" i="101"/>
  <c r="H369" i="101"/>
  <c r="D369" i="101"/>
  <c r="L368" i="101"/>
  <c r="H368" i="101"/>
  <c r="D368" i="101"/>
  <c r="L367" i="101"/>
  <c r="H367" i="101"/>
  <c r="D367" i="101"/>
  <c r="L366" i="101"/>
  <c r="H366" i="101"/>
  <c r="D366" i="101"/>
  <c r="K359" i="101"/>
  <c r="J359" i="101"/>
  <c r="G359" i="101"/>
  <c r="F359" i="101"/>
  <c r="C359" i="101"/>
  <c r="B359" i="101"/>
  <c r="L357" i="101"/>
  <c r="H357" i="101"/>
  <c r="D357" i="101"/>
  <c r="L356" i="101"/>
  <c r="H356" i="101"/>
  <c r="D356" i="101"/>
  <c r="L355" i="101"/>
  <c r="H355" i="101"/>
  <c r="D355" i="101"/>
  <c r="L354" i="101"/>
  <c r="H354" i="101"/>
  <c r="D354" i="101"/>
  <c r="L353" i="101"/>
  <c r="H353" i="101"/>
  <c r="D353" i="101"/>
  <c r="L352" i="101"/>
  <c r="H352" i="101"/>
  <c r="D352" i="101"/>
  <c r="L351" i="101"/>
  <c r="H351" i="101"/>
  <c r="D351" i="101"/>
  <c r="L350" i="101"/>
  <c r="H350" i="101"/>
  <c r="D350" i="101"/>
  <c r="L349" i="101"/>
  <c r="H349" i="101"/>
  <c r="D349" i="101"/>
  <c r="K342" i="101"/>
  <c r="J342" i="101"/>
  <c r="G342" i="101"/>
  <c r="F342" i="101"/>
  <c r="C342" i="101"/>
  <c r="B342" i="101"/>
  <c r="L340" i="101"/>
  <c r="H340" i="101"/>
  <c r="D340" i="101"/>
  <c r="L339" i="101"/>
  <c r="H339" i="101"/>
  <c r="D339" i="101"/>
  <c r="L338" i="101"/>
  <c r="H338" i="101"/>
  <c r="D338" i="101"/>
  <c r="L337" i="101"/>
  <c r="H337" i="101"/>
  <c r="D337" i="101"/>
  <c r="L336" i="101"/>
  <c r="H336" i="101"/>
  <c r="D336" i="101"/>
  <c r="L335" i="101"/>
  <c r="H335" i="101"/>
  <c r="D335" i="101"/>
  <c r="L334" i="101"/>
  <c r="H334" i="101"/>
  <c r="D334" i="101"/>
  <c r="L333" i="101"/>
  <c r="H333" i="101"/>
  <c r="D333" i="101"/>
  <c r="L332" i="101"/>
  <c r="H332" i="101"/>
  <c r="D332" i="101"/>
  <c r="K325" i="101"/>
  <c r="J325" i="101"/>
  <c r="G325" i="101"/>
  <c r="F325" i="101"/>
  <c r="C325" i="101"/>
  <c r="B325" i="101"/>
  <c r="L323" i="101"/>
  <c r="H323" i="101"/>
  <c r="D323" i="101"/>
  <c r="L322" i="101"/>
  <c r="H322" i="101"/>
  <c r="D322" i="101"/>
  <c r="L321" i="101"/>
  <c r="H321" i="101"/>
  <c r="D321" i="101"/>
  <c r="L320" i="101"/>
  <c r="H320" i="101"/>
  <c r="D320" i="101"/>
  <c r="L319" i="101"/>
  <c r="H319" i="101"/>
  <c r="D319" i="101"/>
  <c r="L318" i="101"/>
  <c r="H318" i="101"/>
  <c r="D318" i="101"/>
  <c r="L317" i="101"/>
  <c r="H317" i="101"/>
  <c r="D317" i="101"/>
  <c r="L316" i="101"/>
  <c r="H316" i="101"/>
  <c r="D316" i="101"/>
  <c r="L315" i="101"/>
  <c r="H315" i="101"/>
  <c r="D315" i="101"/>
  <c r="K308" i="101"/>
  <c r="J308" i="101"/>
  <c r="G308" i="101"/>
  <c r="F308" i="101"/>
  <c r="C308" i="101"/>
  <c r="B308" i="101"/>
  <c r="L306" i="101"/>
  <c r="H306" i="101"/>
  <c r="D306" i="101"/>
  <c r="L305" i="101"/>
  <c r="H305" i="101"/>
  <c r="D305" i="101"/>
  <c r="L304" i="101"/>
  <c r="H304" i="101"/>
  <c r="D304" i="101"/>
  <c r="L303" i="101"/>
  <c r="H303" i="101"/>
  <c r="D303" i="101"/>
  <c r="L302" i="101"/>
  <c r="H302" i="101"/>
  <c r="D302" i="101"/>
  <c r="L301" i="101"/>
  <c r="H301" i="101"/>
  <c r="D301" i="101"/>
  <c r="L300" i="101"/>
  <c r="H300" i="101"/>
  <c r="D300" i="101"/>
  <c r="L299" i="101"/>
  <c r="H299" i="101"/>
  <c r="D299" i="101"/>
  <c r="L298" i="101"/>
  <c r="H298" i="101"/>
  <c r="D298" i="101"/>
  <c r="K291" i="101"/>
  <c r="J291" i="101"/>
  <c r="G291" i="101"/>
  <c r="F291" i="101"/>
  <c r="C291" i="101"/>
  <c r="B291" i="101"/>
  <c r="L289" i="101"/>
  <c r="H289" i="101"/>
  <c r="D289" i="101"/>
  <c r="L288" i="101"/>
  <c r="H288" i="101"/>
  <c r="D288" i="101"/>
  <c r="L287" i="101"/>
  <c r="H287" i="101"/>
  <c r="D287" i="101"/>
  <c r="L286" i="101"/>
  <c r="H286" i="101"/>
  <c r="D286" i="101"/>
  <c r="L285" i="101"/>
  <c r="H285" i="101"/>
  <c r="D285" i="101"/>
  <c r="L284" i="101"/>
  <c r="H284" i="101"/>
  <c r="D284" i="101"/>
  <c r="L283" i="101"/>
  <c r="H283" i="101"/>
  <c r="D283" i="101"/>
  <c r="L282" i="101"/>
  <c r="H282" i="101"/>
  <c r="D282" i="101"/>
  <c r="L281" i="101"/>
  <c r="H281" i="101"/>
  <c r="D281" i="101"/>
  <c r="K274" i="101"/>
  <c r="J274" i="101"/>
  <c r="G274" i="101"/>
  <c r="F274" i="101"/>
  <c r="C274" i="101"/>
  <c r="B274" i="101"/>
  <c r="L272" i="101"/>
  <c r="H272" i="101"/>
  <c r="D272" i="101"/>
  <c r="L271" i="101"/>
  <c r="H271" i="101"/>
  <c r="D271" i="101"/>
  <c r="L270" i="101"/>
  <c r="H270" i="101"/>
  <c r="D270" i="101"/>
  <c r="L269" i="101"/>
  <c r="H269" i="101"/>
  <c r="D269" i="101"/>
  <c r="L268" i="101"/>
  <c r="H268" i="101"/>
  <c r="D268" i="101"/>
  <c r="L267" i="101"/>
  <c r="H267" i="101"/>
  <c r="D267" i="101"/>
  <c r="L266" i="101"/>
  <c r="H266" i="101"/>
  <c r="D266" i="101"/>
  <c r="L265" i="101"/>
  <c r="H265" i="101"/>
  <c r="D265" i="101"/>
  <c r="L264" i="101"/>
  <c r="H264" i="101"/>
  <c r="D264" i="101"/>
  <c r="K257" i="101"/>
  <c r="J257" i="101"/>
  <c r="G257" i="101"/>
  <c r="F257" i="101"/>
  <c r="C257" i="101"/>
  <c r="B257" i="101"/>
  <c r="L255" i="101"/>
  <c r="H255" i="101"/>
  <c r="D255" i="101"/>
  <c r="L254" i="101"/>
  <c r="H254" i="101"/>
  <c r="D254" i="101"/>
  <c r="L253" i="101"/>
  <c r="H253" i="101"/>
  <c r="D253" i="101"/>
  <c r="L252" i="101"/>
  <c r="H252" i="101"/>
  <c r="D252" i="101"/>
  <c r="L251" i="101"/>
  <c r="H251" i="101"/>
  <c r="D251" i="101"/>
  <c r="L250" i="101"/>
  <c r="H250" i="101"/>
  <c r="D250" i="101"/>
  <c r="L249" i="101"/>
  <c r="H249" i="101"/>
  <c r="D249" i="101"/>
  <c r="L248" i="101"/>
  <c r="H248" i="101"/>
  <c r="D248" i="101"/>
  <c r="L247" i="101"/>
  <c r="H247" i="101"/>
  <c r="D247" i="101"/>
  <c r="K240" i="101"/>
  <c r="J240" i="101"/>
  <c r="G240" i="101"/>
  <c r="F240" i="101"/>
  <c r="C240" i="101"/>
  <c r="B240" i="101"/>
  <c r="L238" i="101"/>
  <c r="H238" i="101"/>
  <c r="D238" i="101"/>
  <c r="L237" i="101"/>
  <c r="H237" i="101"/>
  <c r="D237" i="101"/>
  <c r="L236" i="101"/>
  <c r="H236" i="101"/>
  <c r="D236" i="101"/>
  <c r="L235" i="101"/>
  <c r="H235" i="101"/>
  <c r="D235" i="101"/>
  <c r="L234" i="101"/>
  <c r="H234" i="101"/>
  <c r="D234" i="101"/>
  <c r="L233" i="101"/>
  <c r="H233" i="101"/>
  <c r="D233" i="101"/>
  <c r="L232" i="101"/>
  <c r="H232" i="101"/>
  <c r="D232" i="101"/>
  <c r="L231" i="101"/>
  <c r="H231" i="101"/>
  <c r="D231" i="101"/>
  <c r="L230" i="101"/>
  <c r="H230" i="101"/>
  <c r="D230" i="101"/>
  <c r="K223" i="101"/>
  <c r="J223" i="101"/>
  <c r="G223" i="101"/>
  <c r="F223" i="101"/>
  <c r="C223" i="101"/>
  <c r="B223" i="101"/>
  <c r="L221" i="101"/>
  <c r="H221" i="101"/>
  <c r="D221" i="101"/>
  <c r="L220" i="101"/>
  <c r="H220" i="101"/>
  <c r="D220" i="101"/>
  <c r="L219" i="101"/>
  <c r="H219" i="101"/>
  <c r="D219" i="101"/>
  <c r="L218" i="101"/>
  <c r="H218" i="101"/>
  <c r="D218" i="101"/>
  <c r="L217" i="101"/>
  <c r="H217" i="101"/>
  <c r="D217" i="101"/>
  <c r="L216" i="101"/>
  <c r="H216" i="101"/>
  <c r="D216" i="101"/>
  <c r="L215" i="101"/>
  <c r="H215" i="101"/>
  <c r="D215" i="101"/>
  <c r="L214" i="101"/>
  <c r="H214" i="101"/>
  <c r="D214" i="101"/>
  <c r="L213" i="101"/>
  <c r="H213" i="101"/>
  <c r="D213" i="101"/>
  <c r="K206" i="101"/>
  <c r="J206" i="101"/>
  <c r="G206" i="101"/>
  <c r="F206" i="101"/>
  <c r="C206" i="101"/>
  <c r="B206" i="101"/>
  <c r="L204" i="101"/>
  <c r="H204" i="101"/>
  <c r="D204" i="101"/>
  <c r="L203" i="101"/>
  <c r="H203" i="101"/>
  <c r="D203" i="101"/>
  <c r="L202" i="101"/>
  <c r="H202" i="101"/>
  <c r="D202" i="101"/>
  <c r="L201" i="101"/>
  <c r="H201" i="101"/>
  <c r="D201" i="101"/>
  <c r="L200" i="101"/>
  <c r="H200" i="101"/>
  <c r="D200" i="101"/>
  <c r="L199" i="101"/>
  <c r="H199" i="101"/>
  <c r="D199" i="101"/>
  <c r="L198" i="101"/>
  <c r="H198" i="101"/>
  <c r="D198" i="101"/>
  <c r="L197" i="101"/>
  <c r="H197" i="101"/>
  <c r="D197" i="101"/>
  <c r="L196" i="101"/>
  <c r="H196" i="101"/>
  <c r="D196" i="101"/>
  <c r="K189" i="101"/>
  <c r="J189" i="101"/>
  <c r="G189" i="101"/>
  <c r="F189" i="101"/>
  <c r="C189" i="101"/>
  <c r="B189" i="101"/>
  <c r="L187" i="101"/>
  <c r="H187" i="101"/>
  <c r="D187" i="101"/>
  <c r="L186" i="101"/>
  <c r="H186" i="101"/>
  <c r="D186" i="101"/>
  <c r="L185" i="101"/>
  <c r="H185" i="101"/>
  <c r="D185" i="101"/>
  <c r="L184" i="101"/>
  <c r="H184" i="101"/>
  <c r="D184" i="101"/>
  <c r="L183" i="101"/>
  <c r="H183" i="101"/>
  <c r="D183" i="101"/>
  <c r="L182" i="101"/>
  <c r="H182" i="101"/>
  <c r="D182" i="101"/>
  <c r="L181" i="101"/>
  <c r="H181" i="101"/>
  <c r="D181" i="101"/>
  <c r="L180" i="101"/>
  <c r="H180" i="101"/>
  <c r="D180" i="101"/>
  <c r="L179" i="101"/>
  <c r="H179" i="101"/>
  <c r="D179" i="101"/>
  <c r="K172" i="101"/>
  <c r="J172" i="101"/>
  <c r="G172" i="101"/>
  <c r="F172" i="101"/>
  <c r="C172" i="101"/>
  <c r="B172" i="101"/>
  <c r="L170" i="101"/>
  <c r="H170" i="101"/>
  <c r="D170" i="101"/>
  <c r="L169" i="101"/>
  <c r="H169" i="101"/>
  <c r="D169" i="101"/>
  <c r="L168" i="101"/>
  <c r="H168" i="101"/>
  <c r="D168" i="101"/>
  <c r="L167" i="101"/>
  <c r="H167" i="101"/>
  <c r="D167" i="101"/>
  <c r="L166" i="101"/>
  <c r="H166" i="101"/>
  <c r="D166" i="101"/>
  <c r="L165" i="101"/>
  <c r="H165" i="101"/>
  <c r="D165" i="101"/>
  <c r="L164" i="101"/>
  <c r="H164" i="101"/>
  <c r="D164" i="101"/>
  <c r="L163" i="101"/>
  <c r="H163" i="101"/>
  <c r="D163" i="101"/>
  <c r="L162" i="101"/>
  <c r="H162" i="101"/>
  <c r="D162" i="101"/>
  <c r="K155" i="101"/>
  <c r="J155" i="101"/>
  <c r="G155" i="101"/>
  <c r="F155" i="101"/>
  <c r="C155" i="101"/>
  <c r="B155" i="101"/>
  <c r="L153" i="101"/>
  <c r="H153" i="101"/>
  <c r="D153" i="101"/>
  <c r="L152" i="101"/>
  <c r="H152" i="101"/>
  <c r="D152" i="101"/>
  <c r="L151" i="101"/>
  <c r="H151" i="101"/>
  <c r="D151" i="101"/>
  <c r="L150" i="101"/>
  <c r="H150" i="101"/>
  <c r="D150" i="101"/>
  <c r="L149" i="101"/>
  <c r="H149" i="101"/>
  <c r="D149" i="101"/>
  <c r="L148" i="101"/>
  <c r="H148" i="101"/>
  <c r="D148" i="101"/>
  <c r="L147" i="101"/>
  <c r="H147" i="101"/>
  <c r="D147" i="101"/>
  <c r="L146" i="101"/>
  <c r="H146" i="101"/>
  <c r="D146" i="101"/>
  <c r="L145" i="101"/>
  <c r="H145" i="101"/>
  <c r="D145" i="101"/>
  <c r="K138" i="101"/>
  <c r="J138" i="101"/>
  <c r="G138" i="101"/>
  <c r="F138" i="101"/>
  <c r="C138" i="101"/>
  <c r="B138" i="101"/>
  <c r="L136" i="101"/>
  <c r="H136" i="101"/>
  <c r="D136" i="101"/>
  <c r="L135" i="101"/>
  <c r="H135" i="101"/>
  <c r="D135" i="101"/>
  <c r="L134" i="101"/>
  <c r="H134" i="101"/>
  <c r="L133" i="101"/>
  <c r="H133" i="101"/>
  <c r="D133" i="101"/>
  <c r="L132" i="101"/>
  <c r="H132" i="101"/>
  <c r="D132" i="101"/>
  <c r="L131" i="101"/>
  <c r="H131" i="101"/>
  <c r="D131" i="101"/>
  <c r="L130" i="101"/>
  <c r="H130" i="101"/>
  <c r="D130" i="101"/>
  <c r="L129" i="101"/>
  <c r="H129" i="101"/>
  <c r="D129" i="101"/>
  <c r="L128" i="101"/>
  <c r="H128" i="101"/>
  <c r="D128" i="101"/>
  <c r="K121" i="101"/>
  <c r="J121" i="101"/>
  <c r="G121" i="101"/>
  <c r="F121" i="101"/>
  <c r="C121" i="101"/>
  <c r="B121" i="101"/>
  <c r="L119" i="101"/>
  <c r="H119" i="101"/>
  <c r="D119" i="101"/>
  <c r="L118" i="101"/>
  <c r="H118" i="101"/>
  <c r="D118" i="101"/>
  <c r="L117" i="101"/>
  <c r="H117" i="101"/>
  <c r="D117" i="101"/>
  <c r="L116" i="101"/>
  <c r="H116" i="101"/>
  <c r="D116" i="101"/>
  <c r="L115" i="101"/>
  <c r="H115" i="101"/>
  <c r="D115" i="101"/>
  <c r="L114" i="101"/>
  <c r="H114" i="101"/>
  <c r="D114" i="101"/>
  <c r="L113" i="101"/>
  <c r="H113" i="101"/>
  <c r="D113" i="101"/>
  <c r="L112" i="101"/>
  <c r="H112" i="101"/>
  <c r="D112" i="101"/>
  <c r="L111" i="101"/>
  <c r="H111" i="101"/>
  <c r="D111" i="101"/>
  <c r="K104" i="101"/>
  <c r="J104" i="101"/>
  <c r="G104" i="101"/>
  <c r="F104" i="101"/>
  <c r="C104" i="101"/>
  <c r="B104" i="101"/>
  <c r="L102" i="101"/>
  <c r="H102" i="101"/>
  <c r="D102" i="101"/>
  <c r="L101" i="101"/>
  <c r="H101" i="101"/>
  <c r="D101" i="101"/>
  <c r="L100" i="101"/>
  <c r="H100" i="101"/>
  <c r="D100" i="101"/>
  <c r="L99" i="101"/>
  <c r="H99" i="101"/>
  <c r="D99" i="101"/>
  <c r="L98" i="101"/>
  <c r="H98" i="101"/>
  <c r="D98" i="101"/>
  <c r="L97" i="101"/>
  <c r="H97" i="101"/>
  <c r="D97" i="101"/>
  <c r="L96" i="101"/>
  <c r="H96" i="101"/>
  <c r="D96" i="101"/>
  <c r="L95" i="101"/>
  <c r="H95" i="101"/>
  <c r="D95" i="101"/>
  <c r="L94" i="101"/>
  <c r="H94" i="101"/>
  <c r="D94" i="101"/>
  <c r="K87" i="101"/>
  <c r="J87" i="101"/>
  <c r="G87" i="101"/>
  <c r="F87" i="101"/>
  <c r="C87" i="101"/>
  <c r="B87" i="101"/>
  <c r="L85" i="101"/>
  <c r="H85" i="101"/>
  <c r="D85" i="101"/>
  <c r="L84" i="101"/>
  <c r="H84" i="101"/>
  <c r="D84" i="101"/>
  <c r="L83" i="101"/>
  <c r="H83" i="101"/>
  <c r="D83" i="101"/>
  <c r="L82" i="101"/>
  <c r="H82" i="101"/>
  <c r="D82" i="101"/>
  <c r="L81" i="101"/>
  <c r="H81" i="101"/>
  <c r="D81" i="101"/>
  <c r="L80" i="101"/>
  <c r="H80" i="101"/>
  <c r="D80" i="101"/>
  <c r="L79" i="101"/>
  <c r="H79" i="101"/>
  <c r="D79" i="101"/>
  <c r="L78" i="101"/>
  <c r="H78" i="101"/>
  <c r="D78" i="101"/>
  <c r="L77" i="101"/>
  <c r="H77" i="101"/>
  <c r="D77" i="101"/>
  <c r="B70" i="101"/>
  <c r="K70" i="101"/>
  <c r="J70" i="101"/>
  <c r="G70" i="101"/>
  <c r="F70" i="101"/>
  <c r="C70" i="101"/>
  <c r="K53" i="101"/>
  <c r="J53" i="101"/>
  <c r="G53" i="101"/>
  <c r="F53" i="101"/>
  <c r="C53" i="101"/>
  <c r="B53" i="101"/>
  <c r="K36" i="101"/>
  <c r="J36" i="101"/>
  <c r="G36" i="101"/>
  <c r="F36" i="101"/>
  <c r="C36" i="101"/>
  <c r="B36" i="101"/>
  <c r="B754" i="101"/>
  <c r="B737" i="101"/>
  <c r="B720" i="101"/>
  <c r="B703" i="101"/>
  <c r="B686" i="101"/>
  <c r="B669" i="101"/>
  <c r="B652" i="101"/>
  <c r="B635" i="101"/>
  <c r="B618" i="101"/>
  <c r="B601" i="101"/>
  <c r="B584" i="101"/>
  <c r="B567" i="101"/>
  <c r="B550" i="101"/>
  <c r="B533" i="101"/>
  <c r="B516" i="101"/>
  <c r="B499" i="101"/>
  <c r="B482" i="101"/>
  <c r="B465" i="101"/>
  <c r="B448" i="101"/>
  <c r="B431" i="101"/>
  <c r="B414" i="101"/>
  <c r="B397" i="101"/>
  <c r="B380" i="101"/>
  <c r="B363" i="101"/>
  <c r="B346" i="101"/>
  <c r="B329" i="101"/>
  <c r="B312" i="101"/>
  <c r="B295" i="101"/>
  <c r="B278" i="101"/>
  <c r="B261" i="101"/>
  <c r="B244" i="101"/>
  <c r="B227" i="101"/>
  <c r="B210" i="101"/>
  <c r="B193" i="101"/>
  <c r="B176" i="101"/>
  <c r="B159" i="101"/>
  <c r="B142" i="101"/>
  <c r="B125" i="101"/>
  <c r="B108" i="101"/>
  <c r="B91" i="101"/>
  <c r="B74" i="101"/>
  <c r="B57" i="101"/>
  <c r="B40" i="101"/>
  <c r="M15" i="76"/>
  <c r="M33" i="21"/>
  <c r="N23" i="21"/>
  <c r="O23" i="21"/>
  <c r="P23" i="21"/>
  <c r="Q23" i="21"/>
  <c r="R23" i="21"/>
  <c r="S23" i="21"/>
  <c r="T23" i="21"/>
  <c r="U23" i="21"/>
  <c r="V23" i="21"/>
  <c r="W23" i="21"/>
  <c r="X23" i="21"/>
  <c r="Y23" i="21"/>
  <c r="Z23" i="21"/>
  <c r="AA23" i="21"/>
  <c r="AB23" i="21"/>
  <c r="AC23" i="21"/>
  <c r="AD23" i="21"/>
  <c r="AE23" i="21"/>
  <c r="AF23" i="21"/>
  <c r="AG23" i="21"/>
  <c r="M23" i="21"/>
  <c r="AD18" i="21"/>
  <c r="AD11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M5" i="21"/>
  <c r="H563" i="101" l="1"/>
  <c r="L597" i="101"/>
  <c r="H614" i="101"/>
  <c r="H699" i="101"/>
  <c r="D699" i="101"/>
  <c r="D138" i="101"/>
  <c r="D444" i="101"/>
  <c r="D410" i="101"/>
  <c r="L342" i="101"/>
  <c r="L308" i="101"/>
  <c r="H240" i="101"/>
  <c r="L223" i="101"/>
  <c r="D189" i="101"/>
  <c r="H189" i="101"/>
  <c r="D172" i="101"/>
  <c r="L87" i="101"/>
  <c r="L104" i="101"/>
  <c r="H257" i="101"/>
  <c r="L478" i="101"/>
  <c r="L121" i="101"/>
  <c r="H172" i="101"/>
  <c r="H223" i="101"/>
  <c r="D223" i="101"/>
  <c r="L257" i="101"/>
  <c r="D291" i="101"/>
  <c r="H342" i="101"/>
  <c r="D342" i="101"/>
  <c r="L376" i="101"/>
  <c r="H461" i="101"/>
  <c r="L495" i="101"/>
  <c r="D580" i="101"/>
  <c r="H597" i="101"/>
  <c r="D597" i="101"/>
  <c r="L631" i="101"/>
  <c r="H104" i="101"/>
  <c r="D104" i="101"/>
  <c r="L138" i="101"/>
  <c r="L274" i="101"/>
  <c r="H359" i="101"/>
  <c r="D359" i="101"/>
  <c r="L393" i="101"/>
  <c r="D427" i="101"/>
  <c r="H444" i="101"/>
  <c r="L461" i="101"/>
  <c r="H478" i="101"/>
  <c r="L512" i="101"/>
  <c r="H529" i="101"/>
  <c r="D614" i="101"/>
  <c r="L648" i="101"/>
  <c r="D682" i="101"/>
  <c r="D206" i="101"/>
  <c r="D274" i="101"/>
  <c r="H410" i="101"/>
  <c r="L614" i="101"/>
  <c r="H665" i="101"/>
  <c r="D121" i="101"/>
  <c r="L155" i="101"/>
  <c r="D240" i="101"/>
  <c r="D376" i="101"/>
  <c r="H495" i="101"/>
  <c r="D563" i="101"/>
  <c r="L665" i="101"/>
  <c r="L172" i="101"/>
  <c r="H393" i="101"/>
  <c r="L427" i="101"/>
  <c r="H512" i="101"/>
  <c r="D512" i="101"/>
  <c r="L546" i="101"/>
  <c r="H648" i="101"/>
  <c r="D648" i="101"/>
  <c r="L682" i="101"/>
  <c r="H206" i="101"/>
  <c r="H274" i="101"/>
  <c r="D325" i="101"/>
  <c r="L359" i="101"/>
  <c r="D257" i="101"/>
  <c r="H376" i="101"/>
  <c r="D495" i="101"/>
  <c r="L529" i="101"/>
  <c r="H631" i="101"/>
  <c r="D87" i="101"/>
  <c r="H87" i="101"/>
  <c r="H155" i="101"/>
  <c r="D155" i="101"/>
  <c r="L189" i="101"/>
  <c r="H291" i="101"/>
  <c r="D308" i="101"/>
  <c r="D461" i="101"/>
  <c r="D529" i="101"/>
  <c r="L563" i="101"/>
  <c r="L699" i="101"/>
  <c r="H138" i="101"/>
  <c r="H325" i="101"/>
  <c r="D393" i="101"/>
  <c r="L444" i="101"/>
  <c r="H121" i="101"/>
  <c r="L240" i="101"/>
  <c r="L291" i="101"/>
  <c r="L410" i="101"/>
  <c r="H580" i="101"/>
  <c r="D631" i="101"/>
  <c r="L206" i="101"/>
  <c r="H308" i="101"/>
  <c r="L325" i="101"/>
  <c r="H427" i="101"/>
  <c r="D478" i="101"/>
  <c r="H546" i="101"/>
  <c r="D546" i="101"/>
  <c r="L580" i="101"/>
  <c r="D665" i="101"/>
  <c r="H682" i="101"/>
  <c r="J9" i="79"/>
  <c r="J10" i="79"/>
  <c r="J11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J27" i="79"/>
  <c r="J28" i="79"/>
  <c r="J29" i="79"/>
  <c r="J30" i="79"/>
  <c r="J31" i="79"/>
  <c r="J32" i="79"/>
  <c r="I9" i="79"/>
  <c r="I10" i="79"/>
  <c r="I11" i="79"/>
  <c r="I12" i="79"/>
  <c r="I13" i="79"/>
  <c r="I14" i="79"/>
  <c r="I15" i="79"/>
  <c r="I16" i="79"/>
  <c r="I17" i="79"/>
  <c r="I18" i="79"/>
  <c r="I19" i="79"/>
  <c r="I20" i="79"/>
  <c r="I21" i="79"/>
  <c r="I22" i="79"/>
  <c r="I23" i="79"/>
  <c r="I24" i="79"/>
  <c r="I25" i="79"/>
  <c r="I26" i="79"/>
  <c r="I27" i="79"/>
  <c r="I28" i="79"/>
  <c r="I29" i="79"/>
  <c r="I30" i="79"/>
  <c r="I31" i="79"/>
  <c r="I32" i="79"/>
  <c r="H9" i="79"/>
  <c r="H10" i="79"/>
  <c r="H11" i="79"/>
  <c r="H12" i="79"/>
  <c r="H13" i="79"/>
  <c r="H14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H29" i="79"/>
  <c r="H30" i="79"/>
  <c r="H31" i="79"/>
  <c r="H32" i="79"/>
  <c r="G9" i="79"/>
  <c r="G10" i="79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F9" i="79"/>
  <c r="F10" i="79"/>
  <c r="F11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E9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D9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C9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B9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K9" i="79"/>
  <c r="B116" i="78"/>
  <c r="H8" i="78"/>
  <c r="B21" i="52" l="1"/>
  <c r="O34" i="103" l="1"/>
  <c r="O33" i="103"/>
  <c r="O32" i="103"/>
  <c r="O31" i="103"/>
  <c r="O30" i="103"/>
  <c r="O29" i="103"/>
  <c r="O28" i="103"/>
  <c r="O27" i="103"/>
  <c r="O26" i="103"/>
  <c r="J34" i="103"/>
  <c r="J33" i="103"/>
  <c r="J32" i="103"/>
  <c r="J31" i="103"/>
  <c r="J29" i="103"/>
  <c r="J28" i="103"/>
  <c r="J27" i="103"/>
  <c r="J26" i="103"/>
  <c r="E34" i="103"/>
  <c r="E33" i="103"/>
  <c r="E32" i="103"/>
  <c r="E31" i="103"/>
  <c r="E30" i="103"/>
  <c r="E29" i="103"/>
  <c r="E28" i="103"/>
  <c r="E27" i="103"/>
  <c r="E26" i="103"/>
  <c r="N17" i="103"/>
  <c r="M17" i="103"/>
  <c r="L17" i="103"/>
  <c r="N16" i="103"/>
  <c r="M16" i="103"/>
  <c r="L16" i="103"/>
  <c r="N15" i="103"/>
  <c r="M15" i="103"/>
  <c r="L15" i="103"/>
  <c r="N14" i="103"/>
  <c r="M14" i="103"/>
  <c r="L14" i="103"/>
  <c r="N13" i="103"/>
  <c r="M13" i="103"/>
  <c r="L13" i="103"/>
  <c r="N12" i="103"/>
  <c r="M12" i="103"/>
  <c r="L12" i="103"/>
  <c r="N11" i="103"/>
  <c r="M11" i="103"/>
  <c r="L11" i="103"/>
  <c r="N10" i="103"/>
  <c r="M10" i="103"/>
  <c r="L10" i="103"/>
  <c r="N9" i="103"/>
  <c r="M9" i="103"/>
  <c r="L9" i="103"/>
  <c r="I17" i="103"/>
  <c r="H17" i="103"/>
  <c r="G17" i="103"/>
  <c r="I16" i="103"/>
  <c r="H16" i="103"/>
  <c r="G16" i="103"/>
  <c r="I15" i="103"/>
  <c r="H15" i="103"/>
  <c r="G15" i="103"/>
  <c r="I14" i="103"/>
  <c r="H14" i="103"/>
  <c r="G14" i="103"/>
  <c r="I13" i="103"/>
  <c r="H13" i="103"/>
  <c r="G13" i="103"/>
  <c r="I12" i="103"/>
  <c r="H12" i="103"/>
  <c r="G12" i="103"/>
  <c r="I11" i="103"/>
  <c r="H11" i="103"/>
  <c r="G11" i="103"/>
  <c r="I10" i="103"/>
  <c r="H10" i="103"/>
  <c r="G10" i="103"/>
  <c r="I9" i="103"/>
  <c r="H9" i="103"/>
  <c r="G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B17" i="103"/>
  <c r="C17" i="103"/>
  <c r="D17" i="103"/>
  <c r="C9" i="103"/>
  <c r="D9" i="103"/>
  <c r="B9" i="101"/>
  <c r="K1294" i="101"/>
  <c r="J1294" i="101"/>
  <c r="G1294" i="101"/>
  <c r="F1294" i="101"/>
  <c r="C1294" i="101"/>
  <c r="B1294" i="101"/>
  <c r="L1292" i="101"/>
  <c r="H1292" i="101"/>
  <c r="D1292" i="101"/>
  <c r="L1291" i="101"/>
  <c r="H1291" i="101"/>
  <c r="D1291" i="101"/>
  <c r="L1290" i="101"/>
  <c r="H1290" i="101"/>
  <c r="D1290" i="101"/>
  <c r="L1289" i="101"/>
  <c r="H1289" i="101"/>
  <c r="D1289" i="101"/>
  <c r="L1288" i="101"/>
  <c r="H1288" i="101"/>
  <c r="D1288" i="101"/>
  <c r="L1287" i="101"/>
  <c r="H1287" i="101"/>
  <c r="D1287" i="101"/>
  <c r="L1286" i="101"/>
  <c r="H1286" i="101"/>
  <c r="D1286" i="101"/>
  <c r="L1285" i="101"/>
  <c r="H1285" i="101"/>
  <c r="D1285" i="101"/>
  <c r="L1284" i="101"/>
  <c r="H1284" i="101"/>
  <c r="D1284" i="101"/>
  <c r="K1277" i="101"/>
  <c r="J1277" i="101"/>
  <c r="G1277" i="101"/>
  <c r="F1277" i="101"/>
  <c r="C1277" i="101"/>
  <c r="B1277" i="101"/>
  <c r="L1275" i="101"/>
  <c r="H1275" i="101"/>
  <c r="D1275" i="101"/>
  <c r="L1274" i="101"/>
  <c r="H1274" i="101"/>
  <c r="D1274" i="101"/>
  <c r="L1273" i="101"/>
  <c r="H1273" i="101"/>
  <c r="D1273" i="101"/>
  <c r="L1272" i="101"/>
  <c r="H1272" i="101"/>
  <c r="D1272" i="101"/>
  <c r="L1271" i="101"/>
  <c r="H1271" i="101"/>
  <c r="D1271" i="101"/>
  <c r="L1270" i="101"/>
  <c r="H1270" i="101"/>
  <c r="D1270" i="101"/>
  <c r="L1269" i="101"/>
  <c r="H1269" i="101"/>
  <c r="D1269" i="101"/>
  <c r="L1268" i="101"/>
  <c r="H1268" i="101"/>
  <c r="D1268" i="101"/>
  <c r="L1267" i="101"/>
  <c r="H1267" i="101"/>
  <c r="D1267" i="101"/>
  <c r="K1260" i="101"/>
  <c r="J1260" i="101"/>
  <c r="G1260" i="101"/>
  <c r="F1260" i="101"/>
  <c r="C1260" i="101"/>
  <c r="B1260" i="101"/>
  <c r="L1258" i="101"/>
  <c r="H1258" i="101"/>
  <c r="D1258" i="101"/>
  <c r="L1257" i="101"/>
  <c r="H1257" i="101"/>
  <c r="D1257" i="101"/>
  <c r="L1256" i="101"/>
  <c r="H1256" i="101"/>
  <c r="D1256" i="101"/>
  <c r="L1255" i="101"/>
  <c r="H1255" i="101"/>
  <c r="D1255" i="101"/>
  <c r="L1254" i="101"/>
  <c r="H1254" i="101"/>
  <c r="D1254" i="101"/>
  <c r="L1253" i="101"/>
  <c r="H1253" i="101"/>
  <c r="D1253" i="101"/>
  <c r="L1252" i="101"/>
  <c r="H1252" i="101"/>
  <c r="D1252" i="101"/>
  <c r="L1251" i="101"/>
  <c r="H1251" i="101"/>
  <c r="D1251" i="101"/>
  <c r="L1250" i="101"/>
  <c r="H1250" i="101"/>
  <c r="D1250" i="101"/>
  <c r="K1243" i="101"/>
  <c r="J1243" i="101"/>
  <c r="G1243" i="101"/>
  <c r="F1243" i="101"/>
  <c r="C1243" i="101"/>
  <c r="B1243" i="101"/>
  <c r="L1241" i="101"/>
  <c r="H1241" i="101"/>
  <c r="D1241" i="101"/>
  <c r="L1240" i="101"/>
  <c r="H1240" i="101"/>
  <c r="D1240" i="101"/>
  <c r="L1239" i="101"/>
  <c r="H1239" i="101"/>
  <c r="D1239" i="101"/>
  <c r="L1238" i="101"/>
  <c r="H1238" i="101"/>
  <c r="D1238" i="101"/>
  <c r="L1237" i="101"/>
  <c r="H1237" i="101"/>
  <c r="D1237" i="101"/>
  <c r="L1236" i="101"/>
  <c r="H1236" i="101"/>
  <c r="D1236" i="101"/>
  <c r="L1235" i="101"/>
  <c r="H1235" i="101"/>
  <c r="D1235" i="101"/>
  <c r="L1234" i="101"/>
  <c r="H1234" i="101"/>
  <c r="D1234" i="101"/>
  <c r="L1233" i="101"/>
  <c r="H1233" i="101"/>
  <c r="D1233" i="101"/>
  <c r="K1226" i="101"/>
  <c r="J1226" i="101"/>
  <c r="G1226" i="101"/>
  <c r="F1226" i="101"/>
  <c r="C1226" i="101"/>
  <c r="B1226" i="101"/>
  <c r="L1224" i="101"/>
  <c r="H1224" i="101"/>
  <c r="D1224" i="101"/>
  <c r="L1223" i="101"/>
  <c r="H1223" i="101"/>
  <c r="D1223" i="101"/>
  <c r="L1222" i="101"/>
  <c r="H1222" i="101"/>
  <c r="D1222" i="101"/>
  <c r="L1221" i="101"/>
  <c r="H1221" i="101"/>
  <c r="D1221" i="101"/>
  <c r="L1220" i="101"/>
  <c r="H1220" i="101"/>
  <c r="D1220" i="101"/>
  <c r="L1219" i="101"/>
  <c r="H1219" i="101"/>
  <c r="D1219" i="101"/>
  <c r="L1218" i="101"/>
  <c r="H1218" i="101"/>
  <c r="D1218" i="101"/>
  <c r="L1217" i="101"/>
  <c r="H1217" i="101"/>
  <c r="D1217" i="101"/>
  <c r="L1216" i="101"/>
  <c r="H1216" i="101"/>
  <c r="D1216" i="101"/>
  <c r="K1209" i="101"/>
  <c r="J1209" i="101"/>
  <c r="G1209" i="101"/>
  <c r="F1209" i="101"/>
  <c r="C1209" i="101"/>
  <c r="B1209" i="101"/>
  <c r="L1207" i="101"/>
  <c r="H1207" i="101"/>
  <c r="D1207" i="101"/>
  <c r="L1206" i="101"/>
  <c r="H1206" i="101"/>
  <c r="D1206" i="101"/>
  <c r="L1205" i="101"/>
  <c r="H1205" i="101"/>
  <c r="D1205" i="101"/>
  <c r="L1204" i="101"/>
  <c r="H1204" i="101"/>
  <c r="D1204" i="101"/>
  <c r="L1203" i="101"/>
  <c r="H1203" i="101"/>
  <c r="D1203" i="101"/>
  <c r="L1202" i="101"/>
  <c r="H1202" i="101"/>
  <c r="D1202" i="101"/>
  <c r="L1201" i="101"/>
  <c r="H1201" i="101"/>
  <c r="D1201" i="101"/>
  <c r="L1200" i="101"/>
  <c r="H1200" i="101"/>
  <c r="D1200" i="101"/>
  <c r="L1199" i="101"/>
  <c r="H1199" i="101"/>
  <c r="D1199" i="101"/>
  <c r="K1192" i="101"/>
  <c r="J1192" i="101"/>
  <c r="G1192" i="101"/>
  <c r="F1192" i="101"/>
  <c r="C1192" i="101"/>
  <c r="B1192" i="101"/>
  <c r="L1190" i="101"/>
  <c r="H1190" i="101"/>
  <c r="D1190" i="101"/>
  <c r="L1189" i="101"/>
  <c r="H1189" i="101"/>
  <c r="D1189" i="101"/>
  <c r="L1188" i="101"/>
  <c r="H1188" i="101"/>
  <c r="D1188" i="101"/>
  <c r="L1187" i="101"/>
  <c r="H1187" i="101"/>
  <c r="D1187" i="101"/>
  <c r="L1186" i="101"/>
  <c r="H1186" i="101"/>
  <c r="D1186" i="101"/>
  <c r="L1185" i="101"/>
  <c r="H1185" i="101"/>
  <c r="D1185" i="101"/>
  <c r="L1184" i="101"/>
  <c r="H1184" i="101"/>
  <c r="D1184" i="101"/>
  <c r="L1183" i="101"/>
  <c r="H1183" i="101"/>
  <c r="D1183" i="101"/>
  <c r="L1182" i="101"/>
  <c r="H1182" i="101"/>
  <c r="D1182" i="101"/>
  <c r="K1175" i="101"/>
  <c r="J1175" i="101"/>
  <c r="G1175" i="101"/>
  <c r="F1175" i="101"/>
  <c r="C1175" i="101"/>
  <c r="B1175" i="101"/>
  <c r="L1173" i="101"/>
  <c r="H1173" i="101"/>
  <c r="D1173" i="101"/>
  <c r="L1172" i="101"/>
  <c r="H1172" i="101"/>
  <c r="D1172" i="101"/>
  <c r="L1171" i="101"/>
  <c r="H1171" i="101"/>
  <c r="D1171" i="101"/>
  <c r="L1170" i="101"/>
  <c r="H1170" i="101"/>
  <c r="D1170" i="101"/>
  <c r="L1169" i="101"/>
  <c r="H1169" i="101"/>
  <c r="D1169" i="101"/>
  <c r="L1168" i="101"/>
  <c r="H1168" i="101"/>
  <c r="D1168" i="101"/>
  <c r="L1167" i="101"/>
  <c r="H1167" i="101"/>
  <c r="D1167" i="101"/>
  <c r="L1166" i="101"/>
  <c r="H1166" i="101"/>
  <c r="D1166" i="101"/>
  <c r="L1165" i="101"/>
  <c r="H1165" i="101"/>
  <c r="D1165" i="101"/>
  <c r="K1158" i="101"/>
  <c r="J1158" i="101"/>
  <c r="G1158" i="101"/>
  <c r="F1158" i="101"/>
  <c r="C1158" i="101"/>
  <c r="B1158" i="101"/>
  <c r="L1156" i="101"/>
  <c r="H1156" i="101"/>
  <c r="D1156" i="101"/>
  <c r="L1155" i="101"/>
  <c r="H1155" i="101"/>
  <c r="D1155" i="101"/>
  <c r="L1154" i="101"/>
  <c r="H1154" i="101"/>
  <c r="D1154" i="101"/>
  <c r="L1153" i="101"/>
  <c r="H1153" i="101"/>
  <c r="D1153" i="101"/>
  <c r="L1152" i="101"/>
  <c r="H1152" i="101"/>
  <c r="D1152" i="101"/>
  <c r="L1151" i="101"/>
  <c r="H1151" i="101"/>
  <c r="D1151" i="101"/>
  <c r="L1150" i="101"/>
  <c r="H1150" i="101"/>
  <c r="D1150" i="101"/>
  <c r="L1149" i="101"/>
  <c r="H1149" i="101"/>
  <c r="D1149" i="101"/>
  <c r="L1148" i="101"/>
  <c r="H1148" i="101"/>
  <c r="D1148" i="101"/>
  <c r="K1141" i="101"/>
  <c r="J1141" i="101"/>
  <c r="G1141" i="101"/>
  <c r="F1141" i="101"/>
  <c r="C1141" i="101"/>
  <c r="B1141" i="101"/>
  <c r="L1139" i="101"/>
  <c r="H1139" i="101"/>
  <c r="D1139" i="101"/>
  <c r="L1138" i="101"/>
  <c r="H1138" i="101"/>
  <c r="D1138" i="101"/>
  <c r="L1137" i="101"/>
  <c r="H1137" i="101"/>
  <c r="D1137" i="101"/>
  <c r="L1136" i="101"/>
  <c r="H1136" i="101"/>
  <c r="D1136" i="101"/>
  <c r="L1135" i="101"/>
  <c r="H1135" i="101"/>
  <c r="D1135" i="101"/>
  <c r="L1134" i="101"/>
  <c r="H1134" i="101"/>
  <c r="D1134" i="101"/>
  <c r="L1133" i="101"/>
  <c r="H1133" i="101"/>
  <c r="D1133" i="101"/>
  <c r="L1132" i="101"/>
  <c r="H1132" i="101"/>
  <c r="D1132" i="101"/>
  <c r="L1131" i="101"/>
  <c r="H1131" i="101"/>
  <c r="D1131" i="101"/>
  <c r="K1124" i="101"/>
  <c r="J1124" i="101"/>
  <c r="G1124" i="101"/>
  <c r="F1124" i="101"/>
  <c r="C1124" i="101"/>
  <c r="B1124" i="101"/>
  <c r="L1122" i="101"/>
  <c r="H1122" i="101"/>
  <c r="D1122" i="101"/>
  <c r="L1121" i="101"/>
  <c r="H1121" i="101"/>
  <c r="D1121" i="101"/>
  <c r="L1120" i="101"/>
  <c r="H1120" i="101"/>
  <c r="D1120" i="101"/>
  <c r="L1119" i="101"/>
  <c r="H1119" i="101"/>
  <c r="D1119" i="101"/>
  <c r="L1118" i="101"/>
  <c r="H1118" i="101"/>
  <c r="D1118" i="101"/>
  <c r="L1117" i="101"/>
  <c r="H1117" i="101"/>
  <c r="D1117" i="101"/>
  <c r="L1116" i="101"/>
  <c r="H1116" i="101"/>
  <c r="D1116" i="101"/>
  <c r="L1115" i="101"/>
  <c r="H1115" i="101"/>
  <c r="D1115" i="101"/>
  <c r="L1114" i="101"/>
  <c r="H1114" i="101"/>
  <c r="D1114" i="101"/>
  <c r="K1107" i="101"/>
  <c r="J1107" i="101"/>
  <c r="G1107" i="101"/>
  <c r="F1107" i="101"/>
  <c r="C1107" i="101"/>
  <c r="B1107" i="101"/>
  <c r="L1105" i="101"/>
  <c r="H1105" i="101"/>
  <c r="D1105" i="101"/>
  <c r="L1104" i="101"/>
  <c r="H1104" i="101"/>
  <c r="D1104" i="101"/>
  <c r="L1103" i="101"/>
  <c r="H1103" i="101"/>
  <c r="D1103" i="101"/>
  <c r="L1102" i="101"/>
  <c r="H1102" i="101"/>
  <c r="D1102" i="101"/>
  <c r="L1101" i="101"/>
  <c r="H1101" i="101"/>
  <c r="D1101" i="101"/>
  <c r="L1100" i="101"/>
  <c r="H1100" i="101"/>
  <c r="D1100" i="101"/>
  <c r="L1099" i="101"/>
  <c r="H1099" i="101"/>
  <c r="D1099" i="101"/>
  <c r="L1098" i="101"/>
  <c r="H1098" i="101"/>
  <c r="D1098" i="101"/>
  <c r="L1097" i="101"/>
  <c r="H1097" i="101"/>
  <c r="D1097" i="101"/>
  <c r="K1090" i="101"/>
  <c r="J1090" i="101"/>
  <c r="G1090" i="101"/>
  <c r="F1090" i="101"/>
  <c r="C1090" i="101"/>
  <c r="B1090" i="101"/>
  <c r="L1088" i="101"/>
  <c r="H1088" i="101"/>
  <c r="D1088" i="101"/>
  <c r="L1087" i="101"/>
  <c r="H1087" i="101"/>
  <c r="D1087" i="101"/>
  <c r="L1086" i="101"/>
  <c r="H1086" i="101"/>
  <c r="D1086" i="101"/>
  <c r="L1085" i="101"/>
  <c r="H1085" i="101"/>
  <c r="D1085" i="101"/>
  <c r="L1084" i="101"/>
  <c r="H1084" i="101"/>
  <c r="D1084" i="101"/>
  <c r="L1083" i="101"/>
  <c r="H1083" i="101"/>
  <c r="D1083" i="101"/>
  <c r="L1082" i="101"/>
  <c r="H1082" i="101"/>
  <c r="D1082" i="101"/>
  <c r="L1081" i="101"/>
  <c r="H1081" i="101"/>
  <c r="D1081" i="101"/>
  <c r="L1080" i="101"/>
  <c r="H1080" i="101"/>
  <c r="D1080" i="101"/>
  <c r="K1073" i="101"/>
  <c r="J1073" i="101"/>
  <c r="G1073" i="101"/>
  <c r="F1073" i="101"/>
  <c r="C1073" i="101"/>
  <c r="B1073" i="101"/>
  <c r="L1071" i="101"/>
  <c r="H1071" i="101"/>
  <c r="D1071" i="101"/>
  <c r="L1070" i="101"/>
  <c r="H1070" i="101"/>
  <c r="D1070" i="101"/>
  <c r="L1069" i="101"/>
  <c r="H1069" i="101"/>
  <c r="D1069" i="101"/>
  <c r="L1068" i="101"/>
  <c r="H1068" i="101"/>
  <c r="D1068" i="101"/>
  <c r="L1067" i="101"/>
  <c r="H1067" i="101"/>
  <c r="D1067" i="101"/>
  <c r="L1066" i="101"/>
  <c r="H1066" i="101"/>
  <c r="D1066" i="101"/>
  <c r="L1065" i="101"/>
  <c r="H1065" i="101"/>
  <c r="D1065" i="101"/>
  <c r="L1064" i="101"/>
  <c r="H1064" i="101"/>
  <c r="D1064" i="101"/>
  <c r="L1063" i="101"/>
  <c r="H1063" i="101"/>
  <c r="D1063" i="101"/>
  <c r="K1056" i="101"/>
  <c r="J1056" i="101"/>
  <c r="G1056" i="101"/>
  <c r="F1056" i="101"/>
  <c r="C1056" i="101"/>
  <c r="B1056" i="101"/>
  <c r="L1054" i="101"/>
  <c r="H1054" i="101"/>
  <c r="D1054" i="101"/>
  <c r="L1053" i="101"/>
  <c r="H1053" i="101"/>
  <c r="D1053" i="101"/>
  <c r="L1052" i="101"/>
  <c r="H1052" i="101"/>
  <c r="D1052" i="101"/>
  <c r="L1051" i="101"/>
  <c r="H1051" i="101"/>
  <c r="D1051" i="101"/>
  <c r="L1050" i="101"/>
  <c r="H1050" i="101"/>
  <c r="D1050" i="101"/>
  <c r="L1049" i="101"/>
  <c r="H1049" i="101"/>
  <c r="D1049" i="101"/>
  <c r="L1048" i="101"/>
  <c r="H1048" i="101"/>
  <c r="D1048" i="101"/>
  <c r="L1047" i="101"/>
  <c r="H1047" i="101"/>
  <c r="D1047" i="101"/>
  <c r="L1046" i="101"/>
  <c r="H1046" i="101"/>
  <c r="D1046" i="101"/>
  <c r="K1039" i="101"/>
  <c r="J1039" i="101"/>
  <c r="G1039" i="101"/>
  <c r="F1039" i="101"/>
  <c r="C1039" i="101"/>
  <c r="B1039" i="101"/>
  <c r="L1037" i="101"/>
  <c r="H1037" i="101"/>
  <c r="D1037" i="101"/>
  <c r="L1036" i="101"/>
  <c r="H1036" i="101"/>
  <c r="D1036" i="101"/>
  <c r="L1035" i="101"/>
  <c r="H1035" i="101"/>
  <c r="D1035" i="101"/>
  <c r="L1034" i="101"/>
  <c r="H1034" i="101"/>
  <c r="D1034" i="101"/>
  <c r="L1033" i="101"/>
  <c r="H1033" i="101"/>
  <c r="D1033" i="101"/>
  <c r="L1032" i="101"/>
  <c r="H1032" i="101"/>
  <c r="D1032" i="101"/>
  <c r="L1031" i="101"/>
  <c r="H1031" i="101"/>
  <c r="D1031" i="101"/>
  <c r="L1030" i="101"/>
  <c r="H1030" i="101"/>
  <c r="D1030" i="101"/>
  <c r="L1029" i="101"/>
  <c r="H1029" i="101"/>
  <c r="D1029" i="101"/>
  <c r="K1022" i="101"/>
  <c r="J1022" i="101"/>
  <c r="G1022" i="101"/>
  <c r="F1022" i="101"/>
  <c r="C1022" i="101"/>
  <c r="B1022" i="101"/>
  <c r="L1020" i="101"/>
  <c r="H1020" i="101"/>
  <c r="D1020" i="101"/>
  <c r="L1019" i="101"/>
  <c r="H1019" i="101"/>
  <c r="D1019" i="101"/>
  <c r="L1018" i="101"/>
  <c r="H1018" i="101"/>
  <c r="D1018" i="101"/>
  <c r="L1017" i="101"/>
  <c r="H1017" i="101"/>
  <c r="D1017" i="101"/>
  <c r="L1016" i="101"/>
  <c r="H1016" i="101"/>
  <c r="D1016" i="101"/>
  <c r="L1015" i="101"/>
  <c r="H1015" i="101"/>
  <c r="D1015" i="101"/>
  <c r="L1014" i="101"/>
  <c r="H1014" i="101"/>
  <c r="D1014" i="101"/>
  <c r="L1013" i="101"/>
  <c r="H1013" i="101"/>
  <c r="D1013" i="101"/>
  <c r="L1012" i="101"/>
  <c r="H1012" i="101"/>
  <c r="D1012" i="101"/>
  <c r="K1005" i="101"/>
  <c r="J1005" i="101"/>
  <c r="G1005" i="101"/>
  <c r="F1005" i="101"/>
  <c r="C1005" i="101"/>
  <c r="B1005" i="101"/>
  <c r="L1003" i="101"/>
  <c r="H1003" i="101"/>
  <c r="D1003" i="101"/>
  <c r="L1002" i="101"/>
  <c r="H1002" i="101"/>
  <c r="D1002" i="101"/>
  <c r="L1001" i="101"/>
  <c r="H1001" i="101"/>
  <c r="D1001" i="101"/>
  <c r="L1000" i="101"/>
  <c r="H1000" i="101"/>
  <c r="D1000" i="101"/>
  <c r="L999" i="101"/>
  <c r="H999" i="101"/>
  <c r="D999" i="101"/>
  <c r="L998" i="101"/>
  <c r="H998" i="101"/>
  <c r="D998" i="101"/>
  <c r="L997" i="101"/>
  <c r="H997" i="101"/>
  <c r="D997" i="101"/>
  <c r="L996" i="101"/>
  <c r="H996" i="101"/>
  <c r="D996" i="101"/>
  <c r="L995" i="101"/>
  <c r="H995" i="101"/>
  <c r="D995" i="101"/>
  <c r="K988" i="101"/>
  <c r="J988" i="101"/>
  <c r="G988" i="101"/>
  <c r="F988" i="101"/>
  <c r="C988" i="101"/>
  <c r="B988" i="101"/>
  <c r="L986" i="101"/>
  <c r="H986" i="101"/>
  <c r="D986" i="101"/>
  <c r="L985" i="101"/>
  <c r="H985" i="101"/>
  <c r="D985" i="101"/>
  <c r="L984" i="101"/>
  <c r="H984" i="101"/>
  <c r="D984" i="101"/>
  <c r="L983" i="101"/>
  <c r="H983" i="101"/>
  <c r="D983" i="101"/>
  <c r="L982" i="101"/>
  <c r="H982" i="101"/>
  <c r="D982" i="101"/>
  <c r="L981" i="101"/>
  <c r="H981" i="101"/>
  <c r="D981" i="101"/>
  <c r="L980" i="101"/>
  <c r="H980" i="101"/>
  <c r="D980" i="101"/>
  <c r="L979" i="101"/>
  <c r="H979" i="101"/>
  <c r="D979" i="101"/>
  <c r="L978" i="101"/>
  <c r="H978" i="101"/>
  <c r="D978" i="101"/>
  <c r="K971" i="101"/>
  <c r="J971" i="101"/>
  <c r="G971" i="101"/>
  <c r="F971" i="101"/>
  <c r="C971" i="101"/>
  <c r="B971" i="101"/>
  <c r="L969" i="101"/>
  <c r="H969" i="101"/>
  <c r="D969" i="101"/>
  <c r="L968" i="101"/>
  <c r="H968" i="101"/>
  <c r="D968" i="101"/>
  <c r="L967" i="101"/>
  <c r="H967" i="101"/>
  <c r="D967" i="101"/>
  <c r="L966" i="101"/>
  <c r="H966" i="101"/>
  <c r="D966" i="101"/>
  <c r="L965" i="101"/>
  <c r="H965" i="101"/>
  <c r="D965" i="101"/>
  <c r="L964" i="101"/>
  <c r="H964" i="101"/>
  <c r="D964" i="101"/>
  <c r="L963" i="101"/>
  <c r="H963" i="101"/>
  <c r="D963" i="101"/>
  <c r="L962" i="101"/>
  <c r="H962" i="101"/>
  <c r="D962" i="101"/>
  <c r="L961" i="101"/>
  <c r="H961" i="101"/>
  <c r="D961" i="101"/>
  <c r="K954" i="101"/>
  <c r="J954" i="101"/>
  <c r="G954" i="101"/>
  <c r="F954" i="101"/>
  <c r="C954" i="101"/>
  <c r="B954" i="101"/>
  <c r="L952" i="101"/>
  <c r="H952" i="101"/>
  <c r="D952" i="101"/>
  <c r="L951" i="101"/>
  <c r="H951" i="101"/>
  <c r="D951" i="101"/>
  <c r="L950" i="101"/>
  <c r="H950" i="101"/>
  <c r="D950" i="101"/>
  <c r="L949" i="101"/>
  <c r="H949" i="101"/>
  <c r="D949" i="101"/>
  <c r="L948" i="101"/>
  <c r="H948" i="101"/>
  <c r="D948" i="101"/>
  <c r="L947" i="101"/>
  <c r="H947" i="101"/>
  <c r="D947" i="101"/>
  <c r="L946" i="101"/>
  <c r="H946" i="101"/>
  <c r="D946" i="101"/>
  <c r="L945" i="101"/>
  <c r="H945" i="101"/>
  <c r="D945" i="101"/>
  <c r="L944" i="101"/>
  <c r="H944" i="101"/>
  <c r="D944" i="101"/>
  <c r="K937" i="101"/>
  <c r="J937" i="101"/>
  <c r="G937" i="101"/>
  <c r="F937" i="101"/>
  <c r="C937" i="101"/>
  <c r="B937" i="101"/>
  <c r="L935" i="101"/>
  <c r="H935" i="101"/>
  <c r="D935" i="101"/>
  <c r="L934" i="101"/>
  <c r="H934" i="101"/>
  <c r="D934" i="101"/>
  <c r="L933" i="101"/>
  <c r="H933" i="101"/>
  <c r="D933" i="101"/>
  <c r="L932" i="101"/>
  <c r="H932" i="101"/>
  <c r="D932" i="101"/>
  <c r="L931" i="101"/>
  <c r="H931" i="101"/>
  <c r="D931" i="101"/>
  <c r="L930" i="101"/>
  <c r="H930" i="101"/>
  <c r="D930" i="101"/>
  <c r="L929" i="101"/>
  <c r="H929" i="101"/>
  <c r="D929" i="101"/>
  <c r="L928" i="101"/>
  <c r="H928" i="101"/>
  <c r="D928" i="101"/>
  <c r="L927" i="101"/>
  <c r="H927" i="101"/>
  <c r="D927" i="101"/>
  <c r="K920" i="101"/>
  <c r="J920" i="101"/>
  <c r="G920" i="101"/>
  <c r="F920" i="101"/>
  <c r="C920" i="101"/>
  <c r="B920" i="101"/>
  <c r="L918" i="101"/>
  <c r="H918" i="101"/>
  <c r="D918" i="101"/>
  <c r="L917" i="101"/>
  <c r="H917" i="101"/>
  <c r="D917" i="101"/>
  <c r="L916" i="101"/>
  <c r="H916" i="101"/>
  <c r="D916" i="101"/>
  <c r="L915" i="101"/>
  <c r="H915" i="101"/>
  <c r="D915" i="101"/>
  <c r="L914" i="101"/>
  <c r="H914" i="101"/>
  <c r="D914" i="101"/>
  <c r="L913" i="101"/>
  <c r="H913" i="101"/>
  <c r="D913" i="101"/>
  <c r="L912" i="101"/>
  <c r="H912" i="101"/>
  <c r="D912" i="101"/>
  <c r="L911" i="101"/>
  <c r="H911" i="101"/>
  <c r="D911" i="101"/>
  <c r="L910" i="101"/>
  <c r="H910" i="101"/>
  <c r="D910" i="101"/>
  <c r="K903" i="101"/>
  <c r="J903" i="101"/>
  <c r="G903" i="101"/>
  <c r="F903" i="101"/>
  <c r="C903" i="101"/>
  <c r="B903" i="101"/>
  <c r="L901" i="101"/>
  <c r="H901" i="101"/>
  <c r="D901" i="101"/>
  <c r="L900" i="101"/>
  <c r="H900" i="101"/>
  <c r="D900" i="101"/>
  <c r="L899" i="101"/>
  <c r="H899" i="101"/>
  <c r="D899" i="101"/>
  <c r="L898" i="101"/>
  <c r="H898" i="101"/>
  <c r="D898" i="101"/>
  <c r="L897" i="101"/>
  <c r="H897" i="101"/>
  <c r="D897" i="101"/>
  <c r="L896" i="101"/>
  <c r="H896" i="101"/>
  <c r="D896" i="101"/>
  <c r="L895" i="101"/>
  <c r="H895" i="101"/>
  <c r="D895" i="101"/>
  <c r="L894" i="101"/>
  <c r="H894" i="101"/>
  <c r="D894" i="101"/>
  <c r="L893" i="101"/>
  <c r="H893" i="101"/>
  <c r="D893" i="101"/>
  <c r="K886" i="101"/>
  <c r="J886" i="101"/>
  <c r="G886" i="101"/>
  <c r="F886" i="101"/>
  <c r="C886" i="101"/>
  <c r="B886" i="101"/>
  <c r="L884" i="101"/>
  <c r="H884" i="101"/>
  <c r="D884" i="101"/>
  <c r="L883" i="101"/>
  <c r="H883" i="101"/>
  <c r="D883" i="101"/>
  <c r="L882" i="101"/>
  <c r="H882" i="101"/>
  <c r="D882" i="101"/>
  <c r="L881" i="101"/>
  <c r="H881" i="101"/>
  <c r="D881" i="101"/>
  <c r="L880" i="101"/>
  <c r="H880" i="101"/>
  <c r="D880" i="101"/>
  <c r="L879" i="101"/>
  <c r="H879" i="101"/>
  <c r="D879" i="101"/>
  <c r="L878" i="101"/>
  <c r="H878" i="101"/>
  <c r="D878" i="101"/>
  <c r="L877" i="101"/>
  <c r="H877" i="101"/>
  <c r="D877" i="101"/>
  <c r="L876" i="101"/>
  <c r="H876" i="101"/>
  <c r="D876" i="101"/>
  <c r="K869" i="101"/>
  <c r="J869" i="101"/>
  <c r="G869" i="101"/>
  <c r="F869" i="101"/>
  <c r="C869" i="101"/>
  <c r="B869" i="101"/>
  <c r="L867" i="101"/>
  <c r="H867" i="101"/>
  <c r="D867" i="101"/>
  <c r="L866" i="101"/>
  <c r="H866" i="101"/>
  <c r="D866" i="101"/>
  <c r="L865" i="101"/>
  <c r="H865" i="101"/>
  <c r="D865" i="101"/>
  <c r="L864" i="101"/>
  <c r="H864" i="101"/>
  <c r="D864" i="101"/>
  <c r="L863" i="101"/>
  <c r="H863" i="101"/>
  <c r="D863" i="101"/>
  <c r="L862" i="101"/>
  <c r="H862" i="101"/>
  <c r="D862" i="101"/>
  <c r="L861" i="101"/>
  <c r="H861" i="101"/>
  <c r="D861" i="101"/>
  <c r="L860" i="101"/>
  <c r="H860" i="101"/>
  <c r="D860" i="101"/>
  <c r="L859" i="101"/>
  <c r="H859" i="101"/>
  <c r="D859" i="101"/>
  <c r="K852" i="101"/>
  <c r="J852" i="101"/>
  <c r="G852" i="101"/>
  <c r="F852" i="101"/>
  <c r="C852" i="101"/>
  <c r="B852" i="101"/>
  <c r="L850" i="101"/>
  <c r="H850" i="101"/>
  <c r="D850" i="101"/>
  <c r="L849" i="101"/>
  <c r="H849" i="101"/>
  <c r="D849" i="101"/>
  <c r="L848" i="101"/>
  <c r="H848" i="101"/>
  <c r="D848" i="101"/>
  <c r="L847" i="101"/>
  <c r="H847" i="101"/>
  <c r="D847" i="101"/>
  <c r="L846" i="101"/>
  <c r="H846" i="101"/>
  <c r="D846" i="101"/>
  <c r="L845" i="101"/>
  <c r="H845" i="101"/>
  <c r="D845" i="101"/>
  <c r="L844" i="101"/>
  <c r="H844" i="101"/>
  <c r="D844" i="101"/>
  <c r="L843" i="101"/>
  <c r="H843" i="101"/>
  <c r="D843" i="101"/>
  <c r="L842" i="101"/>
  <c r="H842" i="101"/>
  <c r="D842" i="101"/>
  <c r="K835" i="101"/>
  <c r="J835" i="101"/>
  <c r="G835" i="101"/>
  <c r="F835" i="101"/>
  <c r="C835" i="101"/>
  <c r="B835" i="101"/>
  <c r="L833" i="101"/>
  <c r="H833" i="101"/>
  <c r="D833" i="101"/>
  <c r="L832" i="101"/>
  <c r="H832" i="101"/>
  <c r="D832" i="101"/>
  <c r="L831" i="101"/>
  <c r="H831" i="101"/>
  <c r="D831" i="101"/>
  <c r="L830" i="101"/>
  <c r="H830" i="101"/>
  <c r="D830" i="101"/>
  <c r="L829" i="101"/>
  <c r="H829" i="101"/>
  <c r="D829" i="101"/>
  <c r="L828" i="101"/>
  <c r="H828" i="101"/>
  <c r="D828" i="101"/>
  <c r="L827" i="101"/>
  <c r="H827" i="101"/>
  <c r="D827" i="101"/>
  <c r="L826" i="101"/>
  <c r="H826" i="101"/>
  <c r="D826" i="101"/>
  <c r="L825" i="101"/>
  <c r="H825" i="101"/>
  <c r="D825" i="101"/>
  <c r="K818" i="101"/>
  <c r="J818" i="101"/>
  <c r="G818" i="101"/>
  <c r="F818" i="101"/>
  <c r="C818" i="101"/>
  <c r="B818" i="101"/>
  <c r="L816" i="101"/>
  <c r="H816" i="101"/>
  <c r="D816" i="101"/>
  <c r="L815" i="101"/>
  <c r="H815" i="101"/>
  <c r="D815" i="101"/>
  <c r="L814" i="101"/>
  <c r="H814" i="101"/>
  <c r="D814" i="101"/>
  <c r="L813" i="101"/>
  <c r="H813" i="101"/>
  <c r="D813" i="101"/>
  <c r="L812" i="101"/>
  <c r="H812" i="101"/>
  <c r="D812" i="101"/>
  <c r="L811" i="101"/>
  <c r="H811" i="101"/>
  <c r="D811" i="101"/>
  <c r="L810" i="101"/>
  <c r="H810" i="101"/>
  <c r="D810" i="101"/>
  <c r="L809" i="101"/>
  <c r="H809" i="101"/>
  <c r="D809" i="101"/>
  <c r="L808" i="101"/>
  <c r="H808" i="101"/>
  <c r="D808" i="101"/>
  <c r="K801" i="101"/>
  <c r="J801" i="101"/>
  <c r="G801" i="101"/>
  <c r="F801" i="101"/>
  <c r="C801" i="101"/>
  <c r="B801" i="101"/>
  <c r="L799" i="101"/>
  <c r="H799" i="101"/>
  <c r="D799" i="101"/>
  <c r="L798" i="101"/>
  <c r="H798" i="101"/>
  <c r="D798" i="101"/>
  <c r="L797" i="101"/>
  <c r="H797" i="101"/>
  <c r="D797" i="101"/>
  <c r="L796" i="101"/>
  <c r="H796" i="101"/>
  <c r="D796" i="101"/>
  <c r="L795" i="101"/>
  <c r="H795" i="101"/>
  <c r="D795" i="101"/>
  <c r="L794" i="101"/>
  <c r="H794" i="101"/>
  <c r="D794" i="101"/>
  <c r="L793" i="101"/>
  <c r="H793" i="101"/>
  <c r="D793" i="101"/>
  <c r="L792" i="101"/>
  <c r="H792" i="101"/>
  <c r="D792" i="101"/>
  <c r="L791" i="101"/>
  <c r="H791" i="101"/>
  <c r="D791" i="101"/>
  <c r="K784" i="101"/>
  <c r="J784" i="101"/>
  <c r="G784" i="101"/>
  <c r="F784" i="101"/>
  <c r="C784" i="101"/>
  <c r="B784" i="101"/>
  <c r="L782" i="101"/>
  <c r="H782" i="101"/>
  <c r="D782" i="101"/>
  <c r="L781" i="101"/>
  <c r="H781" i="101"/>
  <c r="D781" i="101"/>
  <c r="L780" i="101"/>
  <c r="H780" i="101"/>
  <c r="D780" i="101"/>
  <c r="L779" i="101"/>
  <c r="H779" i="101"/>
  <c r="D779" i="101"/>
  <c r="L778" i="101"/>
  <c r="H778" i="101"/>
  <c r="D778" i="101"/>
  <c r="L777" i="101"/>
  <c r="H777" i="101"/>
  <c r="D777" i="101"/>
  <c r="L776" i="101"/>
  <c r="H776" i="101"/>
  <c r="D776" i="101"/>
  <c r="L775" i="101"/>
  <c r="H775" i="101"/>
  <c r="D775" i="101"/>
  <c r="L774" i="101"/>
  <c r="H774" i="101"/>
  <c r="D774" i="101"/>
  <c r="K767" i="101"/>
  <c r="J767" i="101"/>
  <c r="G767" i="101"/>
  <c r="F767" i="101"/>
  <c r="C767" i="101"/>
  <c r="B767" i="101"/>
  <c r="L765" i="101"/>
  <c r="H765" i="101"/>
  <c r="D765" i="101"/>
  <c r="L764" i="101"/>
  <c r="H764" i="101"/>
  <c r="D764" i="101"/>
  <c r="L763" i="101"/>
  <c r="H763" i="101"/>
  <c r="D763" i="101"/>
  <c r="L762" i="101"/>
  <c r="H762" i="101"/>
  <c r="D762" i="101"/>
  <c r="L761" i="101"/>
  <c r="H761" i="101"/>
  <c r="D761" i="101"/>
  <c r="L760" i="101"/>
  <c r="H760" i="101"/>
  <c r="D760" i="101"/>
  <c r="L759" i="101"/>
  <c r="H759" i="101"/>
  <c r="D759" i="101"/>
  <c r="L758" i="101"/>
  <c r="H758" i="101"/>
  <c r="D758" i="101"/>
  <c r="L757" i="101"/>
  <c r="H757" i="101"/>
  <c r="D757" i="101"/>
  <c r="K750" i="101"/>
  <c r="J750" i="101"/>
  <c r="G750" i="101"/>
  <c r="F750" i="101"/>
  <c r="C750" i="101"/>
  <c r="B750" i="101"/>
  <c r="L748" i="101"/>
  <c r="H748" i="101"/>
  <c r="D748" i="101"/>
  <c r="L747" i="101"/>
  <c r="H747" i="101"/>
  <c r="D747" i="101"/>
  <c r="L746" i="101"/>
  <c r="H746" i="101"/>
  <c r="D746" i="101"/>
  <c r="L745" i="101"/>
  <c r="H745" i="101"/>
  <c r="D745" i="101"/>
  <c r="L744" i="101"/>
  <c r="H744" i="101"/>
  <c r="D744" i="101"/>
  <c r="L743" i="101"/>
  <c r="H743" i="101"/>
  <c r="D743" i="101"/>
  <c r="L742" i="101"/>
  <c r="H742" i="101"/>
  <c r="D742" i="101"/>
  <c r="L741" i="101"/>
  <c r="H741" i="101"/>
  <c r="D741" i="101"/>
  <c r="L740" i="101"/>
  <c r="H740" i="101"/>
  <c r="D740" i="101"/>
  <c r="K733" i="101"/>
  <c r="J733" i="101"/>
  <c r="G733" i="101"/>
  <c r="F733" i="101"/>
  <c r="C733" i="101"/>
  <c r="B733" i="101"/>
  <c r="L731" i="101"/>
  <c r="H731" i="101"/>
  <c r="D731" i="101"/>
  <c r="L730" i="101"/>
  <c r="H730" i="101"/>
  <c r="D730" i="101"/>
  <c r="L729" i="101"/>
  <c r="H729" i="101"/>
  <c r="D729" i="101"/>
  <c r="L728" i="101"/>
  <c r="H728" i="101"/>
  <c r="D728" i="101"/>
  <c r="L727" i="101"/>
  <c r="H727" i="101"/>
  <c r="D727" i="101"/>
  <c r="L726" i="101"/>
  <c r="H726" i="101"/>
  <c r="D726" i="101"/>
  <c r="L725" i="101"/>
  <c r="H725" i="101"/>
  <c r="D725" i="101"/>
  <c r="L724" i="101"/>
  <c r="H724" i="101"/>
  <c r="D724" i="101"/>
  <c r="L723" i="101"/>
  <c r="H723" i="101"/>
  <c r="D723" i="101"/>
  <c r="K716" i="101"/>
  <c r="J716" i="101"/>
  <c r="G716" i="101"/>
  <c r="F716" i="101"/>
  <c r="C716" i="101"/>
  <c r="L714" i="101"/>
  <c r="H714" i="101"/>
  <c r="D714" i="101"/>
  <c r="L713" i="101"/>
  <c r="H713" i="101"/>
  <c r="D713" i="101"/>
  <c r="L712" i="101"/>
  <c r="H712" i="101"/>
  <c r="D712" i="101"/>
  <c r="L711" i="101"/>
  <c r="H711" i="101"/>
  <c r="D711" i="101"/>
  <c r="L710" i="101"/>
  <c r="H710" i="101"/>
  <c r="D710" i="101"/>
  <c r="L709" i="101"/>
  <c r="H709" i="101"/>
  <c r="D709" i="101"/>
  <c r="L708" i="101"/>
  <c r="H708" i="101"/>
  <c r="D708" i="101"/>
  <c r="L707" i="101"/>
  <c r="H707" i="101"/>
  <c r="D707" i="101"/>
  <c r="H706" i="101"/>
  <c r="D706" i="101"/>
  <c r="L68" i="101"/>
  <c r="H68" i="101"/>
  <c r="D68" i="101"/>
  <c r="L67" i="101"/>
  <c r="H67" i="101"/>
  <c r="D67" i="101"/>
  <c r="L66" i="101"/>
  <c r="H66" i="101"/>
  <c r="D66" i="101"/>
  <c r="L65" i="101"/>
  <c r="H65" i="101"/>
  <c r="D65" i="101"/>
  <c r="L64" i="101"/>
  <c r="H64" i="101"/>
  <c r="D64" i="101"/>
  <c r="L63" i="101"/>
  <c r="H63" i="101"/>
  <c r="D63" i="101"/>
  <c r="L62" i="101"/>
  <c r="H62" i="101"/>
  <c r="D62" i="101"/>
  <c r="L61" i="101"/>
  <c r="H61" i="101"/>
  <c r="D61" i="101"/>
  <c r="L60" i="101"/>
  <c r="H60" i="101"/>
  <c r="D60" i="101"/>
  <c r="L51" i="101"/>
  <c r="H51" i="101"/>
  <c r="D51" i="101"/>
  <c r="L50" i="101"/>
  <c r="H50" i="101"/>
  <c r="D50" i="101"/>
  <c r="L49" i="101"/>
  <c r="H49" i="101"/>
  <c r="D49" i="101"/>
  <c r="L48" i="101"/>
  <c r="H48" i="101"/>
  <c r="D48" i="101"/>
  <c r="L47" i="101"/>
  <c r="D47" i="101"/>
  <c r="L46" i="101"/>
  <c r="H46" i="101"/>
  <c r="D46" i="101"/>
  <c r="L45" i="101"/>
  <c r="H45" i="101"/>
  <c r="D45" i="101"/>
  <c r="L44" i="101"/>
  <c r="H44" i="101"/>
  <c r="D44" i="101"/>
  <c r="L43" i="101"/>
  <c r="H43" i="101"/>
  <c r="D43" i="101"/>
  <c r="H26" i="101"/>
  <c r="L34" i="101"/>
  <c r="L33" i="101"/>
  <c r="L32" i="101"/>
  <c r="L31" i="101"/>
  <c r="L30" i="101"/>
  <c r="L29" i="101"/>
  <c r="L28" i="101"/>
  <c r="L27" i="101"/>
  <c r="L26" i="101"/>
  <c r="H34" i="101"/>
  <c r="H33" i="101"/>
  <c r="H32" i="101"/>
  <c r="H31" i="101"/>
  <c r="H30" i="101"/>
  <c r="H29" i="101"/>
  <c r="H28" i="101"/>
  <c r="H27" i="101"/>
  <c r="D34" i="101"/>
  <c r="D33" i="101"/>
  <c r="D32" i="101"/>
  <c r="D31" i="101"/>
  <c r="D30" i="101"/>
  <c r="D29" i="101"/>
  <c r="D28" i="101"/>
  <c r="D27" i="101"/>
  <c r="D26" i="101"/>
  <c r="K17" i="101"/>
  <c r="J17" i="101"/>
  <c r="K16" i="101"/>
  <c r="J16" i="101"/>
  <c r="K15" i="101"/>
  <c r="J15" i="101"/>
  <c r="K14" i="101"/>
  <c r="J14" i="101"/>
  <c r="K13" i="101"/>
  <c r="J13" i="101"/>
  <c r="K12" i="101"/>
  <c r="J12" i="101"/>
  <c r="K11" i="101"/>
  <c r="J11" i="101"/>
  <c r="K10" i="101"/>
  <c r="J10" i="101"/>
  <c r="K9" i="101"/>
  <c r="J9" i="101"/>
  <c r="G17" i="101"/>
  <c r="F17" i="101"/>
  <c r="G16" i="101"/>
  <c r="F16" i="101"/>
  <c r="G15" i="101"/>
  <c r="F15" i="101"/>
  <c r="G14" i="101"/>
  <c r="F14" i="101"/>
  <c r="G13" i="101"/>
  <c r="F13" i="101"/>
  <c r="G12" i="101"/>
  <c r="F12" i="101"/>
  <c r="G11" i="101"/>
  <c r="F11" i="101"/>
  <c r="G10" i="101"/>
  <c r="F10" i="101"/>
  <c r="G9" i="101"/>
  <c r="F9" i="101"/>
  <c r="B10" i="101"/>
  <c r="C10" i="101"/>
  <c r="B11" i="101"/>
  <c r="C11" i="101"/>
  <c r="B12" i="101"/>
  <c r="C12" i="101"/>
  <c r="B13" i="101"/>
  <c r="C13" i="101"/>
  <c r="B14" i="101"/>
  <c r="C14" i="101"/>
  <c r="B15" i="101"/>
  <c r="C15" i="101"/>
  <c r="B16" i="101"/>
  <c r="C16" i="101"/>
  <c r="B17" i="101"/>
  <c r="C17" i="101"/>
  <c r="C9" i="101"/>
  <c r="B19" i="103" l="1"/>
  <c r="E36" i="103"/>
  <c r="J36" i="103"/>
  <c r="O36" i="103"/>
  <c r="L36" i="101"/>
  <c r="D801" i="101"/>
  <c r="D818" i="101"/>
  <c r="L818" i="101"/>
  <c r="D1073" i="101"/>
  <c r="L1107" i="101"/>
  <c r="H1209" i="101"/>
  <c r="D1209" i="101"/>
  <c r="D36" i="101"/>
  <c r="L1243" i="101"/>
  <c r="L971" i="101"/>
  <c r="H937" i="101"/>
  <c r="D937" i="101"/>
  <c r="L716" i="101"/>
  <c r="L852" i="101"/>
  <c r="H1090" i="101"/>
  <c r="L1124" i="101"/>
  <c r="H1226" i="101"/>
  <c r="L733" i="101"/>
  <c r="H835" i="101"/>
  <c r="L869" i="101"/>
  <c r="H971" i="101"/>
  <c r="D971" i="101"/>
  <c r="L1005" i="101"/>
  <c r="H1107" i="101"/>
  <c r="D1107" i="101"/>
  <c r="L1141" i="101"/>
  <c r="H1158" i="101"/>
  <c r="H1243" i="101"/>
  <c r="D1243" i="101"/>
  <c r="L1277" i="101"/>
  <c r="H1294" i="101"/>
  <c r="D53" i="101"/>
  <c r="L750" i="101"/>
  <c r="H767" i="101"/>
  <c r="H852" i="101"/>
  <c r="D852" i="101"/>
  <c r="L886" i="101"/>
  <c r="H988" i="101"/>
  <c r="D988" i="101"/>
  <c r="L1022" i="101"/>
  <c r="H1124" i="101"/>
  <c r="D1124" i="101"/>
  <c r="L1158" i="101"/>
  <c r="H1260" i="101"/>
  <c r="D1260" i="101"/>
  <c r="L1294" i="101"/>
  <c r="H818" i="101"/>
  <c r="L835" i="101"/>
  <c r="H954" i="101"/>
  <c r="D1090" i="101"/>
  <c r="H36" i="101"/>
  <c r="D716" i="101"/>
  <c r="H869" i="101"/>
  <c r="H1005" i="101"/>
  <c r="H1056" i="101"/>
  <c r="D1141" i="101"/>
  <c r="H1277" i="101"/>
  <c r="L53" i="101"/>
  <c r="D70" i="101"/>
  <c r="H750" i="101"/>
  <c r="D750" i="101"/>
  <c r="L784" i="101"/>
  <c r="H801" i="101"/>
  <c r="H886" i="101"/>
  <c r="D886" i="101"/>
  <c r="D954" i="101"/>
  <c r="H1022" i="101"/>
  <c r="D1022" i="101"/>
  <c r="L1056" i="101"/>
  <c r="H1073" i="101"/>
  <c r="D1158" i="101"/>
  <c r="L1192" i="101"/>
  <c r="D1226" i="101"/>
  <c r="D1294" i="101"/>
  <c r="D835" i="101"/>
  <c r="L988" i="101"/>
  <c r="H53" i="101"/>
  <c r="D733" i="101"/>
  <c r="D869" i="101"/>
  <c r="H1141" i="101"/>
  <c r="L1175" i="101"/>
  <c r="H70" i="101"/>
  <c r="D767" i="101"/>
  <c r="L801" i="101"/>
  <c r="H903" i="101"/>
  <c r="D903" i="101"/>
  <c r="D920" i="101"/>
  <c r="L920" i="101"/>
  <c r="L937" i="101"/>
  <c r="H1039" i="101"/>
  <c r="D1039" i="101"/>
  <c r="L1073" i="101"/>
  <c r="H1175" i="101"/>
  <c r="D1175" i="101"/>
  <c r="L1209" i="101"/>
  <c r="L1260" i="101"/>
  <c r="H716" i="101"/>
  <c r="H733" i="101"/>
  <c r="L903" i="101"/>
  <c r="D1005" i="101"/>
  <c r="D1277" i="101"/>
  <c r="L70" i="101"/>
  <c r="L767" i="101"/>
  <c r="H784" i="101"/>
  <c r="D784" i="101"/>
  <c r="H920" i="101"/>
  <c r="L954" i="101"/>
  <c r="L1039" i="101"/>
  <c r="D1056" i="101"/>
  <c r="L1090" i="101"/>
  <c r="H1192" i="101"/>
  <c r="D1192" i="101"/>
  <c r="L1226" i="101"/>
  <c r="J10" i="103"/>
  <c r="O9" i="103"/>
  <c r="O17" i="103"/>
  <c r="J13" i="103"/>
  <c r="O12" i="103"/>
  <c r="E16" i="103"/>
  <c r="E13" i="103"/>
  <c r="E17" i="103"/>
  <c r="E14" i="103"/>
  <c r="D19" i="103"/>
  <c r="I19" i="103"/>
  <c r="J15" i="103"/>
  <c r="O14" i="103"/>
  <c r="L19" i="103"/>
  <c r="E10" i="103"/>
  <c r="J16" i="103"/>
  <c r="E15" i="103"/>
  <c r="J9" i="103"/>
  <c r="J11" i="103"/>
  <c r="J14" i="103"/>
  <c r="J17" i="103"/>
  <c r="N19" i="103"/>
  <c r="O13" i="103"/>
  <c r="O16" i="103"/>
  <c r="E11" i="103"/>
  <c r="M19" i="103"/>
  <c r="E9" i="103"/>
  <c r="O15" i="103"/>
  <c r="E12" i="103"/>
  <c r="J12" i="103"/>
  <c r="O11" i="103"/>
  <c r="H19" i="103"/>
  <c r="C19" i="103"/>
  <c r="O10" i="103"/>
  <c r="G19" i="103"/>
  <c r="H15" i="101"/>
  <c r="L14" i="101"/>
  <c r="H10" i="101"/>
  <c r="H14" i="101"/>
  <c r="L13" i="101"/>
  <c r="L17" i="101"/>
  <c r="D9" i="101"/>
  <c r="H12" i="101"/>
  <c r="H16" i="101"/>
  <c r="L11" i="101"/>
  <c r="L15" i="101"/>
  <c r="D12" i="101"/>
  <c r="D11" i="101"/>
  <c r="D10" i="101"/>
  <c r="D15" i="101"/>
  <c r="D17" i="101"/>
  <c r="D13" i="101"/>
  <c r="G19" i="101"/>
  <c r="J19" i="101"/>
  <c r="D16" i="101"/>
  <c r="K19" i="101"/>
  <c r="H11" i="101"/>
  <c r="L10" i="101"/>
  <c r="B19" i="101"/>
  <c r="D14" i="101"/>
  <c r="C19" i="101"/>
  <c r="H9" i="101"/>
  <c r="H13" i="101"/>
  <c r="H17" i="101"/>
  <c r="L12" i="101"/>
  <c r="L16" i="101"/>
  <c r="L9" i="101"/>
  <c r="F19" i="101"/>
  <c r="E69" i="80"/>
  <c r="B69" i="80"/>
  <c r="E34" i="80"/>
  <c r="B34" i="80"/>
  <c r="J19" i="103" l="1"/>
  <c r="E19" i="103"/>
  <c r="O19" i="103"/>
  <c r="D19" i="101"/>
  <c r="L19" i="101"/>
  <c r="H19" i="101"/>
  <c r="L14" i="51"/>
  <c r="L13" i="51"/>
  <c r="L12" i="51"/>
  <c r="L11" i="51"/>
  <c r="L10" i="51"/>
  <c r="L9" i="51"/>
  <c r="L8" i="51"/>
  <c r="L7" i="51"/>
  <c r="L6" i="51"/>
  <c r="F482" i="104" l="1"/>
  <c r="F481" i="104"/>
  <c r="F477" i="104"/>
  <c r="F476" i="104"/>
  <c r="F472" i="104"/>
  <c r="F471" i="104"/>
  <c r="D482" i="104"/>
  <c r="D481" i="104"/>
  <c r="D477" i="104"/>
  <c r="D476" i="104"/>
  <c r="D472" i="104"/>
  <c r="D471" i="104"/>
  <c r="B482" i="104"/>
  <c r="B481" i="104"/>
  <c r="B477" i="104"/>
  <c r="B476" i="104"/>
  <c r="B472" i="104"/>
  <c r="B471" i="104"/>
  <c r="F461" i="104"/>
  <c r="F460" i="104"/>
  <c r="F456" i="104"/>
  <c r="F455" i="104"/>
  <c r="F451" i="104"/>
  <c r="F450" i="104"/>
  <c r="D461" i="104"/>
  <c r="D460" i="104"/>
  <c r="D456" i="104"/>
  <c r="D455" i="104"/>
  <c r="D451" i="104"/>
  <c r="D450" i="104"/>
  <c r="B461" i="104"/>
  <c r="B460" i="104"/>
  <c r="B456" i="104"/>
  <c r="B455" i="104"/>
  <c r="B451" i="104"/>
  <c r="B450" i="104"/>
  <c r="F440" i="104"/>
  <c r="F439" i="104"/>
  <c r="F435" i="104"/>
  <c r="F434" i="104"/>
  <c r="F430" i="104"/>
  <c r="F429" i="104"/>
  <c r="D440" i="104"/>
  <c r="D439" i="104"/>
  <c r="D435" i="104"/>
  <c r="D434" i="104"/>
  <c r="D430" i="104"/>
  <c r="D429" i="104"/>
  <c r="B440" i="104"/>
  <c r="B439" i="104"/>
  <c r="B435" i="104"/>
  <c r="B434" i="104"/>
  <c r="B430" i="104"/>
  <c r="B429" i="104"/>
  <c r="F419" i="104"/>
  <c r="F418" i="104"/>
  <c r="F414" i="104"/>
  <c r="F413" i="104"/>
  <c r="F409" i="104"/>
  <c r="F408" i="104"/>
  <c r="D419" i="104"/>
  <c r="D418" i="104"/>
  <c r="D414" i="104"/>
  <c r="D413" i="104"/>
  <c r="D409" i="104"/>
  <c r="D408" i="104"/>
  <c r="B419" i="104"/>
  <c r="B418" i="104"/>
  <c r="B414" i="104"/>
  <c r="B413" i="104"/>
  <c r="B409" i="104"/>
  <c r="B408" i="104"/>
  <c r="F398" i="104"/>
  <c r="F397" i="104"/>
  <c r="F393" i="104"/>
  <c r="F392" i="104"/>
  <c r="F388" i="104"/>
  <c r="F387" i="104"/>
  <c r="D398" i="104"/>
  <c r="D397" i="104"/>
  <c r="D393" i="104"/>
  <c r="D392" i="104"/>
  <c r="D388" i="104"/>
  <c r="D387" i="104"/>
  <c r="B398" i="104"/>
  <c r="B397" i="104"/>
  <c r="B393" i="104"/>
  <c r="B392" i="104"/>
  <c r="B388" i="104"/>
  <c r="B387" i="104"/>
  <c r="F377" i="104"/>
  <c r="F376" i="104"/>
  <c r="F372" i="104"/>
  <c r="F371" i="104"/>
  <c r="F367" i="104"/>
  <c r="F366" i="104"/>
  <c r="D377" i="104"/>
  <c r="D376" i="104"/>
  <c r="D372" i="104"/>
  <c r="D371" i="104"/>
  <c r="D367" i="104"/>
  <c r="D366" i="104"/>
  <c r="B377" i="104"/>
  <c r="B376" i="104"/>
  <c r="B372" i="104"/>
  <c r="B371" i="104"/>
  <c r="B367" i="104"/>
  <c r="B366" i="104"/>
  <c r="F356" i="104"/>
  <c r="F355" i="104"/>
  <c r="F351" i="104"/>
  <c r="F350" i="104"/>
  <c r="F346" i="104"/>
  <c r="F345" i="104"/>
  <c r="D356" i="104"/>
  <c r="D355" i="104"/>
  <c r="D351" i="104"/>
  <c r="D350" i="104"/>
  <c r="D346" i="104"/>
  <c r="D345" i="104"/>
  <c r="B356" i="104"/>
  <c r="B355" i="104"/>
  <c r="B351" i="104"/>
  <c r="B350" i="104"/>
  <c r="B346" i="104"/>
  <c r="B345" i="104"/>
  <c r="F335" i="104"/>
  <c r="F334" i="104"/>
  <c r="F325" i="104"/>
  <c r="F324" i="104"/>
  <c r="D335" i="104"/>
  <c r="D334" i="104"/>
  <c r="D325" i="104"/>
  <c r="D324" i="104"/>
  <c r="B335" i="104"/>
  <c r="B334" i="104"/>
  <c r="B325" i="104"/>
  <c r="B324" i="104"/>
  <c r="F314" i="104"/>
  <c r="F313" i="104"/>
  <c r="F309" i="104"/>
  <c r="F308" i="104"/>
  <c r="F304" i="104"/>
  <c r="F303" i="104"/>
  <c r="D314" i="104"/>
  <c r="D313" i="104"/>
  <c r="D309" i="104"/>
  <c r="D308" i="104"/>
  <c r="D304" i="104"/>
  <c r="D303" i="104"/>
  <c r="B314" i="104"/>
  <c r="B309" i="104"/>
  <c r="B308" i="104"/>
  <c r="B304" i="104"/>
  <c r="B303" i="104"/>
  <c r="F293" i="104"/>
  <c r="F292" i="104"/>
  <c r="F288" i="104"/>
  <c r="F287" i="104"/>
  <c r="F283" i="104"/>
  <c r="F282" i="104"/>
  <c r="D293" i="104"/>
  <c r="D292" i="104"/>
  <c r="D288" i="104"/>
  <c r="D287" i="104"/>
  <c r="D283" i="104"/>
  <c r="D282" i="104"/>
  <c r="B293" i="104"/>
  <c r="B292" i="104"/>
  <c r="B288" i="104"/>
  <c r="B287" i="104"/>
  <c r="B283" i="104"/>
  <c r="B282" i="104"/>
  <c r="F272" i="104"/>
  <c r="F271" i="104"/>
  <c r="F267" i="104"/>
  <c r="F266" i="104"/>
  <c r="F262" i="104"/>
  <c r="F261" i="104"/>
  <c r="D272" i="104"/>
  <c r="D271" i="104"/>
  <c r="D267" i="104"/>
  <c r="D266" i="104"/>
  <c r="D262" i="104"/>
  <c r="D261" i="104"/>
  <c r="B272" i="104"/>
  <c r="B271" i="104"/>
  <c r="B267" i="104"/>
  <c r="B266" i="104"/>
  <c r="B262" i="104"/>
  <c r="B261" i="104"/>
  <c r="F251" i="104"/>
  <c r="F250" i="104"/>
  <c r="F246" i="104"/>
  <c r="F245" i="104"/>
  <c r="F241" i="104"/>
  <c r="F240" i="104"/>
  <c r="D251" i="104"/>
  <c r="D250" i="104"/>
  <c r="D246" i="104"/>
  <c r="D245" i="104"/>
  <c r="D241" i="104"/>
  <c r="D240" i="104"/>
  <c r="B251" i="104"/>
  <c r="B250" i="104"/>
  <c r="B246" i="104"/>
  <c r="B245" i="104"/>
  <c r="B241" i="104"/>
  <c r="B240" i="104"/>
  <c r="F230" i="104"/>
  <c r="F229" i="104"/>
  <c r="F225" i="104"/>
  <c r="F224" i="104"/>
  <c r="F220" i="104"/>
  <c r="F219" i="104"/>
  <c r="D230" i="104"/>
  <c r="D229" i="104"/>
  <c r="D225" i="104"/>
  <c r="D224" i="104"/>
  <c r="D220" i="104"/>
  <c r="D219" i="104"/>
  <c r="B230" i="104"/>
  <c r="B229" i="104"/>
  <c r="B225" i="104"/>
  <c r="B224" i="104"/>
  <c r="B220" i="104"/>
  <c r="B219" i="104"/>
  <c r="F209" i="104"/>
  <c r="F208" i="104"/>
  <c r="F204" i="104"/>
  <c r="F203" i="104"/>
  <c r="F199" i="104"/>
  <c r="F198" i="104"/>
  <c r="D209" i="104"/>
  <c r="D208" i="104"/>
  <c r="D204" i="104"/>
  <c r="D203" i="104"/>
  <c r="D199" i="104"/>
  <c r="D198" i="104"/>
  <c r="B209" i="104"/>
  <c r="B208" i="104"/>
  <c r="B204" i="104"/>
  <c r="B203" i="104"/>
  <c r="B199" i="104"/>
  <c r="B198" i="104"/>
  <c r="F188" i="104"/>
  <c r="F187" i="104"/>
  <c r="F183" i="104"/>
  <c r="F182" i="104"/>
  <c r="F178" i="104"/>
  <c r="F177" i="104"/>
  <c r="D188" i="104"/>
  <c r="D187" i="104"/>
  <c r="D183" i="104"/>
  <c r="D182" i="104"/>
  <c r="D178" i="104"/>
  <c r="D177" i="104"/>
  <c r="B188" i="104"/>
  <c r="B187" i="104"/>
  <c r="B183" i="104"/>
  <c r="B182" i="104"/>
  <c r="B178" i="104"/>
  <c r="B177" i="104"/>
  <c r="F166" i="104"/>
  <c r="F167" i="104"/>
  <c r="F162" i="104"/>
  <c r="F161" i="104"/>
  <c r="F157" i="104"/>
  <c r="F156" i="104"/>
  <c r="D167" i="104"/>
  <c r="D166" i="104"/>
  <c r="D162" i="104"/>
  <c r="D161" i="104"/>
  <c r="D157" i="104"/>
  <c r="D156" i="104"/>
  <c r="B167" i="104"/>
  <c r="B166" i="104"/>
  <c r="B162" i="104"/>
  <c r="B161" i="104"/>
  <c r="B157" i="104"/>
  <c r="B156" i="104"/>
  <c r="F146" i="104"/>
  <c r="F145" i="104"/>
  <c r="F141" i="104"/>
  <c r="F140" i="104"/>
  <c r="F136" i="104"/>
  <c r="F135" i="104"/>
  <c r="D146" i="104"/>
  <c r="D145" i="104"/>
  <c r="D141" i="104"/>
  <c r="D140" i="104"/>
  <c r="D136" i="104"/>
  <c r="D135" i="104"/>
  <c r="B146" i="104"/>
  <c r="B145" i="104"/>
  <c r="B141" i="104"/>
  <c r="B140" i="104"/>
  <c r="B136" i="104"/>
  <c r="B135" i="104"/>
  <c r="F125" i="104"/>
  <c r="F124" i="104"/>
  <c r="F120" i="104"/>
  <c r="F119" i="104"/>
  <c r="F115" i="104"/>
  <c r="F114" i="104"/>
  <c r="D125" i="104"/>
  <c r="D124" i="104"/>
  <c r="D120" i="104"/>
  <c r="D119" i="104"/>
  <c r="D115" i="104"/>
  <c r="D114" i="104"/>
  <c r="B125" i="104"/>
  <c r="B124" i="104"/>
  <c r="B120" i="104"/>
  <c r="B119" i="104"/>
  <c r="B115" i="104"/>
  <c r="B114" i="104"/>
  <c r="D56" i="104"/>
  <c r="D51" i="104"/>
  <c r="F315" i="104" l="1"/>
  <c r="F126" i="104"/>
  <c r="H124" i="104"/>
  <c r="F168" i="104"/>
  <c r="H335" i="104"/>
  <c r="H145" i="104"/>
  <c r="F104" i="104"/>
  <c r="F103" i="104"/>
  <c r="F99" i="104"/>
  <c r="F98" i="104"/>
  <c r="F94" i="104"/>
  <c r="F93" i="104"/>
  <c r="D104" i="104"/>
  <c r="D103" i="104"/>
  <c r="D99" i="104"/>
  <c r="D98" i="104"/>
  <c r="D94" i="104"/>
  <c r="D93" i="104"/>
  <c r="B104" i="104"/>
  <c r="B103" i="104"/>
  <c r="B99" i="104"/>
  <c r="B98" i="104"/>
  <c r="B94" i="104"/>
  <c r="B93" i="104"/>
  <c r="F83" i="104"/>
  <c r="F82" i="104"/>
  <c r="F78" i="104"/>
  <c r="F77" i="104"/>
  <c r="F73" i="104"/>
  <c r="F72" i="104"/>
  <c r="D83" i="104"/>
  <c r="D82" i="104"/>
  <c r="D78" i="104"/>
  <c r="D77" i="104"/>
  <c r="D73" i="104"/>
  <c r="D72" i="104"/>
  <c r="B83" i="104"/>
  <c r="B82" i="104"/>
  <c r="B78" i="104"/>
  <c r="B77" i="104"/>
  <c r="F62" i="104"/>
  <c r="F61" i="104"/>
  <c r="F57" i="104"/>
  <c r="F56" i="104"/>
  <c r="F52" i="104"/>
  <c r="F51" i="104"/>
  <c r="D62" i="104"/>
  <c r="D61" i="104"/>
  <c r="L61" i="104" s="1"/>
  <c r="D57" i="104"/>
  <c r="D52" i="104"/>
  <c r="D53" i="104" s="1"/>
  <c r="B52" i="104"/>
  <c r="B51" i="104"/>
  <c r="B73" i="104"/>
  <c r="B72" i="104"/>
  <c r="B62" i="104"/>
  <c r="B61" i="104"/>
  <c r="B57" i="104"/>
  <c r="B56" i="104"/>
  <c r="H482" i="104"/>
  <c r="H481" i="104"/>
  <c r="H477" i="104"/>
  <c r="H476" i="104"/>
  <c r="H472" i="104"/>
  <c r="H471" i="104"/>
  <c r="H461" i="104"/>
  <c r="H460" i="104"/>
  <c r="H456" i="104"/>
  <c r="H455" i="104"/>
  <c r="H451" i="104"/>
  <c r="H450" i="104"/>
  <c r="H440" i="104"/>
  <c r="H439" i="104"/>
  <c r="H435" i="104"/>
  <c r="H434" i="104"/>
  <c r="H430" i="104"/>
  <c r="H429" i="104"/>
  <c r="H419" i="104"/>
  <c r="H418" i="104"/>
  <c r="H414" i="104"/>
  <c r="H413" i="104"/>
  <c r="H409" i="104"/>
  <c r="H408" i="104"/>
  <c r="H398" i="104"/>
  <c r="H397" i="104"/>
  <c r="H393" i="104"/>
  <c r="H392" i="104"/>
  <c r="H388" i="104"/>
  <c r="H387" i="104"/>
  <c r="H377" i="104"/>
  <c r="H376" i="104"/>
  <c r="H372" i="104"/>
  <c r="H371" i="104"/>
  <c r="H367" i="104"/>
  <c r="H366" i="104"/>
  <c r="H356" i="104"/>
  <c r="H355" i="104"/>
  <c r="H351" i="104"/>
  <c r="H350" i="104"/>
  <c r="H346" i="104"/>
  <c r="H345" i="104"/>
  <c r="H334" i="104"/>
  <c r="H330" i="104"/>
  <c r="H329" i="104"/>
  <c r="H325" i="104"/>
  <c r="H324" i="104"/>
  <c r="H314" i="104"/>
  <c r="H313" i="104"/>
  <c r="H309" i="104"/>
  <c r="H308" i="104"/>
  <c r="H304" i="104"/>
  <c r="H303" i="104"/>
  <c r="H293" i="104"/>
  <c r="H292" i="104"/>
  <c r="H288" i="104"/>
  <c r="H287" i="104"/>
  <c r="H283" i="104"/>
  <c r="H282" i="104"/>
  <c r="H272" i="104"/>
  <c r="H271" i="104"/>
  <c r="H267" i="104"/>
  <c r="H266" i="104"/>
  <c r="H262" i="104"/>
  <c r="H261" i="104"/>
  <c r="H251" i="104"/>
  <c r="H250" i="104"/>
  <c r="H246" i="104"/>
  <c r="H245" i="104"/>
  <c r="H241" i="104"/>
  <c r="H240" i="104"/>
  <c r="H230" i="104"/>
  <c r="H229" i="104"/>
  <c r="H225" i="104"/>
  <c r="H224" i="104"/>
  <c r="H220" i="104"/>
  <c r="H219" i="104"/>
  <c r="H209" i="104"/>
  <c r="H208" i="104"/>
  <c r="H204" i="104"/>
  <c r="H203" i="104"/>
  <c r="H199" i="104"/>
  <c r="H198" i="104"/>
  <c r="H188" i="104"/>
  <c r="H187" i="104"/>
  <c r="H183" i="104"/>
  <c r="H182" i="104"/>
  <c r="H178" i="104"/>
  <c r="H177" i="104"/>
  <c r="H167" i="104"/>
  <c r="H166" i="104"/>
  <c r="H162" i="104"/>
  <c r="H161" i="104"/>
  <c r="H157" i="104"/>
  <c r="H156" i="104"/>
  <c r="H146" i="104"/>
  <c r="H141" i="104"/>
  <c r="H140" i="104"/>
  <c r="H136" i="104"/>
  <c r="H135" i="104"/>
  <c r="H125" i="104"/>
  <c r="H120" i="104"/>
  <c r="H119" i="104"/>
  <c r="H115" i="104"/>
  <c r="H114" i="104"/>
  <c r="F483" i="104"/>
  <c r="F473" i="104"/>
  <c r="F462" i="104"/>
  <c r="M456" i="104"/>
  <c r="M450" i="104"/>
  <c r="M461" i="104"/>
  <c r="F441" i="104"/>
  <c r="M434" i="104"/>
  <c r="F431" i="104"/>
  <c r="F420" i="104"/>
  <c r="F415" i="104"/>
  <c r="M408" i="104"/>
  <c r="F399" i="104"/>
  <c r="M398" i="104"/>
  <c r="F378" i="104"/>
  <c r="F373" i="104"/>
  <c r="M367" i="104"/>
  <c r="F357" i="104"/>
  <c r="M346" i="104"/>
  <c r="F336" i="104"/>
  <c r="M329" i="104"/>
  <c r="M304" i="104"/>
  <c r="F305" i="104"/>
  <c r="F294" i="104"/>
  <c r="M283" i="104"/>
  <c r="M287" i="104"/>
  <c r="F284" i="104"/>
  <c r="M272" i="104"/>
  <c r="F273" i="104"/>
  <c r="M261" i="104"/>
  <c r="F252" i="104"/>
  <c r="M241" i="104"/>
  <c r="M240" i="104"/>
  <c r="M251" i="104"/>
  <c r="F231" i="104"/>
  <c r="M225" i="104"/>
  <c r="M224" i="104"/>
  <c r="F221" i="104"/>
  <c r="F210" i="104"/>
  <c r="F200" i="104"/>
  <c r="F189" i="104"/>
  <c r="M178" i="104"/>
  <c r="M182" i="104"/>
  <c r="M188" i="104"/>
  <c r="M162" i="104"/>
  <c r="M161" i="104"/>
  <c r="M146" i="104"/>
  <c r="F147" i="104"/>
  <c r="M141" i="104"/>
  <c r="F137" i="104"/>
  <c r="M120" i="104"/>
  <c r="M114" i="104"/>
  <c r="M125" i="104"/>
  <c r="D483" i="104"/>
  <c r="L471" i="104"/>
  <c r="D473" i="104"/>
  <c r="D462" i="104"/>
  <c r="L450" i="104"/>
  <c r="D452" i="104"/>
  <c r="D441" i="104"/>
  <c r="D436" i="104"/>
  <c r="L440" i="104"/>
  <c r="D420" i="104"/>
  <c r="D410" i="104"/>
  <c r="D389" i="104"/>
  <c r="D378" i="104"/>
  <c r="L372" i="104"/>
  <c r="L371" i="104"/>
  <c r="D368" i="104"/>
  <c r="D357" i="104"/>
  <c r="L345" i="104"/>
  <c r="D347" i="104"/>
  <c r="D336" i="104"/>
  <c r="L324" i="104"/>
  <c r="L325" i="104"/>
  <c r="D315" i="104"/>
  <c r="L303" i="104"/>
  <c r="L314" i="104"/>
  <c r="D294" i="104"/>
  <c r="L287" i="104"/>
  <c r="D284" i="104"/>
  <c r="L292" i="104"/>
  <c r="D268" i="104"/>
  <c r="D263" i="104"/>
  <c r="D252" i="104"/>
  <c r="L241" i="104"/>
  <c r="D231" i="104"/>
  <c r="L225" i="104"/>
  <c r="L224" i="104"/>
  <c r="L230" i="104"/>
  <c r="D210" i="104"/>
  <c r="L203" i="104"/>
  <c r="L199" i="104"/>
  <c r="D189" i="104"/>
  <c r="L177" i="104"/>
  <c r="D168" i="104"/>
  <c r="L162" i="104"/>
  <c r="D163" i="104"/>
  <c r="D158" i="104"/>
  <c r="L146" i="104"/>
  <c r="D147" i="104"/>
  <c r="L136" i="104"/>
  <c r="D137" i="104"/>
  <c r="D126" i="104"/>
  <c r="L114" i="104"/>
  <c r="B483" i="104"/>
  <c r="K472" i="104"/>
  <c r="B462" i="104"/>
  <c r="K451" i="104"/>
  <c r="K455" i="104"/>
  <c r="B441" i="104"/>
  <c r="K435" i="104"/>
  <c r="B436" i="104"/>
  <c r="B420" i="104"/>
  <c r="B410" i="104"/>
  <c r="B399" i="104"/>
  <c r="K393" i="104"/>
  <c r="K392" i="104"/>
  <c r="B378" i="104"/>
  <c r="K366" i="104"/>
  <c r="K351" i="104"/>
  <c r="B357" i="104"/>
  <c r="B347" i="104"/>
  <c r="B336" i="104"/>
  <c r="K325" i="104"/>
  <c r="B326" i="104"/>
  <c r="B315" i="104"/>
  <c r="K303" i="104"/>
  <c r="B294" i="104"/>
  <c r="K282" i="104"/>
  <c r="K293" i="104"/>
  <c r="K272" i="104"/>
  <c r="B273" i="104"/>
  <c r="K262" i="104"/>
  <c r="K266" i="104"/>
  <c r="B263" i="104"/>
  <c r="K251" i="104"/>
  <c r="B252" i="104"/>
  <c r="K246" i="104"/>
  <c r="B242" i="104"/>
  <c r="B231" i="104"/>
  <c r="K220" i="104"/>
  <c r="K224" i="104"/>
  <c r="B221" i="104"/>
  <c r="B210" i="104"/>
  <c r="K198" i="104"/>
  <c r="B200" i="104"/>
  <c r="B189" i="104"/>
  <c r="B184" i="104"/>
  <c r="B168" i="104"/>
  <c r="K161" i="104"/>
  <c r="K157" i="104"/>
  <c r="B147" i="104"/>
  <c r="K136" i="104"/>
  <c r="B142" i="104"/>
  <c r="B137" i="104"/>
  <c r="B126" i="104"/>
  <c r="K115" i="104"/>
  <c r="B116" i="104"/>
  <c r="F36" i="104"/>
  <c r="F35" i="104"/>
  <c r="D36" i="104"/>
  <c r="D35" i="104"/>
  <c r="B36" i="104"/>
  <c r="Y546" i="102"/>
  <c r="T546" i="102"/>
  <c r="O546" i="102"/>
  <c r="J546" i="102"/>
  <c r="E546" i="102"/>
  <c r="V545" i="102"/>
  <c r="Q545" i="102"/>
  <c r="L545" i="102"/>
  <c r="G545" i="102"/>
  <c r="B545" i="102"/>
  <c r="Y516" i="102"/>
  <c r="T516" i="102"/>
  <c r="O516" i="102"/>
  <c r="J516" i="102"/>
  <c r="E516" i="102"/>
  <c r="V515" i="102"/>
  <c r="Q515" i="102"/>
  <c r="L515" i="102"/>
  <c r="G515" i="102"/>
  <c r="B515" i="102"/>
  <c r="Y491" i="102"/>
  <c r="T491" i="102"/>
  <c r="O491" i="102"/>
  <c r="J491" i="102"/>
  <c r="E491" i="102"/>
  <c r="V490" i="102"/>
  <c r="Q490" i="102"/>
  <c r="L490" i="102"/>
  <c r="G490" i="102"/>
  <c r="B490" i="102"/>
  <c r="Y481" i="102"/>
  <c r="T481" i="102"/>
  <c r="O481" i="102"/>
  <c r="J481" i="102"/>
  <c r="E481" i="102"/>
  <c r="V480" i="102"/>
  <c r="Q480" i="102"/>
  <c r="L480" i="102"/>
  <c r="G480" i="102"/>
  <c r="B480" i="102"/>
  <c r="Y471" i="102"/>
  <c r="T471" i="102"/>
  <c r="O471" i="102"/>
  <c r="J471" i="102"/>
  <c r="E471" i="102"/>
  <c r="V470" i="102"/>
  <c r="Q470" i="102"/>
  <c r="L470" i="102"/>
  <c r="G470" i="102"/>
  <c r="B470" i="102"/>
  <c r="Y431" i="102"/>
  <c r="T431" i="102"/>
  <c r="O431" i="102"/>
  <c r="J431" i="102"/>
  <c r="E431" i="102"/>
  <c r="V430" i="102"/>
  <c r="Q430" i="102"/>
  <c r="L430" i="102"/>
  <c r="G430" i="102"/>
  <c r="B430" i="102"/>
  <c r="Y386" i="102"/>
  <c r="T386" i="102"/>
  <c r="O386" i="102"/>
  <c r="J386" i="102"/>
  <c r="E386" i="102"/>
  <c r="V385" i="102"/>
  <c r="Q385" i="102"/>
  <c r="L385" i="102"/>
  <c r="G385" i="102"/>
  <c r="B385" i="102"/>
  <c r="Y376" i="102"/>
  <c r="T376" i="102"/>
  <c r="O376" i="102"/>
  <c r="J376" i="102"/>
  <c r="E376" i="102"/>
  <c r="V375" i="102"/>
  <c r="Q375" i="102"/>
  <c r="L375" i="102"/>
  <c r="G375" i="102"/>
  <c r="B375" i="102"/>
  <c r="Y351" i="102"/>
  <c r="T351" i="102"/>
  <c r="O351" i="102"/>
  <c r="J351" i="102"/>
  <c r="E351" i="102"/>
  <c r="V350" i="102"/>
  <c r="Q350" i="102"/>
  <c r="L350" i="102"/>
  <c r="G350" i="102"/>
  <c r="B350" i="102"/>
  <c r="Y326" i="102"/>
  <c r="T326" i="102"/>
  <c r="O326" i="102"/>
  <c r="J326" i="102"/>
  <c r="E326" i="102"/>
  <c r="V325" i="102"/>
  <c r="Q325" i="102"/>
  <c r="L325" i="102"/>
  <c r="G325" i="102"/>
  <c r="B325" i="102"/>
  <c r="Y301" i="102"/>
  <c r="T301" i="102"/>
  <c r="O301" i="102"/>
  <c r="J301" i="102"/>
  <c r="E301" i="102"/>
  <c r="V300" i="102"/>
  <c r="Q300" i="102"/>
  <c r="L300" i="102"/>
  <c r="G300" i="102"/>
  <c r="B300" i="102"/>
  <c r="Y281" i="102"/>
  <c r="T281" i="102"/>
  <c r="O281" i="102"/>
  <c r="J281" i="102"/>
  <c r="E281" i="102"/>
  <c r="V280" i="102"/>
  <c r="Q280" i="102"/>
  <c r="L280" i="102"/>
  <c r="G280" i="102"/>
  <c r="B280" i="102"/>
  <c r="Y246" i="102"/>
  <c r="T246" i="102"/>
  <c r="O246" i="102"/>
  <c r="J246" i="102"/>
  <c r="E246" i="102"/>
  <c r="V245" i="102"/>
  <c r="Q245" i="102"/>
  <c r="L245" i="102"/>
  <c r="G245" i="102"/>
  <c r="B245" i="102"/>
  <c r="Y221" i="102"/>
  <c r="T221" i="102"/>
  <c r="O221" i="102"/>
  <c r="J221" i="102"/>
  <c r="E221" i="102"/>
  <c r="V220" i="102"/>
  <c r="Q220" i="102"/>
  <c r="L220" i="102"/>
  <c r="G220" i="102"/>
  <c r="B220" i="102"/>
  <c r="Y196" i="102"/>
  <c r="T196" i="102"/>
  <c r="O196" i="102"/>
  <c r="J196" i="102"/>
  <c r="E196" i="102"/>
  <c r="V195" i="102"/>
  <c r="Q195" i="102"/>
  <c r="L195" i="102"/>
  <c r="G195" i="102"/>
  <c r="B195" i="102"/>
  <c r="Y171" i="102"/>
  <c r="T171" i="102"/>
  <c r="O171" i="102"/>
  <c r="J171" i="102"/>
  <c r="E171" i="102"/>
  <c r="V170" i="102"/>
  <c r="Q170" i="102"/>
  <c r="L170" i="102"/>
  <c r="G170" i="102"/>
  <c r="B170" i="102"/>
  <c r="Y161" i="102"/>
  <c r="T161" i="102"/>
  <c r="O161" i="102"/>
  <c r="J161" i="102"/>
  <c r="E161" i="102"/>
  <c r="V160" i="102"/>
  <c r="Q160" i="102"/>
  <c r="L160" i="102"/>
  <c r="G160" i="102"/>
  <c r="B160" i="102"/>
  <c r="Y71" i="102"/>
  <c r="T71" i="102"/>
  <c r="O71" i="102"/>
  <c r="J71" i="102"/>
  <c r="E71" i="102"/>
  <c r="V70" i="102"/>
  <c r="Q70" i="102"/>
  <c r="L70" i="102"/>
  <c r="G70" i="102"/>
  <c r="B70" i="102"/>
  <c r="Y46" i="102"/>
  <c r="T46" i="102"/>
  <c r="O46" i="102"/>
  <c r="J46" i="102"/>
  <c r="E46" i="102"/>
  <c r="V45" i="102"/>
  <c r="Q45" i="102"/>
  <c r="L45" i="102"/>
  <c r="G45" i="102"/>
  <c r="B45" i="102"/>
  <c r="Y26" i="102"/>
  <c r="T26" i="102"/>
  <c r="O26" i="102"/>
  <c r="J26" i="102"/>
  <c r="E26" i="102"/>
  <c r="V25" i="102"/>
  <c r="Q25" i="102"/>
  <c r="L25" i="102"/>
  <c r="G25" i="102"/>
  <c r="B25" i="102"/>
  <c r="Q15" i="102"/>
  <c r="T16" i="102"/>
  <c r="S6" i="102"/>
  <c r="R6" i="102"/>
  <c r="Q6" i="102"/>
  <c r="G15" i="102"/>
  <c r="J16" i="102"/>
  <c r="I6" i="102"/>
  <c r="H6" i="102"/>
  <c r="G6" i="102"/>
  <c r="F41" i="104"/>
  <c r="F40" i="104"/>
  <c r="D41" i="104"/>
  <c r="D40" i="104"/>
  <c r="B41" i="104"/>
  <c r="B40" i="104"/>
  <c r="F68" i="104"/>
  <c r="F89" i="104"/>
  <c r="F110" i="104"/>
  <c r="F131" i="104"/>
  <c r="F152" i="104"/>
  <c r="F173" i="104"/>
  <c r="F194" i="104"/>
  <c r="F215" i="104"/>
  <c r="F236" i="104"/>
  <c r="F257" i="104"/>
  <c r="F278" i="104"/>
  <c r="F299" i="104"/>
  <c r="F320" i="104"/>
  <c r="F341" i="104"/>
  <c r="F362" i="104"/>
  <c r="F383" i="104"/>
  <c r="F404" i="104"/>
  <c r="F425" i="104"/>
  <c r="F446" i="104"/>
  <c r="F467" i="104"/>
  <c r="F47" i="104"/>
  <c r="F26" i="104"/>
  <c r="F5" i="104"/>
  <c r="F31" i="104"/>
  <c r="F30" i="104"/>
  <c r="D31" i="104"/>
  <c r="D30" i="104"/>
  <c r="B31" i="104"/>
  <c r="M482" i="104"/>
  <c r="L482" i="104"/>
  <c r="M481" i="104"/>
  <c r="L481" i="104"/>
  <c r="K481" i="104"/>
  <c r="M477" i="104"/>
  <c r="L477" i="104"/>
  <c r="K477" i="104"/>
  <c r="L472" i="104"/>
  <c r="M471" i="104"/>
  <c r="K471" i="104"/>
  <c r="L461" i="104"/>
  <c r="M460" i="104"/>
  <c r="L460" i="104"/>
  <c r="K460" i="104"/>
  <c r="L456" i="104"/>
  <c r="K456" i="104"/>
  <c r="M451" i="104"/>
  <c r="L451" i="104"/>
  <c r="M440" i="104"/>
  <c r="K440" i="104"/>
  <c r="M439" i="104"/>
  <c r="L439" i="104"/>
  <c r="K439" i="104"/>
  <c r="M435" i="104"/>
  <c r="L435" i="104"/>
  <c r="L434" i="104"/>
  <c r="K434" i="104"/>
  <c r="M430" i="104"/>
  <c r="M429" i="104"/>
  <c r="L429" i="104"/>
  <c r="K429" i="104"/>
  <c r="K419" i="104"/>
  <c r="M418" i="104"/>
  <c r="L418" i="104"/>
  <c r="K418" i="104"/>
  <c r="M414" i="104"/>
  <c r="L414" i="104"/>
  <c r="K414" i="104"/>
  <c r="M413" i="104"/>
  <c r="L413" i="104"/>
  <c r="M409" i="104"/>
  <c r="L408" i="104"/>
  <c r="K408" i="104"/>
  <c r="L398" i="104"/>
  <c r="M397" i="104"/>
  <c r="L397" i="104"/>
  <c r="K397" i="104"/>
  <c r="M393" i="104"/>
  <c r="M392" i="104"/>
  <c r="L392" i="104"/>
  <c r="K387" i="104"/>
  <c r="L377" i="104"/>
  <c r="M376" i="104"/>
  <c r="L376" i="104"/>
  <c r="K376" i="104"/>
  <c r="K372" i="104"/>
  <c r="K371" i="104"/>
  <c r="M366" i="104"/>
  <c r="L356" i="104"/>
  <c r="M355" i="104"/>
  <c r="K355" i="104"/>
  <c r="L351" i="104"/>
  <c r="K350" i="104"/>
  <c r="L346" i="104"/>
  <c r="K345" i="104"/>
  <c r="K335" i="104"/>
  <c r="M334" i="104"/>
  <c r="L334" i="104"/>
  <c r="K334" i="104"/>
  <c r="M330" i="104"/>
  <c r="L330" i="104"/>
  <c r="K330" i="104"/>
  <c r="M314" i="104"/>
  <c r="M313" i="104"/>
  <c r="K313" i="104"/>
  <c r="L309" i="104"/>
  <c r="K309" i="104"/>
  <c r="M308" i="104"/>
  <c r="K308" i="104"/>
  <c r="L304" i="104"/>
  <c r="K304" i="104"/>
  <c r="M293" i="104"/>
  <c r="L293" i="104"/>
  <c r="M292" i="104"/>
  <c r="L288" i="104"/>
  <c r="K287" i="104"/>
  <c r="L283" i="104"/>
  <c r="M271" i="104"/>
  <c r="K271" i="104"/>
  <c r="M267" i="104"/>
  <c r="K267" i="104"/>
  <c r="M266" i="104"/>
  <c r="L262" i="104"/>
  <c r="M250" i="104"/>
  <c r="L250" i="104"/>
  <c r="K250" i="104"/>
  <c r="L245" i="104"/>
  <c r="K245" i="104"/>
  <c r="K241" i="104"/>
  <c r="L240" i="104"/>
  <c r="K240" i="104"/>
  <c r="M230" i="104"/>
  <c r="M229" i="104"/>
  <c r="L229" i="104"/>
  <c r="K229" i="104"/>
  <c r="K225" i="104"/>
  <c r="M220" i="104"/>
  <c r="K209" i="104"/>
  <c r="M208" i="104"/>
  <c r="L208" i="104"/>
  <c r="K208" i="104"/>
  <c r="L204" i="104"/>
  <c r="K204" i="104"/>
  <c r="M199" i="104"/>
  <c r="K199" i="104"/>
  <c r="M187" i="104"/>
  <c r="L187" i="104"/>
  <c r="K187" i="104"/>
  <c r="L183" i="104"/>
  <c r="K183" i="104"/>
  <c r="K177" i="104"/>
  <c r="M166" i="104"/>
  <c r="L166" i="104"/>
  <c r="K166" i="104"/>
  <c r="K162" i="104"/>
  <c r="L161" i="104"/>
  <c r="M156" i="104"/>
  <c r="L156" i="104"/>
  <c r="K156" i="104"/>
  <c r="K146" i="104"/>
  <c r="M145" i="104"/>
  <c r="L145" i="104"/>
  <c r="K145" i="104"/>
  <c r="L140" i="104"/>
  <c r="M136" i="104"/>
  <c r="K135" i="104"/>
  <c r="M124" i="104"/>
  <c r="L124" i="104"/>
  <c r="K124" i="104"/>
  <c r="K120" i="104"/>
  <c r="L119" i="104"/>
  <c r="M115" i="104"/>
  <c r="A480" i="104"/>
  <c r="A475" i="104"/>
  <c r="A470" i="104"/>
  <c r="A459" i="104"/>
  <c r="A454" i="104"/>
  <c r="A449" i="104"/>
  <c r="A438" i="104"/>
  <c r="A433" i="104"/>
  <c r="A428" i="104"/>
  <c r="A417" i="104"/>
  <c r="A412" i="104"/>
  <c r="A407" i="104"/>
  <c r="A396" i="104"/>
  <c r="A391" i="104"/>
  <c r="A386" i="104"/>
  <c r="A375" i="104"/>
  <c r="A370" i="104"/>
  <c r="A365" i="104"/>
  <c r="A354" i="104"/>
  <c r="A349" i="104"/>
  <c r="A344" i="104"/>
  <c r="A333" i="104"/>
  <c r="A328" i="104"/>
  <c r="A323" i="104"/>
  <c r="A312" i="104"/>
  <c r="A307" i="104"/>
  <c r="A302" i="104"/>
  <c r="A291" i="104"/>
  <c r="A286" i="104"/>
  <c r="A281" i="104"/>
  <c r="A270" i="104"/>
  <c r="A265" i="104"/>
  <c r="A260" i="104"/>
  <c r="A249" i="104"/>
  <c r="A244" i="104"/>
  <c r="A239" i="104"/>
  <c r="A228" i="104"/>
  <c r="A223" i="104"/>
  <c r="A218" i="104"/>
  <c r="A207" i="104"/>
  <c r="A202" i="104"/>
  <c r="A197" i="104"/>
  <c r="A186" i="104"/>
  <c r="A181" i="104"/>
  <c r="A176" i="104"/>
  <c r="A165" i="104"/>
  <c r="A160" i="104"/>
  <c r="A155" i="104"/>
  <c r="A144" i="104"/>
  <c r="A139" i="104"/>
  <c r="A134" i="104"/>
  <c r="A123" i="104"/>
  <c r="A118" i="104"/>
  <c r="A113" i="104"/>
  <c r="A102" i="104"/>
  <c r="A97" i="104"/>
  <c r="A92" i="104"/>
  <c r="A81" i="104"/>
  <c r="A76" i="104"/>
  <c r="A71" i="104"/>
  <c r="A60" i="104"/>
  <c r="A55" i="104"/>
  <c r="A50" i="104"/>
  <c r="A39" i="104"/>
  <c r="A34" i="104"/>
  <c r="A29" i="104"/>
  <c r="K18" i="104"/>
  <c r="K13" i="104"/>
  <c r="K8" i="104"/>
  <c r="K99" i="104" l="1"/>
  <c r="K118" i="104"/>
  <c r="K370" i="104"/>
  <c r="K160" i="104"/>
  <c r="K328" i="104"/>
  <c r="K134" i="104"/>
  <c r="K218" i="104"/>
  <c r="K386" i="104"/>
  <c r="K470" i="104"/>
  <c r="M315" i="104"/>
  <c r="K139" i="104"/>
  <c r="M73" i="104"/>
  <c r="M31" i="104"/>
  <c r="K29" i="104"/>
  <c r="K113" i="104"/>
  <c r="K197" i="104"/>
  <c r="K365" i="104"/>
  <c r="K449" i="104"/>
  <c r="K34" i="104"/>
  <c r="K202" i="104"/>
  <c r="M36" i="104"/>
  <c r="K81" i="104"/>
  <c r="K155" i="104"/>
  <c r="K323" i="104"/>
  <c r="K60" i="104"/>
  <c r="K55" i="104"/>
  <c r="K223" i="104"/>
  <c r="K391" i="104"/>
  <c r="K186" i="104"/>
  <c r="K354" i="104"/>
  <c r="K417" i="104"/>
  <c r="K181" i="104"/>
  <c r="K349" i="104"/>
  <c r="F63" i="104"/>
  <c r="M82" i="104"/>
  <c r="K291" i="104"/>
  <c r="K286" i="104"/>
  <c r="K454" i="104"/>
  <c r="K102" i="104"/>
  <c r="K270" i="104"/>
  <c r="K438" i="104"/>
  <c r="K97" i="104"/>
  <c r="K265" i="104"/>
  <c r="K433" i="104"/>
  <c r="K76" i="104"/>
  <c r="K244" i="104"/>
  <c r="K312" i="104"/>
  <c r="K412" i="104"/>
  <c r="K480" i="104"/>
  <c r="K307" i="104"/>
  <c r="K475" i="104"/>
  <c r="K39" i="104"/>
  <c r="K375" i="104"/>
  <c r="K207" i="104"/>
  <c r="K123" i="104"/>
  <c r="K144" i="104"/>
  <c r="K344" i="104"/>
  <c r="K176" i="104"/>
  <c r="K239" i="104"/>
  <c r="K407" i="104"/>
  <c r="K302" i="104"/>
  <c r="K92" i="104"/>
  <c r="K260" i="104"/>
  <c r="K428" i="104"/>
  <c r="K50" i="104"/>
  <c r="K228" i="104"/>
  <c r="K396" i="104"/>
  <c r="K333" i="104"/>
  <c r="K71" i="104"/>
  <c r="K165" i="104"/>
  <c r="K249" i="104"/>
  <c r="K459" i="104"/>
  <c r="K281" i="104"/>
  <c r="B14" i="104"/>
  <c r="F42" i="104"/>
  <c r="F20" i="104"/>
  <c r="H35" i="104"/>
  <c r="K103" i="104"/>
  <c r="M98" i="104"/>
  <c r="H483" i="104"/>
  <c r="C482" i="104" s="1"/>
  <c r="L103" i="104"/>
  <c r="H98" i="104"/>
  <c r="H82" i="104"/>
  <c r="K51" i="104"/>
  <c r="D37" i="104"/>
  <c r="H30" i="104"/>
  <c r="K77" i="104"/>
  <c r="H126" i="104"/>
  <c r="E125" i="104" s="1"/>
  <c r="H273" i="104"/>
  <c r="G271" i="104" s="1"/>
  <c r="B84" i="104"/>
  <c r="K72" i="104"/>
  <c r="L62" i="104"/>
  <c r="H41" i="104"/>
  <c r="B63" i="104"/>
  <c r="D63" i="104"/>
  <c r="K57" i="104"/>
  <c r="D100" i="104"/>
  <c r="H221" i="104"/>
  <c r="G220" i="104" s="1"/>
  <c r="F53" i="104"/>
  <c r="F84" i="104"/>
  <c r="B79" i="104"/>
  <c r="D84" i="104"/>
  <c r="H62" i="104"/>
  <c r="L78" i="104"/>
  <c r="M57" i="104"/>
  <c r="H452" i="104"/>
  <c r="E450" i="104" s="1"/>
  <c r="H83" i="104"/>
  <c r="D105" i="104"/>
  <c r="K56" i="104"/>
  <c r="M78" i="104"/>
  <c r="F37" i="104"/>
  <c r="H51" i="104"/>
  <c r="H56" i="104"/>
  <c r="H179" i="104"/>
  <c r="C178" i="104" s="1"/>
  <c r="H205" i="104"/>
  <c r="C204" i="104" s="1"/>
  <c r="H263" i="104"/>
  <c r="C261" i="104" s="1"/>
  <c r="H289" i="104"/>
  <c r="G287" i="104" s="1"/>
  <c r="H57" i="104"/>
  <c r="L82" i="104"/>
  <c r="H72" i="104"/>
  <c r="M72" i="104"/>
  <c r="H77" i="104"/>
  <c r="H93" i="104"/>
  <c r="M103" i="104"/>
  <c r="K31" i="104"/>
  <c r="K61" i="104"/>
  <c r="H104" i="104"/>
  <c r="H103" i="104"/>
  <c r="B105" i="104"/>
  <c r="K30" i="104"/>
  <c r="M93" i="104"/>
  <c r="D9" i="104"/>
  <c r="K35" i="104"/>
  <c r="H40" i="104"/>
  <c r="L83" i="104"/>
  <c r="M62" i="104"/>
  <c r="N439" i="104"/>
  <c r="H121" i="104"/>
  <c r="I119" i="104" s="1"/>
  <c r="H462" i="104"/>
  <c r="G460" i="104" s="1"/>
  <c r="H36" i="104"/>
  <c r="M99" i="104"/>
  <c r="M52" i="104"/>
  <c r="H389" i="104"/>
  <c r="I388" i="104" s="1"/>
  <c r="H415" i="104"/>
  <c r="C414" i="104" s="1"/>
  <c r="H61" i="104"/>
  <c r="F105" i="104"/>
  <c r="H394" i="104"/>
  <c r="C392" i="104" s="1"/>
  <c r="H478" i="104"/>
  <c r="C477" i="104" s="1"/>
  <c r="K98" i="104"/>
  <c r="H331" i="104"/>
  <c r="C329" i="104" s="1"/>
  <c r="H99" i="104"/>
  <c r="K93" i="104"/>
  <c r="K78" i="104"/>
  <c r="H78" i="104"/>
  <c r="N481" i="104"/>
  <c r="H431" i="104"/>
  <c r="G431" i="104" s="1"/>
  <c r="H441" i="104"/>
  <c r="I441" i="104" s="1"/>
  <c r="N414" i="104"/>
  <c r="H420" i="104"/>
  <c r="E418" i="104" s="1"/>
  <c r="H410" i="104"/>
  <c r="E408" i="104" s="1"/>
  <c r="H399" i="104"/>
  <c r="I398" i="104" s="1"/>
  <c r="N376" i="104"/>
  <c r="H378" i="104"/>
  <c r="E377" i="104" s="1"/>
  <c r="H357" i="104"/>
  <c r="I356" i="104" s="1"/>
  <c r="N330" i="104"/>
  <c r="H336" i="104"/>
  <c r="G334" i="104" s="1"/>
  <c r="H315" i="104"/>
  <c r="I313" i="104" s="1"/>
  <c r="H305" i="104"/>
  <c r="I303" i="104" s="1"/>
  <c r="L294" i="104"/>
  <c r="H294" i="104"/>
  <c r="I293" i="104" s="1"/>
  <c r="H284" i="104"/>
  <c r="E283" i="104" s="1"/>
  <c r="H268" i="104"/>
  <c r="C267" i="104" s="1"/>
  <c r="N250" i="104"/>
  <c r="H252" i="104"/>
  <c r="C251" i="104" s="1"/>
  <c r="H231" i="104"/>
  <c r="E230" i="104" s="1"/>
  <c r="H210" i="104"/>
  <c r="I210" i="104" s="1"/>
  <c r="H189" i="104"/>
  <c r="C187" i="104" s="1"/>
  <c r="N166" i="104"/>
  <c r="H168" i="104"/>
  <c r="I167" i="104" s="1"/>
  <c r="H158" i="104"/>
  <c r="G156" i="104" s="1"/>
  <c r="N145" i="104"/>
  <c r="H142" i="104"/>
  <c r="C140" i="104" s="1"/>
  <c r="H147" i="104"/>
  <c r="I147" i="104" s="1"/>
  <c r="H137" i="104"/>
  <c r="G137" i="104" s="1"/>
  <c r="N124" i="104"/>
  <c r="H94" i="104"/>
  <c r="L104" i="104"/>
  <c r="H73" i="104"/>
  <c r="B53" i="104"/>
  <c r="H52" i="104"/>
  <c r="H473" i="104"/>
  <c r="E472" i="104" s="1"/>
  <c r="H457" i="104"/>
  <c r="I457" i="104" s="1"/>
  <c r="H436" i="104"/>
  <c r="E436" i="104" s="1"/>
  <c r="H368" i="104"/>
  <c r="C367" i="104" s="1"/>
  <c r="H373" i="104"/>
  <c r="I371" i="104" s="1"/>
  <c r="H347" i="104"/>
  <c r="G346" i="104" s="1"/>
  <c r="H352" i="104"/>
  <c r="I351" i="104" s="1"/>
  <c r="H326" i="104"/>
  <c r="G325" i="104" s="1"/>
  <c r="H310" i="104"/>
  <c r="G308" i="104" s="1"/>
  <c r="H247" i="104"/>
  <c r="G245" i="104" s="1"/>
  <c r="H242" i="104"/>
  <c r="H226" i="104"/>
  <c r="H200" i="104"/>
  <c r="G200" i="104" s="1"/>
  <c r="H184" i="104"/>
  <c r="E182" i="104" s="1"/>
  <c r="H163" i="104"/>
  <c r="I162" i="104" s="1"/>
  <c r="H116" i="104"/>
  <c r="C115" i="104" s="1"/>
  <c r="M483" i="104"/>
  <c r="M472" i="104"/>
  <c r="N472" i="104" s="1"/>
  <c r="F478" i="104"/>
  <c r="M476" i="104"/>
  <c r="F452" i="104"/>
  <c r="F457" i="104"/>
  <c r="M455" i="104"/>
  <c r="M441" i="104"/>
  <c r="F436" i="104"/>
  <c r="M436" i="104" s="1"/>
  <c r="N429" i="104"/>
  <c r="M415" i="104"/>
  <c r="F410" i="104"/>
  <c r="N418" i="104"/>
  <c r="N408" i="104"/>
  <c r="M419" i="104"/>
  <c r="F389" i="104"/>
  <c r="F394" i="104"/>
  <c r="M387" i="104"/>
  <c r="M388" i="104"/>
  <c r="N397" i="104"/>
  <c r="M373" i="104"/>
  <c r="F368" i="104"/>
  <c r="M371" i="104"/>
  <c r="N371" i="104" s="1"/>
  <c r="M377" i="104"/>
  <c r="M372" i="104"/>
  <c r="N372" i="104" s="1"/>
  <c r="F347" i="104"/>
  <c r="M350" i="104"/>
  <c r="F352" i="104"/>
  <c r="M352" i="104" s="1"/>
  <c r="M356" i="104"/>
  <c r="M345" i="104"/>
  <c r="N345" i="104" s="1"/>
  <c r="M351" i="104"/>
  <c r="N351" i="104" s="1"/>
  <c r="F326" i="104"/>
  <c r="M324" i="104"/>
  <c r="M325" i="104"/>
  <c r="N325" i="104" s="1"/>
  <c r="F331" i="104"/>
  <c r="M335" i="104"/>
  <c r="F310" i="104"/>
  <c r="M310" i="104" s="1"/>
  <c r="M309" i="104"/>
  <c r="N309" i="104" s="1"/>
  <c r="M303" i="104"/>
  <c r="N303" i="104" s="1"/>
  <c r="M294" i="104"/>
  <c r="F289" i="104"/>
  <c r="M282" i="104"/>
  <c r="M288" i="104"/>
  <c r="F263" i="104"/>
  <c r="M262" i="104"/>
  <c r="N262" i="104" s="1"/>
  <c r="F268" i="104"/>
  <c r="N240" i="104"/>
  <c r="M245" i="104"/>
  <c r="N245" i="104" s="1"/>
  <c r="F247" i="104"/>
  <c r="M246" i="104"/>
  <c r="F242" i="104"/>
  <c r="M252" i="104" s="1"/>
  <c r="M231" i="104"/>
  <c r="F226" i="104"/>
  <c r="M219" i="104"/>
  <c r="M210" i="104"/>
  <c r="F205" i="104"/>
  <c r="M209" i="104"/>
  <c r="M203" i="104"/>
  <c r="M198" i="104"/>
  <c r="M204" i="104"/>
  <c r="N204" i="104" s="1"/>
  <c r="M183" i="104"/>
  <c r="N183" i="104" s="1"/>
  <c r="F184" i="104"/>
  <c r="M177" i="104"/>
  <c r="N177" i="104" s="1"/>
  <c r="F179" i="104"/>
  <c r="F163" i="104"/>
  <c r="F158" i="104"/>
  <c r="M167" i="104"/>
  <c r="M157" i="104"/>
  <c r="M147" i="104"/>
  <c r="M135" i="104"/>
  <c r="F142" i="104"/>
  <c r="M142" i="104" s="1"/>
  <c r="M140" i="104"/>
  <c r="F116" i="104"/>
  <c r="F121" i="104"/>
  <c r="M119" i="104"/>
  <c r="F95" i="104"/>
  <c r="F100" i="104"/>
  <c r="M104" i="104"/>
  <c r="M94" i="104"/>
  <c r="F74" i="104"/>
  <c r="F14" i="104"/>
  <c r="F79" i="104"/>
  <c r="M77" i="104"/>
  <c r="M83" i="104"/>
  <c r="F58" i="104"/>
  <c r="F15" i="104"/>
  <c r="M51" i="104"/>
  <c r="M56" i="104"/>
  <c r="L483" i="104"/>
  <c r="D478" i="104"/>
  <c r="N471" i="104"/>
  <c r="L476" i="104"/>
  <c r="N477" i="104"/>
  <c r="L462" i="104"/>
  <c r="D457" i="104"/>
  <c r="L455" i="104"/>
  <c r="N460" i="104"/>
  <c r="N456" i="104"/>
  <c r="L436" i="104"/>
  <c r="D431" i="104"/>
  <c r="L430" i="104"/>
  <c r="N435" i="104"/>
  <c r="L420" i="104"/>
  <c r="L409" i="104"/>
  <c r="L419" i="104"/>
  <c r="D415" i="104"/>
  <c r="L393" i="104"/>
  <c r="N393" i="104" s="1"/>
  <c r="D394" i="104"/>
  <c r="L388" i="104"/>
  <c r="D399" i="104"/>
  <c r="L387" i="104"/>
  <c r="L378" i="104"/>
  <c r="L366" i="104"/>
  <c r="N366" i="104" s="1"/>
  <c r="D373" i="104"/>
  <c r="L367" i="104"/>
  <c r="L357" i="104"/>
  <c r="D352" i="104"/>
  <c r="L350" i="104"/>
  <c r="L355" i="104"/>
  <c r="N355" i="104" s="1"/>
  <c r="D326" i="104"/>
  <c r="L335" i="104"/>
  <c r="D331" i="104"/>
  <c r="L329" i="104"/>
  <c r="D305" i="104"/>
  <c r="D310" i="104"/>
  <c r="L308" i="104"/>
  <c r="N308" i="104" s="1"/>
  <c r="D19" i="104"/>
  <c r="N304" i="104"/>
  <c r="L313" i="104"/>
  <c r="N313" i="104" s="1"/>
  <c r="D289" i="104"/>
  <c r="L282" i="104"/>
  <c r="N293" i="104"/>
  <c r="L263" i="104"/>
  <c r="L266" i="104"/>
  <c r="N266" i="104" s="1"/>
  <c r="D273" i="104"/>
  <c r="L261" i="104"/>
  <c r="L271" i="104"/>
  <c r="N271" i="104" s="1"/>
  <c r="L267" i="104"/>
  <c r="N267" i="104" s="1"/>
  <c r="L272" i="104"/>
  <c r="N272" i="104" s="1"/>
  <c r="D242" i="104"/>
  <c r="L246" i="104"/>
  <c r="L251" i="104"/>
  <c r="N251" i="104" s="1"/>
  <c r="D247" i="104"/>
  <c r="L247" i="104" s="1"/>
  <c r="D221" i="104"/>
  <c r="D226" i="104"/>
  <c r="N225" i="104"/>
  <c r="L219" i="104"/>
  <c r="L220" i="104"/>
  <c r="N220" i="104" s="1"/>
  <c r="D200" i="104"/>
  <c r="L209" i="104"/>
  <c r="D205" i="104"/>
  <c r="L198" i="104"/>
  <c r="N208" i="104"/>
  <c r="D184" i="104"/>
  <c r="L184" i="104" s="1"/>
  <c r="L178" i="104"/>
  <c r="N187" i="104"/>
  <c r="L188" i="104"/>
  <c r="L182" i="104"/>
  <c r="D179" i="104"/>
  <c r="L158" i="104"/>
  <c r="L168" i="104"/>
  <c r="L163" i="104"/>
  <c r="L157" i="104"/>
  <c r="L167" i="104"/>
  <c r="N162" i="104"/>
  <c r="L147" i="104"/>
  <c r="L141" i="104"/>
  <c r="N146" i="104"/>
  <c r="D142" i="104"/>
  <c r="L135" i="104"/>
  <c r="D116" i="104"/>
  <c r="L126" i="104" s="1"/>
  <c r="D121" i="104"/>
  <c r="L115" i="104"/>
  <c r="N115" i="104" s="1"/>
  <c r="L120" i="104"/>
  <c r="N120" i="104" s="1"/>
  <c r="L125" i="104"/>
  <c r="L93" i="104"/>
  <c r="L98" i="104"/>
  <c r="D14" i="104"/>
  <c r="D95" i="104"/>
  <c r="D15" i="104"/>
  <c r="L94" i="104"/>
  <c r="L99" i="104"/>
  <c r="D20" i="104"/>
  <c r="D79" i="104"/>
  <c r="L72" i="104"/>
  <c r="L77" i="104"/>
  <c r="D74" i="104"/>
  <c r="L73" i="104"/>
  <c r="D58" i="104"/>
  <c r="L56" i="104"/>
  <c r="D10" i="104"/>
  <c r="L51" i="104"/>
  <c r="L52" i="104"/>
  <c r="L57" i="104"/>
  <c r="K482" i="104"/>
  <c r="N482" i="104" s="1"/>
  <c r="B478" i="104"/>
  <c r="B473" i="104"/>
  <c r="K476" i="104"/>
  <c r="B452" i="104"/>
  <c r="K450" i="104"/>
  <c r="N450" i="104" s="1"/>
  <c r="B457" i="104"/>
  <c r="K457" i="104" s="1"/>
  <c r="N451" i="104"/>
  <c r="K461" i="104"/>
  <c r="N461" i="104" s="1"/>
  <c r="K436" i="104"/>
  <c r="N440" i="104"/>
  <c r="B431" i="104"/>
  <c r="K430" i="104"/>
  <c r="N434" i="104"/>
  <c r="K420" i="104"/>
  <c r="K409" i="104"/>
  <c r="K413" i="104"/>
  <c r="N413" i="104" s="1"/>
  <c r="B415" i="104"/>
  <c r="K398" i="104"/>
  <c r="N398" i="104" s="1"/>
  <c r="B389" i="104"/>
  <c r="B394" i="104"/>
  <c r="K388" i="104"/>
  <c r="N392" i="104"/>
  <c r="B368" i="104"/>
  <c r="B373" i="104"/>
  <c r="K377" i="104"/>
  <c r="K367" i="104"/>
  <c r="K357" i="104"/>
  <c r="K356" i="104"/>
  <c r="B352" i="104"/>
  <c r="K352" i="104" s="1"/>
  <c r="K346" i="104"/>
  <c r="N346" i="104" s="1"/>
  <c r="K336" i="104"/>
  <c r="N334" i="104"/>
  <c r="K324" i="104"/>
  <c r="B331" i="104"/>
  <c r="K329" i="104"/>
  <c r="B310" i="104"/>
  <c r="B305" i="104"/>
  <c r="K314" i="104"/>
  <c r="N314" i="104" s="1"/>
  <c r="N287" i="104"/>
  <c r="K292" i="104"/>
  <c r="N292" i="104" s="1"/>
  <c r="K288" i="104"/>
  <c r="B289" i="104"/>
  <c r="B284" i="104"/>
  <c r="K283" i="104"/>
  <c r="N283" i="104" s="1"/>
  <c r="K273" i="104"/>
  <c r="K261" i="104"/>
  <c r="B268" i="104"/>
  <c r="K252" i="104"/>
  <c r="B247" i="104"/>
  <c r="N241" i="104"/>
  <c r="K231" i="104"/>
  <c r="K230" i="104"/>
  <c r="N230" i="104" s="1"/>
  <c r="K219" i="104"/>
  <c r="B226" i="104"/>
  <c r="N229" i="104"/>
  <c r="N224" i="104"/>
  <c r="K210" i="104"/>
  <c r="K203" i="104"/>
  <c r="N199" i="104"/>
  <c r="B205" i="104"/>
  <c r="K184" i="104"/>
  <c r="B179" i="104"/>
  <c r="K182" i="104"/>
  <c r="K178" i="104"/>
  <c r="K188" i="104"/>
  <c r="K167" i="104"/>
  <c r="B163" i="104"/>
  <c r="N156" i="104"/>
  <c r="B158" i="104"/>
  <c r="N161" i="104"/>
  <c r="K137" i="104"/>
  <c r="K147" i="104"/>
  <c r="K142" i="104"/>
  <c r="K140" i="104"/>
  <c r="N136" i="104"/>
  <c r="K141" i="104"/>
  <c r="K126" i="104"/>
  <c r="K125" i="104"/>
  <c r="K114" i="104"/>
  <c r="N114" i="104" s="1"/>
  <c r="B121" i="104"/>
  <c r="K121" i="104" s="1"/>
  <c r="K119" i="104"/>
  <c r="B95" i="104"/>
  <c r="B15" i="104"/>
  <c r="B100" i="104"/>
  <c r="K104" i="104"/>
  <c r="K94" i="104"/>
  <c r="K73" i="104"/>
  <c r="K82" i="104"/>
  <c r="B74" i="104"/>
  <c r="K83" i="104"/>
  <c r="K52" i="104"/>
  <c r="B58" i="104"/>
  <c r="K62" i="104"/>
  <c r="B10" i="104"/>
  <c r="M61" i="104"/>
  <c r="F9" i="104"/>
  <c r="B37" i="104"/>
  <c r="L40" i="104"/>
  <c r="B32" i="104"/>
  <c r="K41" i="104"/>
  <c r="M41" i="104"/>
  <c r="L31" i="104"/>
  <c r="D32" i="104"/>
  <c r="M40" i="104"/>
  <c r="L41" i="104"/>
  <c r="B9" i="104"/>
  <c r="M35" i="104"/>
  <c r="K36" i="104"/>
  <c r="L36" i="104"/>
  <c r="F19" i="104"/>
  <c r="D42" i="104"/>
  <c r="B20" i="104"/>
  <c r="L35" i="104"/>
  <c r="H31" i="104"/>
  <c r="F32" i="104"/>
  <c r="B42" i="104"/>
  <c r="M30" i="104"/>
  <c r="F10" i="104"/>
  <c r="B19" i="104"/>
  <c r="K40" i="104"/>
  <c r="L30" i="104"/>
  <c r="E119" i="104" l="1"/>
  <c r="I220" i="104"/>
  <c r="C263" i="104"/>
  <c r="H79" i="104"/>
  <c r="G77" i="104" s="1"/>
  <c r="E483" i="104"/>
  <c r="M20" i="104"/>
  <c r="H84" i="104"/>
  <c r="E84" i="104" s="1"/>
  <c r="G450" i="104"/>
  <c r="C451" i="104"/>
  <c r="G261" i="104"/>
  <c r="G481" i="104"/>
  <c r="H105" i="104"/>
  <c r="I105" i="104" s="1"/>
  <c r="I219" i="104"/>
  <c r="E120" i="104"/>
  <c r="I287" i="104"/>
  <c r="H37" i="104"/>
  <c r="G37" i="104" s="1"/>
  <c r="M15" i="104"/>
  <c r="I262" i="104"/>
  <c r="G262" i="104"/>
  <c r="C221" i="104"/>
  <c r="E204" i="104"/>
  <c r="L100" i="104"/>
  <c r="H100" i="104"/>
  <c r="I98" i="104" s="1"/>
  <c r="N98" i="104"/>
  <c r="F21" i="104"/>
  <c r="E481" i="104"/>
  <c r="I205" i="104"/>
  <c r="G272" i="104"/>
  <c r="G273" i="104"/>
  <c r="E482" i="104"/>
  <c r="G208" i="104"/>
  <c r="G482" i="104"/>
  <c r="C273" i="104"/>
  <c r="C271" i="104"/>
  <c r="C210" i="104"/>
  <c r="I483" i="104"/>
  <c r="N62" i="104"/>
  <c r="G210" i="104"/>
  <c r="G483" i="104"/>
  <c r="E210" i="104"/>
  <c r="I203" i="104"/>
  <c r="C292" i="104"/>
  <c r="I431" i="104"/>
  <c r="C481" i="104"/>
  <c r="I209" i="104"/>
  <c r="E203" i="104"/>
  <c r="I272" i="104"/>
  <c r="I208" i="104"/>
  <c r="E271" i="104"/>
  <c r="I482" i="104"/>
  <c r="H74" i="104"/>
  <c r="G72" i="104" s="1"/>
  <c r="I271" i="104"/>
  <c r="C208" i="104"/>
  <c r="C483" i="104"/>
  <c r="E208" i="104"/>
  <c r="E272" i="104"/>
  <c r="I481" i="104"/>
  <c r="G451" i="104"/>
  <c r="E476" i="104"/>
  <c r="G314" i="104"/>
  <c r="C313" i="104"/>
  <c r="I263" i="104"/>
  <c r="C203" i="104"/>
  <c r="G204" i="104"/>
  <c r="I204" i="104"/>
  <c r="E188" i="104"/>
  <c r="I187" i="104"/>
  <c r="C179" i="104"/>
  <c r="I179" i="104"/>
  <c r="E178" i="104"/>
  <c r="E126" i="104"/>
  <c r="I124" i="104"/>
  <c r="C126" i="104"/>
  <c r="I125" i="104"/>
  <c r="E124" i="104"/>
  <c r="I126" i="104"/>
  <c r="C124" i="104"/>
  <c r="C125" i="104"/>
  <c r="G125" i="104"/>
  <c r="G126" i="104"/>
  <c r="G124" i="104"/>
  <c r="N103" i="104"/>
  <c r="N78" i="104"/>
  <c r="N82" i="104"/>
  <c r="L37" i="104"/>
  <c r="M105" i="104"/>
  <c r="C220" i="104"/>
  <c r="E221" i="104"/>
  <c r="N119" i="104"/>
  <c r="G188" i="104"/>
  <c r="C188" i="104"/>
  <c r="G219" i="104"/>
  <c r="I273" i="104"/>
  <c r="I288" i="104"/>
  <c r="I452" i="104"/>
  <c r="E452" i="104"/>
  <c r="E220" i="104"/>
  <c r="C450" i="104"/>
  <c r="K79" i="104"/>
  <c r="E179" i="104"/>
  <c r="E231" i="104"/>
  <c r="I177" i="104"/>
  <c r="E187" i="104"/>
  <c r="I221" i="104"/>
  <c r="C272" i="104"/>
  <c r="C304" i="104"/>
  <c r="G221" i="104"/>
  <c r="G452" i="104"/>
  <c r="C177" i="104"/>
  <c r="I450" i="104"/>
  <c r="N83" i="104"/>
  <c r="C189" i="104"/>
  <c r="C452" i="104"/>
  <c r="G179" i="104"/>
  <c r="I178" i="104"/>
  <c r="C219" i="104"/>
  <c r="I267" i="104"/>
  <c r="I429" i="104"/>
  <c r="E451" i="104"/>
  <c r="K84" i="104"/>
  <c r="E136" i="104"/>
  <c r="G178" i="104"/>
  <c r="G146" i="104"/>
  <c r="G177" i="104"/>
  <c r="C288" i="104"/>
  <c r="G330" i="104"/>
  <c r="E177" i="104"/>
  <c r="H58" i="104"/>
  <c r="C57" i="104" s="1"/>
  <c r="E388" i="104"/>
  <c r="E389" i="104"/>
  <c r="C388" i="104"/>
  <c r="I387" i="104"/>
  <c r="C389" i="104"/>
  <c r="C387" i="104"/>
  <c r="G389" i="104"/>
  <c r="E334" i="104"/>
  <c r="G387" i="104"/>
  <c r="I414" i="104"/>
  <c r="H20" i="104"/>
  <c r="K32" i="104"/>
  <c r="N57" i="104"/>
  <c r="G413" i="104"/>
  <c r="I389" i="104"/>
  <c r="E414" i="104"/>
  <c r="H14" i="104"/>
  <c r="C413" i="104"/>
  <c r="G388" i="104"/>
  <c r="E387" i="104"/>
  <c r="E413" i="104"/>
  <c r="H53" i="104"/>
  <c r="C52" i="104" s="1"/>
  <c r="H19" i="104"/>
  <c r="G408" i="104"/>
  <c r="E83" i="104"/>
  <c r="C82" i="104"/>
  <c r="E330" i="104"/>
  <c r="E430" i="104"/>
  <c r="N61" i="104"/>
  <c r="C158" i="104"/>
  <c r="H95" i="104"/>
  <c r="E95" i="104" s="1"/>
  <c r="G392" i="104"/>
  <c r="C429" i="104"/>
  <c r="H10" i="104"/>
  <c r="E329" i="104"/>
  <c r="G187" i="104"/>
  <c r="G203" i="104"/>
  <c r="I231" i="104"/>
  <c r="I261" i="104"/>
  <c r="G288" i="104"/>
  <c r="I314" i="104"/>
  <c r="I330" i="104"/>
  <c r="E392" i="104"/>
  <c r="G397" i="104"/>
  <c r="G414" i="104"/>
  <c r="I430" i="104"/>
  <c r="H63" i="104"/>
  <c r="C61" i="104" s="1"/>
  <c r="E263" i="104"/>
  <c r="H42" i="104"/>
  <c r="I42" i="104" s="1"/>
  <c r="C441" i="104"/>
  <c r="G329" i="104"/>
  <c r="G473" i="104"/>
  <c r="C287" i="104"/>
  <c r="I289" i="104"/>
  <c r="N99" i="104"/>
  <c r="E287" i="104"/>
  <c r="I329" i="104"/>
  <c r="N35" i="104"/>
  <c r="C330" i="104"/>
  <c r="N356" i="104"/>
  <c r="E462" i="104"/>
  <c r="C120" i="104"/>
  <c r="E262" i="104"/>
  <c r="E288" i="104"/>
  <c r="I331" i="104"/>
  <c r="I394" i="104"/>
  <c r="E429" i="104"/>
  <c r="E460" i="104"/>
  <c r="E261" i="104"/>
  <c r="C431" i="104"/>
  <c r="L105" i="104"/>
  <c r="G231" i="104"/>
  <c r="G263" i="104"/>
  <c r="G399" i="104"/>
  <c r="I136" i="104"/>
  <c r="E219" i="104"/>
  <c r="C262" i="104"/>
  <c r="I392" i="104"/>
  <c r="G430" i="104"/>
  <c r="I451" i="104"/>
  <c r="C460" i="104"/>
  <c r="L19" i="104"/>
  <c r="I393" i="104"/>
  <c r="E477" i="104"/>
  <c r="N335" i="104"/>
  <c r="G456" i="104"/>
  <c r="C119" i="104"/>
  <c r="G393" i="104"/>
  <c r="C157" i="104"/>
  <c r="I376" i="104"/>
  <c r="I462" i="104"/>
  <c r="C184" i="104"/>
  <c r="C399" i="104"/>
  <c r="C462" i="104"/>
  <c r="E168" i="104"/>
  <c r="E189" i="104"/>
  <c r="E304" i="104"/>
  <c r="M63" i="104"/>
  <c r="G119" i="104"/>
  <c r="G189" i="104"/>
  <c r="I120" i="104"/>
  <c r="I156" i="104"/>
  <c r="I188" i="104"/>
  <c r="E251" i="104"/>
  <c r="C314" i="104"/>
  <c r="E393" i="104"/>
  <c r="E397" i="104"/>
  <c r="C397" i="104"/>
  <c r="G415" i="104"/>
  <c r="I415" i="104"/>
  <c r="C461" i="104"/>
  <c r="E461" i="104"/>
  <c r="I477" i="104"/>
  <c r="G166" i="104"/>
  <c r="H15" i="104"/>
  <c r="G476" i="104"/>
  <c r="N31" i="104"/>
  <c r="I141" i="104"/>
  <c r="I250" i="104"/>
  <c r="I461" i="104"/>
  <c r="G477" i="104"/>
  <c r="C167" i="104"/>
  <c r="N41" i="104"/>
  <c r="E305" i="104"/>
  <c r="G398" i="104"/>
  <c r="C476" i="104"/>
  <c r="I476" i="104"/>
  <c r="D21" i="104"/>
  <c r="N147" i="104"/>
  <c r="C168" i="104"/>
  <c r="C305" i="104"/>
  <c r="C393" i="104"/>
  <c r="N72" i="104"/>
  <c r="L315" i="104"/>
  <c r="I121" i="104"/>
  <c r="I158" i="104"/>
  <c r="I189" i="104"/>
  <c r="G230" i="104"/>
  <c r="G304" i="104"/>
  <c r="I399" i="104"/>
  <c r="I413" i="104"/>
  <c r="G461" i="104"/>
  <c r="I478" i="104"/>
  <c r="I140" i="104"/>
  <c r="G167" i="104"/>
  <c r="I460" i="104"/>
  <c r="G120" i="104"/>
  <c r="I397" i="104"/>
  <c r="I252" i="104"/>
  <c r="I168" i="104"/>
  <c r="C37" i="104"/>
  <c r="C252" i="104"/>
  <c r="E315" i="104"/>
  <c r="G305" i="104"/>
  <c r="G462" i="104"/>
  <c r="C156" i="104"/>
  <c r="C230" i="104"/>
  <c r="C303" i="104"/>
  <c r="C398" i="104"/>
  <c r="G168" i="104"/>
  <c r="N455" i="104"/>
  <c r="N288" i="104"/>
  <c r="G266" i="104"/>
  <c r="E268" i="104"/>
  <c r="I266" i="104"/>
  <c r="I268" i="104"/>
  <c r="C266" i="104"/>
  <c r="E266" i="104"/>
  <c r="G267" i="104"/>
  <c r="N198" i="104"/>
  <c r="C142" i="104"/>
  <c r="I142" i="104"/>
  <c r="C141" i="104"/>
  <c r="N141" i="104"/>
  <c r="E140" i="104"/>
  <c r="E141" i="104"/>
  <c r="N93" i="104"/>
  <c r="C473" i="104"/>
  <c r="C472" i="104"/>
  <c r="C439" i="104"/>
  <c r="E431" i="104"/>
  <c r="C430" i="104"/>
  <c r="G429" i="104"/>
  <c r="G441" i="104"/>
  <c r="E441" i="104"/>
  <c r="C440" i="104"/>
  <c r="G440" i="104"/>
  <c r="G439" i="104"/>
  <c r="E440" i="104"/>
  <c r="E439" i="104"/>
  <c r="I439" i="104"/>
  <c r="I440" i="104"/>
  <c r="N436" i="104"/>
  <c r="N419" i="104"/>
  <c r="G420" i="104"/>
  <c r="N409" i="104"/>
  <c r="G409" i="104"/>
  <c r="C408" i="104"/>
  <c r="C409" i="104"/>
  <c r="C410" i="104"/>
  <c r="E410" i="104"/>
  <c r="E409" i="104"/>
  <c r="I408" i="104"/>
  <c r="C420" i="104"/>
  <c r="C418" i="104"/>
  <c r="E419" i="104"/>
  <c r="G418" i="104"/>
  <c r="I418" i="104"/>
  <c r="I419" i="104"/>
  <c r="C419" i="104"/>
  <c r="E420" i="104"/>
  <c r="I420" i="104"/>
  <c r="G419" i="104"/>
  <c r="I410" i="104"/>
  <c r="I409" i="104"/>
  <c r="E398" i="104"/>
  <c r="N367" i="104"/>
  <c r="E368" i="104"/>
  <c r="G377" i="104"/>
  <c r="I377" i="104"/>
  <c r="G378" i="104"/>
  <c r="I378" i="104"/>
  <c r="G376" i="104"/>
  <c r="C378" i="104"/>
  <c r="C376" i="104"/>
  <c r="E378" i="104"/>
  <c r="E376" i="104"/>
  <c r="C377" i="104"/>
  <c r="G373" i="104"/>
  <c r="I367" i="104"/>
  <c r="C368" i="104"/>
  <c r="G368" i="104"/>
  <c r="E355" i="104"/>
  <c r="E357" i="104"/>
  <c r="G356" i="104"/>
  <c r="I357" i="104"/>
  <c r="C355" i="104"/>
  <c r="G355" i="104"/>
  <c r="I355" i="104"/>
  <c r="C357" i="104"/>
  <c r="G357" i="104"/>
  <c r="C356" i="104"/>
  <c r="E356" i="104"/>
  <c r="G350" i="104"/>
  <c r="C351" i="104"/>
  <c r="I350" i="104"/>
  <c r="G347" i="104"/>
  <c r="E347" i="104"/>
  <c r="G336" i="104"/>
  <c r="N324" i="104"/>
  <c r="C335" i="104"/>
  <c r="I334" i="104"/>
  <c r="C336" i="104"/>
  <c r="E335" i="104"/>
  <c r="I336" i="104"/>
  <c r="G335" i="104"/>
  <c r="C334" i="104"/>
  <c r="E336" i="104"/>
  <c r="I335" i="104"/>
  <c r="N329" i="104"/>
  <c r="G313" i="104"/>
  <c r="I315" i="104"/>
  <c r="C315" i="104"/>
  <c r="E313" i="104"/>
  <c r="G315" i="104"/>
  <c r="E314" i="104"/>
  <c r="I305" i="104"/>
  <c r="G303" i="104"/>
  <c r="I308" i="104"/>
  <c r="E308" i="104"/>
  <c r="G309" i="104"/>
  <c r="E309" i="104"/>
  <c r="I304" i="104"/>
  <c r="E303" i="104"/>
  <c r="I284" i="104"/>
  <c r="C284" i="104"/>
  <c r="E294" i="104"/>
  <c r="G293" i="104"/>
  <c r="E292" i="104"/>
  <c r="I292" i="104"/>
  <c r="I294" i="104"/>
  <c r="E293" i="104"/>
  <c r="C293" i="104"/>
  <c r="C294" i="104"/>
  <c r="G292" i="104"/>
  <c r="G294" i="104"/>
  <c r="G284" i="104"/>
  <c r="E284" i="104"/>
  <c r="C282" i="104"/>
  <c r="I282" i="104"/>
  <c r="C283" i="104"/>
  <c r="G282" i="104"/>
  <c r="G283" i="104"/>
  <c r="E282" i="104"/>
  <c r="I283" i="104"/>
  <c r="M273" i="104"/>
  <c r="E267" i="104"/>
  <c r="N261" i="104"/>
  <c r="C250" i="104"/>
  <c r="G252" i="104"/>
  <c r="I251" i="104"/>
  <c r="N246" i="104"/>
  <c r="E245" i="104"/>
  <c r="E250" i="104"/>
  <c r="E252" i="104"/>
  <c r="G250" i="104"/>
  <c r="G251" i="104"/>
  <c r="C229" i="104"/>
  <c r="G229" i="104"/>
  <c r="I230" i="104"/>
  <c r="E229" i="104"/>
  <c r="I229" i="104"/>
  <c r="C231" i="104"/>
  <c r="L231" i="104"/>
  <c r="N231" i="104" s="1"/>
  <c r="E209" i="104"/>
  <c r="C209" i="104"/>
  <c r="G209" i="104"/>
  <c r="N182" i="104"/>
  <c r="G183" i="104"/>
  <c r="E166" i="104"/>
  <c r="E167" i="104"/>
  <c r="N157" i="104"/>
  <c r="I166" i="104"/>
  <c r="C166" i="104"/>
  <c r="E163" i="104"/>
  <c r="C161" i="104"/>
  <c r="G157" i="104"/>
  <c r="E156" i="104"/>
  <c r="E158" i="104"/>
  <c r="I157" i="104"/>
  <c r="E157" i="104"/>
  <c r="I161" i="104"/>
  <c r="K168" i="104"/>
  <c r="E145" i="104"/>
  <c r="C146" i="104"/>
  <c r="E146" i="104"/>
  <c r="C147" i="104"/>
  <c r="G147" i="104"/>
  <c r="N135" i="104"/>
  <c r="G140" i="104"/>
  <c r="G141" i="104"/>
  <c r="E135" i="104"/>
  <c r="E137" i="104"/>
  <c r="I145" i="104"/>
  <c r="C145" i="104"/>
  <c r="G145" i="104"/>
  <c r="I146" i="104"/>
  <c r="E147" i="104"/>
  <c r="G136" i="104"/>
  <c r="I137" i="104"/>
  <c r="C135" i="104"/>
  <c r="N140" i="104"/>
  <c r="C137" i="104"/>
  <c r="G135" i="104"/>
  <c r="C136" i="104"/>
  <c r="I135" i="104"/>
  <c r="N125" i="104"/>
  <c r="G115" i="104"/>
  <c r="E116" i="104"/>
  <c r="G116" i="104"/>
  <c r="C116" i="104"/>
  <c r="E105" i="104"/>
  <c r="G105" i="104"/>
  <c r="C104" i="104"/>
  <c r="E104" i="104"/>
  <c r="I103" i="104"/>
  <c r="C103" i="104"/>
  <c r="E103" i="104"/>
  <c r="G104" i="104"/>
  <c r="C105" i="104"/>
  <c r="G103" i="104"/>
  <c r="N94" i="104"/>
  <c r="N77" i="104"/>
  <c r="E73" i="104"/>
  <c r="G83" i="104"/>
  <c r="E82" i="104"/>
  <c r="N73" i="104"/>
  <c r="C83" i="104"/>
  <c r="I84" i="104"/>
  <c r="N56" i="104"/>
  <c r="N52" i="104"/>
  <c r="K74" i="104"/>
  <c r="I472" i="104"/>
  <c r="C471" i="104"/>
  <c r="G471" i="104"/>
  <c r="E471" i="104"/>
  <c r="I473" i="104"/>
  <c r="G472" i="104"/>
  <c r="E473" i="104"/>
  <c r="I471" i="104"/>
  <c r="I455" i="104"/>
  <c r="C455" i="104"/>
  <c r="E455" i="104"/>
  <c r="G455" i="104"/>
  <c r="C456" i="104"/>
  <c r="E456" i="104"/>
  <c r="I456" i="104"/>
  <c r="I436" i="104"/>
  <c r="E435" i="104"/>
  <c r="E434" i="104"/>
  <c r="C435" i="104"/>
  <c r="G435" i="104"/>
  <c r="C434" i="104"/>
  <c r="G434" i="104"/>
  <c r="C436" i="104"/>
  <c r="I435" i="104"/>
  <c r="I434" i="104"/>
  <c r="E372" i="104"/>
  <c r="E366" i="104"/>
  <c r="I368" i="104"/>
  <c r="C366" i="104"/>
  <c r="I366" i="104"/>
  <c r="G367" i="104"/>
  <c r="G366" i="104"/>
  <c r="E367" i="104"/>
  <c r="I372" i="104"/>
  <c r="E371" i="104"/>
  <c r="C371" i="104"/>
  <c r="C372" i="104"/>
  <c r="G372" i="104"/>
  <c r="G371" i="104"/>
  <c r="I373" i="104"/>
  <c r="E345" i="104"/>
  <c r="C345" i="104"/>
  <c r="G345" i="104"/>
  <c r="E346" i="104"/>
  <c r="C346" i="104"/>
  <c r="I347" i="104"/>
  <c r="I345" i="104"/>
  <c r="C347" i="104"/>
  <c r="E351" i="104"/>
  <c r="I352" i="104"/>
  <c r="G351" i="104"/>
  <c r="E350" i="104"/>
  <c r="C350" i="104"/>
  <c r="I346" i="104"/>
  <c r="G326" i="104"/>
  <c r="E325" i="104"/>
  <c r="I326" i="104"/>
  <c r="C324" i="104"/>
  <c r="G324" i="104"/>
  <c r="C325" i="104"/>
  <c r="I324" i="104"/>
  <c r="E324" i="104"/>
  <c r="C326" i="104"/>
  <c r="E326" i="104"/>
  <c r="I325" i="104"/>
  <c r="I310" i="104"/>
  <c r="I309" i="104"/>
  <c r="C308" i="104"/>
  <c r="C309" i="104"/>
  <c r="I242" i="104"/>
  <c r="C241" i="104"/>
  <c r="C240" i="104"/>
  <c r="I240" i="104"/>
  <c r="E240" i="104"/>
  <c r="G240" i="104"/>
  <c r="G241" i="104"/>
  <c r="I247" i="104"/>
  <c r="E246" i="104"/>
  <c r="C245" i="104"/>
  <c r="G242" i="104"/>
  <c r="I246" i="104"/>
  <c r="E241" i="104"/>
  <c r="E242" i="104"/>
  <c r="G246" i="104"/>
  <c r="I245" i="104"/>
  <c r="C246" i="104"/>
  <c r="C242" i="104"/>
  <c r="I241" i="104"/>
  <c r="E224" i="104"/>
  <c r="E225" i="104"/>
  <c r="G224" i="104"/>
  <c r="I226" i="104"/>
  <c r="G225" i="104"/>
  <c r="C224" i="104"/>
  <c r="I225" i="104"/>
  <c r="C225" i="104"/>
  <c r="I224" i="104"/>
  <c r="E198" i="104"/>
  <c r="I199" i="104"/>
  <c r="C199" i="104"/>
  <c r="G198" i="104"/>
  <c r="I200" i="104"/>
  <c r="C198" i="104"/>
  <c r="I198" i="104"/>
  <c r="G199" i="104"/>
  <c r="E199" i="104"/>
  <c r="C200" i="104"/>
  <c r="C182" i="104"/>
  <c r="C183" i="104"/>
  <c r="I184" i="104"/>
  <c r="G182" i="104"/>
  <c r="E183" i="104"/>
  <c r="I183" i="104"/>
  <c r="I182" i="104"/>
  <c r="I163" i="104"/>
  <c r="G162" i="104"/>
  <c r="E161" i="104"/>
  <c r="E162" i="104"/>
  <c r="G161" i="104"/>
  <c r="C162" i="104"/>
  <c r="G114" i="104"/>
  <c r="I114" i="104"/>
  <c r="C114" i="104"/>
  <c r="E114" i="104"/>
  <c r="I116" i="104"/>
  <c r="E115" i="104"/>
  <c r="I115" i="104"/>
  <c r="G99" i="104"/>
  <c r="G82" i="104"/>
  <c r="G478" i="104"/>
  <c r="M473" i="104"/>
  <c r="M478" i="104"/>
  <c r="G457" i="104"/>
  <c r="M452" i="104"/>
  <c r="M462" i="104"/>
  <c r="M457" i="104"/>
  <c r="G436" i="104"/>
  <c r="M431" i="104"/>
  <c r="G410" i="104"/>
  <c r="M410" i="104"/>
  <c r="M420" i="104"/>
  <c r="N420" i="104" s="1"/>
  <c r="G394" i="104"/>
  <c r="M389" i="104"/>
  <c r="N388" i="104"/>
  <c r="N387" i="104"/>
  <c r="M399" i="104"/>
  <c r="M394" i="104"/>
  <c r="M378" i="104"/>
  <c r="M368" i="104"/>
  <c r="N377" i="104"/>
  <c r="M347" i="104"/>
  <c r="G352" i="104"/>
  <c r="M357" i="104"/>
  <c r="N357" i="104" s="1"/>
  <c r="N350" i="104"/>
  <c r="G331" i="104"/>
  <c r="M326" i="104"/>
  <c r="M336" i="104"/>
  <c r="M331" i="104"/>
  <c r="M305" i="104"/>
  <c r="G310" i="104"/>
  <c r="G289" i="104"/>
  <c r="M284" i="104"/>
  <c r="M289" i="104"/>
  <c r="N282" i="104"/>
  <c r="G268" i="104"/>
  <c r="M263" i="104"/>
  <c r="M268" i="104"/>
  <c r="G247" i="104"/>
  <c r="M242" i="104"/>
  <c r="M247" i="104"/>
  <c r="G226" i="104"/>
  <c r="M221" i="104"/>
  <c r="M226" i="104"/>
  <c r="M200" i="104"/>
  <c r="G205" i="104"/>
  <c r="N209" i="104"/>
  <c r="N203" i="104"/>
  <c r="M205" i="104"/>
  <c r="M179" i="104"/>
  <c r="G184" i="104"/>
  <c r="M189" i="104"/>
  <c r="M184" i="104"/>
  <c r="N184" i="104" s="1"/>
  <c r="M19" i="104"/>
  <c r="M168" i="104"/>
  <c r="G158" i="104"/>
  <c r="M158" i="104"/>
  <c r="G163" i="104"/>
  <c r="M163" i="104"/>
  <c r="G142" i="104"/>
  <c r="M137" i="104"/>
  <c r="M126" i="104"/>
  <c r="N126" i="104" s="1"/>
  <c r="M116" i="104"/>
  <c r="G121" i="104"/>
  <c r="M121" i="104"/>
  <c r="M95" i="104"/>
  <c r="N104" i="104"/>
  <c r="M100" i="104"/>
  <c r="M74" i="104"/>
  <c r="G79" i="104"/>
  <c r="F16" i="104"/>
  <c r="M79" i="104"/>
  <c r="M9" i="104"/>
  <c r="M84" i="104"/>
  <c r="M14" i="104"/>
  <c r="N51" i="104"/>
  <c r="M53" i="104"/>
  <c r="M58" i="104"/>
  <c r="N476" i="104"/>
  <c r="E478" i="104"/>
  <c r="L473" i="104"/>
  <c r="L478" i="104"/>
  <c r="E457" i="104"/>
  <c r="L452" i="104"/>
  <c r="L457" i="104"/>
  <c r="N430" i="104"/>
  <c r="L441" i="104"/>
  <c r="L431" i="104"/>
  <c r="E415" i="104"/>
  <c r="L410" i="104"/>
  <c r="L415" i="104"/>
  <c r="E399" i="104"/>
  <c r="L399" i="104"/>
  <c r="L394" i="104"/>
  <c r="E394" i="104"/>
  <c r="L389" i="104"/>
  <c r="L368" i="104"/>
  <c r="E373" i="104"/>
  <c r="L14" i="104"/>
  <c r="L373" i="104"/>
  <c r="L347" i="104"/>
  <c r="E352" i="104"/>
  <c r="L352" i="104"/>
  <c r="N352" i="104" s="1"/>
  <c r="E331" i="104"/>
  <c r="L326" i="104"/>
  <c r="L336" i="104"/>
  <c r="L331" i="104"/>
  <c r="E310" i="104"/>
  <c r="L305" i="104"/>
  <c r="L15" i="104"/>
  <c r="L310" i="104"/>
  <c r="L284" i="104"/>
  <c r="E289" i="104"/>
  <c r="L289" i="104"/>
  <c r="L273" i="104"/>
  <c r="L268" i="104"/>
  <c r="E273" i="104"/>
  <c r="E247" i="104"/>
  <c r="L242" i="104"/>
  <c r="L252" i="104"/>
  <c r="N252" i="104" s="1"/>
  <c r="L221" i="104"/>
  <c r="E226" i="104"/>
  <c r="N219" i="104"/>
  <c r="L226" i="104"/>
  <c r="E205" i="104"/>
  <c r="L200" i="104"/>
  <c r="L205" i="104"/>
  <c r="E200" i="104"/>
  <c r="L210" i="104"/>
  <c r="N210" i="104" s="1"/>
  <c r="N178" i="104"/>
  <c r="L189" i="104"/>
  <c r="N188" i="104"/>
  <c r="E184" i="104"/>
  <c r="L179" i="104"/>
  <c r="N167" i="104"/>
  <c r="L10" i="104"/>
  <c r="L137" i="104"/>
  <c r="E142" i="104"/>
  <c r="L9" i="104"/>
  <c r="L142" i="104"/>
  <c r="N142" i="104" s="1"/>
  <c r="L116" i="104"/>
  <c r="E121" i="104"/>
  <c r="L121" i="104"/>
  <c r="L95" i="104"/>
  <c r="L20" i="104"/>
  <c r="L74" i="104"/>
  <c r="E79" i="104"/>
  <c r="L84" i="104"/>
  <c r="L79" i="104"/>
  <c r="L58" i="104"/>
  <c r="L53" i="104"/>
  <c r="D16" i="104"/>
  <c r="L63" i="104"/>
  <c r="L42" i="104"/>
  <c r="N40" i="104"/>
  <c r="C478" i="104"/>
  <c r="K473" i="104"/>
  <c r="K483" i="104"/>
  <c r="N483" i="104" s="1"/>
  <c r="K478" i="104"/>
  <c r="C457" i="104"/>
  <c r="K452" i="104"/>
  <c r="K462" i="104"/>
  <c r="K441" i="104"/>
  <c r="K431" i="104"/>
  <c r="K410" i="104"/>
  <c r="C415" i="104"/>
  <c r="K415" i="104"/>
  <c r="K389" i="104"/>
  <c r="C394" i="104"/>
  <c r="K399" i="104"/>
  <c r="K394" i="104"/>
  <c r="K368" i="104"/>
  <c r="C373" i="104"/>
  <c r="K373" i="104"/>
  <c r="K378" i="104"/>
  <c r="C352" i="104"/>
  <c r="K347" i="104"/>
  <c r="C331" i="104"/>
  <c r="K326" i="104"/>
  <c r="K331" i="104"/>
  <c r="K305" i="104"/>
  <c r="C310" i="104"/>
  <c r="K315" i="104"/>
  <c r="K310" i="104"/>
  <c r="K294" i="104"/>
  <c r="N294" i="104" s="1"/>
  <c r="C289" i="104"/>
  <c r="K284" i="104"/>
  <c r="K289" i="104"/>
  <c r="C268" i="104"/>
  <c r="K263" i="104"/>
  <c r="K268" i="104"/>
  <c r="K242" i="104"/>
  <c r="C247" i="104"/>
  <c r="K247" i="104"/>
  <c r="C226" i="104"/>
  <c r="K221" i="104"/>
  <c r="K226" i="104"/>
  <c r="C205" i="104"/>
  <c r="K200" i="104"/>
  <c r="K205" i="104"/>
  <c r="B11" i="104"/>
  <c r="K189" i="104"/>
  <c r="K179" i="104"/>
  <c r="C163" i="104"/>
  <c r="K158" i="104"/>
  <c r="K163" i="104"/>
  <c r="K116" i="104"/>
  <c r="C121" i="104"/>
  <c r="K95" i="104"/>
  <c r="K9" i="104"/>
  <c r="K105" i="104"/>
  <c r="K10" i="104"/>
  <c r="K100" i="104"/>
  <c r="K58" i="104"/>
  <c r="K53" i="104"/>
  <c r="K63" i="104"/>
  <c r="M10" i="104"/>
  <c r="N30" i="104"/>
  <c r="B16" i="104"/>
  <c r="K42" i="104"/>
  <c r="N36" i="104"/>
  <c r="L32" i="104"/>
  <c r="D11" i="104"/>
  <c r="M37" i="104"/>
  <c r="M32" i="104"/>
  <c r="F11" i="104"/>
  <c r="H32" i="104"/>
  <c r="I30" i="104" s="1"/>
  <c r="H9" i="104"/>
  <c r="M42" i="104"/>
  <c r="B21" i="104"/>
  <c r="K37" i="104"/>
  <c r="K15" i="104"/>
  <c r="K20" i="104"/>
  <c r="K19" i="104"/>
  <c r="K14" i="104"/>
  <c r="G73" i="104" l="1"/>
  <c r="C78" i="104"/>
  <c r="G78" i="104"/>
  <c r="I35" i="104"/>
  <c r="I72" i="104"/>
  <c r="G36" i="104"/>
  <c r="E37" i="104"/>
  <c r="C36" i="104"/>
  <c r="E35" i="104"/>
  <c r="E78" i="104"/>
  <c r="C35" i="104"/>
  <c r="C77" i="104"/>
  <c r="C79" i="104"/>
  <c r="I78" i="104"/>
  <c r="I36" i="104"/>
  <c r="I79" i="104"/>
  <c r="I37" i="104"/>
  <c r="C74" i="104"/>
  <c r="E77" i="104"/>
  <c r="E36" i="104"/>
  <c r="I77" i="104"/>
  <c r="G35" i="104"/>
  <c r="C99" i="104"/>
  <c r="E99" i="104"/>
  <c r="G100" i="104"/>
  <c r="I99" i="104"/>
  <c r="E98" i="104"/>
  <c r="G98" i="104"/>
  <c r="C100" i="104"/>
  <c r="I100" i="104"/>
  <c r="C98" i="104"/>
  <c r="E100" i="104"/>
  <c r="I104" i="104"/>
  <c r="I82" i="104"/>
  <c r="C84" i="104"/>
  <c r="I83" i="104"/>
  <c r="G84" i="104"/>
  <c r="G95" i="104"/>
  <c r="N457" i="104"/>
  <c r="G58" i="104"/>
  <c r="I56" i="104"/>
  <c r="H16" i="104"/>
  <c r="C14" i="104" s="1"/>
  <c r="C72" i="104"/>
  <c r="I74" i="104"/>
  <c r="C93" i="104"/>
  <c r="I95" i="104"/>
  <c r="E74" i="104"/>
  <c r="E72" i="104"/>
  <c r="G74" i="104"/>
  <c r="I73" i="104"/>
  <c r="C73" i="104"/>
  <c r="N158" i="104"/>
  <c r="G94" i="104"/>
  <c r="E58" i="104"/>
  <c r="C56" i="104"/>
  <c r="I57" i="104"/>
  <c r="C58" i="104"/>
  <c r="G56" i="104"/>
  <c r="E57" i="104"/>
  <c r="G57" i="104"/>
  <c r="I58" i="104"/>
  <c r="E56" i="104"/>
  <c r="L21" i="104"/>
  <c r="C95" i="104"/>
  <c r="E94" i="104"/>
  <c r="N462" i="104"/>
  <c r="I93" i="104"/>
  <c r="N378" i="104"/>
  <c r="E93" i="104"/>
  <c r="C94" i="104"/>
  <c r="E41" i="104"/>
  <c r="I41" i="104"/>
  <c r="G41" i="104"/>
  <c r="G53" i="104"/>
  <c r="I53" i="104"/>
  <c r="C63" i="104"/>
  <c r="N32" i="104"/>
  <c r="E52" i="104"/>
  <c r="I52" i="104"/>
  <c r="E40" i="104"/>
  <c r="C53" i="104"/>
  <c r="G51" i="104"/>
  <c r="G40" i="104"/>
  <c r="E53" i="104"/>
  <c r="E42" i="104"/>
  <c r="C40" i="104"/>
  <c r="E51" i="104"/>
  <c r="C41" i="104"/>
  <c r="C51" i="104"/>
  <c r="G52" i="104"/>
  <c r="G42" i="104"/>
  <c r="I40" i="104"/>
  <c r="I51" i="104"/>
  <c r="C62" i="104"/>
  <c r="I61" i="104"/>
  <c r="E61" i="104"/>
  <c r="I63" i="104"/>
  <c r="G61" i="104"/>
  <c r="G62" i="104"/>
  <c r="E62" i="104"/>
  <c r="I94" i="104"/>
  <c r="G63" i="104"/>
  <c r="N105" i="104"/>
  <c r="N42" i="104"/>
  <c r="N168" i="104"/>
  <c r="G93" i="104"/>
  <c r="C42" i="104"/>
  <c r="H21" i="104"/>
  <c r="C19" i="104" s="1"/>
  <c r="E63" i="104"/>
  <c r="I62" i="104"/>
  <c r="N315" i="104"/>
  <c r="L16" i="104"/>
  <c r="N452" i="104"/>
  <c r="N263" i="104"/>
  <c r="N200" i="104"/>
  <c r="N473" i="104"/>
  <c r="N431" i="104"/>
  <c r="N415" i="104"/>
  <c r="N394" i="104"/>
  <c r="N399" i="104"/>
  <c r="N373" i="104"/>
  <c r="N368" i="104"/>
  <c r="N347" i="104"/>
  <c r="N336" i="104"/>
  <c r="N331" i="104"/>
  <c r="N273" i="104"/>
  <c r="N268" i="104"/>
  <c r="N247" i="104"/>
  <c r="N242" i="104"/>
  <c r="N221" i="104"/>
  <c r="N205" i="104"/>
  <c r="N137" i="104"/>
  <c r="N116" i="104"/>
  <c r="N95" i="104"/>
  <c r="N74" i="104"/>
  <c r="N53" i="104"/>
  <c r="N410" i="104"/>
  <c r="N305" i="104"/>
  <c r="N289" i="104"/>
  <c r="N19" i="104"/>
  <c r="N189" i="104"/>
  <c r="N163" i="104"/>
  <c r="N121" i="104"/>
  <c r="M16" i="104"/>
  <c r="N100" i="104"/>
  <c r="N79" i="104"/>
  <c r="N84" i="104"/>
  <c r="N14" i="104"/>
  <c r="N478" i="104"/>
  <c r="N441" i="104"/>
  <c r="N389" i="104"/>
  <c r="N326" i="104"/>
  <c r="N15" i="104"/>
  <c r="N310" i="104"/>
  <c r="N284" i="104"/>
  <c r="N10" i="104"/>
  <c r="N226" i="104"/>
  <c r="N179" i="104"/>
  <c r="N9" i="104"/>
  <c r="N20" i="104"/>
  <c r="L11" i="104"/>
  <c r="N58" i="104"/>
  <c r="N63" i="104"/>
  <c r="K11" i="104"/>
  <c r="N37" i="104"/>
  <c r="I32" i="104"/>
  <c r="G30" i="104"/>
  <c r="E30" i="104"/>
  <c r="C31" i="104"/>
  <c r="H11" i="104"/>
  <c r="C32" i="104"/>
  <c r="E32" i="104"/>
  <c r="C30" i="104"/>
  <c r="E31" i="104"/>
  <c r="G31" i="104"/>
  <c r="G32" i="104"/>
  <c r="M11" i="104"/>
  <c r="M21" i="104"/>
  <c r="K21" i="104"/>
  <c r="K16" i="104"/>
  <c r="I31" i="104"/>
  <c r="G14" i="104" l="1"/>
  <c r="G16" i="104"/>
  <c r="G15" i="104"/>
  <c r="I16" i="104"/>
  <c r="E14" i="104"/>
  <c r="E16" i="104"/>
  <c r="C15" i="104"/>
  <c r="C16" i="104"/>
  <c r="E15" i="104"/>
  <c r="I14" i="104"/>
  <c r="I15" i="104"/>
  <c r="E20" i="104"/>
  <c r="G19" i="104"/>
  <c r="E21" i="104"/>
  <c r="I19" i="104"/>
  <c r="G21" i="104"/>
  <c r="I20" i="104"/>
  <c r="I21" i="104"/>
  <c r="G20" i="104"/>
  <c r="C21" i="104"/>
  <c r="E19" i="104"/>
  <c r="C20" i="104"/>
  <c r="N16" i="104"/>
  <c r="N21" i="104"/>
  <c r="N11" i="104"/>
  <c r="E11" i="104"/>
  <c r="E9" i="104"/>
  <c r="C9" i="104"/>
  <c r="C11" i="104"/>
  <c r="E10" i="104"/>
  <c r="G10" i="104"/>
  <c r="C10" i="104"/>
  <c r="I10" i="104"/>
  <c r="G11" i="104"/>
  <c r="I11" i="104"/>
  <c r="G9" i="104"/>
  <c r="I9" i="104"/>
  <c r="A1292" i="103" l="1"/>
  <c r="A1291" i="103"/>
  <c r="A1290" i="103"/>
  <c r="A1289" i="103"/>
  <c r="A1288" i="103"/>
  <c r="A1287" i="103"/>
  <c r="A1286" i="103"/>
  <c r="A1285" i="103"/>
  <c r="A1284" i="103"/>
  <c r="A1281" i="103"/>
  <c r="A1275" i="103"/>
  <c r="A1274" i="103"/>
  <c r="A1273" i="103"/>
  <c r="A1272" i="103"/>
  <c r="A1271" i="103"/>
  <c r="A1270" i="103"/>
  <c r="A1269" i="103"/>
  <c r="A1268" i="103"/>
  <c r="A1267" i="103"/>
  <c r="A1264" i="103"/>
  <c r="A1258" i="103"/>
  <c r="A1257" i="103"/>
  <c r="A1256" i="103"/>
  <c r="A1255" i="103"/>
  <c r="A1254" i="103"/>
  <c r="A1253" i="103"/>
  <c r="A1252" i="103"/>
  <c r="A1251" i="103"/>
  <c r="A1250" i="103"/>
  <c r="A1247" i="103"/>
  <c r="A1241" i="103"/>
  <c r="A1240" i="103"/>
  <c r="A1239" i="103"/>
  <c r="A1238" i="103"/>
  <c r="A1237" i="103"/>
  <c r="A1236" i="103"/>
  <c r="A1235" i="103"/>
  <c r="A1234" i="103"/>
  <c r="A1233" i="103"/>
  <c r="A1230" i="103"/>
  <c r="A1224" i="103"/>
  <c r="A1223" i="103"/>
  <c r="A1222" i="103"/>
  <c r="A1221" i="103"/>
  <c r="A1220" i="103"/>
  <c r="A1219" i="103"/>
  <c r="A1218" i="103"/>
  <c r="A1217" i="103"/>
  <c r="A1216" i="103"/>
  <c r="A1213" i="103"/>
  <c r="A1207" i="103"/>
  <c r="A1206" i="103"/>
  <c r="A1205" i="103"/>
  <c r="A1204" i="103"/>
  <c r="A1203" i="103"/>
  <c r="A1202" i="103"/>
  <c r="A1201" i="103"/>
  <c r="A1200" i="103"/>
  <c r="A1199" i="103"/>
  <c r="A1196" i="103"/>
  <c r="A1190" i="103"/>
  <c r="A1189" i="103"/>
  <c r="A1188" i="103"/>
  <c r="A1187" i="103"/>
  <c r="A1186" i="103"/>
  <c r="A1185" i="103"/>
  <c r="A1184" i="103"/>
  <c r="A1183" i="103"/>
  <c r="A1182" i="103"/>
  <c r="A1179" i="103"/>
  <c r="A1173" i="103"/>
  <c r="A1172" i="103"/>
  <c r="A1171" i="103"/>
  <c r="A1170" i="103"/>
  <c r="A1169" i="103"/>
  <c r="A1168" i="103"/>
  <c r="A1167" i="103"/>
  <c r="A1166" i="103"/>
  <c r="A1165" i="103"/>
  <c r="A1162" i="103"/>
  <c r="A1156" i="103"/>
  <c r="A1155" i="103"/>
  <c r="A1154" i="103"/>
  <c r="A1153" i="103"/>
  <c r="A1152" i="103"/>
  <c r="A1151" i="103"/>
  <c r="A1150" i="103"/>
  <c r="A1149" i="103"/>
  <c r="A1148" i="103"/>
  <c r="A1145" i="103"/>
  <c r="A1139" i="103"/>
  <c r="A1138" i="103"/>
  <c r="A1137" i="103"/>
  <c r="A1136" i="103"/>
  <c r="A1135" i="103"/>
  <c r="A1134" i="103"/>
  <c r="A1133" i="103"/>
  <c r="A1132" i="103"/>
  <c r="A1131" i="103"/>
  <c r="A1128" i="103"/>
  <c r="A1122" i="103"/>
  <c r="A1121" i="103"/>
  <c r="A1120" i="103"/>
  <c r="A1119" i="103"/>
  <c r="A1118" i="103"/>
  <c r="A1117" i="103"/>
  <c r="A1116" i="103"/>
  <c r="A1115" i="103"/>
  <c r="A1114" i="103"/>
  <c r="A1111" i="103"/>
  <c r="A1105" i="103"/>
  <c r="A1104" i="103"/>
  <c r="A1103" i="103"/>
  <c r="A1102" i="103"/>
  <c r="A1101" i="103"/>
  <c r="A1100" i="103"/>
  <c r="A1099" i="103"/>
  <c r="A1098" i="103"/>
  <c r="A1097" i="103"/>
  <c r="A1094" i="103"/>
  <c r="A1088" i="103"/>
  <c r="A1087" i="103"/>
  <c r="A1086" i="103"/>
  <c r="A1085" i="103"/>
  <c r="A1084" i="103"/>
  <c r="A1083" i="103"/>
  <c r="A1082" i="103"/>
  <c r="A1081" i="103"/>
  <c r="A1080" i="103"/>
  <c r="A1077" i="103"/>
  <c r="A1071" i="103"/>
  <c r="A1070" i="103"/>
  <c r="A1069" i="103"/>
  <c r="A1068" i="103"/>
  <c r="A1067" i="103"/>
  <c r="A1066" i="103"/>
  <c r="A1065" i="103"/>
  <c r="A1064" i="103"/>
  <c r="A1063" i="103"/>
  <c r="A1060" i="103"/>
  <c r="A1054" i="103"/>
  <c r="A1053" i="103"/>
  <c r="A1052" i="103"/>
  <c r="A1051" i="103"/>
  <c r="A1050" i="103"/>
  <c r="A1049" i="103"/>
  <c r="A1048" i="103"/>
  <c r="A1047" i="103"/>
  <c r="A1046" i="103"/>
  <c r="A1043" i="103"/>
  <c r="A1037" i="103"/>
  <c r="A1036" i="103"/>
  <c r="A1035" i="103"/>
  <c r="A1034" i="103"/>
  <c r="A1033" i="103"/>
  <c r="A1032" i="103"/>
  <c r="A1031" i="103"/>
  <c r="A1030" i="103"/>
  <c r="A1029" i="103"/>
  <c r="A1026" i="103"/>
  <c r="A1020" i="103"/>
  <c r="A1019" i="103"/>
  <c r="A1018" i="103"/>
  <c r="A1017" i="103"/>
  <c r="A1016" i="103"/>
  <c r="A1015" i="103"/>
  <c r="A1014" i="103"/>
  <c r="A1013" i="103"/>
  <c r="A1012" i="103"/>
  <c r="A1009" i="103"/>
  <c r="A1003" i="103"/>
  <c r="A1002" i="103"/>
  <c r="A1001" i="103"/>
  <c r="A1000" i="103"/>
  <c r="A999" i="103"/>
  <c r="A998" i="103"/>
  <c r="A997" i="103"/>
  <c r="A996" i="103"/>
  <c r="A995" i="103"/>
  <c r="A992" i="103"/>
  <c r="A986" i="103"/>
  <c r="A985" i="103"/>
  <c r="A984" i="103"/>
  <c r="A983" i="103"/>
  <c r="A982" i="103"/>
  <c r="A981" i="103"/>
  <c r="A980" i="103"/>
  <c r="A979" i="103"/>
  <c r="A978" i="103"/>
  <c r="A975" i="103"/>
  <c r="A969" i="103"/>
  <c r="A968" i="103"/>
  <c r="A967" i="103"/>
  <c r="A966" i="103"/>
  <c r="A965" i="103"/>
  <c r="A964" i="103"/>
  <c r="A963" i="103"/>
  <c r="A962" i="103"/>
  <c r="A961" i="103"/>
  <c r="A958" i="103"/>
  <c r="A952" i="103"/>
  <c r="A951" i="103"/>
  <c r="A950" i="103"/>
  <c r="A949" i="103"/>
  <c r="A948" i="103"/>
  <c r="A947" i="103"/>
  <c r="A946" i="103"/>
  <c r="A945" i="103"/>
  <c r="A944" i="103"/>
  <c r="A941" i="103"/>
  <c r="A935" i="103"/>
  <c r="A934" i="103"/>
  <c r="A933" i="103"/>
  <c r="A932" i="103"/>
  <c r="A931" i="103"/>
  <c r="A930" i="103"/>
  <c r="A929" i="103"/>
  <c r="A928" i="103"/>
  <c r="A927" i="103"/>
  <c r="A924" i="103"/>
  <c r="A918" i="103"/>
  <c r="A917" i="103"/>
  <c r="A916" i="103"/>
  <c r="A915" i="103"/>
  <c r="A914" i="103"/>
  <c r="A913" i="103"/>
  <c r="A912" i="103"/>
  <c r="A911" i="103"/>
  <c r="A910" i="103"/>
  <c r="A907" i="103"/>
  <c r="A901" i="103"/>
  <c r="A900" i="103"/>
  <c r="A899" i="103"/>
  <c r="A898" i="103"/>
  <c r="A897" i="103"/>
  <c r="A896" i="103"/>
  <c r="A895" i="103"/>
  <c r="A894" i="103"/>
  <c r="A893" i="103"/>
  <c r="A890" i="103"/>
  <c r="A884" i="103"/>
  <c r="A883" i="103"/>
  <c r="A882" i="103"/>
  <c r="A881" i="103"/>
  <c r="A880" i="103"/>
  <c r="A879" i="103"/>
  <c r="A878" i="103"/>
  <c r="A877" i="103"/>
  <c r="A876" i="103"/>
  <c r="A873" i="103"/>
  <c r="A867" i="103"/>
  <c r="A866" i="103"/>
  <c r="A865" i="103"/>
  <c r="A864" i="103"/>
  <c r="A863" i="103"/>
  <c r="A862" i="103"/>
  <c r="A861" i="103"/>
  <c r="A860" i="103"/>
  <c r="A859" i="103"/>
  <c r="A856" i="103"/>
  <c r="A850" i="103"/>
  <c r="A849" i="103"/>
  <c r="A848" i="103"/>
  <c r="A847" i="103"/>
  <c r="A846" i="103"/>
  <c r="A845" i="103"/>
  <c r="A844" i="103"/>
  <c r="A843" i="103"/>
  <c r="A842" i="103"/>
  <c r="A839" i="103"/>
  <c r="A833" i="103"/>
  <c r="A832" i="103"/>
  <c r="A831" i="103"/>
  <c r="A830" i="103"/>
  <c r="A829" i="103"/>
  <c r="A828" i="103"/>
  <c r="A827" i="103"/>
  <c r="A826" i="103"/>
  <c r="A825" i="103"/>
  <c r="A822" i="103"/>
  <c r="A816" i="103"/>
  <c r="A815" i="103"/>
  <c r="A814" i="103"/>
  <c r="A813" i="103"/>
  <c r="A812" i="103"/>
  <c r="A811" i="103"/>
  <c r="A810" i="103"/>
  <c r="A809" i="103"/>
  <c r="A808" i="103"/>
  <c r="A805" i="103"/>
  <c r="A799" i="103"/>
  <c r="A798" i="103"/>
  <c r="A797" i="103"/>
  <c r="A796" i="103"/>
  <c r="A795" i="103"/>
  <c r="A794" i="103"/>
  <c r="A793" i="103"/>
  <c r="A792" i="103"/>
  <c r="A791" i="103"/>
  <c r="A788" i="103"/>
  <c r="A782" i="103"/>
  <c r="A781" i="103"/>
  <c r="A780" i="103"/>
  <c r="A779" i="103"/>
  <c r="A778" i="103"/>
  <c r="A777" i="103"/>
  <c r="A776" i="103"/>
  <c r="A775" i="103"/>
  <c r="A774" i="103"/>
  <c r="A771" i="103"/>
  <c r="A765" i="103"/>
  <c r="A764" i="103"/>
  <c r="A763" i="103"/>
  <c r="A762" i="103"/>
  <c r="A761" i="103"/>
  <c r="A760" i="103"/>
  <c r="A759" i="103"/>
  <c r="A758" i="103"/>
  <c r="A757" i="103"/>
  <c r="A754" i="103"/>
  <c r="A748" i="103"/>
  <c r="A747" i="103"/>
  <c r="A746" i="103"/>
  <c r="A745" i="103"/>
  <c r="A744" i="103"/>
  <c r="A743" i="103"/>
  <c r="A742" i="103"/>
  <c r="A741" i="103"/>
  <c r="A740" i="103"/>
  <c r="A737" i="103"/>
  <c r="A731" i="103"/>
  <c r="A730" i="103"/>
  <c r="A729" i="103"/>
  <c r="A728" i="103"/>
  <c r="A727" i="103"/>
  <c r="A726" i="103"/>
  <c r="A725" i="103"/>
  <c r="A724" i="103"/>
  <c r="A723" i="103"/>
  <c r="A720" i="103"/>
  <c r="A714" i="103"/>
  <c r="A713" i="103"/>
  <c r="A712" i="103"/>
  <c r="A711" i="103"/>
  <c r="A710" i="103"/>
  <c r="A709" i="103"/>
  <c r="A708" i="103"/>
  <c r="A707" i="103"/>
  <c r="A706" i="103"/>
  <c r="A703" i="103"/>
  <c r="A697" i="103"/>
  <c r="A696" i="103"/>
  <c r="A695" i="103"/>
  <c r="A694" i="103"/>
  <c r="A693" i="103"/>
  <c r="A692" i="103"/>
  <c r="A691" i="103"/>
  <c r="A690" i="103"/>
  <c r="A689" i="103"/>
  <c r="A686" i="103"/>
  <c r="A680" i="103"/>
  <c r="A679" i="103"/>
  <c r="A678" i="103"/>
  <c r="A677" i="103"/>
  <c r="A676" i="103"/>
  <c r="A675" i="103"/>
  <c r="A674" i="103"/>
  <c r="A673" i="103"/>
  <c r="A672" i="103"/>
  <c r="A669" i="103"/>
  <c r="A663" i="103"/>
  <c r="A662" i="103"/>
  <c r="A661" i="103"/>
  <c r="A660" i="103"/>
  <c r="A659" i="103"/>
  <c r="A658" i="103"/>
  <c r="A657" i="103"/>
  <c r="A656" i="103"/>
  <c r="A655" i="103"/>
  <c r="A652" i="103"/>
  <c r="A646" i="103"/>
  <c r="A645" i="103"/>
  <c r="A644" i="103"/>
  <c r="A643" i="103"/>
  <c r="A642" i="103"/>
  <c r="A641" i="103"/>
  <c r="A640" i="103"/>
  <c r="A639" i="103"/>
  <c r="A638" i="103"/>
  <c r="A635" i="103"/>
  <c r="A629" i="103"/>
  <c r="A628" i="103"/>
  <c r="A627" i="103"/>
  <c r="A626" i="103"/>
  <c r="A625" i="103"/>
  <c r="A624" i="103"/>
  <c r="A623" i="103"/>
  <c r="A622" i="103"/>
  <c r="A621" i="103"/>
  <c r="A618" i="103"/>
  <c r="A612" i="103"/>
  <c r="A611" i="103"/>
  <c r="A610" i="103"/>
  <c r="A609" i="103"/>
  <c r="A608" i="103"/>
  <c r="A607" i="103"/>
  <c r="A606" i="103"/>
  <c r="A605" i="103"/>
  <c r="A604" i="103"/>
  <c r="A601" i="103"/>
  <c r="A595" i="103"/>
  <c r="A594" i="103"/>
  <c r="A593" i="103"/>
  <c r="A592" i="103"/>
  <c r="A591" i="103"/>
  <c r="A590" i="103"/>
  <c r="A589" i="103"/>
  <c r="A588" i="103"/>
  <c r="A587" i="103"/>
  <c r="A584" i="103"/>
  <c r="A578" i="103"/>
  <c r="A577" i="103"/>
  <c r="A576" i="103"/>
  <c r="A575" i="103"/>
  <c r="A574" i="103"/>
  <c r="A573" i="103"/>
  <c r="A572" i="103"/>
  <c r="A571" i="103"/>
  <c r="A570" i="103"/>
  <c r="A567" i="103"/>
  <c r="A561" i="103"/>
  <c r="A560" i="103"/>
  <c r="A559" i="103"/>
  <c r="A558" i="103"/>
  <c r="A557" i="103"/>
  <c r="A556" i="103"/>
  <c r="A555" i="103"/>
  <c r="A554" i="103"/>
  <c r="A553" i="103"/>
  <c r="A550" i="103"/>
  <c r="A544" i="103"/>
  <c r="A543" i="103"/>
  <c r="A542" i="103"/>
  <c r="A541" i="103"/>
  <c r="A540" i="103"/>
  <c r="A539" i="103"/>
  <c r="A538" i="103"/>
  <c r="A537" i="103"/>
  <c r="A536" i="103"/>
  <c r="A533" i="103"/>
  <c r="A527" i="103"/>
  <c r="A526" i="103"/>
  <c r="A525" i="103"/>
  <c r="A524" i="103"/>
  <c r="A523" i="103"/>
  <c r="A522" i="103"/>
  <c r="A521" i="103"/>
  <c r="A520" i="103"/>
  <c r="A519" i="103"/>
  <c r="A516" i="103"/>
  <c r="A510" i="103"/>
  <c r="A509" i="103"/>
  <c r="A508" i="103"/>
  <c r="A507" i="103"/>
  <c r="A506" i="103"/>
  <c r="A505" i="103"/>
  <c r="A504" i="103"/>
  <c r="A503" i="103"/>
  <c r="A502" i="103"/>
  <c r="A499" i="103"/>
  <c r="A493" i="103"/>
  <c r="A492" i="103"/>
  <c r="A491" i="103"/>
  <c r="A490" i="103"/>
  <c r="A489" i="103"/>
  <c r="A488" i="103"/>
  <c r="A487" i="103"/>
  <c r="A486" i="103"/>
  <c r="A485" i="103"/>
  <c r="A482" i="103"/>
  <c r="A476" i="103"/>
  <c r="A475" i="103"/>
  <c r="A474" i="103"/>
  <c r="A473" i="103"/>
  <c r="A472" i="103"/>
  <c r="A471" i="103"/>
  <c r="A470" i="103"/>
  <c r="A469" i="103"/>
  <c r="A468" i="103"/>
  <c r="A465" i="103"/>
  <c r="A459" i="103"/>
  <c r="A458" i="103"/>
  <c r="A457" i="103"/>
  <c r="A456" i="103"/>
  <c r="A455" i="103"/>
  <c r="A454" i="103"/>
  <c r="A453" i="103"/>
  <c r="A452" i="103"/>
  <c r="A451" i="103"/>
  <c r="A448" i="103"/>
  <c r="A442" i="103"/>
  <c r="A441" i="103"/>
  <c r="A440" i="103"/>
  <c r="A439" i="103"/>
  <c r="A438" i="103"/>
  <c r="A437" i="103"/>
  <c r="A436" i="103"/>
  <c r="A435" i="103"/>
  <c r="A434" i="103"/>
  <c r="A431" i="103"/>
  <c r="A425" i="103"/>
  <c r="A424" i="103"/>
  <c r="A423" i="103"/>
  <c r="A422" i="103"/>
  <c r="A421" i="103"/>
  <c r="A420" i="103"/>
  <c r="A419" i="103"/>
  <c r="A418" i="103"/>
  <c r="A417" i="103"/>
  <c r="A414" i="103"/>
  <c r="A408" i="103"/>
  <c r="A407" i="103"/>
  <c r="A406" i="103"/>
  <c r="A405" i="103"/>
  <c r="A404" i="103"/>
  <c r="A403" i="103"/>
  <c r="A402" i="103"/>
  <c r="A401" i="103"/>
  <c r="A400" i="103"/>
  <c r="A397" i="103"/>
  <c r="A391" i="103"/>
  <c r="A390" i="103"/>
  <c r="A389" i="103"/>
  <c r="A388" i="103"/>
  <c r="A387" i="103"/>
  <c r="A386" i="103"/>
  <c r="A385" i="103"/>
  <c r="A384" i="103"/>
  <c r="A383" i="103"/>
  <c r="A380" i="103"/>
  <c r="A374" i="103"/>
  <c r="A373" i="103"/>
  <c r="A372" i="103"/>
  <c r="A371" i="103"/>
  <c r="A370" i="103"/>
  <c r="A369" i="103"/>
  <c r="A368" i="103"/>
  <c r="A367" i="103"/>
  <c r="A366" i="103"/>
  <c r="A363" i="103"/>
  <c r="A357" i="103"/>
  <c r="A356" i="103"/>
  <c r="A355" i="103"/>
  <c r="A354" i="103"/>
  <c r="A353" i="103"/>
  <c r="A352" i="103"/>
  <c r="A351" i="103"/>
  <c r="A350" i="103"/>
  <c r="A349" i="103"/>
  <c r="A346" i="103"/>
  <c r="A340" i="103"/>
  <c r="A339" i="103"/>
  <c r="A338" i="103"/>
  <c r="A337" i="103"/>
  <c r="A336" i="103"/>
  <c r="A335" i="103"/>
  <c r="A334" i="103"/>
  <c r="A333" i="103"/>
  <c r="A332" i="103"/>
  <c r="A329" i="103"/>
  <c r="A323" i="103"/>
  <c r="A322" i="103"/>
  <c r="A321" i="103"/>
  <c r="A320" i="103"/>
  <c r="A319" i="103"/>
  <c r="A318" i="103"/>
  <c r="A317" i="103"/>
  <c r="A316" i="103"/>
  <c r="A315" i="103"/>
  <c r="A312" i="103"/>
  <c r="A306" i="103"/>
  <c r="A305" i="103"/>
  <c r="A304" i="103"/>
  <c r="A303" i="103"/>
  <c r="A302" i="103"/>
  <c r="A301" i="103"/>
  <c r="A300" i="103"/>
  <c r="A299" i="103"/>
  <c r="A298" i="103"/>
  <c r="A295" i="103"/>
  <c r="A289" i="103"/>
  <c r="A288" i="103"/>
  <c r="A287" i="103"/>
  <c r="A286" i="103"/>
  <c r="A285" i="103"/>
  <c r="A284" i="103"/>
  <c r="A283" i="103"/>
  <c r="A282" i="103"/>
  <c r="A281" i="103"/>
  <c r="A278" i="103"/>
  <c r="A272" i="103"/>
  <c r="A271" i="103"/>
  <c r="A270" i="103"/>
  <c r="A269" i="103"/>
  <c r="A268" i="103"/>
  <c r="A267" i="103"/>
  <c r="A266" i="103"/>
  <c r="A265" i="103"/>
  <c r="A264" i="103"/>
  <c r="A261" i="103"/>
  <c r="A255" i="103"/>
  <c r="A254" i="103"/>
  <c r="A253" i="103"/>
  <c r="A252" i="103"/>
  <c r="A251" i="103"/>
  <c r="A250" i="103"/>
  <c r="A249" i="103"/>
  <c r="A248" i="103"/>
  <c r="A247" i="103"/>
  <c r="A244" i="103"/>
  <c r="A238" i="103"/>
  <c r="A237" i="103"/>
  <c r="A236" i="103"/>
  <c r="A235" i="103"/>
  <c r="A234" i="103"/>
  <c r="A233" i="103"/>
  <c r="A232" i="103"/>
  <c r="A231" i="103"/>
  <c r="A230" i="103"/>
  <c r="A227" i="103"/>
  <c r="A221" i="103"/>
  <c r="A220" i="103"/>
  <c r="A219" i="103"/>
  <c r="A218" i="103"/>
  <c r="A217" i="103"/>
  <c r="A216" i="103"/>
  <c r="A215" i="103"/>
  <c r="A214" i="103"/>
  <c r="A213" i="103"/>
  <c r="A210" i="103"/>
  <c r="A204" i="103"/>
  <c r="A203" i="103"/>
  <c r="A202" i="103"/>
  <c r="A201" i="103"/>
  <c r="A200" i="103"/>
  <c r="A199" i="103"/>
  <c r="A198" i="103"/>
  <c r="A197" i="103"/>
  <c r="A196" i="103"/>
  <c r="A193" i="103"/>
  <c r="A187" i="103"/>
  <c r="A186" i="103"/>
  <c r="A185" i="103"/>
  <c r="A184" i="103"/>
  <c r="A183" i="103"/>
  <c r="A182" i="103"/>
  <c r="A181" i="103"/>
  <c r="A180" i="103"/>
  <c r="A179" i="103"/>
  <c r="A176" i="103"/>
  <c r="A170" i="103"/>
  <c r="A169" i="103"/>
  <c r="A168" i="103"/>
  <c r="A167" i="103"/>
  <c r="A166" i="103"/>
  <c r="A165" i="103"/>
  <c r="A164" i="103"/>
  <c r="A163" i="103"/>
  <c r="A162" i="103"/>
  <c r="A159" i="103"/>
  <c r="A153" i="103"/>
  <c r="A152" i="103"/>
  <c r="A151" i="103"/>
  <c r="A150" i="103"/>
  <c r="A149" i="103"/>
  <c r="A148" i="103"/>
  <c r="A147" i="103"/>
  <c r="A146" i="103"/>
  <c r="A145" i="103"/>
  <c r="A142" i="103"/>
  <c r="A136" i="103"/>
  <c r="A135" i="103"/>
  <c r="A134" i="103"/>
  <c r="A133" i="103"/>
  <c r="A132" i="103"/>
  <c r="A131" i="103"/>
  <c r="A130" i="103"/>
  <c r="A129" i="103"/>
  <c r="A128" i="103"/>
  <c r="A125" i="103"/>
  <c r="A119" i="103"/>
  <c r="A118" i="103"/>
  <c r="A117" i="103"/>
  <c r="A116" i="103"/>
  <c r="A115" i="103"/>
  <c r="A114" i="103"/>
  <c r="A113" i="103"/>
  <c r="A112" i="103"/>
  <c r="A111" i="103"/>
  <c r="A108" i="103"/>
  <c r="A102" i="103"/>
  <c r="A101" i="103"/>
  <c r="A100" i="103"/>
  <c r="A99" i="103"/>
  <c r="A98" i="103"/>
  <c r="A97" i="103"/>
  <c r="A96" i="103"/>
  <c r="A95" i="103"/>
  <c r="A94" i="103"/>
  <c r="A91" i="103"/>
  <c r="A85" i="103"/>
  <c r="A84" i="103"/>
  <c r="A83" i="103"/>
  <c r="A82" i="103"/>
  <c r="A81" i="103"/>
  <c r="A80" i="103"/>
  <c r="A79" i="103"/>
  <c r="A78" i="103"/>
  <c r="A77" i="103"/>
  <c r="A74" i="103"/>
  <c r="A68" i="103"/>
  <c r="A67" i="103"/>
  <c r="A66" i="103"/>
  <c r="A65" i="103"/>
  <c r="A64" i="103"/>
  <c r="A63" i="103"/>
  <c r="A62" i="103"/>
  <c r="A61" i="103"/>
  <c r="A60" i="103"/>
  <c r="A57" i="103"/>
  <c r="A51" i="103"/>
  <c r="A50" i="103"/>
  <c r="A49" i="103"/>
  <c r="A48" i="103"/>
  <c r="A47" i="103"/>
  <c r="A46" i="103"/>
  <c r="A45" i="103"/>
  <c r="A44" i="103"/>
  <c r="A43" i="103"/>
  <c r="A40" i="103"/>
  <c r="A34" i="103"/>
  <c r="A33" i="103"/>
  <c r="A32" i="103"/>
  <c r="A31" i="103"/>
  <c r="A30" i="103"/>
  <c r="A29" i="103"/>
  <c r="A28" i="103"/>
  <c r="A27" i="103"/>
  <c r="A26" i="103"/>
  <c r="A23" i="103"/>
  <c r="A17" i="103"/>
  <c r="A16" i="103"/>
  <c r="A15" i="103"/>
  <c r="A14" i="103"/>
  <c r="A13" i="103"/>
  <c r="A12" i="103"/>
  <c r="A11" i="103"/>
  <c r="A10" i="103"/>
  <c r="A9" i="103"/>
  <c r="O24" i="103"/>
  <c r="L23" i="103"/>
  <c r="J24" i="103"/>
  <c r="G23" i="103"/>
  <c r="E24" i="103"/>
  <c r="B23" i="103"/>
  <c r="N7" i="103"/>
  <c r="M7" i="103"/>
  <c r="L7" i="103"/>
  <c r="I7" i="103"/>
  <c r="H7" i="103"/>
  <c r="G7" i="103"/>
  <c r="D7" i="103"/>
  <c r="C7" i="103"/>
  <c r="B7" i="103"/>
  <c r="C1231" i="103" l="1"/>
  <c r="C1163" i="103"/>
  <c r="C1095" i="103"/>
  <c r="C1027" i="103"/>
  <c r="C959" i="103"/>
  <c r="C891" i="103"/>
  <c r="C823" i="103"/>
  <c r="C755" i="103"/>
  <c r="C687" i="103"/>
  <c r="C619" i="103"/>
  <c r="C551" i="103"/>
  <c r="C483" i="103"/>
  <c r="C415" i="103"/>
  <c r="C347" i="103"/>
  <c r="C279" i="103"/>
  <c r="C211" i="103"/>
  <c r="C143" i="103"/>
  <c r="C75" i="103"/>
  <c r="C1282" i="103"/>
  <c r="C1214" i="103"/>
  <c r="C1146" i="103"/>
  <c r="C1078" i="103"/>
  <c r="C1010" i="103"/>
  <c r="C942" i="103"/>
  <c r="C874" i="103"/>
  <c r="C806" i="103"/>
  <c r="C738" i="103"/>
  <c r="C670" i="103"/>
  <c r="C602" i="103"/>
  <c r="C534" i="103"/>
  <c r="C466" i="103"/>
  <c r="C398" i="103"/>
  <c r="C330" i="103"/>
  <c r="C262" i="103"/>
  <c r="C194" i="103"/>
  <c r="C126" i="103"/>
  <c r="C58" i="103"/>
  <c r="C1265" i="103"/>
  <c r="C1197" i="103"/>
  <c r="C1129" i="103"/>
  <c r="C1061" i="103"/>
  <c r="C993" i="103"/>
  <c r="C925" i="103"/>
  <c r="C857" i="103"/>
  <c r="C789" i="103"/>
  <c r="C721" i="103"/>
  <c r="C653" i="103"/>
  <c r="C585" i="103"/>
  <c r="C517" i="103"/>
  <c r="C449" i="103"/>
  <c r="C381" i="103"/>
  <c r="C313" i="103"/>
  <c r="C245" i="103"/>
  <c r="C177" i="103"/>
  <c r="C109" i="103"/>
  <c r="C41" i="103"/>
  <c r="C1248" i="103"/>
  <c r="C1180" i="103"/>
  <c r="C1112" i="103"/>
  <c r="C1044" i="103"/>
  <c r="C976" i="103"/>
  <c r="C908" i="103"/>
  <c r="C840" i="103"/>
  <c r="C772" i="103"/>
  <c r="C704" i="103"/>
  <c r="C636" i="103"/>
  <c r="C568" i="103"/>
  <c r="C500" i="103"/>
  <c r="C432" i="103"/>
  <c r="C364" i="103"/>
  <c r="C296" i="103"/>
  <c r="C228" i="103"/>
  <c r="C160" i="103"/>
  <c r="C92" i="103"/>
  <c r="L1265" i="103"/>
  <c r="L1197" i="103"/>
  <c r="L1129" i="103"/>
  <c r="L1061" i="103"/>
  <c r="L993" i="103"/>
  <c r="L925" i="103"/>
  <c r="L857" i="103"/>
  <c r="L789" i="103"/>
  <c r="L721" i="103"/>
  <c r="L653" i="103"/>
  <c r="L585" i="103"/>
  <c r="L517" i="103"/>
  <c r="L449" i="103"/>
  <c r="L381" i="103"/>
  <c r="L313" i="103"/>
  <c r="L245" i="103"/>
  <c r="L177" i="103"/>
  <c r="L109" i="103"/>
  <c r="L41" i="103"/>
  <c r="L58" i="103"/>
  <c r="L1146" i="103"/>
  <c r="L874" i="103"/>
  <c r="L738" i="103"/>
  <c r="L602" i="103"/>
  <c r="L1282" i="103"/>
  <c r="L1214" i="103"/>
  <c r="L466" i="103"/>
  <c r="L194" i="103"/>
  <c r="L1248" i="103"/>
  <c r="L1180" i="103"/>
  <c r="L1112" i="103"/>
  <c r="L1044" i="103"/>
  <c r="L976" i="103"/>
  <c r="L908" i="103"/>
  <c r="L840" i="103"/>
  <c r="L772" i="103"/>
  <c r="L704" i="103"/>
  <c r="L636" i="103"/>
  <c r="L568" i="103"/>
  <c r="L500" i="103"/>
  <c r="L432" i="103"/>
  <c r="L364" i="103"/>
  <c r="L296" i="103"/>
  <c r="L228" i="103"/>
  <c r="L160" i="103"/>
  <c r="L92" i="103"/>
  <c r="L534" i="103"/>
  <c r="L398" i="103"/>
  <c r="L330" i="103"/>
  <c r="L126" i="103"/>
  <c r="L1078" i="103"/>
  <c r="L670" i="103"/>
  <c r="L1010" i="103"/>
  <c r="L806" i="103"/>
  <c r="L1231" i="103"/>
  <c r="L1163" i="103"/>
  <c r="L1095" i="103"/>
  <c r="L1027" i="103"/>
  <c r="L959" i="103"/>
  <c r="L891" i="103"/>
  <c r="L823" i="103"/>
  <c r="L755" i="103"/>
  <c r="L687" i="103"/>
  <c r="L619" i="103"/>
  <c r="L551" i="103"/>
  <c r="L483" i="103"/>
  <c r="L415" i="103"/>
  <c r="L347" i="103"/>
  <c r="L279" i="103"/>
  <c r="L211" i="103"/>
  <c r="L143" i="103"/>
  <c r="L75" i="103"/>
  <c r="L262" i="103"/>
  <c r="L942" i="103"/>
  <c r="M721" i="103"/>
  <c r="M1248" i="103"/>
  <c r="M1180" i="103"/>
  <c r="M1112" i="103"/>
  <c r="M1044" i="103"/>
  <c r="M976" i="103"/>
  <c r="M908" i="103"/>
  <c r="M840" i="103"/>
  <c r="M772" i="103"/>
  <c r="M704" i="103"/>
  <c r="M636" i="103"/>
  <c r="M568" i="103"/>
  <c r="M500" i="103"/>
  <c r="M432" i="103"/>
  <c r="M364" i="103"/>
  <c r="M296" i="103"/>
  <c r="M228" i="103"/>
  <c r="M160" i="103"/>
  <c r="M92" i="103"/>
  <c r="M1061" i="103"/>
  <c r="M381" i="103"/>
  <c r="M517" i="103"/>
  <c r="M1231" i="103"/>
  <c r="M1163" i="103"/>
  <c r="M1095" i="103"/>
  <c r="M1027" i="103"/>
  <c r="M959" i="103"/>
  <c r="M891" i="103"/>
  <c r="M823" i="103"/>
  <c r="M755" i="103"/>
  <c r="M687" i="103"/>
  <c r="M619" i="103"/>
  <c r="M551" i="103"/>
  <c r="M483" i="103"/>
  <c r="M415" i="103"/>
  <c r="M347" i="103"/>
  <c r="M279" i="103"/>
  <c r="M211" i="103"/>
  <c r="M143" i="103"/>
  <c r="M75" i="103"/>
  <c r="M313" i="103"/>
  <c r="M245" i="103"/>
  <c r="M789" i="103"/>
  <c r="M857" i="103"/>
  <c r="M109" i="103"/>
  <c r="M1282" i="103"/>
  <c r="M1214" i="103"/>
  <c r="M1146" i="103"/>
  <c r="M1078" i="103"/>
  <c r="M1010" i="103"/>
  <c r="M942" i="103"/>
  <c r="M874" i="103"/>
  <c r="M806" i="103"/>
  <c r="M738" i="103"/>
  <c r="M670" i="103"/>
  <c r="M602" i="103"/>
  <c r="M534" i="103"/>
  <c r="M466" i="103"/>
  <c r="M398" i="103"/>
  <c r="M330" i="103"/>
  <c r="M262" i="103"/>
  <c r="M194" i="103"/>
  <c r="M126" i="103"/>
  <c r="M58" i="103"/>
  <c r="M653" i="103"/>
  <c r="M585" i="103"/>
  <c r="M449" i="103"/>
  <c r="M41" i="103"/>
  <c r="M1265" i="103"/>
  <c r="M1197" i="103"/>
  <c r="M1129" i="103"/>
  <c r="M993" i="103"/>
  <c r="M925" i="103"/>
  <c r="M177" i="103"/>
  <c r="N1248" i="103"/>
  <c r="N1180" i="103"/>
  <c r="N1112" i="103"/>
  <c r="N1044" i="103"/>
  <c r="N976" i="103"/>
  <c r="N908" i="103"/>
  <c r="N840" i="103"/>
  <c r="N772" i="103"/>
  <c r="N704" i="103"/>
  <c r="N636" i="103"/>
  <c r="N568" i="103"/>
  <c r="N500" i="103"/>
  <c r="N432" i="103"/>
  <c r="N364" i="103"/>
  <c r="N296" i="103"/>
  <c r="N228" i="103"/>
  <c r="N160" i="103"/>
  <c r="N92" i="103"/>
  <c r="N1231" i="103"/>
  <c r="N1163" i="103"/>
  <c r="N1095" i="103"/>
  <c r="N1027" i="103"/>
  <c r="N959" i="103"/>
  <c r="N891" i="103"/>
  <c r="N823" i="103"/>
  <c r="N755" i="103"/>
  <c r="N687" i="103"/>
  <c r="N619" i="103"/>
  <c r="N551" i="103"/>
  <c r="N483" i="103"/>
  <c r="N415" i="103"/>
  <c r="N347" i="103"/>
  <c r="N279" i="103"/>
  <c r="N211" i="103"/>
  <c r="N143" i="103"/>
  <c r="N75" i="103"/>
  <c r="N1282" i="103"/>
  <c r="N1214" i="103"/>
  <c r="N1146" i="103"/>
  <c r="N1078" i="103"/>
  <c r="N1010" i="103"/>
  <c r="N942" i="103"/>
  <c r="N874" i="103"/>
  <c r="N806" i="103"/>
  <c r="N738" i="103"/>
  <c r="N670" i="103"/>
  <c r="N602" i="103"/>
  <c r="N534" i="103"/>
  <c r="N466" i="103"/>
  <c r="N398" i="103"/>
  <c r="N330" i="103"/>
  <c r="N262" i="103"/>
  <c r="N194" i="103"/>
  <c r="N126" i="103"/>
  <c r="N58" i="103"/>
  <c r="N1265" i="103"/>
  <c r="N1197" i="103"/>
  <c r="N1129" i="103"/>
  <c r="N1061" i="103"/>
  <c r="N993" i="103"/>
  <c r="N925" i="103"/>
  <c r="N857" i="103"/>
  <c r="N789" i="103"/>
  <c r="N721" i="103"/>
  <c r="N653" i="103"/>
  <c r="N585" i="103"/>
  <c r="N517" i="103"/>
  <c r="N449" i="103"/>
  <c r="N381" i="103"/>
  <c r="N313" i="103"/>
  <c r="N245" i="103"/>
  <c r="N177" i="103"/>
  <c r="N109" i="103"/>
  <c r="N41" i="103"/>
  <c r="B364" i="103"/>
  <c r="B1231" i="103"/>
  <c r="B1163" i="103"/>
  <c r="B1095" i="103"/>
  <c r="B1027" i="103"/>
  <c r="B959" i="103"/>
  <c r="B891" i="103"/>
  <c r="B823" i="103"/>
  <c r="B755" i="103"/>
  <c r="B687" i="103"/>
  <c r="B619" i="103"/>
  <c r="B551" i="103"/>
  <c r="B483" i="103"/>
  <c r="B415" i="103"/>
  <c r="B347" i="103"/>
  <c r="B279" i="103"/>
  <c r="B211" i="103"/>
  <c r="B143" i="103"/>
  <c r="B75" i="103"/>
  <c r="B840" i="103"/>
  <c r="B772" i="103"/>
  <c r="B704" i="103"/>
  <c r="B568" i="103"/>
  <c r="B228" i="103"/>
  <c r="B160" i="103"/>
  <c r="B92" i="103"/>
  <c r="B1044" i="103"/>
  <c r="B296" i="103"/>
  <c r="B1282" i="103"/>
  <c r="B1214" i="103"/>
  <c r="B1146" i="103"/>
  <c r="B1078" i="103"/>
  <c r="B1010" i="103"/>
  <c r="B942" i="103"/>
  <c r="B874" i="103"/>
  <c r="B806" i="103"/>
  <c r="B738" i="103"/>
  <c r="B670" i="103"/>
  <c r="B602" i="103"/>
  <c r="B534" i="103"/>
  <c r="B466" i="103"/>
  <c r="B398" i="103"/>
  <c r="B330" i="103"/>
  <c r="B262" i="103"/>
  <c r="B194" i="103"/>
  <c r="B126" i="103"/>
  <c r="B58" i="103"/>
  <c r="B500" i="103"/>
  <c r="B1265" i="103"/>
  <c r="B1197" i="103"/>
  <c r="B1129" i="103"/>
  <c r="B1061" i="103"/>
  <c r="B993" i="103"/>
  <c r="B925" i="103"/>
  <c r="B857" i="103"/>
  <c r="B789" i="103"/>
  <c r="B721" i="103"/>
  <c r="B653" i="103"/>
  <c r="B585" i="103"/>
  <c r="B517" i="103"/>
  <c r="B449" i="103"/>
  <c r="B381" i="103"/>
  <c r="B313" i="103"/>
  <c r="B245" i="103"/>
  <c r="B177" i="103"/>
  <c r="B109" i="103"/>
  <c r="B41" i="103"/>
  <c r="B908" i="103"/>
  <c r="B1248" i="103"/>
  <c r="B1180" i="103"/>
  <c r="B1112" i="103"/>
  <c r="B976" i="103"/>
  <c r="B636" i="103"/>
  <c r="B432" i="103"/>
  <c r="D1231" i="103"/>
  <c r="D1163" i="103"/>
  <c r="D1095" i="103"/>
  <c r="D1027" i="103"/>
  <c r="D959" i="103"/>
  <c r="D891" i="103"/>
  <c r="D823" i="103"/>
  <c r="D755" i="103"/>
  <c r="D687" i="103"/>
  <c r="D619" i="103"/>
  <c r="D551" i="103"/>
  <c r="D483" i="103"/>
  <c r="D415" i="103"/>
  <c r="D347" i="103"/>
  <c r="D279" i="103"/>
  <c r="D211" i="103"/>
  <c r="D143" i="103"/>
  <c r="D75" i="103"/>
  <c r="D772" i="103"/>
  <c r="D41" i="103"/>
  <c r="D1112" i="103"/>
  <c r="D908" i="103"/>
  <c r="D704" i="103"/>
  <c r="D160" i="103"/>
  <c r="D92" i="103"/>
  <c r="D1282" i="103"/>
  <c r="D1214" i="103"/>
  <c r="D1146" i="103"/>
  <c r="D1078" i="103"/>
  <c r="D1010" i="103"/>
  <c r="D942" i="103"/>
  <c r="D874" i="103"/>
  <c r="D806" i="103"/>
  <c r="D738" i="103"/>
  <c r="D670" i="103"/>
  <c r="D602" i="103"/>
  <c r="D534" i="103"/>
  <c r="D466" i="103"/>
  <c r="D398" i="103"/>
  <c r="D330" i="103"/>
  <c r="D262" i="103"/>
  <c r="D194" i="103"/>
  <c r="D126" i="103"/>
  <c r="D58" i="103"/>
  <c r="D1180" i="103"/>
  <c r="D500" i="103"/>
  <c r="D432" i="103"/>
  <c r="D364" i="103"/>
  <c r="D568" i="103"/>
  <c r="D1265" i="103"/>
  <c r="D1197" i="103"/>
  <c r="D1129" i="103"/>
  <c r="D1061" i="103"/>
  <c r="D993" i="103"/>
  <c r="D925" i="103"/>
  <c r="D857" i="103"/>
  <c r="D789" i="103"/>
  <c r="D721" i="103"/>
  <c r="D653" i="103"/>
  <c r="D585" i="103"/>
  <c r="D517" i="103"/>
  <c r="D449" i="103"/>
  <c r="D381" i="103"/>
  <c r="D313" i="103"/>
  <c r="D245" i="103"/>
  <c r="D177" i="103"/>
  <c r="D109" i="103"/>
  <c r="D296" i="103"/>
  <c r="D1248" i="103"/>
  <c r="D1044" i="103"/>
  <c r="D976" i="103"/>
  <c r="D228" i="103"/>
  <c r="D840" i="103"/>
  <c r="D636" i="103"/>
  <c r="G1282" i="103"/>
  <c r="G1214" i="103"/>
  <c r="G1146" i="103"/>
  <c r="G1078" i="103"/>
  <c r="G1010" i="103"/>
  <c r="G942" i="103"/>
  <c r="G874" i="103"/>
  <c r="G806" i="103"/>
  <c r="G738" i="103"/>
  <c r="G670" i="103"/>
  <c r="G602" i="103"/>
  <c r="G534" i="103"/>
  <c r="G466" i="103"/>
  <c r="G398" i="103"/>
  <c r="G330" i="103"/>
  <c r="G262" i="103"/>
  <c r="G194" i="103"/>
  <c r="G126" i="103"/>
  <c r="G58" i="103"/>
  <c r="G1265" i="103"/>
  <c r="G1197" i="103"/>
  <c r="G1129" i="103"/>
  <c r="G1061" i="103"/>
  <c r="G993" i="103"/>
  <c r="G925" i="103"/>
  <c r="G857" i="103"/>
  <c r="G789" i="103"/>
  <c r="G721" i="103"/>
  <c r="G653" i="103"/>
  <c r="G585" i="103"/>
  <c r="G517" i="103"/>
  <c r="G449" i="103"/>
  <c r="G381" i="103"/>
  <c r="G313" i="103"/>
  <c r="G245" i="103"/>
  <c r="G177" i="103"/>
  <c r="G109" i="103"/>
  <c r="G41" i="103"/>
  <c r="G1248" i="103"/>
  <c r="G1180" i="103"/>
  <c r="G1112" i="103"/>
  <c r="G1044" i="103"/>
  <c r="G976" i="103"/>
  <c r="G908" i="103"/>
  <c r="G840" i="103"/>
  <c r="G772" i="103"/>
  <c r="G704" i="103"/>
  <c r="G636" i="103"/>
  <c r="G568" i="103"/>
  <c r="G500" i="103"/>
  <c r="G432" i="103"/>
  <c r="G364" i="103"/>
  <c r="G296" i="103"/>
  <c r="G228" i="103"/>
  <c r="G160" i="103"/>
  <c r="G92" i="103"/>
  <c r="G1231" i="103"/>
  <c r="G1163" i="103"/>
  <c r="G1095" i="103"/>
  <c r="G1027" i="103"/>
  <c r="G959" i="103"/>
  <c r="G891" i="103"/>
  <c r="G823" i="103"/>
  <c r="G755" i="103"/>
  <c r="G687" i="103"/>
  <c r="G619" i="103"/>
  <c r="G551" i="103"/>
  <c r="G483" i="103"/>
  <c r="G415" i="103"/>
  <c r="G347" i="103"/>
  <c r="G279" i="103"/>
  <c r="G211" i="103"/>
  <c r="G143" i="103"/>
  <c r="G75" i="103"/>
  <c r="H1282" i="103"/>
  <c r="H1214" i="103"/>
  <c r="H1146" i="103"/>
  <c r="H1078" i="103"/>
  <c r="H1010" i="103"/>
  <c r="H942" i="103"/>
  <c r="H874" i="103"/>
  <c r="H806" i="103"/>
  <c r="H738" i="103"/>
  <c r="H670" i="103"/>
  <c r="H602" i="103"/>
  <c r="H534" i="103"/>
  <c r="H466" i="103"/>
  <c r="H398" i="103"/>
  <c r="H330" i="103"/>
  <c r="H262" i="103"/>
  <c r="H194" i="103"/>
  <c r="H126" i="103"/>
  <c r="H58" i="103"/>
  <c r="H1231" i="103"/>
  <c r="H1163" i="103"/>
  <c r="H1095" i="103"/>
  <c r="H823" i="103"/>
  <c r="H755" i="103"/>
  <c r="H687" i="103"/>
  <c r="H483" i="103"/>
  <c r="H415" i="103"/>
  <c r="H347" i="103"/>
  <c r="H1265" i="103"/>
  <c r="H1197" i="103"/>
  <c r="H1129" i="103"/>
  <c r="H1061" i="103"/>
  <c r="H993" i="103"/>
  <c r="H925" i="103"/>
  <c r="H857" i="103"/>
  <c r="H789" i="103"/>
  <c r="H721" i="103"/>
  <c r="H653" i="103"/>
  <c r="H585" i="103"/>
  <c r="H517" i="103"/>
  <c r="H449" i="103"/>
  <c r="H381" i="103"/>
  <c r="H313" i="103"/>
  <c r="H245" i="103"/>
  <c r="H177" i="103"/>
  <c r="H109" i="103"/>
  <c r="H41" i="103"/>
  <c r="H619" i="103"/>
  <c r="H1248" i="103"/>
  <c r="H1180" i="103"/>
  <c r="H1112" i="103"/>
  <c r="H1044" i="103"/>
  <c r="H976" i="103"/>
  <c r="H908" i="103"/>
  <c r="H840" i="103"/>
  <c r="H772" i="103"/>
  <c r="H704" i="103"/>
  <c r="H636" i="103"/>
  <c r="H568" i="103"/>
  <c r="H500" i="103"/>
  <c r="H432" i="103"/>
  <c r="H364" i="103"/>
  <c r="H296" i="103"/>
  <c r="H228" i="103"/>
  <c r="H160" i="103"/>
  <c r="H92" i="103"/>
  <c r="H551" i="103"/>
  <c r="H211" i="103"/>
  <c r="H75" i="103"/>
  <c r="H959" i="103"/>
  <c r="H891" i="103"/>
  <c r="H143" i="103"/>
  <c r="H1027" i="103"/>
  <c r="H279" i="103"/>
  <c r="I398" i="103"/>
  <c r="I1265" i="103"/>
  <c r="I1197" i="103"/>
  <c r="I1129" i="103"/>
  <c r="I1061" i="103"/>
  <c r="I993" i="103"/>
  <c r="I925" i="103"/>
  <c r="I857" i="103"/>
  <c r="I789" i="103"/>
  <c r="I721" i="103"/>
  <c r="I653" i="103"/>
  <c r="I585" i="103"/>
  <c r="I517" i="103"/>
  <c r="I449" i="103"/>
  <c r="I381" i="103"/>
  <c r="I313" i="103"/>
  <c r="I245" i="103"/>
  <c r="I177" i="103"/>
  <c r="I109" i="103"/>
  <c r="I41" i="103"/>
  <c r="I126" i="103"/>
  <c r="I874" i="103"/>
  <c r="I738" i="103"/>
  <c r="I534" i="103"/>
  <c r="I58" i="103"/>
  <c r="I1248" i="103"/>
  <c r="I1180" i="103"/>
  <c r="I1112" i="103"/>
  <c r="I1044" i="103"/>
  <c r="I976" i="103"/>
  <c r="I908" i="103"/>
  <c r="I840" i="103"/>
  <c r="I772" i="103"/>
  <c r="I704" i="103"/>
  <c r="I636" i="103"/>
  <c r="I568" i="103"/>
  <c r="I500" i="103"/>
  <c r="I432" i="103"/>
  <c r="I364" i="103"/>
  <c r="I296" i="103"/>
  <c r="I228" i="103"/>
  <c r="I160" i="103"/>
  <c r="I92" i="103"/>
  <c r="I262" i="103"/>
  <c r="I1231" i="103"/>
  <c r="I1163" i="103"/>
  <c r="I1095" i="103"/>
  <c r="I1027" i="103"/>
  <c r="I959" i="103"/>
  <c r="I891" i="103"/>
  <c r="I823" i="103"/>
  <c r="I755" i="103"/>
  <c r="I687" i="103"/>
  <c r="I619" i="103"/>
  <c r="I551" i="103"/>
  <c r="I483" i="103"/>
  <c r="I415" i="103"/>
  <c r="I347" i="103"/>
  <c r="I279" i="103"/>
  <c r="I211" i="103"/>
  <c r="I143" i="103"/>
  <c r="I75" i="103"/>
  <c r="I806" i="103"/>
  <c r="I670" i="103"/>
  <c r="I466" i="103"/>
  <c r="I194" i="103"/>
  <c r="I1282" i="103"/>
  <c r="I1214" i="103"/>
  <c r="I1146" i="103"/>
  <c r="I1078" i="103"/>
  <c r="I1010" i="103"/>
  <c r="I942" i="103"/>
  <c r="I602" i="103"/>
  <c r="I330" i="103"/>
  <c r="B24" i="103"/>
  <c r="L24" i="103"/>
  <c r="I24" i="103"/>
  <c r="C24" i="103"/>
  <c r="D24" i="103"/>
  <c r="M24" i="103"/>
  <c r="N24" i="103"/>
  <c r="G24" i="103"/>
  <c r="H24" i="103"/>
  <c r="A558" i="102"/>
  <c r="A553" i="102"/>
  <c r="A548" i="102"/>
  <c r="A545" i="102"/>
  <c r="A533" i="102"/>
  <c r="A528" i="102"/>
  <c r="A523" i="102"/>
  <c r="A518" i="102"/>
  <c r="A515" i="102"/>
  <c r="A480" i="102"/>
  <c r="A470" i="102"/>
  <c r="A490" i="102"/>
  <c r="A503" i="102"/>
  <c r="A498" i="102"/>
  <c r="A493" i="102"/>
  <c r="A483" i="102"/>
  <c r="A473" i="102"/>
  <c r="A458" i="102"/>
  <c r="A453" i="102"/>
  <c r="A448" i="102"/>
  <c r="A443" i="102"/>
  <c r="A438" i="102"/>
  <c r="A433" i="102"/>
  <c r="A430" i="102"/>
  <c r="A418" i="102"/>
  <c r="A413" i="102"/>
  <c r="A408" i="102"/>
  <c r="A403" i="102"/>
  <c r="A398" i="102"/>
  <c r="A393" i="102"/>
  <c r="A388" i="102"/>
  <c r="A385" i="102"/>
  <c r="A378" i="102"/>
  <c r="A375" i="102"/>
  <c r="A363" i="102"/>
  <c r="A358" i="102"/>
  <c r="A353" i="102"/>
  <c r="A350" i="102"/>
  <c r="A338" i="102"/>
  <c r="A333" i="102"/>
  <c r="A328" i="102"/>
  <c r="A325" i="102"/>
  <c r="A313" i="102"/>
  <c r="A308" i="102"/>
  <c r="A303" i="102"/>
  <c r="A300" i="102"/>
  <c r="A288" i="102"/>
  <c r="A283" i="102"/>
  <c r="A280" i="102"/>
  <c r="A245" i="102"/>
  <c r="A268" i="102"/>
  <c r="A263" i="102"/>
  <c r="A258" i="102"/>
  <c r="A253" i="102"/>
  <c r="A248" i="102"/>
  <c r="A233" i="102"/>
  <c r="A228" i="102"/>
  <c r="A223" i="102"/>
  <c r="A220" i="102"/>
  <c r="A208" i="102"/>
  <c r="A203" i="102"/>
  <c r="A198" i="102"/>
  <c r="A195" i="102"/>
  <c r="A170" i="102"/>
  <c r="A183" i="102"/>
  <c r="A178" i="102"/>
  <c r="A173" i="102"/>
  <c r="A163" i="102"/>
  <c r="A160" i="102"/>
  <c r="A148" i="102"/>
  <c r="A143" i="102"/>
  <c r="A138" i="102"/>
  <c r="A133" i="102"/>
  <c r="A128" i="102"/>
  <c r="A123" i="102"/>
  <c r="A118" i="102"/>
  <c r="A113" i="102"/>
  <c r="A108" i="102"/>
  <c r="A103" i="102"/>
  <c r="A98" i="102"/>
  <c r="A93" i="102"/>
  <c r="A88" i="102"/>
  <c r="A83" i="102"/>
  <c r="A78" i="102"/>
  <c r="A70" i="102"/>
  <c r="A73" i="102"/>
  <c r="A58" i="102"/>
  <c r="A53" i="102"/>
  <c r="A48" i="102"/>
  <c r="A45" i="102"/>
  <c r="A33" i="102"/>
  <c r="A28" i="102"/>
  <c r="A25" i="102"/>
  <c r="A18" i="102"/>
  <c r="A8" i="102"/>
  <c r="B15" i="102"/>
  <c r="A15" i="102"/>
  <c r="A5" i="102"/>
  <c r="L15" i="102"/>
  <c r="V15" i="102"/>
  <c r="Y16" i="102"/>
  <c r="O16" i="102"/>
  <c r="E16" i="102"/>
  <c r="X6" i="102"/>
  <c r="W6" i="102"/>
  <c r="V6" i="102"/>
  <c r="N6" i="102"/>
  <c r="M6" i="102"/>
  <c r="L6" i="102"/>
  <c r="D6" i="102"/>
  <c r="C6" i="102"/>
  <c r="B6" i="102"/>
  <c r="A825" i="101"/>
  <c r="A1292" i="101"/>
  <c r="A1291" i="101"/>
  <c r="A1290" i="101"/>
  <c r="A1289" i="101"/>
  <c r="A1288" i="101"/>
  <c r="A1287" i="101"/>
  <c r="A1286" i="101"/>
  <c r="A1285" i="101"/>
  <c r="A1284" i="101"/>
  <c r="A1275" i="101"/>
  <c r="A1274" i="101"/>
  <c r="A1273" i="101"/>
  <c r="A1272" i="101"/>
  <c r="A1271" i="101"/>
  <c r="A1270" i="101"/>
  <c r="A1269" i="101"/>
  <c r="A1268" i="101"/>
  <c r="A1267" i="101"/>
  <c r="A1258" i="101"/>
  <c r="A1257" i="101"/>
  <c r="A1256" i="101"/>
  <c r="A1255" i="101"/>
  <c r="A1254" i="101"/>
  <c r="A1253" i="101"/>
  <c r="A1252" i="101"/>
  <c r="A1251" i="101"/>
  <c r="A1250" i="101"/>
  <c r="A1241" i="101"/>
  <c r="A1240" i="101"/>
  <c r="A1239" i="101"/>
  <c r="A1238" i="101"/>
  <c r="A1237" i="101"/>
  <c r="A1236" i="101"/>
  <c r="A1235" i="101"/>
  <c r="A1234" i="101"/>
  <c r="A1233" i="101"/>
  <c r="A1224" i="101"/>
  <c r="A1223" i="101"/>
  <c r="A1222" i="101"/>
  <c r="A1221" i="101"/>
  <c r="A1220" i="101"/>
  <c r="A1219" i="101"/>
  <c r="A1218" i="101"/>
  <c r="A1217" i="101"/>
  <c r="A1216" i="101"/>
  <c r="A1207" i="101"/>
  <c r="A1206" i="101"/>
  <c r="A1205" i="101"/>
  <c r="A1204" i="101"/>
  <c r="A1203" i="101"/>
  <c r="A1202" i="101"/>
  <c r="A1201" i="101"/>
  <c r="A1200" i="101"/>
  <c r="A1199" i="101"/>
  <c r="A1190" i="101"/>
  <c r="A1189" i="101"/>
  <c r="A1188" i="101"/>
  <c r="A1187" i="101"/>
  <c r="A1186" i="101"/>
  <c r="A1185" i="101"/>
  <c r="A1184" i="101"/>
  <c r="A1183" i="101"/>
  <c r="A1182" i="101"/>
  <c r="A1173" i="101"/>
  <c r="A1172" i="101"/>
  <c r="A1171" i="101"/>
  <c r="A1170" i="101"/>
  <c r="A1169" i="101"/>
  <c r="A1168" i="101"/>
  <c r="A1167" i="101"/>
  <c r="A1166" i="101"/>
  <c r="A1165" i="101"/>
  <c r="A1156" i="101"/>
  <c r="A1155" i="101"/>
  <c r="A1154" i="101"/>
  <c r="A1153" i="101"/>
  <c r="A1152" i="101"/>
  <c r="A1151" i="101"/>
  <c r="A1150" i="101"/>
  <c r="A1149" i="101"/>
  <c r="A1148" i="101"/>
  <c r="A1139" i="101"/>
  <c r="A1138" i="101"/>
  <c r="A1137" i="101"/>
  <c r="A1136" i="101"/>
  <c r="A1135" i="101"/>
  <c r="A1134" i="101"/>
  <c r="A1133" i="101"/>
  <c r="A1132" i="101"/>
  <c r="A1131" i="101"/>
  <c r="A1122" i="101"/>
  <c r="A1121" i="101"/>
  <c r="A1120" i="101"/>
  <c r="A1119" i="101"/>
  <c r="A1118" i="101"/>
  <c r="A1117" i="101"/>
  <c r="A1116" i="101"/>
  <c r="A1115" i="101"/>
  <c r="A1114" i="101"/>
  <c r="A1105" i="101"/>
  <c r="A1104" i="101"/>
  <c r="A1103" i="101"/>
  <c r="A1102" i="101"/>
  <c r="A1101" i="101"/>
  <c r="A1100" i="101"/>
  <c r="A1099" i="101"/>
  <c r="A1098" i="101"/>
  <c r="A1097" i="101"/>
  <c r="A1088" i="101"/>
  <c r="A1087" i="101"/>
  <c r="A1086" i="101"/>
  <c r="A1085" i="101"/>
  <c r="A1084" i="101"/>
  <c r="A1083" i="101"/>
  <c r="A1082" i="101"/>
  <c r="A1081" i="101"/>
  <c r="A1080" i="101"/>
  <c r="A1071" i="101"/>
  <c r="A1070" i="101"/>
  <c r="A1069" i="101"/>
  <c r="A1068" i="101"/>
  <c r="A1067" i="101"/>
  <c r="A1066" i="101"/>
  <c r="A1065" i="101"/>
  <c r="A1064" i="101"/>
  <c r="A1063" i="101"/>
  <c r="A1054" i="101"/>
  <c r="A1053" i="101"/>
  <c r="A1052" i="101"/>
  <c r="A1051" i="101"/>
  <c r="A1050" i="101"/>
  <c r="A1049" i="101"/>
  <c r="A1048" i="101"/>
  <c r="A1047" i="101"/>
  <c r="A1046" i="101"/>
  <c r="A1037" i="101"/>
  <c r="A1036" i="101"/>
  <c r="A1035" i="101"/>
  <c r="A1034" i="101"/>
  <c r="A1033" i="101"/>
  <c r="A1032" i="101"/>
  <c r="A1031" i="101"/>
  <c r="A1030" i="101"/>
  <c r="A1029" i="101"/>
  <c r="A1020" i="101"/>
  <c r="A1019" i="101"/>
  <c r="A1018" i="101"/>
  <c r="A1017" i="101"/>
  <c r="A1016" i="101"/>
  <c r="A1015" i="101"/>
  <c r="A1014" i="101"/>
  <c r="A1013" i="101"/>
  <c r="A1012" i="101"/>
  <c r="A1003" i="101"/>
  <c r="A1002" i="101"/>
  <c r="A1001" i="101"/>
  <c r="A1000" i="101"/>
  <c r="A999" i="101"/>
  <c r="A998" i="101"/>
  <c r="A997" i="101"/>
  <c r="A996" i="101"/>
  <c r="A995" i="101"/>
  <c r="A986" i="101"/>
  <c r="A985" i="101"/>
  <c r="A984" i="101"/>
  <c r="A983" i="101"/>
  <c r="A982" i="101"/>
  <c r="A981" i="101"/>
  <c r="A980" i="101"/>
  <c r="A979" i="101"/>
  <c r="A978" i="101"/>
  <c r="A969" i="101"/>
  <c r="A968" i="101"/>
  <c r="A967" i="101"/>
  <c r="A966" i="101"/>
  <c r="A965" i="101"/>
  <c r="A964" i="101"/>
  <c r="A963" i="101"/>
  <c r="A962" i="101"/>
  <c r="A961" i="101"/>
  <c r="A952" i="101"/>
  <c r="A951" i="101"/>
  <c r="A950" i="101"/>
  <c r="A949" i="101"/>
  <c r="A948" i="101"/>
  <c r="A947" i="101"/>
  <c r="A946" i="101"/>
  <c r="A945" i="101"/>
  <c r="A944" i="101"/>
  <c r="A935" i="101"/>
  <c r="A934" i="101"/>
  <c r="A933" i="101"/>
  <c r="A932" i="101"/>
  <c r="A931" i="101"/>
  <c r="A930" i="101"/>
  <c r="A929" i="101"/>
  <c r="A928" i="101"/>
  <c r="A927" i="101"/>
  <c r="A918" i="101"/>
  <c r="A917" i="101"/>
  <c r="A916" i="101"/>
  <c r="A915" i="101"/>
  <c r="A914" i="101"/>
  <c r="A913" i="101"/>
  <c r="A912" i="101"/>
  <c r="A911" i="101"/>
  <c r="A910" i="101"/>
  <c r="A901" i="101"/>
  <c r="A900" i="101"/>
  <c r="A899" i="101"/>
  <c r="A898" i="101"/>
  <c r="A897" i="101"/>
  <c r="A896" i="101"/>
  <c r="A895" i="101"/>
  <c r="A894" i="101"/>
  <c r="A893" i="101"/>
  <c r="A884" i="101"/>
  <c r="A883" i="101"/>
  <c r="A882" i="101"/>
  <c r="A881" i="101"/>
  <c r="A880" i="101"/>
  <c r="A879" i="101"/>
  <c r="A878" i="101"/>
  <c r="A877" i="101"/>
  <c r="A876" i="101"/>
  <c r="A867" i="101"/>
  <c r="A866" i="101"/>
  <c r="A865" i="101"/>
  <c r="A864" i="101"/>
  <c r="A863" i="101"/>
  <c r="A862" i="101"/>
  <c r="A861" i="101"/>
  <c r="A860" i="101"/>
  <c r="A859" i="101"/>
  <c r="A850" i="101"/>
  <c r="A849" i="101"/>
  <c r="A848" i="101"/>
  <c r="A847" i="101"/>
  <c r="A846" i="101"/>
  <c r="A845" i="101"/>
  <c r="A844" i="101"/>
  <c r="A843" i="101"/>
  <c r="A842" i="101"/>
  <c r="A833" i="101"/>
  <c r="A832" i="101"/>
  <c r="A831" i="101"/>
  <c r="A830" i="101"/>
  <c r="A829" i="101"/>
  <c r="A828" i="101"/>
  <c r="A827" i="101"/>
  <c r="A826" i="101"/>
  <c r="A816" i="101"/>
  <c r="A815" i="101"/>
  <c r="A814" i="101"/>
  <c r="A813" i="101"/>
  <c r="A812" i="101"/>
  <c r="A811" i="101"/>
  <c r="A810" i="101"/>
  <c r="A809" i="101"/>
  <c r="A808" i="101"/>
  <c r="A799" i="101"/>
  <c r="A798" i="101"/>
  <c r="A797" i="101"/>
  <c r="A796" i="101"/>
  <c r="A795" i="101"/>
  <c r="A794" i="101"/>
  <c r="A793" i="101"/>
  <c r="A792" i="101"/>
  <c r="A791" i="101"/>
  <c r="A782" i="101"/>
  <c r="A781" i="101"/>
  <c r="A780" i="101"/>
  <c r="A779" i="101"/>
  <c r="A778" i="101"/>
  <c r="A777" i="101"/>
  <c r="A776" i="101"/>
  <c r="A775" i="101"/>
  <c r="A774" i="101"/>
  <c r="A765" i="101"/>
  <c r="A764" i="101"/>
  <c r="A763" i="101"/>
  <c r="A762" i="101"/>
  <c r="A761" i="101"/>
  <c r="A760" i="101"/>
  <c r="A759" i="101"/>
  <c r="A758" i="101"/>
  <c r="A757" i="101"/>
  <c r="A748" i="101"/>
  <c r="A747" i="101"/>
  <c r="A746" i="101"/>
  <c r="A745" i="101"/>
  <c r="A744" i="101"/>
  <c r="A743" i="101"/>
  <c r="A742" i="101"/>
  <c r="A741" i="101"/>
  <c r="A740" i="101"/>
  <c r="A731" i="101"/>
  <c r="A730" i="101"/>
  <c r="A729" i="101"/>
  <c r="A728" i="101"/>
  <c r="A727" i="101"/>
  <c r="A726" i="101"/>
  <c r="A725" i="101"/>
  <c r="A724" i="101"/>
  <c r="A723" i="101"/>
  <c r="A714" i="101"/>
  <c r="A713" i="101"/>
  <c r="A712" i="101"/>
  <c r="A711" i="101"/>
  <c r="A710" i="101"/>
  <c r="A709" i="101"/>
  <c r="A708" i="101"/>
  <c r="A707" i="101"/>
  <c r="A706" i="101"/>
  <c r="A697" i="101"/>
  <c r="A696" i="101"/>
  <c r="A695" i="101"/>
  <c r="A694" i="101"/>
  <c r="A693" i="101"/>
  <c r="A692" i="101"/>
  <c r="A691" i="101"/>
  <c r="A690" i="101"/>
  <c r="A689" i="101"/>
  <c r="A680" i="101"/>
  <c r="A679" i="101"/>
  <c r="A678" i="101"/>
  <c r="A677" i="101"/>
  <c r="A676" i="101"/>
  <c r="A675" i="101"/>
  <c r="A674" i="101"/>
  <c r="A673" i="101"/>
  <c r="A672" i="101"/>
  <c r="A663" i="101"/>
  <c r="A662" i="101"/>
  <c r="A661" i="101"/>
  <c r="A660" i="101"/>
  <c r="A659" i="101"/>
  <c r="A658" i="101"/>
  <c r="A657" i="101"/>
  <c r="A656" i="101"/>
  <c r="A655" i="101"/>
  <c r="A646" i="101"/>
  <c r="A645" i="101"/>
  <c r="A644" i="101"/>
  <c r="A643" i="101"/>
  <c r="A642" i="101"/>
  <c r="A641" i="101"/>
  <c r="A640" i="101"/>
  <c r="A639" i="101"/>
  <c r="A638" i="101"/>
  <c r="A629" i="101"/>
  <c r="A628" i="101"/>
  <c r="A627" i="101"/>
  <c r="A626" i="101"/>
  <c r="A625" i="101"/>
  <c r="A624" i="101"/>
  <c r="A623" i="101"/>
  <c r="A622" i="101"/>
  <c r="A621" i="101"/>
  <c r="A612" i="101"/>
  <c r="A611" i="101"/>
  <c r="A610" i="101"/>
  <c r="A609" i="101"/>
  <c r="A608" i="101"/>
  <c r="A607" i="101"/>
  <c r="A606" i="101"/>
  <c r="A605" i="101"/>
  <c r="A604" i="101"/>
  <c r="A595" i="101"/>
  <c r="A594" i="101"/>
  <c r="A593" i="101"/>
  <c r="A592" i="101"/>
  <c r="A591" i="101"/>
  <c r="A590" i="101"/>
  <c r="A589" i="101"/>
  <c r="A588" i="101"/>
  <c r="A587" i="101"/>
  <c r="A578" i="101"/>
  <c r="A577" i="101"/>
  <c r="A576" i="101"/>
  <c r="A575" i="101"/>
  <c r="A574" i="101"/>
  <c r="A573" i="101"/>
  <c r="A572" i="101"/>
  <c r="A571" i="101"/>
  <c r="A570" i="101"/>
  <c r="A561" i="101"/>
  <c r="A560" i="101"/>
  <c r="A559" i="101"/>
  <c r="A558" i="101"/>
  <c r="A557" i="101"/>
  <c r="A556" i="101"/>
  <c r="A555" i="101"/>
  <c r="A554" i="101"/>
  <c r="A553" i="101"/>
  <c r="A544" i="101"/>
  <c r="A543" i="101"/>
  <c r="A542" i="101"/>
  <c r="A541" i="101"/>
  <c r="A540" i="101"/>
  <c r="A539" i="101"/>
  <c r="A538" i="101"/>
  <c r="A537" i="101"/>
  <c r="A536" i="101"/>
  <c r="A527" i="101"/>
  <c r="A526" i="101"/>
  <c r="A525" i="101"/>
  <c r="A524" i="101"/>
  <c r="A523" i="101"/>
  <c r="A522" i="101"/>
  <c r="A521" i="101"/>
  <c r="A520" i="101"/>
  <c r="A519" i="101"/>
  <c r="A510" i="101"/>
  <c r="A509" i="101"/>
  <c r="A508" i="101"/>
  <c r="A507" i="101"/>
  <c r="A506" i="101"/>
  <c r="A505" i="101"/>
  <c r="A504" i="101"/>
  <c r="A503" i="101"/>
  <c r="A502" i="101"/>
  <c r="A493" i="101"/>
  <c r="A492" i="101"/>
  <c r="A491" i="101"/>
  <c r="A490" i="101"/>
  <c r="A489" i="101"/>
  <c r="A488" i="101"/>
  <c r="A487" i="101"/>
  <c r="A486" i="101"/>
  <c r="A485" i="101"/>
  <c r="A476" i="101"/>
  <c r="A475" i="101"/>
  <c r="A474" i="101"/>
  <c r="A473" i="101"/>
  <c r="A472" i="101"/>
  <c r="A471" i="101"/>
  <c r="A470" i="101"/>
  <c r="A469" i="101"/>
  <c r="A468" i="101"/>
  <c r="A459" i="101"/>
  <c r="A458" i="101"/>
  <c r="A457" i="101"/>
  <c r="A456" i="101"/>
  <c r="A455" i="101"/>
  <c r="A454" i="101"/>
  <c r="A453" i="101"/>
  <c r="A452" i="101"/>
  <c r="A451" i="101"/>
  <c r="A442" i="101"/>
  <c r="A441" i="101"/>
  <c r="A440" i="101"/>
  <c r="A439" i="101"/>
  <c r="A438" i="101"/>
  <c r="A437" i="101"/>
  <c r="A436" i="101"/>
  <c r="A435" i="101"/>
  <c r="A434" i="101"/>
  <c r="A425" i="101"/>
  <c r="A424" i="101"/>
  <c r="A423" i="101"/>
  <c r="A422" i="101"/>
  <c r="A421" i="101"/>
  <c r="A420" i="101"/>
  <c r="A419" i="101"/>
  <c r="A418" i="101"/>
  <c r="A417" i="101"/>
  <c r="A408" i="101"/>
  <c r="A407" i="101"/>
  <c r="A406" i="101"/>
  <c r="A405" i="101"/>
  <c r="A404" i="101"/>
  <c r="A403" i="101"/>
  <c r="A402" i="101"/>
  <c r="A401" i="101"/>
  <c r="A400" i="101"/>
  <c r="A391" i="101"/>
  <c r="A390" i="101"/>
  <c r="A389" i="101"/>
  <c r="A388" i="101"/>
  <c r="A387" i="101"/>
  <c r="A386" i="101"/>
  <c r="A385" i="101"/>
  <c r="A384" i="101"/>
  <c r="A383" i="101"/>
  <c r="A374" i="101"/>
  <c r="A373" i="101"/>
  <c r="A372" i="101"/>
  <c r="A371" i="101"/>
  <c r="A370" i="101"/>
  <c r="A369" i="101"/>
  <c r="A368" i="101"/>
  <c r="A367" i="101"/>
  <c r="A366" i="101"/>
  <c r="A357" i="101"/>
  <c r="A356" i="101"/>
  <c r="A355" i="101"/>
  <c r="A354" i="101"/>
  <c r="A353" i="101"/>
  <c r="A352" i="101"/>
  <c r="A351" i="101"/>
  <c r="A350" i="101"/>
  <c r="A349" i="101"/>
  <c r="A340" i="101"/>
  <c r="A339" i="101"/>
  <c r="A338" i="101"/>
  <c r="A337" i="101"/>
  <c r="A336" i="101"/>
  <c r="A335" i="101"/>
  <c r="A334" i="101"/>
  <c r="A333" i="101"/>
  <c r="A332" i="101"/>
  <c r="A323" i="101"/>
  <c r="A322" i="101"/>
  <c r="A321" i="101"/>
  <c r="A320" i="101"/>
  <c r="A319" i="101"/>
  <c r="A318" i="101"/>
  <c r="A317" i="101"/>
  <c r="A316" i="101"/>
  <c r="A315" i="101"/>
  <c r="A306" i="101"/>
  <c r="A305" i="101"/>
  <c r="A304" i="101"/>
  <c r="A303" i="101"/>
  <c r="A302" i="101"/>
  <c r="A301" i="101"/>
  <c r="A300" i="101"/>
  <c r="A299" i="101"/>
  <c r="A298" i="101"/>
  <c r="A289" i="101"/>
  <c r="A288" i="101"/>
  <c r="A287" i="101"/>
  <c r="A286" i="101"/>
  <c r="A285" i="101"/>
  <c r="A284" i="101"/>
  <c r="A283" i="101"/>
  <c r="A282" i="101"/>
  <c r="A281" i="101"/>
  <c r="A272" i="101"/>
  <c r="A271" i="101"/>
  <c r="A270" i="101"/>
  <c r="A269" i="101"/>
  <c r="A268" i="101"/>
  <c r="A267" i="101"/>
  <c r="A266" i="101"/>
  <c r="A265" i="101"/>
  <c r="A264" i="101"/>
  <c r="A255" i="101"/>
  <c r="A254" i="101"/>
  <c r="A253" i="101"/>
  <c r="A252" i="101"/>
  <c r="A251" i="101"/>
  <c r="A250" i="101"/>
  <c r="A249" i="101"/>
  <c r="A248" i="101"/>
  <c r="A247" i="101"/>
  <c r="A238" i="101"/>
  <c r="A237" i="101"/>
  <c r="A236" i="101"/>
  <c r="A235" i="101"/>
  <c r="A234" i="101"/>
  <c r="A233" i="101"/>
  <c r="A232" i="101"/>
  <c r="A231" i="101"/>
  <c r="A230" i="101"/>
  <c r="A221" i="101"/>
  <c r="A220" i="101"/>
  <c r="A219" i="101"/>
  <c r="A218" i="101"/>
  <c r="A217" i="101"/>
  <c r="A216" i="101"/>
  <c r="A215" i="101"/>
  <c r="A214" i="101"/>
  <c r="A213" i="101"/>
  <c r="A204" i="101"/>
  <c r="A203" i="101"/>
  <c r="A202" i="101"/>
  <c r="A201" i="101"/>
  <c r="A200" i="101"/>
  <c r="A199" i="101"/>
  <c r="A198" i="101"/>
  <c r="A197" i="101"/>
  <c r="A196" i="101"/>
  <c r="A187" i="101"/>
  <c r="A186" i="101"/>
  <c r="A185" i="101"/>
  <c r="A184" i="101"/>
  <c r="A183" i="101"/>
  <c r="A182" i="101"/>
  <c r="A181" i="101"/>
  <c r="A180" i="101"/>
  <c r="A179" i="101"/>
  <c r="A170" i="101"/>
  <c r="A169" i="101"/>
  <c r="A168" i="101"/>
  <c r="A167" i="101"/>
  <c r="A166" i="101"/>
  <c r="A165" i="101"/>
  <c r="A164" i="101"/>
  <c r="A163" i="101"/>
  <c r="A162" i="101"/>
  <c r="A153" i="101"/>
  <c r="A152" i="101"/>
  <c r="A151" i="101"/>
  <c r="A150" i="101"/>
  <c r="A149" i="101"/>
  <c r="A148" i="101"/>
  <c r="A147" i="101"/>
  <c r="A146" i="101"/>
  <c r="A145" i="101"/>
  <c r="A136" i="101"/>
  <c r="A135" i="101"/>
  <c r="A134" i="101"/>
  <c r="A133" i="101"/>
  <c r="A132" i="101"/>
  <c r="A131" i="101"/>
  <c r="A130" i="101"/>
  <c r="A129" i="101"/>
  <c r="A128" i="101"/>
  <c r="A119" i="101"/>
  <c r="A118" i="101"/>
  <c r="A117" i="101"/>
  <c r="A116" i="101"/>
  <c r="A115" i="101"/>
  <c r="A114" i="101"/>
  <c r="A113" i="101"/>
  <c r="A112" i="101"/>
  <c r="A111" i="101"/>
  <c r="A102" i="101"/>
  <c r="A101" i="101"/>
  <c r="A100" i="101"/>
  <c r="A99" i="101"/>
  <c r="A98" i="101"/>
  <c r="A97" i="101"/>
  <c r="A96" i="101"/>
  <c r="A95" i="101"/>
  <c r="A94" i="101"/>
  <c r="A85" i="101"/>
  <c r="A84" i="101"/>
  <c r="A83" i="101"/>
  <c r="A82" i="101"/>
  <c r="A81" i="101"/>
  <c r="A80" i="101"/>
  <c r="A79" i="101"/>
  <c r="A78" i="101"/>
  <c r="A77" i="101"/>
  <c r="A68" i="101"/>
  <c r="A67" i="101"/>
  <c r="A66" i="101"/>
  <c r="A65" i="101"/>
  <c r="A64" i="101"/>
  <c r="A63" i="101"/>
  <c r="A62" i="101"/>
  <c r="A61" i="101"/>
  <c r="A60" i="101"/>
  <c r="A51" i="101"/>
  <c r="A50" i="101"/>
  <c r="A49" i="101"/>
  <c r="A48" i="101"/>
  <c r="A47" i="101"/>
  <c r="A46" i="101"/>
  <c r="A45" i="101"/>
  <c r="A44" i="101"/>
  <c r="A43" i="101"/>
  <c r="A34" i="101"/>
  <c r="A33" i="101"/>
  <c r="A32" i="101"/>
  <c r="A31" i="101"/>
  <c r="A30" i="101"/>
  <c r="A29" i="101"/>
  <c r="A28" i="101"/>
  <c r="A27" i="101"/>
  <c r="A26" i="101"/>
  <c r="A17" i="101"/>
  <c r="A16" i="101"/>
  <c r="A15" i="101"/>
  <c r="A14" i="101"/>
  <c r="A13" i="101"/>
  <c r="A12" i="101"/>
  <c r="A11" i="101"/>
  <c r="A10" i="101"/>
  <c r="A9" i="101"/>
  <c r="D546" i="102" l="1"/>
  <c r="I471" i="102"/>
  <c r="D351" i="102"/>
  <c r="I246" i="102"/>
  <c r="D161" i="102"/>
  <c r="D491" i="102"/>
  <c r="I386" i="102"/>
  <c r="D301" i="102"/>
  <c r="I196" i="102"/>
  <c r="D46" i="102"/>
  <c r="D481" i="102"/>
  <c r="I376" i="102"/>
  <c r="D281" i="102"/>
  <c r="I171" i="102"/>
  <c r="I546" i="102"/>
  <c r="D471" i="102"/>
  <c r="I351" i="102"/>
  <c r="D246" i="102"/>
  <c r="I161" i="102"/>
  <c r="I516" i="102"/>
  <c r="D431" i="102"/>
  <c r="I326" i="102"/>
  <c r="D221" i="102"/>
  <c r="I481" i="102"/>
  <c r="I431" i="102"/>
  <c r="I281" i="102"/>
  <c r="I221" i="102"/>
  <c r="D516" i="102"/>
  <c r="I301" i="102"/>
  <c r="D196" i="102"/>
  <c r="D171" i="102"/>
  <c r="I491" i="102"/>
  <c r="D386" i="102"/>
  <c r="D376" i="102"/>
  <c r="I71" i="102"/>
  <c r="I46" i="102"/>
  <c r="D326" i="102"/>
  <c r="I26" i="102"/>
  <c r="D71" i="102"/>
  <c r="D26" i="102"/>
  <c r="Q491" i="102"/>
  <c r="L386" i="102"/>
  <c r="Q301" i="102"/>
  <c r="L196" i="102"/>
  <c r="Q46" i="102"/>
  <c r="L546" i="102"/>
  <c r="Q471" i="102"/>
  <c r="L351" i="102"/>
  <c r="Q246" i="102"/>
  <c r="L161" i="102"/>
  <c r="L516" i="102"/>
  <c r="Q431" i="102"/>
  <c r="L326" i="102"/>
  <c r="Q221" i="102"/>
  <c r="L71" i="102"/>
  <c r="L491" i="102"/>
  <c r="Q386" i="102"/>
  <c r="L301" i="102"/>
  <c r="Q196" i="102"/>
  <c r="L46" i="102"/>
  <c r="L481" i="102"/>
  <c r="Q376" i="102"/>
  <c r="L281" i="102"/>
  <c r="Q546" i="102"/>
  <c r="Q161" i="102"/>
  <c r="Q481" i="102"/>
  <c r="L471" i="102"/>
  <c r="L171" i="102"/>
  <c r="L431" i="102"/>
  <c r="Q26" i="102"/>
  <c r="L26" i="102"/>
  <c r="Q16" i="102"/>
  <c r="Q281" i="102"/>
  <c r="L246" i="102"/>
  <c r="Q171" i="102"/>
  <c r="L221" i="102"/>
  <c r="Q351" i="102"/>
  <c r="Q326" i="102"/>
  <c r="Q71" i="102"/>
  <c r="Q516" i="102"/>
  <c r="L376" i="102"/>
  <c r="M16" i="102"/>
  <c r="R481" i="102"/>
  <c r="M376" i="102"/>
  <c r="R281" i="102"/>
  <c r="M171" i="102"/>
  <c r="R26" i="102"/>
  <c r="M546" i="102"/>
  <c r="M516" i="102"/>
  <c r="R431" i="102"/>
  <c r="M326" i="102"/>
  <c r="R221" i="102"/>
  <c r="M71" i="102"/>
  <c r="M491" i="102"/>
  <c r="R386" i="102"/>
  <c r="M301" i="102"/>
  <c r="R196" i="102"/>
  <c r="M46" i="102"/>
  <c r="M481" i="102"/>
  <c r="R376" i="102"/>
  <c r="M281" i="102"/>
  <c r="R171" i="102"/>
  <c r="M26" i="102"/>
  <c r="R546" i="102"/>
  <c r="M471" i="102"/>
  <c r="R351" i="102"/>
  <c r="M246" i="102"/>
  <c r="R246" i="102"/>
  <c r="R16" i="102"/>
  <c r="R301" i="102"/>
  <c r="M431" i="102"/>
  <c r="R71" i="102"/>
  <c r="R516" i="102"/>
  <c r="M351" i="102"/>
  <c r="R491" i="102"/>
  <c r="M221" i="102"/>
  <c r="R471" i="102"/>
  <c r="R326" i="102"/>
  <c r="R161" i="102"/>
  <c r="M196" i="102"/>
  <c r="M161" i="102"/>
  <c r="M386" i="102"/>
  <c r="R46" i="102"/>
  <c r="N16" i="102"/>
  <c r="N546" i="102"/>
  <c r="S471" i="102"/>
  <c r="N351" i="102"/>
  <c r="S246" i="102"/>
  <c r="N161" i="102"/>
  <c r="N491" i="102"/>
  <c r="S386" i="102"/>
  <c r="N301" i="102"/>
  <c r="S196" i="102"/>
  <c r="N46" i="102"/>
  <c r="N481" i="102"/>
  <c r="S376" i="102"/>
  <c r="N281" i="102"/>
  <c r="S171" i="102"/>
  <c r="S546" i="102"/>
  <c r="N471" i="102"/>
  <c r="S351" i="102"/>
  <c r="N246" i="102"/>
  <c r="S161" i="102"/>
  <c r="S516" i="102"/>
  <c r="N431" i="102"/>
  <c r="S326" i="102"/>
  <c r="N221" i="102"/>
  <c r="S221" i="102"/>
  <c r="N71" i="102"/>
  <c r="N26" i="102"/>
  <c r="N171" i="102"/>
  <c r="S26" i="102"/>
  <c r="S491" i="102"/>
  <c r="N376" i="102"/>
  <c r="S46" i="102"/>
  <c r="N516" i="102"/>
  <c r="S281" i="102"/>
  <c r="S431" i="102"/>
  <c r="S301" i="102"/>
  <c r="N196" i="102"/>
  <c r="S481" i="102"/>
  <c r="S71" i="102"/>
  <c r="N386" i="102"/>
  <c r="N326" i="102"/>
  <c r="S16" i="102"/>
  <c r="V16" i="102"/>
  <c r="V386" i="102"/>
  <c r="V196" i="102"/>
  <c r="V546" i="102"/>
  <c r="V351" i="102"/>
  <c r="V161" i="102"/>
  <c r="V516" i="102"/>
  <c r="V326" i="102"/>
  <c r="V71" i="102"/>
  <c r="V491" i="102"/>
  <c r="V301" i="102"/>
  <c r="V46" i="102"/>
  <c r="V481" i="102"/>
  <c r="V281" i="102"/>
  <c r="V171" i="102"/>
  <c r="V471" i="102"/>
  <c r="V431" i="102"/>
  <c r="V376" i="102"/>
  <c r="V26" i="102"/>
  <c r="V246" i="102"/>
  <c r="V221" i="102"/>
  <c r="W16" i="102"/>
  <c r="W376" i="102"/>
  <c r="W171" i="102"/>
  <c r="W546" i="102"/>
  <c r="W516" i="102"/>
  <c r="W326" i="102"/>
  <c r="W71" i="102"/>
  <c r="W491" i="102"/>
  <c r="W301" i="102"/>
  <c r="W46" i="102"/>
  <c r="W481" i="102"/>
  <c r="W281" i="102"/>
  <c r="W26" i="102"/>
  <c r="W471" i="102"/>
  <c r="W246" i="102"/>
  <c r="W431" i="102"/>
  <c r="W196" i="102"/>
  <c r="W221" i="102"/>
  <c r="W161" i="102"/>
  <c r="W351" i="102"/>
  <c r="W386" i="102"/>
  <c r="G491" i="102"/>
  <c r="B386" i="102"/>
  <c r="G301" i="102"/>
  <c r="B196" i="102"/>
  <c r="G46" i="102"/>
  <c r="B546" i="102"/>
  <c r="G471" i="102"/>
  <c r="B351" i="102"/>
  <c r="G246" i="102"/>
  <c r="B161" i="102"/>
  <c r="B516" i="102"/>
  <c r="G431" i="102"/>
  <c r="B326" i="102"/>
  <c r="G221" i="102"/>
  <c r="B71" i="102"/>
  <c r="B491" i="102"/>
  <c r="G386" i="102"/>
  <c r="B301" i="102"/>
  <c r="G196" i="102"/>
  <c r="B46" i="102"/>
  <c r="B481" i="102"/>
  <c r="G376" i="102"/>
  <c r="B281" i="102"/>
  <c r="G351" i="102"/>
  <c r="B221" i="102"/>
  <c r="G71" i="102"/>
  <c r="G26" i="102"/>
  <c r="G281" i="102"/>
  <c r="B246" i="102"/>
  <c r="B26" i="102"/>
  <c r="G481" i="102"/>
  <c r="B471" i="102"/>
  <c r="G326" i="102"/>
  <c r="G161" i="102"/>
  <c r="B171" i="102"/>
  <c r="G546" i="102"/>
  <c r="B431" i="102"/>
  <c r="B376" i="102"/>
  <c r="G516" i="102"/>
  <c r="G171" i="102"/>
  <c r="X16" i="102"/>
  <c r="X546" i="102"/>
  <c r="X351" i="102"/>
  <c r="X161" i="102"/>
  <c r="X491" i="102"/>
  <c r="X301" i="102"/>
  <c r="X46" i="102"/>
  <c r="X481" i="102"/>
  <c r="X281" i="102"/>
  <c r="X26" i="102"/>
  <c r="X471" i="102"/>
  <c r="X246" i="102"/>
  <c r="X431" i="102"/>
  <c r="X221" i="102"/>
  <c r="X171" i="102"/>
  <c r="X326" i="102"/>
  <c r="X386" i="102"/>
  <c r="X376" i="102"/>
  <c r="X71" i="102"/>
  <c r="X516" i="102"/>
  <c r="X196" i="102"/>
  <c r="H481" i="102"/>
  <c r="C376" i="102"/>
  <c r="H281" i="102"/>
  <c r="C171" i="102"/>
  <c r="H26" i="102"/>
  <c r="C516" i="102"/>
  <c r="H431" i="102"/>
  <c r="C326" i="102"/>
  <c r="H221" i="102"/>
  <c r="C71" i="102"/>
  <c r="C491" i="102"/>
  <c r="H386" i="102"/>
  <c r="C301" i="102"/>
  <c r="H196" i="102"/>
  <c r="C46" i="102"/>
  <c r="C481" i="102"/>
  <c r="H376" i="102"/>
  <c r="C281" i="102"/>
  <c r="H171" i="102"/>
  <c r="C26" i="102"/>
  <c r="H546" i="102"/>
  <c r="C471" i="102"/>
  <c r="H351" i="102"/>
  <c r="C246" i="102"/>
  <c r="H326" i="102"/>
  <c r="H301" i="102"/>
  <c r="C196" i="102"/>
  <c r="H161" i="102"/>
  <c r="C546" i="102"/>
  <c r="C221" i="102"/>
  <c r="C431" i="102"/>
  <c r="C351" i="102"/>
  <c r="H516" i="102"/>
  <c r="H491" i="102"/>
  <c r="C386" i="102"/>
  <c r="C161" i="102"/>
  <c r="H71" i="102"/>
  <c r="H46" i="102"/>
  <c r="H246" i="102"/>
  <c r="H471" i="102"/>
  <c r="B16" i="102"/>
  <c r="G16" i="102"/>
  <c r="C16" i="102"/>
  <c r="H16" i="102"/>
  <c r="D16" i="102"/>
  <c r="I16" i="102"/>
  <c r="L16" i="102"/>
  <c r="A1281" i="101"/>
  <c r="A1264" i="101"/>
  <c r="A1247" i="101"/>
  <c r="A1230" i="101"/>
  <c r="A1213" i="101"/>
  <c r="A1196" i="101"/>
  <c r="A1179" i="101"/>
  <c r="A1162" i="101"/>
  <c r="A1145" i="101"/>
  <c r="A1128" i="101"/>
  <c r="A1111" i="101"/>
  <c r="A1094" i="101"/>
  <c r="A1077" i="101"/>
  <c r="A1060" i="101"/>
  <c r="A1043" i="101"/>
  <c r="A1026" i="101"/>
  <c r="A1009" i="101"/>
  <c r="A992" i="101"/>
  <c r="A975" i="101"/>
  <c r="A958" i="101"/>
  <c r="A941" i="101"/>
  <c r="A924" i="101"/>
  <c r="A907" i="101"/>
  <c r="A890" i="101"/>
  <c r="A873" i="101"/>
  <c r="A856" i="101"/>
  <c r="A839" i="101"/>
  <c r="A822" i="101"/>
  <c r="A805" i="101"/>
  <c r="A788" i="101"/>
  <c r="A771" i="101"/>
  <c r="A754" i="101"/>
  <c r="A737" i="101"/>
  <c r="A720" i="101"/>
  <c r="A703" i="101"/>
  <c r="A686" i="101"/>
  <c r="A669" i="101"/>
  <c r="A652" i="101"/>
  <c r="A635" i="101"/>
  <c r="A618" i="101"/>
  <c r="A601" i="101"/>
  <c r="A584" i="101"/>
  <c r="A567" i="101"/>
  <c r="A550" i="101"/>
  <c r="A533" i="101"/>
  <c r="A516" i="101"/>
  <c r="A499" i="101"/>
  <c r="A482" i="101"/>
  <c r="A465" i="101"/>
  <c r="A448" i="101"/>
  <c r="A431" i="101"/>
  <c r="A414" i="101"/>
  <c r="A397" i="101"/>
  <c r="A380" i="101"/>
  <c r="A363" i="101"/>
  <c r="A346" i="101"/>
  <c r="A329" i="101"/>
  <c r="A312" i="101"/>
  <c r="A295" i="101"/>
  <c r="A278" i="101"/>
  <c r="A261" i="101"/>
  <c r="A244" i="101"/>
  <c r="A227" i="101"/>
  <c r="A210" i="101"/>
  <c r="A193" i="101"/>
  <c r="A176" i="101"/>
  <c r="A159" i="101"/>
  <c r="A142" i="101"/>
  <c r="A125" i="101"/>
  <c r="A108" i="101"/>
  <c r="A91" i="101"/>
  <c r="A74" i="101"/>
  <c r="A57" i="101"/>
  <c r="A40" i="101"/>
  <c r="J1281" i="101"/>
  <c r="F1281" i="101"/>
  <c r="B1281" i="101"/>
  <c r="J1264" i="101"/>
  <c r="F1264" i="101"/>
  <c r="B1264" i="101"/>
  <c r="J1247" i="101"/>
  <c r="F1247" i="101"/>
  <c r="B1247" i="101"/>
  <c r="J1230" i="101"/>
  <c r="F1230" i="101"/>
  <c r="B1230" i="101"/>
  <c r="J1213" i="101"/>
  <c r="F1213" i="101"/>
  <c r="B1213" i="101"/>
  <c r="J1196" i="101"/>
  <c r="F1196" i="101"/>
  <c r="B1196" i="101"/>
  <c r="J1179" i="101"/>
  <c r="F1179" i="101"/>
  <c r="B1179" i="101"/>
  <c r="J1162" i="101"/>
  <c r="F1162" i="101"/>
  <c r="B1162" i="101"/>
  <c r="J1145" i="101"/>
  <c r="F1145" i="101"/>
  <c r="B1145" i="101"/>
  <c r="J1128" i="101"/>
  <c r="F1128" i="101"/>
  <c r="B1128" i="101"/>
  <c r="J1111" i="101"/>
  <c r="F1111" i="101"/>
  <c r="B1111" i="101"/>
  <c r="J1094" i="101"/>
  <c r="F1094" i="101"/>
  <c r="B1094" i="101"/>
  <c r="J1077" i="101"/>
  <c r="F1077" i="101"/>
  <c r="B1077" i="101"/>
  <c r="J1060" i="101"/>
  <c r="F1060" i="101"/>
  <c r="B1060" i="101"/>
  <c r="J1043" i="101"/>
  <c r="F1043" i="101"/>
  <c r="B1043" i="101"/>
  <c r="J1026" i="101"/>
  <c r="F1026" i="101"/>
  <c r="B1026" i="101"/>
  <c r="J1009" i="101"/>
  <c r="F1009" i="101"/>
  <c r="B1009" i="101"/>
  <c r="J992" i="101"/>
  <c r="F992" i="101"/>
  <c r="B992" i="101"/>
  <c r="J975" i="101"/>
  <c r="F975" i="101"/>
  <c r="B975" i="101"/>
  <c r="J958" i="101"/>
  <c r="F958" i="101"/>
  <c r="B958" i="101"/>
  <c r="J941" i="101"/>
  <c r="F941" i="101"/>
  <c r="B941" i="101"/>
  <c r="J924" i="101"/>
  <c r="F924" i="101"/>
  <c r="B924" i="101"/>
  <c r="J907" i="101"/>
  <c r="F907" i="101"/>
  <c r="B907" i="101"/>
  <c r="J890" i="101"/>
  <c r="F890" i="101"/>
  <c r="B890" i="101"/>
  <c r="J873" i="101"/>
  <c r="F873" i="101"/>
  <c r="B873" i="101"/>
  <c r="J856" i="101"/>
  <c r="F856" i="101"/>
  <c r="B856" i="101"/>
  <c r="J839" i="101"/>
  <c r="F839" i="101"/>
  <c r="B839" i="101"/>
  <c r="J822" i="101"/>
  <c r="F822" i="101"/>
  <c r="B822" i="101"/>
  <c r="J805" i="101"/>
  <c r="F805" i="101"/>
  <c r="B805" i="101"/>
  <c r="J788" i="101"/>
  <c r="F788" i="101"/>
  <c r="B788" i="101"/>
  <c r="J771" i="101"/>
  <c r="F771" i="101"/>
  <c r="B771" i="101"/>
  <c r="A23" i="101"/>
  <c r="J23" i="101"/>
  <c r="J40" i="101" s="1"/>
  <c r="J57" i="101" s="1"/>
  <c r="J74" i="101" s="1"/>
  <c r="J91" i="101" s="1"/>
  <c r="J108" i="101" s="1"/>
  <c r="J125" i="101" s="1"/>
  <c r="J142" i="101" s="1"/>
  <c r="J159" i="101" s="1"/>
  <c r="J176" i="101" s="1"/>
  <c r="J193" i="101" s="1"/>
  <c r="J210" i="101" s="1"/>
  <c r="J227" i="101" s="1"/>
  <c r="J244" i="101" s="1"/>
  <c r="J261" i="101" s="1"/>
  <c r="J278" i="101" s="1"/>
  <c r="J295" i="101" s="1"/>
  <c r="J312" i="101" s="1"/>
  <c r="J329" i="101" s="1"/>
  <c r="J346" i="101" s="1"/>
  <c r="J363" i="101" s="1"/>
  <c r="J380" i="101" s="1"/>
  <c r="J397" i="101" s="1"/>
  <c r="J414" i="101" s="1"/>
  <c r="J431" i="101" s="1"/>
  <c r="J448" i="101" s="1"/>
  <c r="J465" i="101" s="1"/>
  <c r="J482" i="101" s="1"/>
  <c r="J499" i="101" s="1"/>
  <c r="J516" i="101" s="1"/>
  <c r="J533" i="101" s="1"/>
  <c r="J550" i="101" s="1"/>
  <c r="J567" i="101" s="1"/>
  <c r="J584" i="101" s="1"/>
  <c r="J601" i="101" s="1"/>
  <c r="J618" i="101" s="1"/>
  <c r="J635" i="101" s="1"/>
  <c r="J652" i="101" s="1"/>
  <c r="J669" i="101" s="1"/>
  <c r="J686" i="101" s="1"/>
  <c r="J703" i="101" s="1"/>
  <c r="J720" i="101" s="1"/>
  <c r="J737" i="101" s="1"/>
  <c r="J754" i="101" s="1"/>
  <c r="F23" i="101"/>
  <c r="F40" i="101" s="1"/>
  <c r="F57" i="101" s="1"/>
  <c r="F74" i="101" s="1"/>
  <c r="F91" i="101" s="1"/>
  <c r="F108" i="101" s="1"/>
  <c r="F125" i="101" s="1"/>
  <c r="F142" i="101" s="1"/>
  <c r="F159" i="101" s="1"/>
  <c r="F176" i="101" s="1"/>
  <c r="F193" i="101" s="1"/>
  <c r="F210" i="101" s="1"/>
  <c r="F227" i="101" s="1"/>
  <c r="F244" i="101" s="1"/>
  <c r="F261" i="101" s="1"/>
  <c r="F278" i="101" s="1"/>
  <c r="F295" i="101" s="1"/>
  <c r="F312" i="101" s="1"/>
  <c r="F329" i="101" s="1"/>
  <c r="F346" i="101" s="1"/>
  <c r="F363" i="101" s="1"/>
  <c r="F380" i="101" s="1"/>
  <c r="F397" i="101" s="1"/>
  <c r="F414" i="101" s="1"/>
  <c r="F431" i="101" s="1"/>
  <c r="F448" i="101" s="1"/>
  <c r="F465" i="101" s="1"/>
  <c r="F482" i="101" s="1"/>
  <c r="F499" i="101" s="1"/>
  <c r="F516" i="101" s="1"/>
  <c r="F533" i="101" s="1"/>
  <c r="F550" i="101" s="1"/>
  <c r="F567" i="101" s="1"/>
  <c r="F584" i="101" s="1"/>
  <c r="F601" i="101" s="1"/>
  <c r="F618" i="101" s="1"/>
  <c r="F635" i="101" s="1"/>
  <c r="F652" i="101" s="1"/>
  <c r="F669" i="101" s="1"/>
  <c r="F686" i="101" s="1"/>
  <c r="F703" i="101" s="1"/>
  <c r="F720" i="101" s="1"/>
  <c r="F737" i="101" s="1"/>
  <c r="F754" i="101" s="1"/>
  <c r="B23" i="101"/>
  <c r="K13" i="80" l="1"/>
  <c r="R44" i="80" l="1"/>
  <c r="R43" i="80"/>
  <c r="K43" i="80"/>
  <c r="I43" i="80"/>
  <c r="H43" i="80"/>
  <c r="F43" i="80"/>
  <c r="C43" i="80"/>
  <c r="R8" i="80"/>
  <c r="K8" i="80"/>
  <c r="I8" i="80"/>
  <c r="H8" i="80"/>
  <c r="F9" i="80"/>
  <c r="C8" i="80"/>
  <c r="N8" i="80" l="1"/>
  <c r="O8" i="80"/>
  <c r="N43" i="80"/>
  <c r="O43" i="80" s="1"/>
  <c r="L43" i="80"/>
  <c r="L8" i="80"/>
  <c r="R11" i="80"/>
  <c r="K12" i="80"/>
  <c r="I11" i="80"/>
  <c r="H11" i="80"/>
  <c r="C9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8" i="80"/>
  <c r="AG6" i="79"/>
  <c r="AF6" i="79"/>
  <c r="AE6" i="79"/>
  <c r="AD6" i="79"/>
  <c r="AC6" i="79"/>
  <c r="AB6" i="79"/>
  <c r="AA6" i="79"/>
  <c r="Z6" i="79"/>
  <c r="Y6" i="79"/>
  <c r="X6" i="79"/>
  <c r="V6" i="79"/>
  <c r="U6" i="79"/>
  <c r="T6" i="79"/>
  <c r="S6" i="79"/>
  <c r="R6" i="79"/>
  <c r="Q6" i="79"/>
  <c r="P6" i="79"/>
  <c r="O6" i="79"/>
  <c r="N6" i="79"/>
  <c r="M6" i="79"/>
  <c r="K6" i="79"/>
  <c r="J6" i="79"/>
  <c r="I6" i="79"/>
  <c r="H6" i="79"/>
  <c r="G6" i="79"/>
  <c r="F6" i="79"/>
  <c r="E6" i="79"/>
  <c r="D6" i="79"/>
  <c r="C6" i="79"/>
  <c r="B6" i="79"/>
  <c r="J8" i="79"/>
  <c r="I8" i="79"/>
  <c r="H8" i="79"/>
  <c r="G8" i="79"/>
  <c r="F8" i="79"/>
  <c r="E8" i="79"/>
  <c r="D8" i="79"/>
  <c r="C8" i="79"/>
  <c r="B8" i="79"/>
  <c r="A34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8" i="79"/>
  <c r="A6" i="79"/>
  <c r="A1" i="79" s="1"/>
  <c r="K8" i="79" l="1"/>
  <c r="E34" i="79"/>
  <c r="P19" i="79" s="1"/>
  <c r="F34" i="79"/>
  <c r="Q31" i="79" s="1"/>
  <c r="J34" i="79"/>
  <c r="U25" i="79" s="1"/>
  <c r="I34" i="79"/>
  <c r="T17" i="79" s="1"/>
  <c r="G34" i="79"/>
  <c r="R9" i="79" s="1"/>
  <c r="H34" i="79"/>
  <c r="U30" i="79" l="1"/>
  <c r="P15" i="79"/>
  <c r="Q20" i="79"/>
  <c r="P8" i="79"/>
  <c r="Q10" i="79"/>
  <c r="U18" i="79"/>
  <c r="Q24" i="79"/>
  <c r="P11" i="79"/>
  <c r="U16" i="79"/>
  <c r="Q26" i="79"/>
  <c r="Q15" i="79"/>
  <c r="Q8" i="79"/>
  <c r="AD8" i="79"/>
  <c r="Z8" i="79"/>
  <c r="AE8" i="79"/>
  <c r="AF8" i="79"/>
  <c r="AG8" i="79"/>
  <c r="Y8" i="79"/>
  <c r="X8" i="79"/>
  <c r="AB8" i="79"/>
  <c r="AC8" i="79"/>
  <c r="AA8" i="79"/>
  <c r="U28" i="79"/>
  <c r="Q12" i="79"/>
  <c r="Q27" i="79"/>
  <c r="Q30" i="79"/>
  <c r="Q11" i="79"/>
  <c r="R28" i="79"/>
  <c r="Q18" i="79"/>
  <c r="T13" i="79"/>
  <c r="T29" i="79"/>
  <c r="U14" i="79"/>
  <c r="U29" i="79"/>
  <c r="Q16" i="79"/>
  <c r="S10" i="79"/>
  <c r="S14" i="79"/>
  <c r="S18" i="79"/>
  <c r="S22" i="79"/>
  <c r="S26" i="79"/>
  <c r="S30" i="79"/>
  <c r="S34" i="79"/>
  <c r="S8" i="79"/>
  <c r="S24" i="79"/>
  <c r="S13" i="79"/>
  <c r="S32" i="79"/>
  <c r="R12" i="79"/>
  <c r="R16" i="79"/>
  <c r="U13" i="79"/>
  <c r="Q13" i="79"/>
  <c r="Q17" i="79"/>
  <c r="Q21" i="79"/>
  <c r="Q25" i="79"/>
  <c r="Q29" i="79"/>
  <c r="Q34" i="79"/>
  <c r="Q9" i="79"/>
  <c r="R20" i="79"/>
  <c r="S11" i="79"/>
  <c r="U32" i="79"/>
  <c r="Q23" i="79"/>
  <c r="P9" i="79"/>
  <c r="P12" i="79"/>
  <c r="P16" i="79"/>
  <c r="P20" i="79"/>
  <c r="P24" i="79"/>
  <c r="P28" i="79"/>
  <c r="P32" i="79"/>
  <c r="P14" i="79"/>
  <c r="P26" i="79"/>
  <c r="P10" i="79"/>
  <c r="P18" i="79"/>
  <c r="P22" i="79"/>
  <c r="P30" i="79"/>
  <c r="P13" i="79"/>
  <c r="P17" i="79"/>
  <c r="P21" i="79"/>
  <c r="P25" i="79"/>
  <c r="P29" i="79"/>
  <c r="P34" i="79"/>
  <c r="S25" i="79"/>
  <c r="P23" i="79"/>
  <c r="Q19" i="79"/>
  <c r="U12" i="79"/>
  <c r="S23" i="79"/>
  <c r="S29" i="79"/>
  <c r="P27" i="79"/>
  <c r="S9" i="79"/>
  <c r="S15" i="79"/>
  <c r="R13" i="79"/>
  <c r="R17" i="79"/>
  <c r="R21" i="79"/>
  <c r="R25" i="79"/>
  <c r="R29" i="79"/>
  <c r="R34" i="79"/>
  <c r="R11" i="79"/>
  <c r="R15" i="79"/>
  <c r="R19" i="79"/>
  <c r="R23" i="79"/>
  <c r="R31" i="79"/>
  <c r="R27" i="79"/>
  <c r="R10" i="79"/>
  <c r="R14" i="79"/>
  <c r="R18" i="79"/>
  <c r="R22" i="79"/>
  <c r="R26" i="79"/>
  <c r="R30" i="79"/>
  <c r="R8" i="79"/>
  <c r="S27" i="79"/>
  <c r="T10" i="79"/>
  <c r="T14" i="79"/>
  <c r="T18" i="79"/>
  <c r="T22" i="79"/>
  <c r="T26" i="79"/>
  <c r="T30" i="79"/>
  <c r="T12" i="79"/>
  <c r="T16" i="79"/>
  <c r="T20" i="79"/>
  <c r="T28" i="79"/>
  <c r="T34" i="79"/>
  <c r="T9" i="79"/>
  <c r="T24" i="79"/>
  <c r="T32" i="79"/>
  <c r="T11" i="79"/>
  <c r="T15" i="79"/>
  <c r="T19" i="79"/>
  <c r="T23" i="79"/>
  <c r="T27" i="79"/>
  <c r="T31" i="79"/>
  <c r="R32" i="79"/>
  <c r="U11" i="79"/>
  <c r="U15" i="79"/>
  <c r="U19" i="79"/>
  <c r="U23" i="79"/>
  <c r="U27" i="79"/>
  <c r="U31" i="79"/>
  <c r="U9" i="79"/>
  <c r="U34" i="79"/>
  <c r="U8" i="79"/>
  <c r="S17" i="79"/>
  <c r="S12" i="79"/>
  <c r="S19" i="79"/>
  <c r="S21" i="79"/>
  <c r="S16" i="79"/>
  <c r="U20" i="79"/>
  <c r="S31" i="79"/>
  <c r="T21" i="79"/>
  <c r="S20" i="79"/>
  <c r="U22" i="79"/>
  <c r="U17" i="79"/>
  <c r="Q22" i="79"/>
  <c r="U26" i="79"/>
  <c r="R24" i="79"/>
  <c r="T8" i="79"/>
  <c r="Q28" i="79"/>
  <c r="T25" i="79"/>
  <c r="U21" i="79"/>
  <c r="Q14" i="79"/>
  <c r="U24" i="79"/>
  <c r="U10" i="79"/>
  <c r="Q32" i="79"/>
  <c r="P31" i="79"/>
  <c r="S28" i="79"/>
  <c r="CP140" i="78" l="1"/>
  <c r="CP139" i="78"/>
  <c r="CP138" i="78"/>
  <c r="CP137" i="78"/>
  <c r="CP136" i="78"/>
  <c r="CP135" i="78"/>
  <c r="CP134" i="78"/>
  <c r="CP133" i="78"/>
  <c r="CP132" i="78"/>
  <c r="CP131" i="78"/>
  <c r="CP130" i="78"/>
  <c r="CP129" i="78"/>
  <c r="CP128" i="78"/>
  <c r="CP127" i="78"/>
  <c r="CP126" i="78"/>
  <c r="CP125" i="78"/>
  <c r="CP124" i="78"/>
  <c r="CP123" i="78"/>
  <c r="CP122" i="78"/>
  <c r="CP121" i="78"/>
  <c r="CP120" i="78"/>
  <c r="CP119" i="78"/>
  <c r="CP118" i="78"/>
  <c r="CP117" i="78"/>
  <c r="CP116" i="78"/>
  <c r="CE140" i="78"/>
  <c r="CE139" i="78"/>
  <c r="CE138" i="78"/>
  <c r="CE137" i="78"/>
  <c r="CE136" i="78"/>
  <c r="CE135" i="78"/>
  <c r="CE134" i="78"/>
  <c r="CE133" i="78"/>
  <c r="CE132" i="78"/>
  <c r="CE131" i="78"/>
  <c r="CE130" i="78"/>
  <c r="CE129" i="78"/>
  <c r="CE128" i="78"/>
  <c r="CE127" i="78"/>
  <c r="CE126" i="78"/>
  <c r="CE125" i="78"/>
  <c r="CE124" i="78"/>
  <c r="CE123" i="78"/>
  <c r="CE122" i="78"/>
  <c r="CE121" i="78"/>
  <c r="CE120" i="78"/>
  <c r="CE119" i="78"/>
  <c r="CE118" i="78"/>
  <c r="CE117" i="78"/>
  <c r="CE116" i="78"/>
  <c r="BT140" i="78"/>
  <c r="BT139" i="78"/>
  <c r="BT138" i="78"/>
  <c r="BT137" i="78"/>
  <c r="BT136" i="78"/>
  <c r="BT135" i="78"/>
  <c r="BT134" i="78"/>
  <c r="BT133" i="78"/>
  <c r="BT132" i="78"/>
  <c r="BT131" i="78"/>
  <c r="BT130" i="78"/>
  <c r="BT129" i="78"/>
  <c r="BT128" i="78"/>
  <c r="BT127" i="78"/>
  <c r="BT126" i="78"/>
  <c r="BT125" i="78"/>
  <c r="BT124" i="78"/>
  <c r="BT123" i="78"/>
  <c r="BT122" i="78"/>
  <c r="BT121" i="78"/>
  <c r="BT120" i="78"/>
  <c r="BT119" i="78"/>
  <c r="BT118" i="78"/>
  <c r="BT117" i="78"/>
  <c r="BT116" i="78"/>
  <c r="BI140" i="78"/>
  <c r="BI139" i="78"/>
  <c r="BI138" i="78"/>
  <c r="BI137" i="78"/>
  <c r="BI136" i="78"/>
  <c r="BI135" i="78"/>
  <c r="BI134" i="78"/>
  <c r="BI133" i="78"/>
  <c r="BI132" i="78"/>
  <c r="BI131" i="78"/>
  <c r="BI130" i="78"/>
  <c r="BI129" i="78"/>
  <c r="BI128" i="78"/>
  <c r="BI127" i="78"/>
  <c r="BI126" i="78"/>
  <c r="BI125" i="78"/>
  <c r="BI124" i="78"/>
  <c r="BI123" i="78"/>
  <c r="BI122" i="78"/>
  <c r="BI121" i="78"/>
  <c r="BI120" i="78"/>
  <c r="BI119" i="78"/>
  <c r="BI118" i="78"/>
  <c r="BI117" i="78"/>
  <c r="BI116" i="78"/>
  <c r="AX140" i="78"/>
  <c r="AX139" i="78"/>
  <c r="AX138" i="78"/>
  <c r="AX137" i="78"/>
  <c r="AX136" i="78"/>
  <c r="AX135" i="78"/>
  <c r="AX134" i="78"/>
  <c r="AX133" i="78"/>
  <c r="AX132" i="78"/>
  <c r="AX131" i="78"/>
  <c r="AX130" i="78"/>
  <c r="AX129" i="78"/>
  <c r="AX128" i="78"/>
  <c r="AX127" i="78"/>
  <c r="AX126" i="78"/>
  <c r="AX125" i="78"/>
  <c r="AX124" i="78"/>
  <c r="AX123" i="78"/>
  <c r="AX122" i="78"/>
  <c r="AX121" i="78"/>
  <c r="AX120" i="78"/>
  <c r="AX119" i="78"/>
  <c r="AX118" i="78"/>
  <c r="AX117" i="78"/>
  <c r="AX116" i="78"/>
  <c r="AM140" i="78"/>
  <c r="AM139" i="78"/>
  <c r="AM138" i="78"/>
  <c r="AM137" i="78"/>
  <c r="AM136" i="78"/>
  <c r="AM135" i="78"/>
  <c r="AM134" i="78"/>
  <c r="AM133" i="78"/>
  <c r="AM132" i="78"/>
  <c r="AM131" i="78"/>
  <c r="AM130" i="78"/>
  <c r="AM129" i="78"/>
  <c r="AM128" i="78"/>
  <c r="AM127" i="78"/>
  <c r="AM126" i="78"/>
  <c r="AM125" i="78"/>
  <c r="AM124" i="78"/>
  <c r="AM123" i="78"/>
  <c r="AM122" i="78"/>
  <c r="AM121" i="78"/>
  <c r="AM120" i="78"/>
  <c r="AM119" i="78"/>
  <c r="AM118" i="78"/>
  <c r="AM117" i="78"/>
  <c r="AM116" i="78"/>
  <c r="AB140" i="78"/>
  <c r="AB139" i="78"/>
  <c r="AB138" i="78"/>
  <c r="AB137" i="78"/>
  <c r="AB136" i="78"/>
  <c r="AB135" i="78"/>
  <c r="AB134" i="78"/>
  <c r="AB133" i="78"/>
  <c r="AB132" i="78"/>
  <c r="AB131" i="78"/>
  <c r="AB130" i="78"/>
  <c r="AB129" i="78"/>
  <c r="AB128" i="78"/>
  <c r="AB127" i="78"/>
  <c r="AB126" i="78"/>
  <c r="AB125" i="78"/>
  <c r="AB124" i="78"/>
  <c r="AB123" i="78"/>
  <c r="AB122" i="78"/>
  <c r="AB121" i="78"/>
  <c r="AB120" i="78"/>
  <c r="AB119" i="78"/>
  <c r="AB118" i="78"/>
  <c r="AB117" i="78"/>
  <c r="AB116" i="78"/>
  <c r="Q119" i="78"/>
  <c r="Q140" i="78"/>
  <c r="Q139" i="78"/>
  <c r="Q138" i="78"/>
  <c r="Q137" i="78"/>
  <c r="Q136" i="78"/>
  <c r="Q135" i="78"/>
  <c r="Q134" i="78"/>
  <c r="Q133" i="78"/>
  <c r="Q132" i="78"/>
  <c r="Q131" i="78"/>
  <c r="Q130" i="78"/>
  <c r="Q129" i="78"/>
  <c r="Q128" i="78"/>
  <c r="Q127" i="78"/>
  <c r="Q126" i="78"/>
  <c r="Q125" i="78"/>
  <c r="Q124" i="78"/>
  <c r="Q123" i="78"/>
  <c r="Q122" i="78"/>
  <c r="Q121" i="78"/>
  <c r="Q120" i="78"/>
  <c r="Q118" i="78"/>
  <c r="Q117" i="78"/>
  <c r="Q116" i="78"/>
  <c r="CS9" i="78"/>
  <c r="CS81" i="78" s="1"/>
  <c r="CS10" i="78"/>
  <c r="CS82" i="78" s="1"/>
  <c r="CS11" i="78"/>
  <c r="CS47" i="78" s="1"/>
  <c r="CS12" i="78"/>
  <c r="CS84" i="78" s="1"/>
  <c r="CS13" i="78"/>
  <c r="CS85" i="78" s="1"/>
  <c r="CS14" i="78"/>
  <c r="CS86" i="78" s="1"/>
  <c r="CS15" i="78"/>
  <c r="CS51" i="78" s="1"/>
  <c r="CS16" i="78"/>
  <c r="CS17" i="78"/>
  <c r="CS89" i="78" s="1"/>
  <c r="CS18" i="78"/>
  <c r="CS19" i="78"/>
  <c r="CS55" i="78" s="1"/>
  <c r="CS20" i="78"/>
  <c r="CS56" i="78" s="1"/>
  <c r="CS21" i="78"/>
  <c r="CS57" i="78" s="1"/>
  <c r="CS22" i="78"/>
  <c r="CS58" i="78" s="1"/>
  <c r="CS23" i="78"/>
  <c r="CS95" i="78" s="1"/>
  <c r="CS24" i="78"/>
  <c r="CS25" i="78"/>
  <c r="CS97" i="78" s="1"/>
  <c r="CS26" i="78"/>
  <c r="CS62" i="78" s="1"/>
  <c r="CS27" i="78"/>
  <c r="CS63" i="78" s="1"/>
  <c r="CS28" i="78"/>
  <c r="CS100" i="78" s="1"/>
  <c r="CS29" i="78"/>
  <c r="CS101" i="78" s="1"/>
  <c r="CS30" i="78"/>
  <c r="CS66" i="78" s="1"/>
  <c r="CS31" i="78"/>
  <c r="CS67" i="78" s="1"/>
  <c r="CS32" i="78"/>
  <c r="CS68" i="78" s="1"/>
  <c r="CS8" i="78"/>
  <c r="CS44" i="78" s="1"/>
  <c r="CH9" i="78"/>
  <c r="CH45" i="78" s="1"/>
  <c r="CH10" i="78"/>
  <c r="CH46" i="78" s="1"/>
  <c r="CH11" i="78"/>
  <c r="CH47" i="78" s="1"/>
  <c r="CH12" i="78"/>
  <c r="CH84" i="78" s="1"/>
  <c r="CH13" i="78"/>
  <c r="CH85" i="78" s="1"/>
  <c r="CH14" i="78"/>
  <c r="CH50" i="78" s="1"/>
  <c r="CH15" i="78"/>
  <c r="CH51" i="78" s="1"/>
  <c r="CH16" i="78"/>
  <c r="CH52" i="78" s="1"/>
  <c r="CH17" i="78"/>
  <c r="CH53" i="78" s="1"/>
  <c r="CH18" i="78"/>
  <c r="CH54" i="78" s="1"/>
  <c r="CH19" i="78"/>
  <c r="CH55" i="78" s="1"/>
  <c r="CH20" i="78"/>
  <c r="CH56" i="78" s="1"/>
  <c r="CH21" i="78"/>
  <c r="CH22" i="78"/>
  <c r="CH94" i="78" s="1"/>
  <c r="CH23" i="78"/>
  <c r="CH95" i="78" s="1"/>
  <c r="CH24" i="78"/>
  <c r="CH60" i="78" s="1"/>
  <c r="CH25" i="78"/>
  <c r="CH97" i="78" s="1"/>
  <c r="CH26" i="78"/>
  <c r="CH98" i="78" s="1"/>
  <c r="CH27" i="78"/>
  <c r="CH63" i="78" s="1"/>
  <c r="CH28" i="78"/>
  <c r="CH100" i="78" s="1"/>
  <c r="CH29" i="78"/>
  <c r="CH101" i="78" s="1"/>
  <c r="CH30" i="78"/>
  <c r="CH66" i="78" s="1"/>
  <c r="CH31" i="78"/>
  <c r="CH32" i="78"/>
  <c r="CH68" i="78" s="1"/>
  <c r="CH8" i="78"/>
  <c r="CH80" i="78" s="1"/>
  <c r="BW9" i="78"/>
  <c r="BW45" i="78" s="1"/>
  <c r="BW10" i="78"/>
  <c r="BW11" i="78"/>
  <c r="BW47" i="78" s="1"/>
  <c r="BW12" i="78"/>
  <c r="BW48" i="78" s="1"/>
  <c r="BW13" i="78"/>
  <c r="BW14" i="78"/>
  <c r="BW86" i="78" s="1"/>
  <c r="BW15" i="78"/>
  <c r="BW51" i="78" s="1"/>
  <c r="BW16" i="78"/>
  <c r="BW17" i="78"/>
  <c r="BW53" i="78" s="1"/>
  <c r="BW18" i="78"/>
  <c r="BW90" i="78" s="1"/>
  <c r="BW19" i="78"/>
  <c r="BW55" i="78" s="1"/>
  <c r="BW20" i="78"/>
  <c r="BW92" i="78" s="1"/>
  <c r="BW21" i="78"/>
  <c r="BW93" i="78" s="1"/>
  <c r="BW22" i="78"/>
  <c r="BW94" i="78" s="1"/>
  <c r="BW23" i="78"/>
  <c r="BW95" i="78" s="1"/>
  <c r="BW24" i="78"/>
  <c r="BW60" i="78" s="1"/>
  <c r="BW25" i="78"/>
  <c r="BW97" i="78" s="1"/>
  <c r="BW26" i="78"/>
  <c r="BW62" i="78" s="1"/>
  <c r="BW27" i="78"/>
  <c r="BW63" i="78" s="1"/>
  <c r="BW28" i="78"/>
  <c r="BW64" i="78" s="1"/>
  <c r="BW29" i="78"/>
  <c r="BW65" i="78" s="1"/>
  <c r="BW30" i="78"/>
  <c r="BW102" i="78" s="1"/>
  <c r="BW31" i="78"/>
  <c r="BW32" i="78"/>
  <c r="BW68" i="78" s="1"/>
  <c r="BW8" i="78"/>
  <c r="BW80" i="78" s="1"/>
  <c r="BL9" i="78"/>
  <c r="BL45" i="78" s="1"/>
  <c r="BL10" i="78"/>
  <c r="BL46" i="78" s="1"/>
  <c r="BL11" i="78"/>
  <c r="BL83" i="78" s="1"/>
  <c r="BL12" i="78"/>
  <c r="BL84" i="78" s="1"/>
  <c r="BL13" i="78"/>
  <c r="BL49" i="78" s="1"/>
  <c r="BL14" i="78"/>
  <c r="BL86" i="78" s="1"/>
  <c r="BL15" i="78"/>
  <c r="BL87" i="78" s="1"/>
  <c r="BL16" i="78"/>
  <c r="BL17" i="78"/>
  <c r="BL89" i="78" s="1"/>
  <c r="BL18" i="78"/>
  <c r="BL54" i="78" s="1"/>
  <c r="BL19" i="78"/>
  <c r="BL91" i="78" s="1"/>
  <c r="BL20" i="78"/>
  <c r="BL92" i="78" s="1"/>
  <c r="BL21" i="78"/>
  <c r="BL57" i="78" s="1"/>
  <c r="BL22" i="78"/>
  <c r="BL58" i="78" s="1"/>
  <c r="BL23" i="78"/>
  <c r="BL59" i="78" s="1"/>
  <c r="BL24" i="78"/>
  <c r="BL25" i="78"/>
  <c r="BL61" i="78" s="1"/>
  <c r="BL26" i="78"/>
  <c r="BL62" i="78" s="1"/>
  <c r="BL27" i="78"/>
  <c r="BL99" i="78" s="1"/>
  <c r="BL28" i="78"/>
  <c r="BL64" i="78" s="1"/>
  <c r="BL29" i="78"/>
  <c r="BL65" i="78" s="1"/>
  <c r="BL30" i="78"/>
  <c r="BL102" i="78" s="1"/>
  <c r="BL31" i="78"/>
  <c r="BL67" i="78" s="1"/>
  <c r="BL32" i="78"/>
  <c r="BL8" i="78"/>
  <c r="BA9" i="78"/>
  <c r="BA81" i="78" s="1"/>
  <c r="BA10" i="78"/>
  <c r="BA46" i="78" s="1"/>
  <c r="BA11" i="78"/>
  <c r="BA47" i="78" s="1"/>
  <c r="BA12" i="78"/>
  <c r="BA48" i="78" s="1"/>
  <c r="BA13" i="78"/>
  <c r="BA85" i="78" s="1"/>
  <c r="BA14" i="78"/>
  <c r="BA86" i="78" s="1"/>
  <c r="BA15" i="78"/>
  <c r="BA87" i="78" s="1"/>
  <c r="BA16" i="78"/>
  <c r="BA52" i="78" s="1"/>
  <c r="BA17" i="78"/>
  <c r="BA89" i="78" s="1"/>
  <c r="BA18" i="78"/>
  <c r="BA90" i="78" s="1"/>
  <c r="BA19" i="78"/>
  <c r="BA55" i="78" s="1"/>
  <c r="BA20" i="78"/>
  <c r="BA56" i="78" s="1"/>
  <c r="BA21" i="78"/>
  <c r="BA57" i="78" s="1"/>
  <c r="BA22" i="78"/>
  <c r="BA94" i="78" s="1"/>
  <c r="BA23" i="78"/>
  <c r="BA95" i="78" s="1"/>
  <c r="BA24" i="78"/>
  <c r="BA96" i="78" s="1"/>
  <c r="BA25" i="78"/>
  <c r="BA97" i="78" s="1"/>
  <c r="BA26" i="78"/>
  <c r="BA98" i="78" s="1"/>
  <c r="BA27" i="78"/>
  <c r="BA63" i="78" s="1"/>
  <c r="BA28" i="78"/>
  <c r="BA64" i="78" s="1"/>
  <c r="BA29" i="78"/>
  <c r="BA101" i="78" s="1"/>
  <c r="BA30" i="78"/>
  <c r="BA102" i="78" s="1"/>
  <c r="BA31" i="78"/>
  <c r="BA32" i="78"/>
  <c r="BA104" i="78" s="1"/>
  <c r="BA8" i="78"/>
  <c r="BA44" i="78" s="1"/>
  <c r="AP9" i="78"/>
  <c r="AP81" i="78" s="1"/>
  <c r="AP10" i="78"/>
  <c r="AP82" i="78" s="1"/>
  <c r="AP11" i="78"/>
  <c r="AP47" i="78" s="1"/>
  <c r="AP12" i="78"/>
  <c r="AP48" i="78" s="1"/>
  <c r="AP13" i="78"/>
  <c r="AP49" i="78" s="1"/>
  <c r="AP14" i="78"/>
  <c r="AP86" i="78" s="1"/>
  <c r="AP15" i="78"/>
  <c r="AP87" i="78" s="1"/>
  <c r="AP16" i="78"/>
  <c r="AP17" i="78"/>
  <c r="AP89" i="78" s="1"/>
  <c r="AP18" i="78"/>
  <c r="AP54" i="78" s="1"/>
  <c r="AP19" i="78"/>
  <c r="AP55" i="78" s="1"/>
  <c r="AP20" i="78"/>
  <c r="AP56" i="78" s="1"/>
  <c r="AP21" i="78"/>
  <c r="AP93" i="78" s="1"/>
  <c r="AP22" i="78"/>
  <c r="AP94" i="78" s="1"/>
  <c r="AP23" i="78"/>
  <c r="AP95" i="78" s="1"/>
  <c r="AP24" i="78"/>
  <c r="AP96" i="78" s="1"/>
  <c r="AP25" i="78"/>
  <c r="AP97" i="78" s="1"/>
  <c r="AP26" i="78"/>
  <c r="AP98" i="78" s="1"/>
  <c r="AP27" i="78"/>
  <c r="AP63" i="78" s="1"/>
  <c r="AP28" i="78"/>
  <c r="AP64" i="78" s="1"/>
  <c r="AP29" i="78"/>
  <c r="AP65" i="78" s="1"/>
  <c r="AP30" i="78"/>
  <c r="AP102" i="78" s="1"/>
  <c r="AP31" i="78"/>
  <c r="AP67" i="78" s="1"/>
  <c r="AP32" i="78"/>
  <c r="AP68" i="78" s="1"/>
  <c r="AP8" i="78"/>
  <c r="AP80" i="78" s="1"/>
  <c r="AE9" i="78"/>
  <c r="AE10" i="78"/>
  <c r="AE46" i="78" s="1"/>
  <c r="AE11" i="78"/>
  <c r="AE83" i="78" s="1"/>
  <c r="AE12" i="78"/>
  <c r="AE84" i="78" s="1"/>
  <c r="AE13" i="78"/>
  <c r="AE49" i="78" s="1"/>
  <c r="AE14" i="78"/>
  <c r="AE50" i="78" s="1"/>
  <c r="AE15" i="78"/>
  <c r="AE87" i="78" s="1"/>
  <c r="AE16" i="78"/>
  <c r="AE52" i="78" s="1"/>
  <c r="AE17" i="78"/>
  <c r="AE89" i="78" s="1"/>
  <c r="AE18" i="78"/>
  <c r="AE54" i="78" s="1"/>
  <c r="AE19" i="78"/>
  <c r="AE91" i="78" s="1"/>
  <c r="AE20" i="78"/>
  <c r="AE92" i="78" s="1"/>
  <c r="AE21" i="78"/>
  <c r="AE57" i="78" s="1"/>
  <c r="AE22" i="78"/>
  <c r="AE58" i="78" s="1"/>
  <c r="AE23" i="78"/>
  <c r="AE95" i="78" s="1"/>
  <c r="AE24" i="78"/>
  <c r="AE60" i="78" s="1"/>
  <c r="AE25" i="78"/>
  <c r="AE97" i="78" s="1"/>
  <c r="AE26" i="78"/>
  <c r="AE27" i="78"/>
  <c r="AE63" i="78" s="1"/>
  <c r="AE28" i="78"/>
  <c r="AE100" i="78" s="1"/>
  <c r="AE29" i="78"/>
  <c r="AE65" i="78" s="1"/>
  <c r="AE30" i="78"/>
  <c r="AE66" i="78" s="1"/>
  <c r="AE31" i="78"/>
  <c r="AE103" i="78" s="1"/>
  <c r="AE32" i="78"/>
  <c r="AE68" i="78" s="1"/>
  <c r="AE8" i="78"/>
  <c r="CT77" i="78"/>
  <c r="CR77" i="78"/>
  <c r="CS54" i="78"/>
  <c r="CT42" i="78"/>
  <c r="CT78" i="78" s="1"/>
  <c r="CS42" i="78"/>
  <c r="CS78" i="78" s="1"/>
  <c r="CR42" i="78"/>
  <c r="CR78" i="78" s="1"/>
  <c r="CT41" i="78"/>
  <c r="CS41" i="78"/>
  <c r="CS77" i="78" s="1"/>
  <c r="CR41" i="78"/>
  <c r="CR32" i="78"/>
  <c r="CR68" i="78" s="1"/>
  <c r="CR104" i="78" s="1"/>
  <c r="CR31" i="78"/>
  <c r="CR67" i="78" s="1"/>
  <c r="CR103" i="78" s="1"/>
  <c r="CR30" i="78"/>
  <c r="CR66" i="78" s="1"/>
  <c r="CR102" i="78" s="1"/>
  <c r="CR29" i="78"/>
  <c r="CR65" i="78" s="1"/>
  <c r="CR101" i="78" s="1"/>
  <c r="CR28" i="78"/>
  <c r="CR27" i="78"/>
  <c r="CR63" i="78" s="1"/>
  <c r="CR99" i="78" s="1"/>
  <c r="CS98" i="78"/>
  <c r="CR26" i="78"/>
  <c r="CT26" i="78" s="1"/>
  <c r="CT62" i="78" s="1"/>
  <c r="CT98" i="78" s="1"/>
  <c r="CR25" i="78"/>
  <c r="CR61" i="78" s="1"/>
  <c r="CR97" i="78" s="1"/>
  <c r="CR24" i="78"/>
  <c r="CR60" i="78" s="1"/>
  <c r="CR96" i="78" s="1"/>
  <c r="CR23" i="78"/>
  <c r="CR59" i="78" s="1"/>
  <c r="CR95" i="78" s="1"/>
  <c r="CR22" i="78"/>
  <c r="CR58" i="78" s="1"/>
  <c r="CR94" i="78" s="1"/>
  <c r="CR21" i="78"/>
  <c r="CR57" i="78" s="1"/>
  <c r="CR93" i="78" s="1"/>
  <c r="CR20" i="78"/>
  <c r="CR19" i="78"/>
  <c r="CR55" i="78" s="1"/>
  <c r="CR91" i="78" s="1"/>
  <c r="CS90" i="78"/>
  <c r="CR18" i="78"/>
  <c r="CR54" i="78" s="1"/>
  <c r="CR90" i="78" s="1"/>
  <c r="CR17" i="78"/>
  <c r="CR16" i="78"/>
  <c r="CR52" i="78" s="1"/>
  <c r="CR88" i="78" s="1"/>
  <c r="CR15" i="78"/>
  <c r="CR51" i="78" s="1"/>
  <c r="CR87" i="78" s="1"/>
  <c r="CR14" i="78"/>
  <c r="CR50" i="78" s="1"/>
  <c r="CR86" i="78" s="1"/>
  <c r="CR13" i="78"/>
  <c r="CR49" i="78" s="1"/>
  <c r="CR85" i="78" s="1"/>
  <c r="CR12" i="78"/>
  <c r="CR11" i="78"/>
  <c r="CR47" i="78" s="1"/>
  <c r="CR83" i="78" s="1"/>
  <c r="CR10" i="78"/>
  <c r="CR46" i="78" s="1"/>
  <c r="CR82" i="78" s="1"/>
  <c r="CR9" i="78"/>
  <c r="CR45" i="78" s="1"/>
  <c r="CR81" i="78" s="1"/>
  <c r="CR8" i="78"/>
  <c r="CT8" i="78" s="1"/>
  <c r="CT44" i="78" s="1"/>
  <c r="CT80" i="78" s="1"/>
  <c r="CH78" i="78"/>
  <c r="CH61" i="78"/>
  <c r="CI42" i="78"/>
  <c r="CI78" i="78" s="1"/>
  <c r="CH42" i="78"/>
  <c r="CG42" i="78"/>
  <c r="CG78" i="78" s="1"/>
  <c r="CI41" i="78"/>
  <c r="CI77" i="78" s="1"/>
  <c r="CH41" i="78"/>
  <c r="CH77" i="78" s="1"/>
  <c r="CG41" i="78"/>
  <c r="CG77" i="78" s="1"/>
  <c r="CG32" i="78"/>
  <c r="CG31" i="78"/>
  <c r="CG67" i="78" s="1"/>
  <c r="CG103" i="78" s="1"/>
  <c r="CG30" i="78"/>
  <c r="CG66" i="78" s="1"/>
  <c r="CG102" i="78" s="1"/>
  <c r="CG29" i="78"/>
  <c r="CG65" i="78" s="1"/>
  <c r="CG101" i="78" s="1"/>
  <c r="CG28" i="78"/>
  <c r="CG64" i="78" s="1"/>
  <c r="CG100" i="78" s="1"/>
  <c r="CG27" i="78"/>
  <c r="CG26" i="78"/>
  <c r="CG62" i="78" s="1"/>
  <c r="CG98" i="78" s="1"/>
  <c r="CG25" i="78"/>
  <c r="CG61" i="78" s="1"/>
  <c r="CG97" i="78" s="1"/>
  <c r="CG24" i="78"/>
  <c r="CG23" i="78"/>
  <c r="CG59" i="78" s="1"/>
  <c r="CG95" i="78" s="1"/>
  <c r="CG22" i="78"/>
  <c r="CG58" i="78" s="1"/>
  <c r="CG94" i="78" s="1"/>
  <c r="CG21" i="78"/>
  <c r="CG57" i="78" s="1"/>
  <c r="CG93" i="78" s="1"/>
  <c r="CG20" i="78"/>
  <c r="CG56" i="78" s="1"/>
  <c r="CG92" i="78" s="1"/>
  <c r="CG19" i="78"/>
  <c r="CG18" i="78"/>
  <c r="CG54" i="78" s="1"/>
  <c r="CG90" i="78" s="1"/>
  <c r="CH89" i="78"/>
  <c r="CG17" i="78"/>
  <c r="CI17" i="78" s="1"/>
  <c r="CI53" i="78" s="1"/>
  <c r="CI89" i="78" s="1"/>
  <c r="CG16" i="78"/>
  <c r="CG15" i="78"/>
  <c r="CG51" i="78" s="1"/>
  <c r="CG87" i="78" s="1"/>
  <c r="CG14" i="78"/>
  <c r="CG50" i="78" s="1"/>
  <c r="CG86" i="78" s="1"/>
  <c r="CG13" i="78"/>
  <c r="CG49" i="78" s="1"/>
  <c r="CG85" i="78" s="1"/>
  <c r="CG12" i="78"/>
  <c r="CG48" i="78" s="1"/>
  <c r="CG84" i="78" s="1"/>
  <c r="CG11" i="78"/>
  <c r="CG47" i="78" s="1"/>
  <c r="CG83" i="78" s="1"/>
  <c r="CG10" i="78"/>
  <c r="CG46" i="78" s="1"/>
  <c r="CG82" i="78" s="1"/>
  <c r="CG9" i="78"/>
  <c r="CG45" i="78" s="1"/>
  <c r="CG81" i="78" s="1"/>
  <c r="CG8" i="78"/>
  <c r="BW78" i="78"/>
  <c r="BV77" i="78"/>
  <c r="BX42" i="78"/>
  <c r="BX78" i="78" s="1"/>
  <c r="BW42" i="78"/>
  <c r="BV42" i="78"/>
  <c r="BV78" i="78" s="1"/>
  <c r="BX41" i="78"/>
  <c r="BX77" i="78" s="1"/>
  <c r="BW41" i="78"/>
  <c r="BW77" i="78" s="1"/>
  <c r="BV41" i="78"/>
  <c r="BV32" i="78"/>
  <c r="BV31" i="78"/>
  <c r="BV67" i="78" s="1"/>
  <c r="BV103" i="78" s="1"/>
  <c r="BV30" i="78"/>
  <c r="BV66" i="78" s="1"/>
  <c r="BV102" i="78" s="1"/>
  <c r="BV29" i="78"/>
  <c r="BV65" i="78" s="1"/>
  <c r="BV101" i="78" s="1"/>
  <c r="BV28" i="78"/>
  <c r="BV64" i="78" s="1"/>
  <c r="BV100" i="78" s="1"/>
  <c r="BV27" i="78"/>
  <c r="BV63" i="78" s="1"/>
  <c r="BV99" i="78" s="1"/>
  <c r="BV26" i="78"/>
  <c r="BV62" i="78" s="1"/>
  <c r="BV98" i="78" s="1"/>
  <c r="BV25" i="78"/>
  <c r="BV61" i="78" s="1"/>
  <c r="BV97" i="78" s="1"/>
  <c r="BV24" i="78"/>
  <c r="BX24" i="78" s="1"/>
  <c r="BX60" i="78" s="1"/>
  <c r="BX96" i="78" s="1"/>
  <c r="BV23" i="78"/>
  <c r="BV59" i="78" s="1"/>
  <c r="BV95" i="78" s="1"/>
  <c r="BV22" i="78"/>
  <c r="BV58" i="78" s="1"/>
  <c r="BV94" i="78" s="1"/>
  <c r="BV21" i="78"/>
  <c r="BV57" i="78" s="1"/>
  <c r="BV93" i="78" s="1"/>
  <c r="BV20" i="78"/>
  <c r="BV56" i="78" s="1"/>
  <c r="BV92" i="78" s="1"/>
  <c r="BV19" i="78"/>
  <c r="BV18" i="78"/>
  <c r="BV54" i="78" s="1"/>
  <c r="BV90" i="78" s="1"/>
  <c r="BW89" i="78"/>
  <c r="BV17" i="78"/>
  <c r="BV53" i="78" s="1"/>
  <c r="BV89" i="78" s="1"/>
  <c r="BW52" i="78"/>
  <c r="BV16" i="78"/>
  <c r="BV15" i="78"/>
  <c r="BV51" i="78" s="1"/>
  <c r="BV87" i="78" s="1"/>
  <c r="BV14" i="78"/>
  <c r="BV50" i="78" s="1"/>
  <c r="BV86" i="78" s="1"/>
  <c r="BV13" i="78"/>
  <c r="BV49" i="78" s="1"/>
  <c r="BV85" i="78" s="1"/>
  <c r="BV12" i="78"/>
  <c r="BV48" i="78" s="1"/>
  <c r="BV84" i="78" s="1"/>
  <c r="BV11" i="78"/>
  <c r="BV47" i="78" s="1"/>
  <c r="BV83" i="78" s="1"/>
  <c r="BV10" i="78"/>
  <c r="BV46" i="78" s="1"/>
  <c r="BV82" i="78" s="1"/>
  <c r="BV9" i="78"/>
  <c r="BV45" i="78" s="1"/>
  <c r="BV81" i="78" s="1"/>
  <c r="BV8" i="78"/>
  <c r="BV44" i="78" s="1"/>
  <c r="BV80" i="78" s="1"/>
  <c r="BL78" i="78"/>
  <c r="BM42" i="78"/>
  <c r="BM78" i="78" s="1"/>
  <c r="BL42" i="78"/>
  <c r="BK42" i="78"/>
  <c r="BK78" i="78" s="1"/>
  <c r="BM41" i="78"/>
  <c r="BM77" i="78" s="1"/>
  <c r="BL41" i="78"/>
  <c r="BL77" i="78" s="1"/>
  <c r="BK41" i="78"/>
  <c r="BK77" i="78" s="1"/>
  <c r="BK32" i="78"/>
  <c r="BK68" i="78" s="1"/>
  <c r="BK104" i="78" s="1"/>
  <c r="BK31" i="78"/>
  <c r="BK67" i="78" s="1"/>
  <c r="BK103" i="78" s="1"/>
  <c r="BK30" i="78"/>
  <c r="BK66" i="78" s="1"/>
  <c r="BK102" i="78" s="1"/>
  <c r="BK29" i="78"/>
  <c r="BK65" i="78" s="1"/>
  <c r="BK101" i="78" s="1"/>
  <c r="BK28" i="78"/>
  <c r="BK64" i="78" s="1"/>
  <c r="BK100" i="78" s="1"/>
  <c r="BK27" i="78"/>
  <c r="BK63" i="78" s="1"/>
  <c r="BK99" i="78" s="1"/>
  <c r="BK26" i="78"/>
  <c r="BK62" i="78" s="1"/>
  <c r="BK98" i="78" s="1"/>
  <c r="BK25" i="78"/>
  <c r="BK24" i="78"/>
  <c r="BK60" i="78" s="1"/>
  <c r="BK96" i="78" s="1"/>
  <c r="BK23" i="78"/>
  <c r="BK59" i="78" s="1"/>
  <c r="BK95" i="78" s="1"/>
  <c r="BK22" i="78"/>
  <c r="BK21" i="78"/>
  <c r="BK57" i="78" s="1"/>
  <c r="BK93" i="78" s="1"/>
  <c r="BK20" i="78"/>
  <c r="BK56" i="78" s="1"/>
  <c r="BK92" i="78" s="1"/>
  <c r="BK19" i="78"/>
  <c r="BK55" i="78" s="1"/>
  <c r="BK91" i="78" s="1"/>
  <c r="BK18" i="78"/>
  <c r="BK54" i="78" s="1"/>
  <c r="BK90" i="78" s="1"/>
  <c r="BK17" i="78"/>
  <c r="BK16" i="78"/>
  <c r="BK52" i="78" s="1"/>
  <c r="BK88" i="78" s="1"/>
  <c r="BK15" i="78"/>
  <c r="BK51" i="78" s="1"/>
  <c r="BK87" i="78" s="1"/>
  <c r="BK14" i="78"/>
  <c r="BK50" i="78" s="1"/>
  <c r="BK86" i="78" s="1"/>
  <c r="BK13" i="78"/>
  <c r="BK49" i="78" s="1"/>
  <c r="BK85" i="78" s="1"/>
  <c r="BK12" i="78"/>
  <c r="BK48" i="78" s="1"/>
  <c r="BK84" i="78" s="1"/>
  <c r="BK11" i="78"/>
  <c r="BK47" i="78" s="1"/>
  <c r="BK83" i="78" s="1"/>
  <c r="BK10" i="78"/>
  <c r="BK46" i="78" s="1"/>
  <c r="BK82" i="78" s="1"/>
  <c r="BK9" i="78"/>
  <c r="BK8" i="78"/>
  <c r="BK44" i="78" s="1"/>
  <c r="BK80" i="78" s="1"/>
  <c r="BB42" i="78"/>
  <c r="BB78" i="78" s="1"/>
  <c r="BA42" i="78"/>
  <c r="BA78" i="78" s="1"/>
  <c r="AZ42" i="78"/>
  <c r="AZ78" i="78" s="1"/>
  <c r="BB41" i="78"/>
  <c r="BB77" i="78" s="1"/>
  <c r="BA41" i="78"/>
  <c r="BA77" i="78" s="1"/>
  <c r="AZ41" i="78"/>
  <c r="AZ77" i="78" s="1"/>
  <c r="AZ32" i="78"/>
  <c r="AZ68" i="78" s="1"/>
  <c r="AZ104" i="78" s="1"/>
  <c r="AZ31" i="78"/>
  <c r="AZ67" i="78" s="1"/>
  <c r="AZ103" i="78" s="1"/>
  <c r="AZ30" i="78"/>
  <c r="AZ66" i="78" s="1"/>
  <c r="AZ102" i="78" s="1"/>
  <c r="BA65" i="78"/>
  <c r="AZ29" i="78"/>
  <c r="AZ65" i="78" s="1"/>
  <c r="AZ101" i="78" s="1"/>
  <c r="AZ28" i="78"/>
  <c r="AZ27" i="78"/>
  <c r="AZ63" i="78" s="1"/>
  <c r="AZ99" i="78" s="1"/>
  <c r="AZ26" i="78"/>
  <c r="AZ62" i="78" s="1"/>
  <c r="AZ98" i="78" s="1"/>
  <c r="AZ25" i="78"/>
  <c r="AZ24" i="78"/>
  <c r="AZ60" i="78" s="1"/>
  <c r="AZ96" i="78" s="1"/>
  <c r="AZ23" i="78"/>
  <c r="AZ59" i="78" s="1"/>
  <c r="AZ95" i="78" s="1"/>
  <c r="AZ22" i="78"/>
  <c r="AZ58" i="78" s="1"/>
  <c r="AZ94" i="78" s="1"/>
  <c r="AZ21" i="78"/>
  <c r="AZ57" i="78" s="1"/>
  <c r="AZ93" i="78" s="1"/>
  <c r="AZ20" i="78"/>
  <c r="AZ19" i="78"/>
  <c r="AZ55" i="78" s="1"/>
  <c r="AZ91" i="78" s="1"/>
  <c r="AZ18" i="78"/>
  <c r="AZ54" i="78" s="1"/>
  <c r="AZ90" i="78" s="1"/>
  <c r="AZ17" i="78"/>
  <c r="AZ16" i="78"/>
  <c r="AZ52" i="78" s="1"/>
  <c r="AZ88" i="78" s="1"/>
  <c r="AZ15" i="78"/>
  <c r="AZ51" i="78" s="1"/>
  <c r="AZ87" i="78" s="1"/>
  <c r="AZ14" i="78"/>
  <c r="AZ50" i="78" s="1"/>
  <c r="AZ86" i="78" s="1"/>
  <c r="AZ13" i="78"/>
  <c r="AZ49" i="78" s="1"/>
  <c r="AZ85" i="78" s="1"/>
  <c r="AZ12" i="78"/>
  <c r="AZ11" i="78"/>
  <c r="AZ47" i="78" s="1"/>
  <c r="AZ83" i="78" s="1"/>
  <c r="AZ10" i="78"/>
  <c r="AZ46" i="78" s="1"/>
  <c r="AZ82" i="78" s="1"/>
  <c r="AZ9" i="78"/>
  <c r="AZ8" i="78"/>
  <c r="AZ44" i="78" s="1"/>
  <c r="AZ80" i="78" s="1"/>
  <c r="AQ42" i="78"/>
  <c r="AQ78" i="78" s="1"/>
  <c r="AP42" i="78"/>
  <c r="AP78" i="78" s="1"/>
  <c r="AO42" i="78"/>
  <c r="AO78" i="78" s="1"/>
  <c r="AQ41" i="78"/>
  <c r="AQ77" i="78" s="1"/>
  <c r="AP41" i="78"/>
  <c r="AP77" i="78" s="1"/>
  <c r="AO41" i="78"/>
  <c r="AO77" i="78" s="1"/>
  <c r="AO32" i="78"/>
  <c r="AO68" i="78" s="1"/>
  <c r="AO104" i="78" s="1"/>
  <c r="AO31" i="78"/>
  <c r="AO67" i="78" s="1"/>
  <c r="AO103" i="78" s="1"/>
  <c r="AO30" i="78"/>
  <c r="AO66" i="78" s="1"/>
  <c r="AO102" i="78" s="1"/>
  <c r="AO29" i="78"/>
  <c r="AO65" i="78" s="1"/>
  <c r="AO101" i="78" s="1"/>
  <c r="AP100" i="78"/>
  <c r="AO28" i="78"/>
  <c r="AQ28" i="78" s="1"/>
  <c r="AQ64" i="78" s="1"/>
  <c r="AQ100" i="78" s="1"/>
  <c r="AO27" i="78"/>
  <c r="AO63" i="78" s="1"/>
  <c r="AO99" i="78" s="1"/>
  <c r="AO26" i="78"/>
  <c r="AO62" i="78" s="1"/>
  <c r="AO98" i="78" s="1"/>
  <c r="AO25" i="78"/>
  <c r="AO24" i="78"/>
  <c r="AO60" i="78" s="1"/>
  <c r="AO96" i="78" s="1"/>
  <c r="AO23" i="78"/>
  <c r="AO59" i="78" s="1"/>
  <c r="AO95" i="78" s="1"/>
  <c r="AO22" i="78"/>
  <c r="AO58" i="78" s="1"/>
  <c r="AO94" i="78" s="1"/>
  <c r="AO21" i="78"/>
  <c r="AO57" i="78" s="1"/>
  <c r="AO93" i="78" s="1"/>
  <c r="AO20" i="78"/>
  <c r="AO19" i="78"/>
  <c r="AO55" i="78" s="1"/>
  <c r="AO91" i="78" s="1"/>
  <c r="AO18" i="78"/>
  <c r="AO54" i="78" s="1"/>
  <c r="AO90" i="78" s="1"/>
  <c r="AO17" i="78"/>
  <c r="AO16" i="78"/>
  <c r="AO52" i="78" s="1"/>
  <c r="AO88" i="78" s="1"/>
  <c r="AO15" i="78"/>
  <c r="AO51" i="78" s="1"/>
  <c r="AO87" i="78" s="1"/>
  <c r="AO14" i="78"/>
  <c r="AO50" i="78" s="1"/>
  <c r="AO86" i="78" s="1"/>
  <c r="AO13" i="78"/>
  <c r="AO49" i="78" s="1"/>
  <c r="AO85" i="78" s="1"/>
  <c r="AO12" i="78"/>
  <c r="AO11" i="78"/>
  <c r="AO47" i="78" s="1"/>
  <c r="AO83" i="78" s="1"/>
  <c r="AO10" i="78"/>
  <c r="AO46" i="78" s="1"/>
  <c r="AO82" i="78" s="1"/>
  <c r="AO9" i="78"/>
  <c r="AO8" i="78"/>
  <c r="AO44" i="78" s="1"/>
  <c r="AO80" i="78" s="1"/>
  <c r="AE99" i="78"/>
  <c r="AD77" i="78"/>
  <c r="AF42" i="78"/>
  <c r="AF78" i="78" s="1"/>
  <c r="AE42" i="78"/>
  <c r="AE78" i="78" s="1"/>
  <c r="AD42" i="78"/>
  <c r="AD78" i="78" s="1"/>
  <c r="AF41" i="78"/>
  <c r="AF77" i="78" s="1"/>
  <c r="AE41" i="78"/>
  <c r="AE77" i="78" s="1"/>
  <c r="AD41" i="78"/>
  <c r="AD32" i="78"/>
  <c r="AD68" i="78" s="1"/>
  <c r="AD104" i="78" s="1"/>
  <c r="AD31" i="78"/>
  <c r="AD30" i="78"/>
  <c r="AD66" i="78" s="1"/>
  <c r="AD102" i="78" s="1"/>
  <c r="AD29" i="78"/>
  <c r="AD65" i="78" s="1"/>
  <c r="AD101" i="78" s="1"/>
  <c r="AD28" i="78"/>
  <c r="AD27" i="78"/>
  <c r="AD63" i="78" s="1"/>
  <c r="AD99" i="78" s="1"/>
  <c r="AD26" i="78"/>
  <c r="AD62" i="78" s="1"/>
  <c r="AD98" i="78" s="1"/>
  <c r="AD25" i="78"/>
  <c r="AD61" i="78" s="1"/>
  <c r="AD97" i="78" s="1"/>
  <c r="AD24" i="78"/>
  <c r="AD60" i="78" s="1"/>
  <c r="AD96" i="78" s="1"/>
  <c r="AD23" i="78"/>
  <c r="AD22" i="78"/>
  <c r="AD58" i="78" s="1"/>
  <c r="AD94" i="78" s="1"/>
  <c r="AD21" i="78"/>
  <c r="AD57" i="78" s="1"/>
  <c r="AD93" i="78" s="1"/>
  <c r="AD20" i="78"/>
  <c r="AD19" i="78"/>
  <c r="AD55" i="78" s="1"/>
  <c r="AD91" i="78" s="1"/>
  <c r="AD18" i="78"/>
  <c r="AD54" i="78" s="1"/>
  <c r="AD90" i="78" s="1"/>
  <c r="AD17" i="78"/>
  <c r="AD53" i="78" s="1"/>
  <c r="AD89" i="78" s="1"/>
  <c r="AD16" i="78"/>
  <c r="AD52" i="78" s="1"/>
  <c r="AD88" i="78" s="1"/>
  <c r="AD15" i="78"/>
  <c r="AD14" i="78"/>
  <c r="AD50" i="78" s="1"/>
  <c r="AD86" i="78" s="1"/>
  <c r="AD13" i="78"/>
  <c r="AD49" i="78" s="1"/>
  <c r="AD85" i="78" s="1"/>
  <c r="AD12" i="78"/>
  <c r="AD11" i="78"/>
  <c r="AD47" i="78" s="1"/>
  <c r="AD83" i="78" s="1"/>
  <c r="AD10" i="78"/>
  <c r="AD46" i="78" s="1"/>
  <c r="AD82" i="78" s="1"/>
  <c r="AD9" i="78"/>
  <c r="AD45" i="78" s="1"/>
  <c r="AD81" i="78" s="1"/>
  <c r="AD8" i="78"/>
  <c r="AD44" i="78" s="1"/>
  <c r="AD80" i="78" s="1"/>
  <c r="K107" i="49" a="1"/>
  <c r="K107" i="49" s="1"/>
  <c r="M107" i="49" a="1"/>
  <c r="M110" i="49" s="1"/>
  <c r="J107" i="49" a="1"/>
  <c r="I106" i="49"/>
  <c r="K96" i="49" a="1"/>
  <c r="K96" i="49" s="1"/>
  <c r="M96" i="49" a="1"/>
  <c r="M99" i="49" s="1"/>
  <c r="J96" i="49" a="1"/>
  <c r="J99" i="49" s="1"/>
  <c r="I95" i="49"/>
  <c r="K85" i="49" a="1"/>
  <c r="K86" i="49" s="1"/>
  <c r="M85" i="49" a="1"/>
  <c r="M88" i="49" s="1"/>
  <c r="J85" i="49" a="1"/>
  <c r="J85" i="49" s="1"/>
  <c r="I84" i="49"/>
  <c r="K74" i="49" a="1"/>
  <c r="K77" i="49" s="1"/>
  <c r="M74" i="49" a="1"/>
  <c r="M76" i="49" s="1"/>
  <c r="J74" i="49" a="1"/>
  <c r="J74" i="49" s="1"/>
  <c r="I73" i="49"/>
  <c r="K63" i="49" a="1"/>
  <c r="K66" i="49" s="1"/>
  <c r="M63" i="49" a="1"/>
  <c r="M66" i="49" s="1"/>
  <c r="J63" i="49" a="1"/>
  <c r="J68" i="49" s="1"/>
  <c r="I62" i="49"/>
  <c r="K52" i="49" a="1"/>
  <c r="K56" i="49" s="1"/>
  <c r="M52" i="49" a="1"/>
  <c r="M52" i="49" s="1"/>
  <c r="J52" i="49" a="1"/>
  <c r="J57" i="49" s="1"/>
  <c r="I51" i="49"/>
  <c r="A258" i="49"/>
  <c r="E284" i="49"/>
  <c r="C284" i="49"/>
  <c r="B284" i="49"/>
  <c r="G283" i="49"/>
  <c r="D283" i="49"/>
  <c r="F283" i="49" s="1"/>
  <c r="G282" i="49"/>
  <c r="D282" i="49"/>
  <c r="F282" i="49" s="1"/>
  <c r="G281" i="49"/>
  <c r="D281" i="49"/>
  <c r="F281" i="49" s="1"/>
  <c r="G280" i="49"/>
  <c r="D280" i="49"/>
  <c r="F280" i="49" s="1"/>
  <c r="G279" i="49"/>
  <c r="D279" i="49"/>
  <c r="F279" i="49" s="1"/>
  <c r="G278" i="49"/>
  <c r="D278" i="49"/>
  <c r="F278" i="49" s="1"/>
  <c r="G277" i="49"/>
  <c r="D277" i="49"/>
  <c r="F277" i="49" s="1"/>
  <c r="G276" i="49"/>
  <c r="D276" i="49"/>
  <c r="F276" i="49" s="1"/>
  <c r="G275" i="49"/>
  <c r="D275" i="49"/>
  <c r="F275" i="49" s="1"/>
  <c r="G274" i="49"/>
  <c r="D274" i="49"/>
  <c r="F274" i="49" s="1"/>
  <c r="G273" i="49"/>
  <c r="D273" i="49"/>
  <c r="F273" i="49" s="1"/>
  <c r="G272" i="49"/>
  <c r="D272" i="49"/>
  <c r="F272" i="49" s="1"/>
  <c r="G271" i="49"/>
  <c r="D271" i="49"/>
  <c r="F271" i="49" s="1"/>
  <c r="G270" i="49"/>
  <c r="D270" i="49"/>
  <c r="F270" i="49" s="1"/>
  <c r="G269" i="49"/>
  <c r="D269" i="49"/>
  <c r="F269" i="49" s="1"/>
  <c r="G268" i="49"/>
  <c r="D268" i="49"/>
  <c r="F268" i="49" s="1"/>
  <c r="G267" i="49"/>
  <c r="D267" i="49"/>
  <c r="F267" i="49" s="1"/>
  <c r="G266" i="49"/>
  <c r="D266" i="49"/>
  <c r="F266" i="49" s="1"/>
  <c r="G265" i="49"/>
  <c r="D265" i="49"/>
  <c r="F265" i="49" s="1"/>
  <c r="G264" i="49"/>
  <c r="D264" i="49"/>
  <c r="F264" i="49" s="1"/>
  <c r="G263" i="49"/>
  <c r="D263" i="49"/>
  <c r="F263" i="49" s="1"/>
  <c r="G262" i="49"/>
  <c r="D262" i="49"/>
  <c r="F262" i="49" s="1"/>
  <c r="G261" i="49"/>
  <c r="D261" i="49"/>
  <c r="F261" i="49" s="1"/>
  <c r="G260" i="49"/>
  <c r="D260" i="49"/>
  <c r="G259" i="49"/>
  <c r="D259" i="49"/>
  <c r="F259" i="49" s="1"/>
  <c r="G237" i="49"/>
  <c r="A230" i="49"/>
  <c r="E256" i="49"/>
  <c r="C256" i="49"/>
  <c r="B256" i="49"/>
  <c r="G255" i="49"/>
  <c r="D255" i="49"/>
  <c r="F255" i="49" s="1"/>
  <c r="G254" i="49"/>
  <c r="D254" i="49"/>
  <c r="F254" i="49" s="1"/>
  <c r="G253" i="49"/>
  <c r="D253" i="49"/>
  <c r="F253" i="49" s="1"/>
  <c r="G252" i="49"/>
  <c r="D252" i="49"/>
  <c r="F252" i="49" s="1"/>
  <c r="G251" i="49"/>
  <c r="D251" i="49"/>
  <c r="F251" i="49" s="1"/>
  <c r="G250" i="49"/>
  <c r="D250" i="49"/>
  <c r="F250" i="49" s="1"/>
  <c r="G249" i="49"/>
  <c r="D249" i="49"/>
  <c r="F249" i="49" s="1"/>
  <c r="G248" i="49"/>
  <c r="D248" i="49"/>
  <c r="F248" i="49" s="1"/>
  <c r="G247" i="49"/>
  <c r="D247" i="49"/>
  <c r="F247" i="49" s="1"/>
  <c r="G246" i="49"/>
  <c r="D246" i="49"/>
  <c r="F246" i="49" s="1"/>
  <c r="G245" i="49"/>
  <c r="D245" i="49"/>
  <c r="F245" i="49" s="1"/>
  <c r="G244" i="49"/>
  <c r="D244" i="49"/>
  <c r="F244" i="49" s="1"/>
  <c r="G243" i="49"/>
  <c r="D243" i="49"/>
  <c r="F243" i="49" s="1"/>
  <c r="G242" i="49"/>
  <c r="D242" i="49"/>
  <c r="F242" i="49" s="1"/>
  <c r="G241" i="49"/>
  <c r="D241" i="49"/>
  <c r="F241" i="49" s="1"/>
  <c r="G240" i="49"/>
  <c r="D240" i="49"/>
  <c r="F240" i="49" s="1"/>
  <c r="G239" i="49"/>
  <c r="D239" i="49"/>
  <c r="F239" i="49" s="1"/>
  <c r="G238" i="49"/>
  <c r="D238" i="49"/>
  <c r="F238" i="49" s="1"/>
  <c r="D237" i="49"/>
  <c r="F237" i="49" s="1"/>
  <c r="G236" i="49"/>
  <c r="D236" i="49"/>
  <c r="F236" i="49" s="1"/>
  <c r="G235" i="49"/>
  <c r="D235" i="49"/>
  <c r="F235" i="49" s="1"/>
  <c r="G234" i="49"/>
  <c r="D234" i="49"/>
  <c r="F234" i="49" s="1"/>
  <c r="G233" i="49"/>
  <c r="D233" i="49"/>
  <c r="F233" i="49" s="1"/>
  <c r="G232" i="49"/>
  <c r="D232" i="49"/>
  <c r="F232" i="49" s="1"/>
  <c r="G231" i="49"/>
  <c r="D231" i="49"/>
  <c r="F231" i="49" s="1"/>
  <c r="A202" i="49"/>
  <c r="E228" i="49"/>
  <c r="C228" i="49"/>
  <c r="B228" i="49"/>
  <c r="G227" i="49"/>
  <c r="D227" i="49"/>
  <c r="F227" i="49" s="1"/>
  <c r="G226" i="49"/>
  <c r="D226" i="49"/>
  <c r="F226" i="49" s="1"/>
  <c r="G225" i="49"/>
  <c r="D225" i="49"/>
  <c r="F225" i="49" s="1"/>
  <c r="G224" i="49"/>
  <c r="D224" i="49"/>
  <c r="F224" i="49" s="1"/>
  <c r="G223" i="49"/>
  <c r="D223" i="49"/>
  <c r="F223" i="49" s="1"/>
  <c r="G222" i="49"/>
  <c r="D222" i="49"/>
  <c r="F222" i="49" s="1"/>
  <c r="G221" i="49"/>
  <c r="D221" i="49"/>
  <c r="F221" i="49" s="1"/>
  <c r="G220" i="49"/>
  <c r="D220" i="49"/>
  <c r="F220" i="49" s="1"/>
  <c r="G219" i="49"/>
  <c r="D219" i="49"/>
  <c r="F219" i="49" s="1"/>
  <c r="G218" i="49"/>
  <c r="D218" i="49"/>
  <c r="F218" i="49" s="1"/>
  <c r="G217" i="49"/>
  <c r="D217" i="49"/>
  <c r="F217" i="49" s="1"/>
  <c r="G216" i="49"/>
  <c r="D216" i="49"/>
  <c r="F216" i="49" s="1"/>
  <c r="G215" i="49"/>
  <c r="D215" i="49"/>
  <c r="F215" i="49" s="1"/>
  <c r="G214" i="49"/>
  <c r="D214" i="49"/>
  <c r="F214" i="49" s="1"/>
  <c r="G213" i="49"/>
  <c r="D213" i="49"/>
  <c r="F213" i="49" s="1"/>
  <c r="G212" i="49"/>
  <c r="D212" i="49"/>
  <c r="F212" i="49" s="1"/>
  <c r="G211" i="49"/>
  <c r="D211" i="49"/>
  <c r="F211" i="49" s="1"/>
  <c r="G210" i="49"/>
  <c r="D210" i="49"/>
  <c r="F210" i="49" s="1"/>
  <c r="G209" i="49"/>
  <c r="D209" i="49"/>
  <c r="F209" i="49" s="1"/>
  <c r="G208" i="49"/>
  <c r="D208" i="49"/>
  <c r="F208" i="49" s="1"/>
  <c r="G207" i="49"/>
  <c r="D207" i="49"/>
  <c r="F207" i="49" s="1"/>
  <c r="G206" i="49"/>
  <c r="D206" i="49"/>
  <c r="F206" i="49" s="1"/>
  <c r="G205" i="49"/>
  <c r="D205" i="49"/>
  <c r="F205" i="49" s="1"/>
  <c r="G204" i="49"/>
  <c r="D204" i="49"/>
  <c r="G203" i="49"/>
  <c r="D203" i="49"/>
  <c r="F203" i="49" s="1"/>
  <c r="A174" i="49"/>
  <c r="E200" i="49"/>
  <c r="C200" i="49"/>
  <c r="B200" i="49"/>
  <c r="G199" i="49"/>
  <c r="D199" i="49"/>
  <c r="F199" i="49" s="1"/>
  <c r="G198" i="49"/>
  <c r="D198" i="49"/>
  <c r="F198" i="49" s="1"/>
  <c r="G197" i="49"/>
  <c r="D197" i="49"/>
  <c r="F197" i="49" s="1"/>
  <c r="G196" i="49"/>
  <c r="D196" i="49"/>
  <c r="F196" i="49" s="1"/>
  <c r="G195" i="49"/>
  <c r="D195" i="49"/>
  <c r="F195" i="49" s="1"/>
  <c r="G194" i="49"/>
  <c r="D194" i="49"/>
  <c r="F194" i="49" s="1"/>
  <c r="G193" i="49"/>
  <c r="D193" i="49"/>
  <c r="F193" i="49" s="1"/>
  <c r="G192" i="49"/>
  <c r="D192" i="49"/>
  <c r="F192" i="49" s="1"/>
  <c r="G191" i="49"/>
  <c r="D191" i="49"/>
  <c r="F191" i="49" s="1"/>
  <c r="G190" i="49"/>
  <c r="D190" i="49"/>
  <c r="F190" i="49" s="1"/>
  <c r="G189" i="49"/>
  <c r="D189" i="49"/>
  <c r="F189" i="49" s="1"/>
  <c r="G188" i="49"/>
  <c r="D188" i="49"/>
  <c r="F188" i="49" s="1"/>
  <c r="G187" i="49"/>
  <c r="D187" i="49"/>
  <c r="F187" i="49" s="1"/>
  <c r="G186" i="49"/>
  <c r="D186" i="49"/>
  <c r="F186" i="49" s="1"/>
  <c r="G185" i="49"/>
  <c r="D185" i="49"/>
  <c r="F185" i="49" s="1"/>
  <c r="G184" i="49"/>
  <c r="D184" i="49"/>
  <c r="F184" i="49" s="1"/>
  <c r="G183" i="49"/>
  <c r="D183" i="49"/>
  <c r="F183" i="49" s="1"/>
  <c r="G182" i="49"/>
  <c r="D182" i="49"/>
  <c r="F182" i="49" s="1"/>
  <c r="G181" i="49"/>
  <c r="D181" i="49"/>
  <c r="F181" i="49" s="1"/>
  <c r="G180" i="49"/>
  <c r="D180" i="49"/>
  <c r="F180" i="49" s="1"/>
  <c r="G179" i="49"/>
  <c r="D179" i="49"/>
  <c r="F179" i="49" s="1"/>
  <c r="G178" i="49"/>
  <c r="D178" i="49"/>
  <c r="F178" i="49" s="1"/>
  <c r="G177" i="49"/>
  <c r="D177" i="49"/>
  <c r="F177" i="49" s="1"/>
  <c r="G176" i="49"/>
  <c r="D176" i="49"/>
  <c r="G175" i="49"/>
  <c r="D175" i="49"/>
  <c r="F175" i="49" s="1"/>
  <c r="G147" i="49"/>
  <c r="D147" i="49"/>
  <c r="A146" i="49"/>
  <c r="E172" i="49"/>
  <c r="C172" i="49"/>
  <c r="B172" i="49"/>
  <c r="G171" i="49"/>
  <c r="D171" i="49"/>
  <c r="F171" i="49" s="1"/>
  <c r="G170" i="49"/>
  <c r="D170" i="49"/>
  <c r="F170" i="49" s="1"/>
  <c r="G169" i="49"/>
  <c r="D169" i="49"/>
  <c r="F169" i="49" s="1"/>
  <c r="G168" i="49"/>
  <c r="D168" i="49"/>
  <c r="F168" i="49" s="1"/>
  <c r="G167" i="49"/>
  <c r="D167" i="49"/>
  <c r="F167" i="49" s="1"/>
  <c r="G166" i="49"/>
  <c r="D166" i="49"/>
  <c r="F166" i="49" s="1"/>
  <c r="G165" i="49"/>
  <c r="D165" i="49"/>
  <c r="F165" i="49" s="1"/>
  <c r="G164" i="49"/>
  <c r="D164" i="49"/>
  <c r="F164" i="49" s="1"/>
  <c r="G163" i="49"/>
  <c r="D163" i="49"/>
  <c r="F163" i="49" s="1"/>
  <c r="G162" i="49"/>
  <c r="D162" i="49"/>
  <c r="F162" i="49" s="1"/>
  <c r="G161" i="49"/>
  <c r="D161" i="49"/>
  <c r="F161" i="49" s="1"/>
  <c r="G160" i="49"/>
  <c r="D160" i="49"/>
  <c r="F160" i="49" s="1"/>
  <c r="G159" i="49"/>
  <c r="D159" i="49"/>
  <c r="F159" i="49" s="1"/>
  <c r="G158" i="49"/>
  <c r="D158" i="49"/>
  <c r="F158" i="49" s="1"/>
  <c r="G157" i="49"/>
  <c r="D157" i="49"/>
  <c r="F157" i="49" s="1"/>
  <c r="G156" i="49"/>
  <c r="D156" i="49"/>
  <c r="F156" i="49" s="1"/>
  <c r="G155" i="49"/>
  <c r="D155" i="49"/>
  <c r="F155" i="49" s="1"/>
  <c r="G154" i="49"/>
  <c r="D154" i="49"/>
  <c r="F154" i="49" s="1"/>
  <c r="G153" i="49"/>
  <c r="D153" i="49"/>
  <c r="F153" i="49" s="1"/>
  <c r="G152" i="49"/>
  <c r="D152" i="49"/>
  <c r="F152" i="49" s="1"/>
  <c r="G151" i="49"/>
  <c r="D151" i="49"/>
  <c r="F151" i="49" s="1"/>
  <c r="G150" i="49"/>
  <c r="D150" i="49"/>
  <c r="F150" i="49" s="1"/>
  <c r="G149" i="49"/>
  <c r="D149" i="49"/>
  <c r="F149" i="49" s="1"/>
  <c r="G148" i="49"/>
  <c r="D148" i="49"/>
  <c r="S9" i="78"/>
  <c r="S45" i="78" s="1"/>
  <c r="S81" i="78" s="1"/>
  <c r="S10" i="78"/>
  <c r="S46" i="78" s="1"/>
  <c r="S82" i="78" s="1"/>
  <c r="S11" i="78"/>
  <c r="S47" i="78" s="1"/>
  <c r="S83" i="78" s="1"/>
  <c r="S12" i="78"/>
  <c r="S48" i="78" s="1"/>
  <c r="S84" i="78" s="1"/>
  <c r="S13" i="78"/>
  <c r="S49" i="78" s="1"/>
  <c r="S85" i="78" s="1"/>
  <c r="S14" i="78"/>
  <c r="S50" i="78" s="1"/>
  <c r="S86" i="78" s="1"/>
  <c r="S15" i="78"/>
  <c r="S51" i="78" s="1"/>
  <c r="S87" i="78" s="1"/>
  <c r="S16" i="78"/>
  <c r="S52" i="78" s="1"/>
  <c r="S88" i="78" s="1"/>
  <c r="S17" i="78"/>
  <c r="S53" i="78" s="1"/>
  <c r="S89" i="78" s="1"/>
  <c r="S18" i="78"/>
  <c r="S54" i="78" s="1"/>
  <c r="S90" i="78" s="1"/>
  <c r="S19" i="78"/>
  <c r="S55" i="78" s="1"/>
  <c r="S91" i="78" s="1"/>
  <c r="S20" i="78"/>
  <c r="S56" i="78" s="1"/>
  <c r="S92" i="78" s="1"/>
  <c r="S21" i="78"/>
  <c r="S57" i="78" s="1"/>
  <c r="S93" i="78" s="1"/>
  <c r="S22" i="78"/>
  <c r="S58" i="78" s="1"/>
  <c r="S94" i="78" s="1"/>
  <c r="S23" i="78"/>
  <c r="S59" i="78" s="1"/>
  <c r="S95" i="78" s="1"/>
  <c r="S24" i="78"/>
  <c r="S60" i="78" s="1"/>
  <c r="S96" i="78" s="1"/>
  <c r="S25" i="78"/>
  <c r="S61" i="78" s="1"/>
  <c r="S97" i="78" s="1"/>
  <c r="S26" i="78"/>
  <c r="S62" i="78" s="1"/>
  <c r="S98" i="78" s="1"/>
  <c r="S27" i="78"/>
  <c r="S63" i="78" s="1"/>
  <c r="S99" i="78" s="1"/>
  <c r="S28" i="78"/>
  <c r="S64" i="78" s="1"/>
  <c r="S100" i="78" s="1"/>
  <c r="S29" i="78"/>
  <c r="S65" i="78" s="1"/>
  <c r="S101" i="78" s="1"/>
  <c r="S30" i="78"/>
  <c r="S66" i="78" s="1"/>
  <c r="S102" i="78" s="1"/>
  <c r="S31" i="78"/>
  <c r="S67" i="78" s="1"/>
  <c r="S103" i="78" s="1"/>
  <c r="S32" i="78"/>
  <c r="S68" i="78" s="1"/>
  <c r="S104" i="78" s="1"/>
  <c r="T8" i="78"/>
  <c r="T80" i="78" s="1"/>
  <c r="S8" i="78"/>
  <c r="S44" i="78" s="1"/>
  <c r="S80" i="78" s="1"/>
  <c r="F117" i="78"/>
  <c r="F118" i="78"/>
  <c r="F119" i="78"/>
  <c r="F120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37" i="78"/>
  <c r="F138" i="78"/>
  <c r="F139" i="78"/>
  <c r="F140" i="78"/>
  <c r="F116" i="78"/>
  <c r="F114" i="78"/>
  <c r="H29" i="78"/>
  <c r="H65" i="78" s="1"/>
  <c r="H101" i="78" s="1"/>
  <c r="I8" i="78"/>
  <c r="I44" i="78" s="1"/>
  <c r="H44" i="78"/>
  <c r="H80" i="78" s="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9" i="78"/>
  <c r="H45" i="78" s="1"/>
  <c r="H81" i="78" s="1"/>
  <c r="H10" i="78"/>
  <c r="H46" i="78" s="1"/>
  <c r="H82" i="78" s="1"/>
  <c r="H11" i="78"/>
  <c r="H47" i="78" s="1"/>
  <c r="H83" i="78" s="1"/>
  <c r="H12" i="78"/>
  <c r="H48" i="78" s="1"/>
  <c r="H84" i="78" s="1"/>
  <c r="H13" i="78"/>
  <c r="H49" i="78" s="1"/>
  <c r="H85" i="78" s="1"/>
  <c r="H14" i="78"/>
  <c r="H50" i="78" s="1"/>
  <c r="H86" i="78" s="1"/>
  <c r="H15" i="78"/>
  <c r="H51" i="78" s="1"/>
  <c r="H87" i="78" s="1"/>
  <c r="H16" i="78"/>
  <c r="H52" i="78" s="1"/>
  <c r="H88" i="78" s="1"/>
  <c r="H17" i="78"/>
  <c r="H53" i="78" s="1"/>
  <c r="H89" i="78" s="1"/>
  <c r="H18" i="78"/>
  <c r="H54" i="78" s="1"/>
  <c r="H90" i="78" s="1"/>
  <c r="H19" i="78"/>
  <c r="H55" i="78" s="1"/>
  <c r="H91" i="78" s="1"/>
  <c r="H20" i="78"/>
  <c r="H56" i="78" s="1"/>
  <c r="H92" i="78" s="1"/>
  <c r="H21" i="78"/>
  <c r="H57" i="78" s="1"/>
  <c r="H93" i="78" s="1"/>
  <c r="H22" i="78"/>
  <c r="H58" i="78" s="1"/>
  <c r="H94" i="78" s="1"/>
  <c r="H23" i="78"/>
  <c r="H59" i="78" s="1"/>
  <c r="H95" i="78" s="1"/>
  <c r="H24" i="78"/>
  <c r="H60" i="78" s="1"/>
  <c r="H96" i="78" s="1"/>
  <c r="H25" i="78"/>
  <c r="H61" i="78" s="1"/>
  <c r="H97" i="78" s="1"/>
  <c r="H26" i="78"/>
  <c r="H62" i="78" s="1"/>
  <c r="H98" i="78" s="1"/>
  <c r="H27" i="78"/>
  <c r="H63" i="78" s="1"/>
  <c r="H99" i="78" s="1"/>
  <c r="H28" i="78"/>
  <c r="H64" i="78" s="1"/>
  <c r="H100" i="78" s="1"/>
  <c r="H30" i="78"/>
  <c r="H66" i="78" s="1"/>
  <c r="H102" i="78" s="1"/>
  <c r="H31" i="78"/>
  <c r="H67" i="78" s="1"/>
  <c r="H103" i="78" s="1"/>
  <c r="H32" i="78"/>
  <c r="H68" i="78" s="1"/>
  <c r="H104" i="78" s="1"/>
  <c r="H4" i="78"/>
  <c r="BV40" i="78" s="1"/>
  <c r="M2" i="76"/>
  <c r="M5" i="76"/>
  <c r="N5" i="76"/>
  <c r="O5" i="76"/>
  <c r="P5" i="76"/>
  <c r="M9" i="76"/>
  <c r="N9" i="76"/>
  <c r="O9" i="76"/>
  <c r="P9" i="76"/>
  <c r="N15" i="76"/>
  <c r="O15" i="76"/>
  <c r="P15" i="76"/>
  <c r="M26" i="76"/>
  <c r="M32" i="76"/>
  <c r="N32" i="76"/>
  <c r="O32" i="76"/>
  <c r="P32" i="76"/>
  <c r="M36" i="76"/>
  <c r="N36" i="76"/>
  <c r="O36" i="76"/>
  <c r="P36" i="76"/>
  <c r="M40" i="76"/>
  <c r="N40" i="76"/>
  <c r="O40" i="76"/>
  <c r="P40" i="76"/>
  <c r="M44" i="76"/>
  <c r="N44" i="76"/>
  <c r="O44" i="76"/>
  <c r="P44" i="76"/>
  <c r="F117" i="71"/>
  <c r="N82" i="75" s="1"/>
  <c r="F118" i="71"/>
  <c r="N83" i="75" s="1"/>
  <c r="F119" i="71"/>
  <c r="N84" i="75" s="1"/>
  <c r="F120" i="71"/>
  <c r="N85" i="75" s="1"/>
  <c r="F121" i="71"/>
  <c r="N86" i="75" s="1"/>
  <c r="F122" i="71"/>
  <c r="N87" i="75" s="1"/>
  <c r="F123" i="71"/>
  <c r="N88" i="75" s="1"/>
  <c r="F124" i="71"/>
  <c r="N89" i="75" s="1"/>
  <c r="F125" i="71"/>
  <c r="N90" i="75" s="1"/>
  <c r="F126" i="71"/>
  <c r="N91" i="75" s="1"/>
  <c r="F127" i="71"/>
  <c r="N92" i="75" s="1"/>
  <c r="F128" i="71"/>
  <c r="N93" i="75" s="1"/>
  <c r="F129" i="71"/>
  <c r="N94" i="75" s="1"/>
  <c r="F130" i="71"/>
  <c r="N95" i="75" s="1"/>
  <c r="F131" i="71"/>
  <c r="N96" i="75" s="1"/>
  <c r="F132" i="71"/>
  <c r="N97" i="75" s="1"/>
  <c r="F133" i="71"/>
  <c r="N98" i="75" s="1"/>
  <c r="F134" i="71"/>
  <c r="N99" i="75" s="1"/>
  <c r="F135" i="71"/>
  <c r="N100" i="75" s="1"/>
  <c r="F136" i="71"/>
  <c r="N101" i="75" s="1"/>
  <c r="F137" i="71"/>
  <c r="N102" i="75" s="1"/>
  <c r="F138" i="71"/>
  <c r="N103" i="75" s="1"/>
  <c r="F139" i="71"/>
  <c r="N104" i="75" s="1"/>
  <c r="F140" i="71"/>
  <c r="N105" i="75" s="1"/>
  <c r="F116" i="71"/>
  <c r="N81" i="75" s="1"/>
  <c r="F114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80" i="71"/>
  <c r="F78" i="71"/>
  <c r="BL94" i="78" l="1"/>
  <c r="CS46" i="78"/>
  <c r="AQ20" i="78"/>
  <c r="AQ56" i="78" s="1"/>
  <c r="AQ92" i="78" s="1"/>
  <c r="AE55" i="78"/>
  <c r="CS104" i="78"/>
  <c r="CH81" i="78"/>
  <c r="BW61" i="78"/>
  <c r="H60" i="71"/>
  <c r="H96" i="71" s="1"/>
  <c r="P53" i="31"/>
  <c r="H48" i="71"/>
  <c r="H84" i="71" s="1"/>
  <c r="P41" i="31"/>
  <c r="H58" i="71"/>
  <c r="H94" i="71" s="1"/>
  <c r="P51" i="31"/>
  <c r="H46" i="71"/>
  <c r="H82" i="71" s="1"/>
  <c r="P39" i="31"/>
  <c r="H57" i="71"/>
  <c r="H93" i="71" s="1"/>
  <c r="P50" i="31"/>
  <c r="H45" i="71"/>
  <c r="H81" i="71" s="1"/>
  <c r="P38" i="31"/>
  <c r="H68" i="71"/>
  <c r="H104" i="71" s="1"/>
  <c r="P61" i="31"/>
  <c r="H56" i="71"/>
  <c r="H92" i="71" s="1"/>
  <c r="P49" i="31"/>
  <c r="H44" i="71"/>
  <c r="H80" i="71" s="1"/>
  <c r="P37" i="31"/>
  <c r="H47" i="71"/>
  <c r="H83" i="71" s="1"/>
  <c r="P40" i="31"/>
  <c r="H67" i="71"/>
  <c r="H103" i="71" s="1"/>
  <c r="P60" i="31"/>
  <c r="H55" i="71"/>
  <c r="H91" i="71" s="1"/>
  <c r="P48" i="31"/>
  <c r="H66" i="71"/>
  <c r="H102" i="71" s="1"/>
  <c r="P59" i="31"/>
  <c r="H54" i="71"/>
  <c r="H90" i="71" s="1"/>
  <c r="P47" i="31"/>
  <c r="H65" i="71"/>
  <c r="H101" i="71" s="1"/>
  <c r="P58" i="31"/>
  <c r="H53" i="71"/>
  <c r="H89" i="71" s="1"/>
  <c r="P46" i="31"/>
  <c r="H59" i="71"/>
  <c r="H95" i="71" s="1"/>
  <c r="P52" i="31"/>
  <c r="H64" i="71"/>
  <c r="H100" i="71" s="1"/>
  <c r="P57" i="31"/>
  <c r="H52" i="71"/>
  <c r="H88" i="71" s="1"/>
  <c r="P45" i="31"/>
  <c r="H63" i="71"/>
  <c r="H99" i="71" s="1"/>
  <c r="P56" i="31"/>
  <c r="H51" i="71"/>
  <c r="H87" i="71" s="1"/>
  <c r="P44" i="31"/>
  <c r="H62" i="71"/>
  <c r="H98" i="71" s="1"/>
  <c r="P55" i="31"/>
  <c r="H50" i="71"/>
  <c r="H86" i="71" s="1"/>
  <c r="P43" i="31"/>
  <c r="H61" i="71"/>
  <c r="H97" i="71" s="1"/>
  <c r="P54" i="31"/>
  <c r="H49" i="71"/>
  <c r="H85" i="71" s="1"/>
  <c r="P42" i="31"/>
  <c r="N26" i="76"/>
  <c r="P26" i="76"/>
  <c r="M22" i="76"/>
  <c r="O26" i="76"/>
  <c r="CH82" i="78"/>
  <c r="CR44" i="78"/>
  <c r="CR80" i="78" s="1"/>
  <c r="BV76" i="78"/>
  <c r="AQ16" i="78"/>
  <c r="AQ52" i="78" s="1"/>
  <c r="AQ88" i="78" s="1"/>
  <c r="AF26" i="78"/>
  <c r="AF62" i="78" s="1"/>
  <c r="AF98" i="78" s="1"/>
  <c r="CI31" i="78"/>
  <c r="CI67" i="78" s="1"/>
  <c r="CI103" i="78" s="1"/>
  <c r="CT16" i="78"/>
  <c r="CT52" i="78" s="1"/>
  <c r="CT88" i="78" s="1"/>
  <c r="AF9" i="78"/>
  <c r="AF45" i="78" s="1"/>
  <c r="AF81" i="78" s="1"/>
  <c r="BX13" i="78"/>
  <c r="BX49" i="78" s="1"/>
  <c r="BX85" i="78" s="1"/>
  <c r="AZ76" i="78"/>
  <c r="CR62" i="78"/>
  <c r="CR98" i="78" s="1"/>
  <c r="CT24" i="78"/>
  <c r="CT60" i="78" s="1"/>
  <c r="CT96" i="78" s="1"/>
  <c r="AD40" i="78"/>
  <c r="CI26" i="78"/>
  <c r="CI62" i="78" s="1"/>
  <c r="CI98" i="78" s="1"/>
  <c r="CG40" i="78"/>
  <c r="CG76" i="78"/>
  <c r="BK40" i="78"/>
  <c r="CI21" i="78"/>
  <c r="CI57" i="78" s="1"/>
  <c r="CI93" i="78" s="1"/>
  <c r="BX10" i="78"/>
  <c r="BX46" i="78" s="1"/>
  <c r="BX82" i="78" s="1"/>
  <c r="AZ40" i="78"/>
  <c r="BK76" i="78"/>
  <c r="CG53" i="78"/>
  <c r="CG89" i="78" s="1"/>
  <c r="CR76" i="78"/>
  <c r="BB31" i="78"/>
  <c r="BB67" i="78" s="1"/>
  <c r="BB103" i="78" s="1"/>
  <c r="CR40" i="78"/>
  <c r="AD76" i="78"/>
  <c r="AO40" i="78"/>
  <c r="AO76" i="78"/>
  <c r="BX31" i="78"/>
  <c r="BX67" i="78" s="1"/>
  <c r="BX103" i="78" s="1"/>
  <c r="BX15" i="78"/>
  <c r="BX51" i="78" s="1"/>
  <c r="BX87" i="78" s="1"/>
  <c r="CS65" i="78"/>
  <c r="J98" i="49"/>
  <c r="G284" i="49"/>
  <c r="K103" i="49"/>
  <c r="AP85" i="78"/>
  <c r="G200" i="49"/>
  <c r="M59" i="49"/>
  <c r="M53" i="49"/>
  <c r="CT10" i="78"/>
  <c r="CT46" i="78" s="1"/>
  <c r="CT82" i="78" s="1"/>
  <c r="J65" i="49"/>
  <c r="K79" i="49"/>
  <c r="BA82" i="78"/>
  <c r="BA80" i="78"/>
  <c r="BA62" i="78"/>
  <c r="I80" i="78"/>
  <c r="K69" i="49"/>
  <c r="BA100" i="78"/>
  <c r="CH58" i="78"/>
  <c r="CS48" i="78"/>
  <c r="J70" i="49"/>
  <c r="K65" i="49"/>
  <c r="K78" i="49"/>
  <c r="AP44" i="78"/>
  <c r="CH48" i="78"/>
  <c r="CH90" i="78"/>
  <c r="K71" i="49"/>
  <c r="K70" i="49"/>
  <c r="BW56" i="78"/>
  <c r="BA88" i="78"/>
  <c r="J69" i="49"/>
  <c r="K63" i="49"/>
  <c r="BW81" i="78"/>
  <c r="BW98" i="78"/>
  <c r="CI10" i="78"/>
  <c r="CI46" i="78" s="1"/>
  <c r="CI82" i="78" s="1"/>
  <c r="N96" i="49" a="1"/>
  <c r="N96" i="49" s="1"/>
  <c r="D284" i="49"/>
  <c r="BA54" i="78"/>
  <c r="T44" i="78"/>
  <c r="K58" i="49"/>
  <c r="AE82" i="78"/>
  <c r="AQ25" i="78"/>
  <c r="AQ61" i="78" s="1"/>
  <c r="AQ97" i="78" s="1"/>
  <c r="BL100" i="78"/>
  <c r="CS103" i="78"/>
  <c r="U8" i="78"/>
  <c r="U44" i="78" s="1"/>
  <c r="U80" i="78" s="1"/>
  <c r="AF10" i="78"/>
  <c r="AF46" i="78" s="1"/>
  <c r="AF82" i="78" s="1"/>
  <c r="BB18" i="78"/>
  <c r="BB54" i="78" s="1"/>
  <c r="BB90" i="78" s="1"/>
  <c r="G228" i="49"/>
  <c r="K57" i="49"/>
  <c r="M63" i="49"/>
  <c r="J89" i="49"/>
  <c r="M101" i="49"/>
  <c r="AP62" i="78"/>
  <c r="BB8" i="78"/>
  <c r="BB44" i="78" s="1"/>
  <c r="BB80" i="78" s="1"/>
  <c r="BL48" i="78"/>
  <c r="CI20" i="78"/>
  <c r="CI56" i="78" s="1"/>
  <c r="CI92" i="78" s="1"/>
  <c r="L63" i="49" a="1"/>
  <c r="L67" i="49" s="1"/>
  <c r="K60" i="49"/>
  <c r="CS93" i="78"/>
  <c r="J56" i="49"/>
  <c r="K55" i="49"/>
  <c r="J87" i="49"/>
  <c r="M97" i="49"/>
  <c r="AQ26" i="78"/>
  <c r="AQ62" i="78" s="1"/>
  <c r="AQ98" i="78" s="1"/>
  <c r="BB9" i="78"/>
  <c r="BB45" i="78" s="1"/>
  <c r="BB81" i="78" s="1"/>
  <c r="BX19" i="78"/>
  <c r="BX55" i="78" s="1"/>
  <c r="BX91" i="78" s="1"/>
  <c r="CH64" i="78"/>
  <c r="L107" i="49" a="1"/>
  <c r="L111" i="49" s="1"/>
  <c r="AF18" i="78"/>
  <c r="AF54" i="78" s="1"/>
  <c r="AF90" i="78" s="1"/>
  <c r="CS88" i="78"/>
  <c r="F147" i="49"/>
  <c r="L85" i="49" a="1"/>
  <c r="L90" i="49" s="1"/>
  <c r="AE62" i="78"/>
  <c r="AE98" i="78"/>
  <c r="AP46" i="78"/>
  <c r="BA84" i="78"/>
  <c r="BL85" i="78"/>
  <c r="BL101" i="78"/>
  <c r="CS52" i="78"/>
  <c r="J8" i="78"/>
  <c r="J44" i="78" s="1"/>
  <c r="J80" i="78" s="1"/>
  <c r="G256" i="49"/>
  <c r="K59" i="49"/>
  <c r="M71" i="49"/>
  <c r="K64" i="49"/>
  <c r="AQ10" i="78"/>
  <c r="AQ46" i="78" s="1"/>
  <c r="AQ82" i="78" s="1"/>
  <c r="BM12" i="78"/>
  <c r="BM48" i="78" s="1"/>
  <c r="BM84" i="78" s="1"/>
  <c r="BW84" i="78"/>
  <c r="BX32" i="78"/>
  <c r="BX68" i="78" s="1"/>
  <c r="BX104" i="78" s="1"/>
  <c r="CI25" i="78"/>
  <c r="CI61" i="78" s="1"/>
  <c r="CI97" i="78" s="1"/>
  <c r="L74" i="49" a="1"/>
  <c r="L75" i="49" s="1"/>
  <c r="L96" i="49" a="1"/>
  <c r="L98" i="49" s="1"/>
  <c r="AE90" i="78"/>
  <c r="D200" i="49"/>
  <c r="M93" i="49"/>
  <c r="D172" i="49"/>
  <c r="G172" i="49"/>
  <c r="M92" i="49"/>
  <c r="M98" i="49"/>
  <c r="BB10" i="78"/>
  <c r="BB46" i="78" s="1"/>
  <c r="BB82" i="78" s="1"/>
  <c r="BA92" i="78"/>
  <c r="BW82" i="78"/>
  <c r="CI8" i="78"/>
  <c r="CI44" i="78" s="1"/>
  <c r="CI80" i="78" s="1"/>
  <c r="CT23" i="78"/>
  <c r="CT59" i="78" s="1"/>
  <c r="CT95" i="78" s="1"/>
  <c r="CS96" i="78"/>
  <c r="D228" i="49"/>
  <c r="CS60" i="78"/>
  <c r="J91" i="49"/>
  <c r="M86" i="49"/>
  <c r="J103" i="49"/>
  <c r="AQ18" i="78"/>
  <c r="AQ54" i="78" s="1"/>
  <c r="AQ90" i="78" s="1"/>
  <c r="J90" i="49"/>
  <c r="M85" i="49"/>
  <c r="AQ8" i="78"/>
  <c r="AQ44" i="78" s="1"/>
  <c r="AQ80" i="78" s="1"/>
  <c r="AQ13" i="78"/>
  <c r="AQ49" i="78" s="1"/>
  <c r="AQ85" i="78" s="1"/>
  <c r="AP101" i="78"/>
  <c r="BX16" i="78"/>
  <c r="BX52" i="78" s="1"/>
  <c r="BX88" i="78" s="1"/>
  <c r="BX28" i="78"/>
  <c r="BX64" i="78" s="1"/>
  <c r="BX100" i="78" s="1"/>
  <c r="CI9" i="78"/>
  <c r="CI45" i="78" s="1"/>
  <c r="CI81" i="78" s="1"/>
  <c r="CH103" i="78"/>
  <c r="CT18" i="78"/>
  <c r="CT54" i="78" s="1"/>
  <c r="CT90" i="78" s="1"/>
  <c r="CT31" i="78"/>
  <c r="CT67" i="78" s="1"/>
  <c r="CT103" i="78" s="1"/>
  <c r="K85" i="49"/>
  <c r="K88" i="49"/>
  <c r="K89" i="49"/>
  <c r="K90" i="49"/>
  <c r="K92" i="49"/>
  <c r="J52" i="49"/>
  <c r="J53" i="49"/>
  <c r="J55" i="49"/>
  <c r="J59" i="49"/>
  <c r="M77" i="49"/>
  <c r="M75" i="49"/>
  <c r="J107" i="49"/>
  <c r="J109" i="49"/>
  <c r="J110" i="49"/>
  <c r="J111" i="49"/>
  <c r="J112" i="49"/>
  <c r="J113" i="49"/>
  <c r="J114" i="49"/>
  <c r="J58" i="49"/>
  <c r="M55" i="49"/>
  <c r="M54" i="49"/>
  <c r="M57" i="49"/>
  <c r="M60" i="49"/>
  <c r="K91" i="49"/>
  <c r="J63" i="49"/>
  <c r="J66" i="49"/>
  <c r="J67" i="49"/>
  <c r="K74" i="49"/>
  <c r="K80" i="49"/>
  <c r="K81" i="49"/>
  <c r="K76" i="49"/>
  <c r="J96" i="49"/>
  <c r="J100" i="49"/>
  <c r="J101" i="49"/>
  <c r="J102" i="49"/>
  <c r="K54" i="49"/>
  <c r="K52" i="49"/>
  <c r="K53" i="49"/>
  <c r="AE47" i="78"/>
  <c r="AQ9" i="78"/>
  <c r="AQ45" i="78" s="1"/>
  <c r="AQ81" i="78" s="1"/>
  <c r="AP84" i="78"/>
  <c r="AP90" i="78"/>
  <c r="AQ23" i="78"/>
  <c r="AQ59" i="78" s="1"/>
  <c r="AQ95" i="78" s="1"/>
  <c r="AP59" i="78"/>
  <c r="BA49" i="78"/>
  <c r="BB32" i="78"/>
  <c r="BB68" i="78" s="1"/>
  <c r="BB104" i="78" s="1"/>
  <c r="BL81" i="78"/>
  <c r="BM20" i="78"/>
  <c r="BM56" i="78" s="1"/>
  <c r="BM92" i="78" s="1"/>
  <c r="BL97" i="78"/>
  <c r="BL50" i="78"/>
  <c r="BX12" i="78"/>
  <c r="BX48" i="78" s="1"/>
  <c r="BX84" i="78" s="1"/>
  <c r="BX17" i="78"/>
  <c r="BX53" i="78" s="1"/>
  <c r="BX89" i="78" s="1"/>
  <c r="BX26" i="78"/>
  <c r="BX62" i="78" s="1"/>
  <c r="BX98" i="78" s="1"/>
  <c r="CH86" i="78"/>
  <c r="CH102" i="78"/>
  <c r="CS87" i="78"/>
  <c r="J88" i="49"/>
  <c r="M87" i="49"/>
  <c r="M96" i="49"/>
  <c r="K102" i="49"/>
  <c r="M115" i="49"/>
  <c r="K114" i="49"/>
  <c r="BB24" i="78"/>
  <c r="BB60" i="78" s="1"/>
  <c r="BB96" i="78" s="1"/>
  <c r="BM17" i="78"/>
  <c r="BM53" i="78" s="1"/>
  <c r="BM89" i="78" s="1"/>
  <c r="BL53" i="78"/>
  <c r="BX23" i="78"/>
  <c r="BX59" i="78" s="1"/>
  <c r="BX95" i="78" s="1"/>
  <c r="BW59" i="78"/>
  <c r="BW67" i="78"/>
  <c r="CT17" i="78"/>
  <c r="CT53" i="78" s="1"/>
  <c r="CT89" i="78" s="1"/>
  <c r="K101" i="49"/>
  <c r="M107" i="49"/>
  <c r="K113" i="49"/>
  <c r="AE102" i="78"/>
  <c r="AP103" i="78"/>
  <c r="BB25" i="78"/>
  <c r="BB61" i="78" s="1"/>
  <c r="BB97" i="78" s="1"/>
  <c r="BA67" i="78"/>
  <c r="BA93" i="78"/>
  <c r="BM22" i="78"/>
  <c r="BM58" i="78" s="1"/>
  <c r="BM94" i="78" s="1"/>
  <c r="BX9" i="78"/>
  <c r="BX45" i="78" s="1"/>
  <c r="BX81" i="78" s="1"/>
  <c r="BX18" i="78"/>
  <c r="BX54" i="78" s="1"/>
  <c r="BX90" i="78" s="1"/>
  <c r="BW100" i="78"/>
  <c r="BW87" i="78"/>
  <c r="BW103" i="78"/>
  <c r="CI27" i="78"/>
  <c r="CI63" i="78" s="1"/>
  <c r="CI99" i="78" s="1"/>
  <c r="CS59" i="78"/>
  <c r="CS80" i="78"/>
  <c r="K68" i="49"/>
  <c r="K100" i="49"/>
  <c r="K111" i="49"/>
  <c r="BB16" i="78"/>
  <c r="BB52" i="78" s="1"/>
  <c r="BB88" i="78" s="1"/>
  <c r="K67" i="49"/>
  <c r="M104" i="49"/>
  <c r="K99" i="49"/>
  <c r="K110" i="49"/>
  <c r="AQ17" i="78"/>
  <c r="AQ53" i="78" s="1"/>
  <c r="AQ89" i="78" s="1"/>
  <c r="AP92" i="78"/>
  <c r="BB17" i="78"/>
  <c r="BB53" i="78" s="1"/>
  <c r="BB89" i="78" s="1"/>
  <c r="BB26" i="78"/>
  <c r="BB62" i="78" s="1"/>
  <c r="BB98" i="78" s="1"/>
  <c r="BA59" i="78"/>
  <c r="BM28" i="78"/>
  <c r="BM64" i="78" s="1"/>
  <c r="BM100" i="78" s="1"/>
  <c r="BL56" i="78"/>
  <c r="BX20" i="78"/>
  <c r="BX56" i="78" s="1"/>
  <c r="BX92" i="78" s="1"/>
  <c r="BX25" i="78"/>
  <c r="BX61" i="78" s="1"/>
  <c r="BX97" i="78" s="1"/>
  <c r="BW46" i="78"/>
  <c r="BW54" i="78"/>
  <c r="CI12" i="78"/>
  <c r="CI48" i="78" s="1"/>
  <c r="CI84" i="78" s="1"/>
  <c r="CI28" i="78"/>
  <c r="CI64" i="78" s="1"/>
  <c r="CI100" i="78" s="1"/>
  <c r="J92" i="49"/>
  <c r="M103" i="49"/>
  <c r="K97" i="49"/>
  <c r="K109" i="49"/>
  <c r="AE86" i="78"/>
  <c r="AQ31" i="78"/>
  <c r="AQ67" i="78" s="1"/>
  <c r="AQ103" i="78" s="1"/>
  <c r="CI18" i="78"/>
  <c r="CI54" i="78" s="1"/>
  <c r="CI90" i="78" s="1"/>
  <c r="CH62" i="78"/>
  <c r="K108" i="49"/>
  <c r="AQ12" i="78"/>
  <c r="AQ48" i="78" s="1"/>
  <c r="AQ84" i="78" s="1"/>
  <c r="BA51" i="78"/>
  <c r="BM9" i="78"/>
  <c r="BM45" i="78" s="1"/>
  <c r="BM81" i="78" s="1"/>
  <c r="BM25" i="78"/>
  <c r="BM61" i="78" s="1"/>
  <c r="BM97" i="78" s="1"/>
  <c r="CI19" i="78"/>
  <c r="CI55" i="78" s="1"/>
  <c r="CI91" i="78" s="1"/>
  <c r="CT15" i="78"/>
  <c r="CT51" i="78" s="1"/>
  <c r="CT87" i="78" s="1"/>
  <c r="CT13" i="78"/>
  <c r="CT49" i="78" s="1"/>
  <c r="CT85" i="78" s="1"/>
  <c r="CT21" i="78"/>
  <c r="CT29" i="78"/>
  <c r="CT65" i="78" s="1"/>
  <c r="CT101" i="78" s="1"/>
  <c r="CS64" i="78"/>
  <c r="CT28" i="78"/>
  <c r="CT64" i="78" s="1"/>
  <c r="CT100" i="78" s="1"/>
  <c r="CT12" i="78"/>
  <c r="CT48" i="78" s="1"/>
  <c r="CT84" i="78" s="1"/>
  <c r="CS92" i="78"/>
  <c r="CT32" i="78"/>
  <c r="CT68" i="78" s="1"/>
  <c r="CT104" i="78" s="1"/>
  <c r="CS49" i="78"/>
  <c r="CT20" i="78"/>
  <c r="CT56" i="78" s="1"/>
  <c r="CT92" i="78" s="1"/>
  <c r="CI15" i="78"/>
  <c r="CI51" i="78" s="1"/>
  <c r="CI87" i="78" s="1"/>
  <c r="CI16" i="78"/>
  <c r="CI52" i="78" s="1"/>
  <c r="CI88" i="78" s="1"/>
  <c r="CI24" i="78"/>
  <c r="CI60" i="78" s="1"/>
  <c r="CI96" i="78" s="1"/>
  <c r="CH92" i="78"/>
  <c r="CH67" i="78"/>
  <c r="CH87" i="78"/>
  <c r="CH59" i="78"/>
  <c r="CI23" i="78"/>
  <c r="CI59" i="78" s="1"/>
  <c r="CI95" i="78" s="1"/>
  <c r="CI32" i="78"/>
  <c r="CI68" i="78" s="1"/>
  <c r="CI104" i="78" s="1"/>
  <c r="BW66" i="78"/>
  <c r="BW58" i="78"/>
  <c r="BW50" i="78"/>
  <c r="BM31" i="78"/>
  <c r="BM67" i="78" s="1"/>
  <c r="BM103" i="78" s="1"/>
  <c r="BM14" i="78"/>
  <c r="BM50" i="78" s="1"/>
  <c r="BM86" i="78" s="1"/>
  <c r="BM23" i="78"/>
  <c r="BM59" i="78" s="1"/>
  <c r="BM95" i="78" s="1"/>
  <c r="BL95" i="78"/>
  <c r="BL103" i="78"/>
  <c r="BM15" i="78"/>
  <c r="BM51" i="78" s="1"/>
  <c r="BM87" i="78" s="1"/>
  <c r="BL47" i="78"/>
  <c r="BL51" i="78"/>
  <c r="BA68" i="78"/>
  <c r="BB15" i="78"/>
  <c r="BB51" i="78" s="1"/>
  <c r="BB87" i="78" s="1"/>
  <c r="BB23" i="78"/>
  <c r="BB59" i="78" s="1"/>
  <c r="BB95" i="78" s="1"/>
  <c r="BA60" i="78"/>
  <c r="BB12" i="78"/>
  <c r="BB48" i="78" s="1"/>
  <c r="BB84" i="78" s="1"/>
  <c r="BB20" i="78"/>
  <c r="BB56" i="78" s="1"/>
  <c r="BB92" i="78" s="1"/>
  <c r="BB28" i="78"/>
  <c r="BB64" i="78" s="1"/>
  <c r="BB100" i="78" s="1"/>
  <c r="AQ32" i="78"/>
  <c r="AQ68" i="78" s="1"/>
  <c r="AQ104" i="78" s="1"/>
  <c r="AP88" i="78"/>
  <c r="AP57" i="78"/>
  <c r="AQ29" i="78"/>
  <c r="AQ65" i="78" s="1"/>
  <c r="AQ101" i="78" s="1"/>
  <c r="AP51" i="78"/>
  <c r="AP104" i="78"/>
  <c r="AQ24" i="78"/>
  <c r="AQ60" i="78" s="1"/>
  <c r="AQ96" i="78" s="1"/>
  <c r="AQ21" i="78"/>
  <c r="AQ57" i="78" s="1"/>
  <c r="AQ93" i="78" s="1"/>
  <c r="AP52" i="78"/>
  <c r="AP60" i="78"/>
  <c r="AQ15" i="78"/>
  <c r="AQ51" i="78" s="1"/>
  <c r="AQ87" i="78" s="1"/>
  <c r="AF30" i="78"/>
  <c r="AF66" i="78" s="1"/>
  <c r="AF102" i="78" s="1"/>
  <c r="AF15" i="78"/>
  <c r="AF51" i="78" s="1"/>
  <c r="AF87" i="78" s="1"/>
  <c r="AE51" i="78"/>
  <c r="AE59" i="78"/>
  <c r="AE67" i="78"/>
  <c r="AF23" i="78"/>
  <c r="AF59" i="78" s="1"/>
  <c r="AF95" i="78" s="1"/>
  <c r="AF31" i="78"/>
  <c r="AF67" i="78" s="1"/>
  <c r="AF103" i="78" s="1"/>
  <c r="AF12" i="78"/>
  <c r="AF48" i="78" s="1"/>
  <c r="AF84" i="78" s="1"/>
  <c r="AF20" i="78"/>
  <c r="AF56" i="78" s="1"/>
  <c r="AF92" i="78" s="1"/>
  <c r="AF28" i="78"/>
  <c r="AF64" i="78" s="1"/>
  <c r="AF100" i="78" s="1"/>
  <c r="AE94" i="78"/>
  <c r="AF14" i="78"/>
  <c r="AF50" i="78" s="1"/>
  <c r="AF86" i="78" s="1"/>
  <c r="AF22" i="78"/>
  <c r="AF58" i="78" s="1"/>
  <c r="AF94" i="78" s="1"/>
  <c r="AE34" i="78"/>
  <c r="CT19" i="78"/>
  <c r="CT55" i="78" s="1"/>
  <c r="CT91" i="78" s="1"/>
  <c r="CT14" i="78"/>
  <c r="CT50" i="78" s="1"/>
  <c r="CT86" i="78" s="1"/>
  <c r="CS34" i="78"/>
  <c r="CS83" i="78"/>
  <c r="CS91" i="78"/>
  <c r="CT9" i="78"/>
  <c r="CT45" i="78" s="1"/>
  <c r="CT81" i="78" s="1"/>
  <c r="CT25" i="78"/>
  <c r="CT61" i="78" s="1"/>
  <c r="CT97" i="78" s="1"/>
  <c r="CS94" i="78"/>
  <c r="CS102" i="78"/>
  <c r="CS50" i="78"/>
  <c r="CR53" i="78"/>
  <c r="CR89" i="78" s="1"/>
  <c r="CS45" i="78"/>
  <c r="CR48" i="78"/>
  <c r="CR84" i="78" s="1"/>
  <c r="CS53" i="78"/>
  <c r="CR56" i="78"/>
  <c r="CR92" i="78" s="1"/>
  <c r="CS61" i="78"/>
  <c r="CR64" i="78"/>
  <c r="CR100" i="78" s="1"/>
  <c r="CT11" i="78"/>
  <c r="CT47" i="78" s="1"/>
  <c r="CT83" i="78" s="1"/>
  <c r="CT27" i="78"/>
  <c r="CT63" i="78" s="1"/>
  <c r="CT99" i="78" s="1"/>
  <c r="CT22" i="78"/>
  <c r="CT58" i="78" s="1"/>
  <c r="CT94" i="78" s="1"/>
  <c r="CT30" i="78"/>
  <c r="CT66" i="78" s="1"/>
  <c r="CT102" i="78" s="1"/>
  <c r="CS99" i="78"/>
  <c r="CH93" i="78"/>
  <c r="CH88" i="78"/>
  <c r="CH96" i="78"/>
  <c r="CH104" i="78"/>
  <c r="CH34" i="78"/>
  <c r="CH83" i="78"/>
  <c r="CH91" i="78"/>
  <c r="CG44" i="78"/>
  <c r="CG80" i="78" s="1"/>
  <c r="CH49" i="78"/>
  <c r="CG52" i="78"/>
  <c r="CG88" i="78" s="1"/>
  <c r="CH57" i="78"/>
  <c r="CG60" i="78"/>
  <c r="CG96" i="78" s="1"/>
  <c r="CH65" i="78"/>
  <c r="CG68" i="78"/>
  <c r="CG104" i="78" s="1"/>
  <c r="CI13" i="78"/>
  <c r="CI49" i="78" s="1"/>
  <c r="CI85" i="78" s="1"/>
  <c r="CI29" i="78"/>
  <c r="CI65" i="78" s="1"/>
  <c r="CI101" i="78" s="1"/>
  <c r="CI11" i="78"/>
  <c r="CI47" i="78" s="1"/>
  <c r="CI83" i="78" s="1"/>
  <c r="CI22" i="78"/>
  <c r="CI58" i="78" s="1"/>
  <c r="CI94" i="78" s="1"/>
  <c r="CH44" i="78"/>
  <c r="CG55" i="78"/>
  <c r="CG91" i="78" s="1"/>
  <c r="CG63" i="78"/>
  <c r="CG99" i="78" s="1"/>
  <c r="CI14" i="78"/>
  <c r="CI50" i="78" s="1"/>
  <c r="CI86" i="78" s="1"/>
  <c r="CI30" i="78"/>
  <c r="CI66" i="78" s="1"/>
  <c r="CI102" i="78" s="1"/>
  <c r="CH99" i="78"/>
  <c r="BX21" i="78"/>
  <c r="BX57" i="78" s="1"/>
  <c r="BX93" i="78" s="1"/>
  <c r="BX29" i="78"/>
  <c r="BX65" i="78" s="1"/>
  <c r="BX101" i="78" s="1"/>
  <c r="BX8" i="78"/>
  <c r="BX44" i="78" s="1"/>
  <c r="BX80" i="78" s="1"/>
  <c r="BW85" i="78"/>
  <c r="BW101" i="78"/>
  <c r="BX30" i="78"/>
  <c r="BX66" i="78" s="1"/>
  <c r="BX102" i="78" s="1"/>
  <c r="BW91" i="78"/>
  <c r="BW49" i="78"/>
  <c r="BV52" i="78"/>
  <c r="BV88" i="78" s="1"/>
  <c r="BW57" i="78"/>
  <c r="BV60" i="78"/>
  <c r="BV96" i="78" s="1"/>
  <c r="BV68" i="78"/>
  <c r="BV104" i="78" s="1"/>
  <c r="BX11" i="78"/>
  <c r="BX47" i="78" s="1"/>
  <c r="BX83" i="78" s="1"/>
  <c r="BX27" i="78"/>
  <c r="BX63" i="78" s="1"/>
  <c r="BX99" i="78" s="1"/>
  <c r="BW88" i="78"/>
  <c r="BW96" i="78"/>
  <c r="BW104" i="78"/>
  <c r="BX14" i="78"/>
  <c r="BX50" i="78" s="1"/>
  <c r="BX86" i="78" s="1"/>
  <c r="BX22" i="78"/>
  <c r="BX58" i="78" s="1"/>
  <c r="BX94" i="78" s="1"/>
  <c r="BW34" i="78"/>
  <c r="BW44" i="78"/>
  <c r="BV55" i="78"/>
  <c r="BV91" i="78" s="1"/>
  <c r="BW83" i="78"/>
  <c r="BW99" i="78"/>
  <c r="BL60" i="78"/>
  <c r="BL96" i="78"/>
  <c r="BK45" i="78"/>
  <c r="BK81" i="78" s="1"/>
  <c r="BM18" i="78"/>
  <c r="BM54" i="78" s="1"/>
  <c r="BM90" i="78" s="1"/>
  <c r="BL90" i="78"/>
  <c r="BL55" i="78"/>
  <c r="BM10" i="78"/>
  <c r="BM46" i="78" s="1"/>
  <c r="BM82" i="78" s="1"/>
  <c r="BM13" i="78"/>
  <c r="BM49" i="78" s="1"/>
  <c r="BM85" i="78" s="1"/>
  <c r="BM16" i="78"/>
  <c r="BM52" i="78" s="1"/>
  <c r="BM88" i="78" s="1"/>
  <c r="BM19" i="78"/>
  <c r="BM55" i="78" s="1"/>
  <c r="BM91" i="78" s="1"/>
  <c r="BL68" i="78"/>
  <c r="BL104" i="78"/>
  <c r="BK61" i="78"/>
  <c r="BK97" i="78" s="1"/>
  <c r="BL82" i="78"/>
  <c r="BL98" i="78"/>
  <c r="BL44" i="78"/>
  <c r="BL34" i="78"/>
  <c r="BL80" i="78"/>
  <c r="BM26" i="78"/>
  <c r="BM62" i="78" s="1"/>
  <c r="BM98" i="78" s="1"/>
  <c r="BM29" i="78"/>
  <c r="BM65" i="78" s="1"/>
  <c r="BM101" i="78" s="1"/>
  <c r="BM32" i="78"/>
  <c r="BM68" i="78" s="1"/>
  <c r="BM104" i="78" s="1"/>
  <c r="BL66" i="78"/>
  <c r="BL93" i="78"/>
  <c r="BM21" i="78"/>
  <c r="BM57" i="78" s="1"/>
  <c r="BM93" i="78" s="1"/>
  <c r="BM24" i="78"/>
  <c r="BM60" i="78" s="1"/>
  <c r="BM96" i="78" s="1"/>
  <c r="BM27" i="78"/>
  <c r="BM63" i="78" s="1"/>
  <c r="BM99" i="78" s="1"/>
  <c r="BL63" i="78"/>
  <c r="BL52" i="78"/>
  <c r="BL88" i="78"/>
  <c r="BM8" i="78"/>
  <c r="BM44" i="78" s="1"/>
  <c r="BM80" i="78" s="1"/>
  <c r="BM11" i="78"/>
  <c r="BM47" i="78" s="1"/>
  <c r="BM83" i="78" s="1"/>
  <c r="BM30" i="78"/>
  <c r="BM66" i="78" s="1"/>
  <c r="BM102" i="78" s="1"/>
  <c r="BK53" i="78"/>
  <c r="BK89" i="78" s="1"/>
  <c r="BK58" i="78"/>
  <c r="BK94" i="78" s="1"/>
  <c r="BB11" i="78"/>
  <c r="BB47" i="78" s="1"/>
  <c r="BB83" i="78" s="1"/>
  <c r="BB19" i="78"/>
  <c r="BB55" i="78" s="1"/>
  <c r="BB91" i="78" s="1"/>
  <c r="AZ45" i="78"/>
  <c r="AZ81" i="78" s="1"/>
  <c r="BA50" i="78"/>
  <c r="AZ53" i="78"/>
  <c r="AZ89" i="78" s="1"/>
  <c r="BA58" i="78"/>
  <c r="AZ61" i="78"/>
  <c r="AZ97" i="78" s="1"/>
  <c r="BA66" i="78"/>
  <c r="BA103" i="78"/>
  <c r="BB13" i="78"/>
  <c r="BB49" i="78" s="1"/>
  <c r="BB85" i="78" s="1"/>
  <c r="BB21" i="78"/>
  <c r="BB57" i="78" s="1"/>
  <c r="BB93" i="78" s="1"/>
  <c r="BB29" i="78"/>
  <c r="BB65" i="78" s="1"/>
  <c r="BB101" i="78" s="1"/>
  <c r="BA45" i="78"/>
  <c r="AZ48" i="78"/>
  <c r="AZ84" i="78" s="1"/>
  <c r="BA53" i="78"/>
  <c r="AZ56" i="78"/>
  <c r="AZ92" i="78" s="1"/>
  <c r="BA61" i="78"/>
  <c r="AZ64" i="78"/>
  <c r="AZ100" i="78" s="1"/>
  <c r="BB14" i="78"/>
  <c r="BB50" i="78" s="1"/>
  <c r="BB86" i="78" s="1"/>
  <c r="BB22" i="78"/>
  <c r="BB58" i="78" s="1"/>
  <c r="BB94" i="78" s="1"/>
  <c r="BB30" i="78"/>
  <c r="BB66" i="78" s="1"/>
  <c r="BB102" i="78" s="1"/>
  <c r="BA34" i="78"/>
  <c r="BA83" i="78"/>
  <c r="BA91" i="78"/>
  <c r="BA99" i="78"/>
  <c r="BB27" i="78"/>
  <c r="BB63" i="78" s="1"/>
  <c r="BB99" i="78" s="1"/>
  <c r="AP99" i="78"/>
  <c r="AO45" i="78"/>
  <c r="AO81" i="78" s="1"/>
  <c r="AP50" i="78"/>
  <c r="AO53" i="78"/>
  <c r="AO89" i="78" s="1"/>
  <c r="AP58" i="78"/>
  <c r="AO61" i="78"/>
  <c r="AO97" i="78" s="1"/>
  <c r="AP66" i="78"/>
  <c r="AP45" i="78"/>
  <c r="AO48" i="78"/>
  <c r="AO84" i="78" s="1"/>
  <c r="AP53" i="78"/>
  <c r="AO56" i="78"/>
  <c r="AO92" i="78" s="1"/>
  <c r="AP61" i="78"/>
  <c r="AO64" i="78"/>
  <c r="AO100" i="78" s="1"/>
  <c r="AQ11" i="78"/>
  <c r="AQ47" i="78" s="1"/>
  <c r="AQ83" i="78" s="1"/>
  <c r="AQ14" i="78"/>
  <c r="AQ50" i="78" s="1"/>
  <c r="AQ86" i="78" s="1"/>
  <c r="AQ30" i="78"/>
  <c r="AQ66" i="78" s="1"/>
  <c r="AQ102" i="78" s="1"/>
  <c r="AP34" i="78"/>
  <c r="AQ19" i="78"/>
  <c r="AQ55" i="78" s="1"/>
  <c r="AQ91" i="78" s="1"/>
  <c r="AQ27" i="78"/>
  <c r="AQ63" i="78" s="1"/>
  <c r="AQ99" i="78" s="1"/>
  <c r="AQ22" i="78"/>
  <c r="AQ58" i="78" s="1"/>
  <c r="AQ94" i="78" s="1"/>
  <c r="AP83" i="78"/>
  <c r="AP91" i="78"/>
  <c r="AF13" i="78"/>
  <c r="AF49" i="78" s="1"/>
  <c r="AF85" i="78" s="1"/>
  <c r="AF21" i="78"/>
  <c r="AF57" i="78" s="1"/>
  <c r="AF93" i="78" s="1"/>
  <c r="AF29" i="78"/>
  <c r="AF65" i="78" s="1"/>
  <c r="AF101" i="78" s="1"/>
  <c r="AE45" i="78"/>
  <c r="AD48" i="78"/>
  <c r="AD84" i="78" s="1"/>
  <c r="AE53" i="78"/>
  <c r="AD56" i="78"/>
  <c r="AD92" i="78" s="1"/>
  <c r="AE61" i="78"/>
  <c r="AD64" i="78"/>
  <c r="AD100" i="78" s="1"/>
  <c r="AF8" i="78"/>
  <c r="AF44" i="78" s="1"/>
  <c r="AF80" i="78" s="1"/>
  <c r="AF16" i="78"/>
  <c r="AF52" i="78" s="1"/>
  <c r="AF88" i="78" s="1"/>
  <c r="AF24" i="78"/>
  <c r="AF60" i="78" s="1"/>
  <c r="AF96" i="78" s="1"/>
  <c r="AF32" i="78"/>
  <c r="AF68" i="78" s="1"/>
  <c r="AF104" i="78" s="1"/>
  <c r="AE48" i="78"/>
  <c r="AD51" i="78"/>
  <c r="AD87" i="78" s="1"/>
  <c r="AE56" i="78"/>
  <c r="AD59" i="78"/>
  <c r="AD95" i="78" s="1"/>
  <c r="AE64" i="78"/>
  <c r="AD67" i="78"/>
  <c r="AD103" i="78" s="1"/>
  <c r="AE85" i="78"/>
  <c r="AE93" i="78"/>
  <c r="AE101" i="78"/>
  <c r="AF11" i="78"/>
  <c r="AF47" i="78" s="1"/>
  <c r="AF83" i="78" s="1"/>
  <c r="AF19" i="78"/>
  <c r="AF55" i="78" s="1"/>
  <c r="AF91" i="78" s="1"/>
  <c r="AF27" i="78"/>
  <c r="AF63" i="78" s="1"/>
  <c r="AF99" i="78" s="1"/>
  <c r="AE80" i="78"/>
  <c r="AE88" i="78"/>
  <c r="AE96" i="78"/>
  <c r="AE104" i="78"/>
  <c r="AF17" i="78"/>
  <c r="AF53" i="78" s="1"/>
  <c r="AF89" i="78" s="1"/>
  <c r="AF25" i="78"/>
  <c r="AF61" i="78" s="1"/>
  <c r="AF97" i="78" s="1"/>
  <c r="AE44" i="78"/>
  <c r="AE81" i="78"/>
  <c r="M109" i="49"/>
  <c r="M108" i="49"/>
  <c r="K112" i="49"/>
  <c r="M114" i="49"/>
  <c r="M113" i="49"/>
  <c r="M112" i="49"/>
  <c r="M111" i="49"/>
  <c r="K115" i="49"/>
  <c r="J108" i="49"/>
  <c r="J115" i="49"/>
  <c r="N102" i="49"/>
  <c r="N101" i="49"/>
  <c r="M102" i="49"/>
  <c r="L96" i="49"/>
  <c r="K98" i="49"/>
  <c r="M100" i="49"/>
  <c r="K104" i="49"/>
  <c r="J97" i="49"/>
  <c r="J104" i="49"/>
  <c r="M91" i="49"/>
  <c r="K87" i="49"/>
  <c r="M90" i="49"/>
  <c r="M89" i="49"/>
  <c r="K93" i="49"/>
  <c r="J86" i="49"/>
  <c r="J93" i="49"/>
  <c r="M74" i="49"/>
  <c r="M80" i="49"/>
  <c r="M79" i="49"/>
  <c r="K75" i="49"/>
  <c r="M78" i="49"/>
  <c r="K82" i="49"/>
  <c r="M82" i="49"/>
  <c r="M81" i="49"/>
  <c r="J80" i="49"/>
  <c r="J79" i="49"/>
  <c r="J77" i="49"/>
  <c r="J76" i="49"/>
  <c r="J75" i="49"/>
  <c r="J81" i="49"/>
  <c r="J78" i="49"/>
  <c r="J82" i="49"/>
  <c r="M65" i="49"/>
  <c r="M64" i="49"/>
  <c r="M70" i="49"/>
  <c r="M69" i="49"/>
  <c r="M68" i="49"/>
  <c r="M67" i="49"/>
  <c r="J64" i="49"/>
  <c r="J71" i="49"/>
  <c r="M58" i="49"/>
  <c r="M56" i="49"/>
  <c r="J54" i="49"/>
  <c r="J60" i="49"/>
  <c r="F260" i="49"/>
  <c r="F284" i="49" s="1"/>
  <c r="F256" i="49"/>
  <c r="D256" i="49"/>
  <c r="F204" i="49"/>
  <c r="F228" i="49" s="1"/>
  <c r="F176" i="49"/>
  <c r="F148" i="49"/>
  <c r="P22" i="76" l="1"/>
  <c r="O22" i="76"/>
  <c r="M48" i="76"/>
  <c r="N22" i="76"/>
  <c r="N97" i="49"/>
  <c r="N104" i="49"/>
  <c r="L81" i="49"/>
  <c r="L79" i="49"/>
  <c r="L70" i="49"/>
  <c r="L65" i="49"/>
  <c r="L97" i="49"/>
  <c r="L99" i="49"/>
  <c r="L109" i="49"/>
  <c r="N98" i="49"/>
  <c r="L71" i="49"/>
  <c r="L64" i="49"/>
  <c r="L69" i="49"/>
  <c r="L68" i="49"/>
  <c r="N99" i="49"/>
  <c r="N100" i="49"/>
  <c r="L114" i="49"/>
  <c r="L115" i="49"/>
  <c r="L63" i="49"/>
  <c r="N63" i="49" a="1"/>
  <c r="N67" i="49" s="1"/>
  <c r="L66" i="49"/>
  <c r="N103" i="49"/>
  <c r="L92" i="49"/>
  <c r="L86" i="49"/>
  <c r="L108" i="49"/>
  <c r="L91" i="49"/>
  <c r="L85" i="49"/>
  <c r="L113" i="49"/>
  <c r="L89" i="49"/>
  <c r="L110" i="49"/>
  <c r="N85" i="49" a="1"/>
  <c r="N93" i="49" s="1"/>
  <c r="L93" i="49"/>
  <c r="L103" i="49"/>
  <c r="F172" i="49"/>
  <c r="L100" i="49"/>
  <c r="L112" i="49"/>
  <c r="L107" i="49"/>
  <c r="F200" i="49"/>
  <c r="N74" i="49" a="1"/>
  <c r="L104" i="49"/>
  <c r="L101" i="49"/>
  <c r="L80" i="49"/>
  <c r="L74" i="49"/>
  <c r="L76" i="49"/>
  <c r="L77" i="49"/>
  <c r="L78" i="49"/>
  <c r="L82" i="49"/>
  <c r="L102" i="49"/>
  <c r="L88" i="49"/>
  <c r="L87" i="49"/>
  <c r="N107" i="49" a="1"/>
  <c r="CT57" i="78"/>
  <c r="CT93" i="78" s="1"/>
  <c r="H4" i="71"/>
  <c r="M2" i="21"/>
  <c r="M11" i="21"/>
  <c r="N11" i="21"/>
  <c r="O11" i="21"/>
  <c r="P11" i="21"/>
  <c r="M18" i="21"/>
  <c r="N18" i="21"/>
  <c r="O18" i="21"/>
  <c r="P18" i="21"/>
  <c r="N33" i="21"/>
  <c r="O33" i="21"/>
  <c r="P33" i="21"/>
  <c r="G123" i="49"/>
  <c r="A118" i="49"/>
  <c r="E144" i="49"/>
  <c r="C144" i="49"/>
  <c r="B144" i="49"/>
  <c r="G143" i="49"/>
  <c r="D143" i="49"/>
  <c r="F143" i="49" s="1"/>
  <c r="G142" i="49"/>
  <c r="D142" i="49"/>
  <c r="F142" i="49" s="1"/>
  <c r="G141" i="49"/>
  <c r="D141" i="49"/>
  <c r="F141" i="49" s="1"/>
  <c r="G140" i="49"/>
  <c r="D140" i="49"/>
  <c r="F140" i="49" s="1"/>
  <c r="G139" i="49"/>
  <c r="D139" i="49"/>
  <c r="F139" i="49" s="1"/>
  <c r="G138" i="49"/>
  <c r="D138" i="49"/>
  <c r="F138" i="49" s="1"/>
  <c r="G137" i="49"/>
  <c r="D137" i="49"/>
  <c r="F137" i="49" s="1"/>
  <c r="G136" i="49"/>
  <c r="D136" i="49"/>
  <c r="F136" i="49" s="1"/>
  <c r="G135" i="49"/>
  <c r="D135" i="49"/>
  <c r="F135" i="49" s="1"/>
  <c r="G134" i="49"/>
  <c r="D134" i="49"/>
  <c r="F134" i="49" s="1"/>
  <c r="G133" i="49"/>
  <c r="D133" i="49"/>
  <c r="F133" i="49" s="1"/>
  <c r="G132" i="49"/>
  <c r="D132" i="49"/>
  <c r="F132" i="49" s="1"/>
  <c r="G131" i="49"/>
  <c r="D131" i="49"/>
  <c r="F131" i="49" s="1"/>
  <c r="G130" i="49"/>
  <c r="D130" i="49"/>
  <c r="F130" i="49" s="1"/>
  <c r="G129" i="49"/>
  <c r="D129" i="49"/>
  <c r="F129" i="49" s="1"/>
  <c r="G128" i="49"/>
  <c r="D128" i="49"/>
  <c r="F128" i="49" s="1"/>
  <c r="G127" i="49"/>
  <c r="D127" i="49"/>
  <c r="F127" i="49" s="1"/>
  <c r="G126" i="49"/>
  <c r="D126" i="49"/>
  <c r="F126" i="49" s="1"/>
  <c r="G125" i="49"/>
  <c r="D125" i="49"/>
  <c r="F125" i="49" s="1"/>
  <c r="G124" i="49"/>
  <c r="D124" i="49"/>
  <c r="F124" i="49" s="1"/>
  <c r="D123" i="49"/>
  <c r="F123" i="49" s="1"/>
  <c r="G122" i="49"/>
  <c r="D122" i="49"/>
  <c r="F122" i="49" s="1"/>
  <c r="G121" i="49"/>
  <c r="D121" i="49"/>
  <c r="F121" i="49" s="1"/>
  <c r="G120" i="49"/>
  <c r="D120" i="49"/>
  <c r="F120" i="49" s="1"/>
  <c r="G119" i="49"/>
  <c r="D119" i="49"/>
  <c r="F119" i="49" s="1"/>
  <c r="K41" i="49" a="1"/>
  <c r="K41" i="49" s="1"/>
  <c r="M41" i="49" a="1"/>
  <c r="M45" i="49" s="1"/>
  <c r="J41" i="49" a="1"/>
  <c r="J41" i="49" s="1"/>
  <c r="K30" i="49" a="1"/>
  <c r="K30" i="49" s="1"/>
  <c r="M30" i="49" a="1"/>
  <c r="M34" i="49" s="1"/>
  <c r="J30" i="49" a="1"/>
  <c r="J30" i="49" s="1"/>
  <c r="I7" i="49"/>
  <c r="M19" i="49" a="1"/>
  <c r="M26" i="49" s="1"/>
  <c r="K19" i="49" a="1"/>
  <c r="K20" i="49" s="1"/>
  <c r="J19" i="49" a="1"/>
  <c r="J26" i="49" s="1"/>
  <c r="S76" i="71" l="1"/>
  <c r="AD76" i="71"/>
  <c r="AD40" i="71"/>
  <c r="S40" i="71"/>
  <c r="N48" i="76"/>
  <c r="M52" i="76"/>
  <c r="M57" i="76"/>
  <c r="M62" i="76"/>
  <c r="M66" i="76"/>
  <c r="M76" i="76"/>
  <c r="M87" i="76"/>
  <c r="M92" i="76"/>
  <c r="M56" i="76"/>
  <c r="M65" i="76"/>
  <c r="M70" i="76"/>
  <c r="M75" i="76"/>
  <c r="M59" i="76"/>
  <c r="M64" i="76"/>
  <c r="M69" i="76"/>
  <c r="M74" i="76"/>
  <c r="M79" i="76"/>
  <c r="M84" i="76"/>
  <c r="M73" i="76"/>
  <c r="M83" i="76"/>
  <c r="M53" i="76"/>
  <c r="M58" i="76"/>
  <c r="M63" i="76"/>
  <c r="M94" i="76"/>
  <c r="M91" i="76"/>
  <c r="M80" i="76"/>
  <c r="M88" i="76"/>
  <c r="M61" i="76"/>
  <c r="M90" i="76"/>
  <c r="M78" i="76"/>
  <c r="M82" i="76"/>
  <c r="M51" i="76"/>
  <c r="M55" i="76"/>
  <c r="M86" i="76"/>
  <c r="M72" i="76"/>
  <c r="P48" i="76"/>
  <c r="O48" i="76"/>
  <c r="M68" i="76"/>
  <c r="M38" i="21"/>
  <c r="P38" i="21"/>
  <c r="N38" i="21"/>
  <c r="O38" i="21"/>
  <c r="N71" i="49"/>
  <c r="N64" i="49"/>
  <c r="N63" i="49"/>
  <c r="N66" i="49"/>
  <c r="N68" i="49"/>
  <c r="N70" i="49"/>
  <c r="N65" i="49"/>
  <c r="M31" i="49"/>
  <c r="M30" i="49"/>
  <c r="N69" i="49"/>
  <c r="M38" i="49"/>
  <c r="M49" i="49"/>
  <c r="M33" i="49"/>
  <c r="M48" i="49"/>
  <c r="M41" i="49"/>
  <c r="M32" i="49"/>
  <c r="M44" i="49"/>
  <c r="G144" i="49"/>
  <c r="N85" i="49"/>
  <c r="N87" i="49"/>
  <c r="N91" i="49"/>
  <c r="N92" i="49"/>
  <c r="N90" i="49"/>
  <c r="N88" i="49"/>
  <c r="N89" i="49"/>
  <c r="N86" i="49"/>
  <c r="N52" i="49" a="1"/>
  <c r="N107" i="49"/>
  <c r="N109" i="49"/>
  <c r="N108" i="49"/>
  <c r="N110" i="49"/>
  <c r="N111" i="49"/>
  <c r="N112" i="49"/>
  <c r="N115" i="49"/>
  <c r="N113" i="49"/>
  <c r="N114" i="49"/>
  <c r="K48" i="49"/>
  <c r="D144" i="49"/>
  <c r="L52" i="49" a="1"/>
  <c r="M43" i="49"/>
  <c r="K47" i="49"/>
  <c r="K36" i="49"/>
  <c r="M42" i="49"/>
  <c r="K45" i="49"/>
  <c r="N79" i="49"/>
  <c r="N78" i="49"/>
  <c r="N80" i="49"/>
  <c r="N75" i="49"/>
  <c r="N81" i="49"/>
  <c r="N76" i="49"/>
  <c r="N82" i="49"/>
  <c r="N77" i="49"/>
  <c r="N74" i="49"/>
  <c r="K37" i="49"/>
  <c r="K46" i="49"/>
  <c r="M37" i="49"/>
  <c r="F144" i="49"/>
  <c r="K44" i="49"/>
  <c r="M47" i="49"/>
  <c r="K43" i="49"/>
  <c r="M46" i="49"/>
  <c r="K42" i="49"/>
  <c r="K49" i="49"/>
  <c r="J48" i="49"/>
  <c r="J47" i="49"/>
  <c r="J46" i="49"/>
  <c r="J45" i="49"/>
  <c r="J44" i="49"/>
  <c r="J43" i="49"/>
  <c r="J42" i="49"/>
  <c r="J49" i="49"/>
  <c r="K35" i="49"/>
  <c r="K34" i="49"/>
  <c r="K31" i="49"/>
  <c r="K33" i="49"/>
  <c r="M36" i="49"/>
  <c r="K32" i="49"/>
  <c r="M35" i="49"/>
  <c r="K38" i="49"/>
  <c r="J38" i="49"/>
  <c r="J37" i="49"/>
  <c r="J36" i="49"/>
  <c r="J35" i="49"/>
  <c r="J34" i="49"/>
  <c r="J33" i="49"/>
  <c r="J32" i="49"/>
  <c r="J31" i="49"/>
  <c r="M25" i="49"/>
  <c r="M24" i="49"/>
  <c r="M23" i="49"/>
  <c r="M22" i="49"/>
  <c r="M21" i="49"/>
  <c r="M20" i="49"/>
  <c r="M27" i="49"/>
  <c r="M19" i="49"/>
  <c r="K25" i="49"/>
  <c r="K24" i="49"/>
  <c r="K23" i="49"/>
  <c r="K22" i="49"/>
  <c r="K27" i="49"/>
  <c r="K19" i="49"/>
  <c r="K26" i="49"/>
  <c r="K21" i="49"/>
  <c r="J25" i="49"/>
  <c r="J24" i="49"/>
  <c r="J23" i="49"/>
  <c r="J22" i="49"/>
  <c r="J21" i="49"/>
  <c r="J20" i="49"/>
  <c r="J27" i="49"/>
  <c r="J19" i="49"/>
  <c r="O52" i="76" l="1"/>
  <c r="O62" i="76"/>
  <c r="O66" i="76"/>
  <c r="O76" i="76"/>
  <c r="O57" i="76"/>
  <c r="O70" i="76"/>
  <c r="O75" i="76"/>
  <c r="O56" i="76"/>
  <c r="O65" i="76"/>
  <c r="O80" i="76"/>
  <c r="O59" i="76"/>
  <c r="O64" i="76"/>
  <c r="O69" i="76"/>
  <c r="O74" i="76"/>
  <c r="O79" i="76"/>
  <c r="O84" i="76"/>
  <c r="O53" i="76"/>
  <c r="O58" i="76"/>
  <c r="O63" i="76"/>
  <c r="O94" i="76"/>
  <c r="O88" i="76"/>
  <c r="O73" i="76"/>
  <c r="O92" i="76"/>
  <c r="O91" i="76"/>
  <c r="O87" i="76"/>
  <c r="O83" i="76"/>
  <c r="O51" i="76"/>
  <c r="O82" i="76"/>
  <c r="O86" i="76"/>
  <c r="O55" i="76"/>
  <c r="O78" i="76"/>
  <c r="O90" i="76"/>
  <c r="O61" i="76"/>
  <c r="O72" i="76"/>
  <c r="O68" i="76"/>
  <c r="P53" i="76"/>
  <c r="P58" i="76"/>
  <c r="P63" i="76"/>
  <c r="P73" i="76"/>
  <c r="P83" i="76"/>
  <c r="P88" i="76"/>
  <c r="P94" i="76"/>
  <c r="P52" i="76"/>
  <c r="P57" i="76"/>
  <c r="P62" i="76"/>
  <c r="P66" i="76"/>
  <c r="P76" i="76"/>
  <c r="P56" i="76"/>
  <c r="P65" i="76"/>
  <c r="P70" i="76"/>
  <c r="P75" i="76"/>
  <c r="P80" i="76"/>
  <c r="P91" i="76"/>
  <c r="P84" i="76"/>
  <c r="P59" i="76"/>
  <c r="P64" i="76"/>
  <c r="P69" i="76"/>
  <c r="P74" i="76"/>
  <c r="P79" i="76"/>
  <c r="P92" i="76"/>
  <c r="P87" i="76"/>
  <c r="P90" i="76"/>
  <c r="P61" i="76"/>
  <c r="P51" i="76"/>
  <c r="P55" i="76"/>
  <c r="P78" i="76"/>
  <c r="P86" i="76"/>
  <c r="P82" i="76"/>
  <c r="P72" i="76"/>
  <c r="N52" i="76"/>
  <c r="N57" i="76"/>
  <c r="N62" i="76"/>
  <c r="N66" i="76"/>
  <c r="N76" i="76"/>
  <c r="N87" i="76"/>
  <c r="N92" i="76"/>
  <c r="N56" i="76"/>
  <c r="N65" i="76"/>
  <c r="N70" i="76"/>
  <c r="N75" i="76"/>
  <c r="N80" i="76"/>
  <c r="N91" i="76"/>
  <c r="N59" i="76"/>
  <c r="N64" i="76"/>
  <c r="N69" i="76"/>
  <c r="N74" i="76"/>
  <c r="N79" i="76"/>
  <c r="N84" i="76"/>
  <c r="N53" i="76"/>
  <c r="N58" i="76"/>
  <c r="N63" i="76"/>
  <c r="N73" i="76"/>
  <c r="N83" i="76"/>
  <c r="N88" i="76"/>
  <c r="N94" i="76"/>
  <c r="N90" i="76"/>
  <c r="N78" i="76"/>
  <c r="N82" i="76"/>
  <c r="N51" i="76"/>
  <c r="N55" i="76"/>
  <c r="N86" i="76"/>
  <c r="N61" i="76"/>
  <c r="N72" i="76"/>
  <c r="P68" i="76"/>
  <c r="N68" i="76"/>
  <c r="L57" i="49"/>
  <c r="L55" i="49"/>
  <c r="L56" i="49"/>
  <c r="L59" i="49"/>
  <c r="L54" i="49"/>
  <c r="L52" i="49"/>
  <c r="L60" i="49"/>
  <c r="L53" i="49"/>
  <c r="L58" i="49"/>
  <c r="N53" i="49"/>
  <c r="N52" i="49"/>
  <c r="N59" i="49"/>
  <c r="N55" i="49"/>
  <c r="N58" i="49"/>
  <c r="N54" i="49"/>
  <c r="N57" i="49"/>
  <c r="N56" i="49"/>
  <c r="N60" i="49"/>
  <c r="I13" i="49"/>
  <c r="I24" i="49" s="1"/>
  <c r="I35" i="49" s="1"/>
  <c r="I46" i="49" s="1"/>
  <c r="I57" i="49" s="1"/>
  <c r="I68" i="49" s="1"/>
  <c r="I79" i="49" s="1"/>
  <c r="I90" i="49" s="1"/>
  <c r="I101" i="49" s="1"/>
  <c r="I112" i="49" s="1"/>
  <c r="I14" i="49"/>
  <c r="I25" i="49" s="1"/>
  <c r="I36" i="49" s="1"/>
  <c r="I47" i="49" s="1"/>
  <c r="I58" i="49" s="1"/>
  <c r="I69" i="49" s="1"/>
  <c r="I80" i="49" s="1"/>
  <c r="I91" i="49" s="1"/>
  <c r="I102" i="49" s="1"/>
  <c r="I113" i="49" s="1"/>
  <c r="I15" i="49"/>
  <c r="I26" i="49" s="1"/>
  <c r="I37" i="49" s="1"/>
  <c r="I48" i="49" s="1"/>
  <c r="I59" i="49" s="1"/>
  <c r="I70" i="49" s="1"/>
  <c r="I81" i="49" s="1"/>
  <c r="I92" i="49" s="1"/>
  <c r="I103" i="49" s="1"/>
  <c r="I114" i="49" s="1"/>
  <c r="I16" i="49"/>
  <c r="I27" i="49" s="1"/>
  <c r="I38" i="49" s="1"/>
  <c r="I49" i="49" s="1"/>
  <c r="I60" i="49" s="1"/>
  <c r="I71" i="49" s="1"/>
  <c r="I82" i="49" s="1"/>
  <c r="I93" i="49" s="1"/>
  <c r="I104" i="49" s="1"/>
  <c r="I115" i="49" s="1"/>
  <c r="I9" i="49"/>
  <c r="I10" i="49"/>
  <c r="I11" i="49"/>
  <c r="I12" i="49"/>
  <c r="I8" i="49"/>
  <c r="B80" i="78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7" i="49"/>
  <c r="CO140" i="78"/>
  <c r="CN140" i="78"/>
  <c r="CM140" i="78"/>
  <c r="CL140" i="78"/>
  <c r="CO139" i="78"/>
  <c r="CN139" i="78"/>
  <c r="CM139" i="78"/>
  <c r="CL139" i="78"/>
  <c r="CO138" i="78"/>
  <c r="CN138" i="78"/>
  <c r="CM138" i="78"/>
  <c r="CL138" i="78"/>
  <c r="CO137" i="78"/>
  <c r="CN137" i="78"/>
  <c r="CM137" i="78"/>
  <c r="CL137" i="78"/>
  <c r="CO136" i="78"/>
  <c r="CN136" i="78"/>
  <c r="CM136" i="78"/>
  <c r="CL136" i="78"/>
  <c r="CO135" i="78"/>
  <c r="CN135" i="78"/>
  <c r="CM135" i="78"/>
  <c r="CL135" i="78"/>
  <c r="CO134" i="78"/>
  <c r="CN134" i="78"/>
  <c r="CM134" i="78"/>
  <c r="CL134" i="78"/>
  <c r="CO133" i="78"/>
  <c r="CN133" i="78"/>
  <c r="CM133" i="78"/>
  <c r="CL133" i="78"/>
  <c r="CO132" i="78"/>
  <c r="CN132" i="78"/>
  <c r="CM132" i="78"/>
  <c r="CL132" i="78"/>
  <c r="CO131" i="78"/>
  <c r="CN131" i="78"/>
  <c r="CM131" i="78"/>
  <c r="CL131" i="78"/>
  <c r="CO130" i="78"/>
  <c r="CN130" i="78"/>
  <c r="CM130" i="78"/>
  <c r="CL130" i="78"/>
  <c r="CO129" i="78"/>
  <c r="CN129" i="78"/>
  <c r="CM129" i="78"/>
  <c r="CL129" i="78"/>
  <c r="CO128" i="78"/>
  <c r="CN128" i="78"/>
  <c r="CM128" i="78"/>
  <c r="CL128" i="78"/>
  <c r="CO127" i="78"/>
  <c r="CN127" i="78"/>
  <c r="CM127" i="78"/>
  <c r="CL127" i="78"/>
  <c r="CO126" i="78"/>
  <c r="CN126" i="78"/>
  <c r="CM126" i="78"/>
  <c r="CL126" i="78"/>
  <c r="CO125" i="78"/>
  <c r="CN125" i="78"/>
  <c r="CM125" i="78"/>
  <c r="CL125" i="78"/>
  <c r="CO124" i="78"/>
  <c r="CN124" i="78"/>
  <c r="CM124" i="78"/>
  <c r="CL124" i="78"/>
  <c r="CO123" i="78"/>
  <c r="CN123" i="78"/>
  <c r="CM123" i="78"/>
  <c r="CL123" i="78"/>
  <c r="CO122" i="78"/>
  <c r="CN122" i="78"/>
  <c r="CM122" i="78"/>
  <c r="CL122" i="78"/>
  <c r="CO121" i="78"/>
  <c r="CN121" i="78"/>
  <c r="CM121" i="78"/>
  <c r="CL121" i="78"/>
  <c r="CO120" i="78"/>
  <c r="CN120" i="78"/>
  <c r="CM120" i="78"/>
  <c r="CL120" i="78"/>
  <c r="CO119" i="78"/>
  <c r="CN119" i="78"/>
  <c r="CM119" i="78"/>
  <c r="CL119" i="78"/>
  <c r="CO118" i="78"/>
  <c r="CN118" i="78"/>
  <c r="CM118" i="78"/>
  <c r="CL118" i="78"/>
  <c r="CO117" i="78"/>
  <c r="CN117" i="78"/>
  <c r="CM117" i="78"/>
  <c r="CL117" i="78"/>
  <c r="CO116" i="78"/>
  <c r="CN116" i="78"/>
  <c r="CM116" i="78"/>
  <c r="CL116" i="78"/>
  <c r="CP34" i="78"/>
  <c r="CP66" i="78" s="1"/>
  <c r="CO34" i="78"/>
  <c r="CO62" i="78" s="1"/>
  <c r="CN34" i="78"/>
  <c r="CN46" i="78" s="1"/>
  <c r="CM34" i="78"/>
  <c r="CM70" i="78" s="1"/>
  <c r="CL34" i="78"/>
  <c r="CL47" i="78" s="1"/>
  <c r="CD140" i="78"/>
  <c r="CC140" i="78"/>
  <c r="CB140" i="78"/>
  <c r="CA140" i="78"/>
  <c r="CD139" i="78"/>
  <c r="CC139" i="78"/>
  <c r="CB139" i="78"/>
  <c r="CA139" i="78"/>
  <c r="CD138" i="78"/>
  <c r="CC138" i="78"/>
  <c r="CB138" i="78"/>
  <c r="CA138" i="78"/>
  <c r="CD137" i="78"/>
  <c r="CC137" i="78"/>
  <c r="CB137" i="78"/>
  <c r="CA137" i="78"/>
  <c r="CD136" i="78"/>
  <c r="CC136" i="78"/>
  <c r="CB136" i="78"/>
  <c r="CA136" i="78"/>
  <c r="CD135" i="78"/>
  <c r="CC135" i="78"/>
  <c r="CB135" i="78"/>
  <c r="CA135" i="78"/>
  <c r="CD134" i="78"/>
  <c r="CC134" i="78"/>
  <c r="CB134" i="78"/>
  <c r="CA134" i="78"/>
  <c r="CD133" i="78"/>
  <c r="CC133" i="78"/>
  <c r="CB133" i="78"/>
  <c r="CA133" i="78"/>
  <c r="CD132" i="78"/>
  <c r="CC132" i="78"/>
  <c r="CB132" i="78"/>
  <c r="CA132" i="78"/>
  <c r="CD131" i="78"/>
  <c r="CC131" i="78"/>
  <c r="CB131" i="78"/>
  <c r="CA131" i="78"/>
  <c r="CD130" i="78"/>
  <c r="CC130" i="78"/>
  <c r="CB130" i="78"/>
  <c r="CA130" i="78"/>
  <c r="CD129" i="78"/>
  <c r="CC129" i="78"/>
  <c r="CB129" i="78"/>
  <c r="CA129" i="78"/>
  <c r="CD128" i="78"/>
  <c r="CC128" i="78"/>
  <c r="CB128" i="78"/>
  <c r="CA128" i="78"/>
  <c r="CD127" i="78"/>
  <c r="CC127" i="78"/>
  <c r="CB127" i="78"/>
  <c r="CA127" i="78"/>
  <c r="CD126" i="78"/>
  <c r="CC126" i="78"/>
  <c r="CB126" i="78"/>
  <c r="CA126" i="78"/>
  <c r="CD125" i="78"/>
  <c r="CC125" i="78"/>
  <c r="CB125" i="78"/>
  <c r="CA125" i="78"/>
  <c r="CD124" i="78"/>
  <c r="CC124" i="78"/>
  <c r="CB124" i="78"/>
  <c r="CA124" i="78"/>
  <c r="CD123" i="78"/>
  <c r="CC123" i="78"/>
  <c r="CB123" i="78"/>
  <c r="CA123" i="78"/>
  <c r="CD122" i="78"/>
  <c r="CC122" i="78"/>
  <c r="CB122" i="78"/>
  <c r="CA122" i="78"/>
  <c r="CD121" i="78"/>
  <c r="CC121" i="78"/>
  <c r="CB121" i="78"/>
  <c r="CA121" i="78"/>
  <c r="CD120" i="78"/>
  <c r="CC120" i="78"/>
  <c r="CB120" i="78"/>
  <c r="CA120" i="78"/>
  <c r="CD119" i="78"/>
  <c r="CC119" i="78"/>
  <c r="CB119" i="78"/>
  <c r="CA119" i="78"/>
  <c r="CD118" i="78"/>
  <c r="CC118" i="78"/>
  <c r="CB118" i="78"/>
  <c r="CA118" i="78"/>
  <c r="CD117" i="78"/>
  <c r="CC117" i="78"/>
  <c r="CB117" i="78"/>
  <c r="CA117" i="78"/>
  <c r="CD116" i="78"/>
  <c r="CC116" i="78"/>
  <c r="CB116" i="78"/>
  <c r="CA116" i="78"/>
  <c r="CE34" i="78"/>
  <c r="CE67" i="78" s="1"/>
  <c r="CD34" i="78"/>
  <c r="CD68" i="78" s="1"/>
  <c r="CC34" i="78"/>
  <c r="CC50" i="78" s="1"/>
  <c r="CB34" i="78"/>
  <c r="CB61" i="78" s="1"/>
  <c r="CA34" i="78"/>
  <c r="CA46" i="78" s="1"/>
  <c r="BS140" i="78"/>
  <c r="BR140" i="78"/>
  <c r="BQ140" i="78"/>
  <c r="BP140" i="78"/>
  <c r="BS139" i="78"/>
  <c r="BR139" i="78"/>
  <c r="BQ139" i="78"/>
  <c r="BP139" i="78"/>
  <c r="BS138" i="78"/>
  <c r="BR138" i="78"/>
  <c r="BQ138" i="78"/>
  <c r="BP138" i="78"/>
  <c r="BS137" i="78"/>
  <c r="BR137" i="78"/>
  <c r="BQ137" i="78"/>
  <c r="BP137" i="78"/>
  <c r="BS136" i="78"/>
  <c r="BR136" i="78"/>
  <c r="BQ136" i="78"/>
  <c r="BP136" i="78"/>
  <c r="BS135" i="78"/>
  <c r="BR135" i="78"/>
  <c r="BQ135" i="78"/>
  <c r="BP135" i="78"/>
  <c r="BS134" i="78"/>
  <c r="BR134" i="78"/>
  <c r="BQ134" i="78"/>
  <c r="BP134" i="78"/>
  <c r="BS133" i="78"/>
  <c r="BR133" i="78"/>
  <c r="BQ133" i="78"/>
  <c r="BP133" i="78"/>
  <c r="BS132" i="78"/>
  <c r="BR132" i="78"/>
  <c r="BQ132" i="78"/>
  <c r="BP132" i="78"/>
  <c r="BS131" i="78"/>
  <c r="BR131" i="78"/>
  <c r="BQ131" i="78"/>
  <c r="BP131" i="78"/>
  <c r="BS130" i="78"/>
  <c r="BR130" i="78"/>
  <c r="BQ130" i="78"/>
  <c r="BP130" i="78"/>
  <c r="BS129" i="78"/>
  <c r="BR129" i="78"/>
  <c r="BQ129" i="78"/>
  <c r="BP129" i="78"/>
  <c r="BS128" i="78"/>
  <c r="BR128" i="78"/>
  <c r="BQ128" i="78"/>
  <c r="BP128" i="78"/>
  <c r="BS127" i="78"/>
  <c r="BR127" i="78"/>
  <c r="BQ127" i="78"/>
  <c r="BP127" i="78"/>
  <c r="BS126" i="78"/>
  <c r="BR126" i="78"/>
  <c r="BQ126" i="78"/>
  <c r="BP126" i="78"/>
  <c r="BS125" i="78"/>
  <c r="BR125" i="78"/>
  <c r="BQ125" i="78"/>
  <c r="BP125" i="78"/>
  <c r="BS124" i="78"/>
  <c r="BR124" i="78"/>
  <c r="BQ124" i="78"/>
  <c r="BP124" i="78"/>
  <c r="BS123" i="78"/>
  <c r="BR123" i="78"/>
  <c r="BQ123" i="78"/>
  <c r="BP123" i="78"/>
  <c r="BS122" i="78"/>
  <c r="BR122" i="78"/>
  <c r="BQ122" i="78"/>
  <c r="BP122" i="78"/>
  <c r="BS121" i="78"/>
  <c r="BR121" i="78"/>
  <c r="BQ121" i="78"/>
  <c r="BP121" i="78"/>
  <c r="BS120" i="78"/>
  <c r="BR120" i="78"/>
  <c r="BQ120" i="78"/>
  <c r="BP120" i="78"/>
  <c r="BS119" i="78"/>
  <c r="BR119" i="78"/>
  <c r="BQ119" i="78"/>
  <c r="BP119" i="78"/>
  <c r="BS118" i="78"/>
  <c r="BR118" i="78"/>
  <c r="BQ118" i="78"/>
  <c r="BP118" i="78"/>
  <c r="BS117" i="78"/>
  <c r="BR117" i="78"/>
  <c r="BQ117" i="78"/>
  <c r="BP117" i="78"/>
  <c r="BS116" i="78"/>
  <c r="BR116" i="78"/>
  <c r="BQ116" i="78"/>
  <c r="BP116" i="78"/>
  <c r="BT34" i="78"/>
  <c r="BT66" i="78" s="1"/>
  <c r="BS34" i="78"/>
  <c r="BS68" i="78" s="1"/>
  <c r="BR34" i="78"/>
  <c r="BR68" i="78" s="1"/>
  <c r="BQ34" i="78"/>
  <c r="BQ70" i="78" s="1"/>
  <c r="BP34" i="78"/>
  <c r="BP47" i="78" s="1"/>
  <c r="BH140" i="78"/>
  <c r="BG140" i="78"/>
  <c r="BF140" i="78"/>
  <c r="BE140" i="78"/>
  <c r="BH139" i="78"/>
  <c r="BG139" i="78"/>
  <c r="BF139" i="78"/>
  <c r="BE139" i="78"/>
  <c r="BH138" i="78"/>
  <c r="BG138" i="78"/>
  <c r="BF138" i="78"/>
  <c r="BE138" i="78"/>
  <c r="BH137" i="78"/>
  <c r="BG137" i="78"/>
  <c r="BF137" i="78"/>
  <c r="BE137" i="78"/>
  <c r="BH136" i="78"/>
  <c r="BG136" i="78"/>
  <c r="BF136" i="78"/>
  <c r="BE136" i="78"/>
  <c r="BH135" i="78"/>
  <c r="BG135" i="78"/>
  <c r="BF135" i="78"/>
  <c r="BE135" i="78"/>
  <c r="BH134" i="78"/>
  <c r="BG134" i="78"/>
  <c r="BF134" i="78"/>
  <c r="BE134" i="78"/>
  <c r="BH133" i="78"/>
  <c r="BG133" i="78"/>
  <c r="BF133" i="78"/>
  <c r="BE133" i="78"/>
  <c r="BH132" i="78"/>
  <c r="BG132" i="78"/>
  <c r="BF132" i="78"/>
  <c r="BE132" i="78"/>
  <c r="BH131" i="78"/>
  <c r="BG131" i="78"/>
  <c r="BF131" i="78"/>
  <c r="BE131" i="78"/>
  <c r="BH130" i="78"/>
  <c r="BG130" i="78"/>
  <c r="BF130" i="78"/>
  <c r="BE130" i="78"/>
  <c r="BH129" i="78"/>
  <c r="BG129" i="78"/>
  <c r="BF129" i="78"/>
  <c r="BE129" i="78"/>
  <c r="BH128" i="78"/>
  <c r="BG128" i="78"/>
  <c r="BF128" i="78"/>
  <c r="BE128" i="78"/>
  <c r="BH127" i="78"/>
  <c r="BG127" i="78"/>
  <c r="BF127" i="78"/>
  <c r="BE127" i="78"/>
  <c r="BH126" i="78"/>
  <c r="BG126" i="78"/>
  <c r="BF126" i="78"/>
  <c r="BE126" i="78"/>
  <c r="BH125" i="78"/>
  <c r="BG125" i="78"/>
  <c r="BF125" i="78"/>
  <c r="BE125" i="78"/>
  <c r="BH124" i="78"/>
  <c r="BG124" i="78"/>
  <c r="BF124" i="78"/>
  <c r="BE124" i="78"/>
  <c r="BH123" i="78"/>
  <c r="BG123" i="78"/>
  <c r="BF123" i="78"/>
  <c r="BE123" i="78"/>
  <c r="BH122" i="78"/>
  <c r="BG122" i="78"/>
  <c r="BF122" i="78"/>
  <c r="BE122" i="78"/>
  <c r="BH121" i="78"/>
  <c r="BG121" i="78"/>
  <c r="BF121" i="78"/>
  <c r="BE121" i="78"/>
  <c r="BH120" i="78"/>
  <c r="BG120" i="78"/>
  <c r="BF120" i="78"/>
  <c r="BE120" i="78"/>
  <c r="BH119" i="78"/>
  <c r="BG119" i="78"/>
  <c r="BF119" i="78"/>
  <c r="BE119" i="78"/>
  <c r="BH118" i="78"/>
  <c r="BG118" i="78"/>
  <c r="BF118" i="78"/>
  <c r="BE118" i="78"/>
  <c r="BH117" i="78"/>
  <c r="BG117" i="78"/>
  <c r="BF117" i="78"/>
  <c r="BE117" i="78"/>
  <c r="BH116" i="78"/>
  <c r="BG116" i="78"/>
  <c r="BF116" i="78"/>
  <c r="BE116" i="78"/>
  <c r="BI34" i="78"/>
  <c r="BI66" i="78" s="1"/>
  <c r="BH34" i="78"/>
  <c r="BH67" i="78" s="1"/>
  <c r="BG34" i="78"/>
  <c r="BG62" i="78" s="1"/>
  <c r="BF34" i="78"/>
  <c r="BF68" i="78" s="1"/>
  <c r="BE34" i="78"/>
  <c r="BE62" i="78" s="1"/>
  <c r="AW140" i="78"/>
  <c r="AV140" i="78"/>
  <c r="AU140" i="78"/>
  <c r="AT140" i="78"/>
  <c r="AW139" i="78"/>
  <c r="AV139" i="78"/>
  <c r="AU139" i="78"/>
  <c r="AT139" i="78"/>
  <c r="AW138" i="78"/>
  <c r="AV138" i="78"/>
  <c r="AU138" i="78"/>
  <c r="AT138" i="78"/>
  <c r="AW137" i="78"/>
  <c r="AV137" i="78"/>
  <c r="AU137" i="78"/>
  <c r="AT137" i="78"/>
  <c r="AW136" i="78"/>
  <c r="AV136" i="78"/>
  <c r="AU136" i="78"/>
  <c r="AT136" i="78"/>
  <c r="AW135" i="78"/>
  <c r="AV135" i="78"/>
  <c r="AU135" i="78"/>
  <c r="AT135" i="78"/>
  <c r="AW134" i="78"/>
  <c r="AV134" i="78"/>
  <c r="AU134" i="78"/>
  <c r="AT134" i="78"/>
  <c r="AW133" i="78"/>
  <c r="AV133" i="78"/>
  <c r="AU133" i="78"/>
  <c r="AT133" i="78"/>
  <c r="AW132" i="78"/>
  <c r="AV132" i="78"/>
  <c r="AU132" i="78"/>
  <c r="AT132" i="78"/>
  <c r="AW131" i="78"/>
  <c r="AV131" i="78"/>
  <c r="AU131" i="78"/>
  <c r="AT131" i="78"/>
  <c r="AW130" i="78"/>
  <c r="AV130" i="78"/>
  <c r="AU130" i="78"/>
  <c r="AT130" i="78"/>
  <c r="AW129" i="78"/>
  <c r="AV129" i="78"/>
  <c r="AU129" i="78"/>
  <c r="AT129" i="78"/>
  <c r="AW128" i="78"/>
  <c r="AV128" i="78"/>
  <c r="AU128" i="78"/>
  <c r="AT128" i="78"/>
  <c r="AW127" i="78"/>
  <c r="AV127" i="78"/>
  <c r="AU127" i="78"/>
  <c r="AT127" i="78"/>
  <c r="AW126" i="78"/>
  <c r="AV126" i="78"/>
  <c r="AU126" i="78"/>
  <c r="AT126" i="78"/>
  <c r="AW125" i="78"/>
  <c r="AV125" i="78"/>
  <c r="AU125" i="78"/>
  <c r="AT125" i="78"/>
  <c r="AW124" i="78"/>
  <c r="AV124" i="78"/>
  <c r="AU124" i="78"/>
  <c r="AT124" i="78"/>
  <c r="AW123" i="78"/>
  <c r="AV123" i="78"/>
  <c r="AU123" i="78"/>
  <c r="AT123" i="78"/>
  <c r="AW122" i="78"/>
  <c r="AV122" i="78"/>
  <c r="AU122" i="78"/>
  <c r="AT122" i="78"/>
  <c r="AW121" i="78"/>
  <c r="AV121" i="78"/>
  <c r="AU121" i="78"/>
  <c r="AT121" i="78"/>
  <c r="AW120" i="78"/>
  <c r="AV120" i="78"/>
  <c r="AU120" i="78"/>
  <c r="AT120" i="78"/>
  <c r="AW119" i="78"/>
  <c r="AV119" i="78"/>
  <c r="AU119" i="78"/>
  <c r="AT119" i="78"/>
  <c r="AW118" i="78"/>
  <c r="AV118" i="78"/>
  <c r="AU118" i="78"/>
  <c r="AT118" i="78"/>
  <c r="AW117" i="78"/>
  <c r="AV117" i="78"/>
  <c r="AU117" i="78"/>
  <c r="AT117" i="78"/>
  <c r="AW116" i="78"/>
  <c r="AV116" i="78"/>
  <c r="AU116" i="78"/>
  <c r="AT116" i="78"/>
  <c r="AX34" i="78"/>
  <c r="AW34" i="78"/>
  <c r="AW62" i="78" s="1"/>
  <c r="AV34" i="78"/>
  <c r="AV44" i="78" s="1"/>
  <c r="AU34" i="78"/>
  <c r="AU70" i="78" s="1"/>
  <c r="AT34" i="78"/>
  <c r="AT61" i="78" s="1"/>
  <c r="AL140" i="78"/>
  <c r="AK140" i="78"/>
  <c r="AJ140" i="78"/>
  <c r="AI140" i="78"/>
  <c r="AL139" i="78"/>
  <c r="AK139" i="78"/>
  <c r="AJ139" i="78"/>
  <c r="AI139" i="78"/>
  <c r="AL138" i="78"/>
  <c r="AK138" i="78"/>
  <c r="AJ138" i="78"/>
  <c r="AI138" i="78"/>
  <c r="AL137" i="78"/>
  <c r="AK137" i="78"/>
  <c r="AJ137" i="78"/>
  <c r="AI137" i="78"/>
  <c r="AL136" i="78"/>
  <c r="AK136" i="78"/>
  <c r="AJ136" i="78"/>
  <c r="AI136" i="78"/>
  <c r="AL135" i="78"/>
  <c r="AK135" i="78"/>
  <c r="AJ135" i="78"/>
  <c r="AI135" i="78"/>
  <c r="AL134" i="78"/>
  <c r="AK134" i="78"/>
  <c r="AJ134" i="78"/>
  <c r="AI134" i="78"/>
  <c r="AL133" i="78"/>
  <c r="AK133" i="78"/>
  <c r="AJ133" i="78"/>
  <c r="AI133" i="78"/>
  <c r="AL132" i="78"/>
  <c r="AK132" i="78"/>
  <c r="AJ132" i="78"/>
  <c r="AI132" i="78"/>
  <c r="AL131" i="78"/>
  <c r="AK131" i="78"/>
  <c r="AJ131" i="78"/>
  <c r="AI131" i="78"/>
  <c r="AL130" i="78"/>
  <c r="AK130" i="78"/>
  <c r="AJ130" i="78"/>
  <c r="AI130" i="78"/>
  <c r="AL129" i="78"/>
  <c r="AK129" i="78"/>
  <c r="AJ129" i="78"/>
  <c r="AI129" i="78"/>
  <c r="AL128" i="78"/>
  <c r="AK128" i="78"/>
  <c r="AJ128" i="78"/>
  <c r="AI128" i="78"/>
  <c r="AL127" i="78"/>
  <c r="AK127" i="78"/>
  <c r="AJ127" i="78"/>
  <c r="AI127" i="78"/>
  <c r="AL126" i="78"/>
  <c r="AK126" i="78"/>
  <c r="AJ126" i="78"/>
  <c r="AI126" i="78"/>
  <c r="AL125" i="78"/>
  <c r="AK125" i="78"/>
  <c r="AJ125" i="78"/>
  <c r="AI125" i="78"/>
  <c r="AL124" i="78"/>
  <c r="AK124" i="78"/>
  <c r="AJ124" i="78"/>
  <c r="AI124" i="78"/>
  <c r="AL123" i="78"/>
  <c r="AK123" i="78"/>
  <c r="AJ123" i="78"/>
  <c r="AI123" i="78"/>
  <c r="AL122" i="78"/>
  <c r="AK122" i="78"/>
  <c r="AJ122" i="78"/>
  <c r="AI122" i="78"/>
  <c r="AL121" i="78"/>
  <c r="AK121" i="78"/>
  <c r="AJ121" i="78"/>
  <c r="AI121" i="78"/>
  <c r="AL120" i="78"/>
  <c r="AK120" i="78"/>
  <c r="AJ120" i="78"/>
  <c r="AI120" i="78"/>
  <c r="AL119" i="78"/>
  <c r="AK119" i="78"/>
  <c r="AJ119" i="78"/>
  <c r="AI119" i="78"/>
  <c r="AL118" i="78"/>
  <c r="AK118" i="78"/>
  <c r="AJ118" i="78"/>
  <c r="AI118" i="78"/>
  <c r="AL117" i="78"/>
  <c r="AK117" i="78"/>
  <c r="AJ117" i="78"/>
  <c r="AI117" i="78"/>
  <c r="AL116" i="78"/>
  <c r="AK116" i="78"/>
  <c r="AJ116" i="78"/>
  <c r="AI116" i="78"/>
  <c r="AM34" i="78"/>
  <c r="AM58" i="78" s="1"/>
  <c r="AL34" i="78"/>
  <c r="AL70" i="78" s="1"/>
  <c r="AK34" i="78"/>
  <c r="AK55" i="78" s="1"/>
  <c r="AJ34" i="78"/>
  <c r="AJ51" i="78" s="1"/>
  <c r="AI34" i="78"/>
  <c r="AI65" i="78" s="1"/>
  <c r="BR44" i="78" l="1"/>
  <c r="CP67" i="78"/>
  <c r="CP53" i="78"/>
  <c r="CP44" i="78"/>
  <c r="CP50" i="78"/>
  <c r="BT50" i="78"/>
  <c r="CB47" i="78"/>
  <c r="CD56" i="78"/>
  <c r="AW66" i="78"/>
  <c r="CP70" i="78"/>
  <c r="BR53" i="78"/>
  <c r="BT60" i="78"/>
  <c r="CD64" i="78"/>
  <c r="CP58" i="78"/>
  <c r="CP61" i="78"/>
  <c r="AM64" i="78"/>
  <c r="CB45" i="78"/>
  <c r="CD51" i="78"/>
  <c r="CO46" i="78"/>
  <c r="BI44" i="78"/>
  <c r="BT53" i="78"/>
  <c r="BS60" i="78"/>
  <c r="AU49" i="78"/>
  <c r="AW63" i="78"/>
  <c r="BS51" i="78"/>
  <c r="BS61" i="78"/>
  <c r="CD48" i="78"/>
  <c r="CO59" i="78"/>
  <c r="AW49" i="78"/>
  <c r="BT51" i="78"/>
  <c r="BT68" i="78"/>
  <c r="CB55" i="78"/>
  <c r="CO54" i="78"/>
  <c r="CP59" i="78"/>
  <c r="BT44" i="78"/>
  <c r="CN63" i="78"/>
  <c r="AM52" i="78"/>
  <c r="BR62" i="78"/>
  <c r="BT70" i="78"/>
  <c r="CN44" i="78"/>
  <c r="CE50" i="78"/>
  <c r="CE59" i="78"/>
  <c r="AI47" i="78"/>
  <c r="BH47" i="78"/>
  <c r="BH53" i="78"/>
  <c r="BI63" i="78"/>
  <c r="CE47" i="78"/>
  <c r="AJ47" i="78"/>
  <c r="AU46" i="78"/>
  <c r="AW56" i="78"/>
  <c r="AW67" i="78"/>
  <c r="BI53" i="78"/>
  <c r="BI58" i="78"/>
  <c r="CE44" i="78"/>
  <c r="CA65" i="78"/>
  <c r="BI54" i="78"/>
  <c r="AW64" i="78"/>
  <c r="BH45" i="78"/>
  <c r="BI50" i="78"/>
  <c r="BE66" i="78"/>
  <c r="CA49" i="78"/>
  <c r="CB53" i="78"/>
  <c r="CB62" i="78"/>
  <c r="CA67" i="78"/>
  <c r="CP52" i="78"/>
  <c r="CN55" i="78"/>
  <c r="AW51" i="78"/>
  <c r="CA62" i="78"/>
  <c r="CM55" i="78"/>
  <c r="AJ56" i="78"/>
  <c r="AW48" i="78"/>
  <c r="AW59" i="78"/>
  <c r="BI45" i="78"/>
  <c r="BI55" i="78"/>
  <c r="BT52" i="78"/>
  <c r="BT61" i="78"/>
  <c r="BS67" i="78"/>
  <c r="CB46" i="78"/>
  <c r="CE53" i="78"/>
  <c r="AV46" i="78"/>
  <c r="AM61" i="78"/>
  <c r="AW70" i="78"/>
  <c r="AI68" i="78"/>
  <c r="AM51" i="78"/>
  <c r="AM70" i="78"/>
  <c r="AW44" i="78"/>
  <c r="BT58" i="78"/>
  <c r="BT67" i="78"/>
  <c r="CD59" i="78"/>
  <c r="CM53" i="78"/>
  <c r="CO61" i="78"/>
  <c r="AK64" i="78"/>
  <c r="BF58" i="78"/>
  <c r="AL49" i="78"/>
  <c r="AK48" i="78"/>
  <c r="AI64" i="78"/>
  <c r="AU44" i="78"/>
  <c r="AU53" i="78"/>
  <c r="AU55" i="78"/>
  <c r="AU61" i="78"/>
  <c r="BF49" i="78"/>
  <c r="BF57" i="78"/>
  <c r="BF61" i="78"/>
  <c r="BF63" i="78"/>
  <c r="CE142" i="78"/>
  <c r="CG34" i="78"/>
  <c r="CI34" i="78" s="1"/>
  <c r="CI70" i="78" s="1"/>
  <c r="CI106" i="78" s="1"/>
  <c r="CE52" i="78"/>
  <c r="CE58" i="78"/>
  <c r="CE61" i="78"/>
  <c r="CM46" i="78"/>
  <c r="CM48" i="78"/>
  <c r="CL63" i="78"/>
  <c r="CN70" i="78"/>
  <c r="AM48" i="78"/>
  <c r="AL55" i="78"/>
  <c r="AL61" i="78"/>
  <c r="AJ64" i="78"/>
  <c r="AL67" i="78"/>
  <c r="AT46" i="78"/>
  <c r="AT51" i="78"/>
  <c r="AW53" i="78"/>
  <c r="AW55" i="78"/>
  <c r="AT59" i="78"/>
  <c r="AW61" i="78"/>
  <c r="BE142" i="78"/>
  <c r="BF47" i="78"/>
  <c r="BG49" i="78"/>
  <c r="BH61" i="78"/>
  <c r="BH63" i="78"/>
  <c r="BF66" i="78"/>
  <c r="BS44" i="78"/>
  <c r="BS46" i="78"/>
  <c r="BS53" i="78"/>
  <c r="BS62" i="78"/>
  <c r="BS70" i="78"/>
  <c r="CE55" i="78"/>
  <c r="CE64" i="78"/>
  <c r="CB67" i="78"/>
  <c r="CM61" i="78"/>
  <c r="CM63" i="78"/>
  <c r="CO70" i="78"/>
  <c r="AK52" i="78"/>
  <c r="AP106" i="78"/>
  <c r="AP70" i="78"/>
  <c r="BF53" i="78"/>
  <c r="AT54" i="78"/>
  <c r="CM45" i="78"/>
  <c r="AO34" i="78"/>
  <c r="AQ34" i="78" s="1"/>
  <c r="AQ70" i="78" s="1"/>
  <c r="AQ106" i="78" s="1"/>
  <c r="AM142" i="78"/>
  <c r="AL62" i="78"/>
  <c r="BA106" i="78"/>
  <c r="BA70" i="78"/>
  <c r="AU52" i="78"/>
  <c r="AU68" i="78"/>
  <c r="BQ45" i="78"/>
  <c r="BP48" i="78"/>
  <c r="BQ54" i="78"/>
  <c r="BR63" i="78"/>
  <c r="CA68" i="78"/>
  <c r="CN62" i="78"/>
  <c r="CS106" i="78"/>
  <c r="CS70" i="78"/>
  <c r="CM47" i="78"/>
  <c r="CN68" i="78"/>
  <c r="AM62" i="78"/>
  <c r="AU45" i="78"/>
  <c r="AU47" i="78"/>
  <c r="AT50" i="78"/>
  <c r="AW52" i="78"/>
  <c r="AV54" i="78"/>
  <c r="AW57" i="78"/>
  <c r="AW60" i="78"/>
  <c r="AW65" i="78"/>
  <c r="AW68" i="78"/>
  <c r="BI61" i="78"/>
  <c r="BI142" i="78"/>
  <c r="BK34" i="78"/>
  <c r="BM34" i="78" s="1"/>
  <c r="BM70" i="78" s="1"/>
  <c r="BM106" i="78" s="1"/>
  <c r="BH48" i="78"/>
  <c r="BF56" i="78"/>
  <c r="BF59" i="78"/>
  <c r="BH62" i="78"/>
  <c r="BF70" i="78"/>
  <c r="BR45" i="78"/>
  <c r="BQ48" i="78"/>
  <c r="BR54" i="78"/>
  <c r="BS59" i="78"/>
  <c r="CE45" i="78"/>
  <c r="CA54" i="78"/>
  <c r="CE60" i="78"/>
  <c r="CB63" i="78"/>
  <c r="CB66" i="78"/>
  <c r="CE68" i="78"/>
  <c r="CO45" i="78"/>
  <c r="CN47" i="78"/>
  <c r="CO51" i="78"/>
  <c r="CL54" i="78"/>
  <c r="CN60" i="78"/>
  <c r="CL62" i="78"/>
  <c r="CO68" i="78"/>
  <c r="AT64" i="78"/>
  <c r="AL59" i="78"/>
  <c r="BG68" i="78"/>
  <c r="BL70" i="78"/>
  <c r="BL106" i="78"/>
  <c r="AK56" i="78"/>
  <c r="AU62" i="78"/>
  <c r="BF48" i="78"/>
  <c r="BF64" i="78"/>
  <c r="AL47" i="78"/>
  <c r="AM56" i="78"/>
  <c r="AL65" i="78"/>
  <c r="AX52" i="78"/>
  <c r="AX142" i="78"/>
  <c r="AZ34" i="78"/>
  <c r="BB34" i="78" s="1"/>
  <c r="BB70" i="78" s="1"/>
  <c r="BB106" i="78" s="1"/>
  <c r="AV45" i="78"/>
  <c r="AW47" i="78"/>
  <c r="AU50" i="78"/>
  <c r="AT63" i="78"/>
  <c r="AT70" i="78"/>
  <c r="BH46" i="78"/>
  <c r="BF51" i="78"/>
  <c r="BG54" i="78"/>
  <c r="BH56" i="78"/>
  <c r="BI62" i="78"/>
  <c r="BF65" i="78"/>
  <c r="BH70" i="78"/>
  <c r="BV34" i="78"/>
  <c r="BX34" i="78" s="1"/>
  <c r="BX70" i="78" s="1"/>
  <c r="BX106" i="78" s="1"/>
  <c r="BT142" i="78"/>
  <c r="BS45" i="78"/>
  <c r="BS54" i="78"/>
  <c r="BT59" i="78"/>
  <c r="BP62" i="78"/>
  <c r="CC68" i="78"/>
  <c r="CH106" i="78"/>
  <c r="CH70" i="78"/>
  <c r="CE48" i="78"/>
  <c r="CE51" i="78"/>
  <c r="CB54" i="78"/>
  <c r="CA57" i="78"/>
  <c r="CE63" i="78"/>
  <c r="CE66" i="78"/>
  <c r="CP142" i="78"/>
  <c r="CR34" i="78"/>
  <c r="CP45" i="78"/>
  <c r="CP51" i="78"/>
  <c r="CM54" i="78"/>
  <c r="CL57" i="78"/>
  <c r="CO60" i="78"/>
  <c r="CM62" i="78"/>
  <c r="CL65" i="78"/>
  <c r="CP68" i="78"/>
  <c r="BF45" i="78"/>
  <c r="BF55" i="78"/>
  <c r="AT62" i="78"/>
  <c r="BF50" i="78"/>
  <c r="BQ63" i="78"/>
  <c r="AK47" i="78"/>
  <c r="AK68" i="78"/>
  <c r="AT45" i="78"/>
  <c r="AU54" i="78"/>
  <c r="AU60" i="78"/>
  <c r="BW70" i="78"/>
  <c r="BW106" i="78"/>
  <c r="CE56" i="78"/>
  <c r="CN45" i="78"/>
  <c r="CM64" i="78"/>
  <c r="AK50" i="78"/>
  <c r="AI60" i="78"/>
  <c r="AM68" i="78"/>
  <c r="AM44" i="78"/>
  <c r="AM50" i="78"/>
  <c r="AI55" i="78"/>
  <c r="AK60" i="78"/>
  <c r="AJ48" i="78"/>
  <c r="AJ55" i="78"/>
  <c r="AL57" i="78"/>
  <c r="AM60" i="78"/>
  <c r="AM66" i="78"/>
  <c r="AW45" i="78"/>
  <c r="AW50" i="78"/>
  <c r="AT53" i="78"/>
  <c r="AT55" i="78"/>
  <c r="AW58" i="78"/>
  <c r="AU63" i="78"/>
  <c r="AU66" i="78"/>
  <c r="BG44" i="78"/>
  <c r="BI46" i="78"/>
  <c r="BE49" i="78"/>
  <c r="BH51" i="78"/>
  <c r="BH54" i="78"/>
  <c r="BI70" i="78"/>
  <c r="BT45" i="78"/>
  <c r="BQ53" i="78"/>
  <c r="BQ62" i="78"/>
  <c r="BP65" i="78"/>
  <c r="CE70" i="78"/>
  <c r="CL48" i="78"/>
  <c r="CN54" i="78"/>
  <c r="CP60" i="78"/>
  <c r="CL56" i="78"/>
  <c r="CM68" i="78"/>
  <c r="CM60" i="78"/>
  <c r="CM52" i="78"/>
  <c r="CM44" i="78"/>
  <c r="CM57" i="78"/>
  <c r="CM49" i="78"/>
  <c r="CM67" i="78"/>
  <c r="CM59" i="78"/>
  <c r="CM51" i="78"/>
  <c r="CL142" i="78"/>
  <c r="CM66" i="78"/>
  <c r="CM58" i="78"/>
  <c r="CM50" i="78"/>
  <c r="CM65" i="78"/>
  <c r="CO44" i="78"/>
  <c r="CN53" i="78"/>
  <c r="CM56" i="78"/>
  <c r="CO67" i="78"/>
  <c r="CL70" i="78"/>
  <c r="CL61" i="78"/>
  <c r="CL53" i="78"/>
  <c r="CL45" i="78"/>
  <c r="CL58" i="78"/>
  <c r="CL50" i="78"/>
  <c r="CL68" i="78"/>
  <c r="CL60" i="78"/>
  <c r="CL52" i="78"/>
  <c r="CL44" i="78"/>
  <c r="CL67" i="78"/>
  <c r="CL59" i="78"/>
  <c r="CL51" i="78"/>
  <c r="CL66" i="78"/>
  <c r="CN67" i="78"/>
  <c r="CN59" i="78"/>
  <c r="CN51" i="78"/>
  <c r="CN56" i="78"/>
  <c r="CN48" i="78"/>
  <c r="CN66" i="78"/>
  <c r="CN58" i="78"/>
  <c r="CN50" i="78"/>
  <c r="CN65" i="78"/>
  <c r="CN57" i="78"/>
  <c r="CN49" i="78"/>
  <c r="CM142" i="78"/>
  <c r="CN64" i="78"/>
  <c r="CN52" i="78"/>
  <c r="CO53" i="78"/>
  <c r="CL64" i="78"/>
  <c r="CO66" i="78"/>
  <c r="CO58" i="78"/>
  <c r="CO50" i="78"/>
  <c r="CO55" i="78"/>
  <c r="CO47" i="78"/>
  <c r="CO65" i="78"/>
  <c r="CO57" i="78"/>
  <c r="CO49" i="78"/>
  <c r="CN142" i="78"/>
  <c r="CO64" i="78"/>
  <c r="CO56" i="78"/>
  <c r="CO48" i="78"/>
  <c r="CO63" i="78"/>
  <c r="CL46" i="78"/>
  <c r="CL49" i="78"/>
  <c r="CO52" i="78"/>
  <c r="CL55" i="78"/>
  <c r="CN61" i="78"/>
  <c r="CP47" i="78"/>
  <c r="CP55" i="78"/>
  <c r="CP63" i="78"/>
  <c r="CP48" i="78"/>
  <c r="CP56" i="78"/>
  <c r="CP64" i="78"/>
  <c r="CO142" i="78"/>
  <c r="CP46" i="78"/>
  <c r="CP54" i="78"/>
  <c r="CP62" i="78"/>
  <c r="CP49" i="78"/>
  <c r="CP57" i="78"/>
  <c r="CP65" i="78"/>
  <c r="CC58" i="78"/>
  <c r="CC70" i="78"/>
  <c r="CA70" i="78"/>
  <c r="CA61" i="78"/>
  <c r="CA53" i="78"/>
  <c r="CA45" i="78"/>
  <c r="CA66" i="78"/>
  <c r="CA58" i="78"/>
  <c r="CA50" i="78"/>
  <c r="CA48" i="78"/>
  <c r="CC49" i="78"/>
  <c r="CA56" i="78"/>
  <c r="CC57" i="78"/>
  <c r="CA64" i="78"/>
  <c r="CC65" i="78"/>
  <c r="CB68" i="78"/>
  <c r="CB60" i="78"/>
  <c r="CB52" i="78"/>
  <c r="CB44" i="78"/>
  <c r="CB65" i="78"/>
  <c r="CB57" i="78"/>
  <c r="CB49" i="78"/>
  <c r="CA142" i="78"/>
  <c r="CA47" i="78"/>
  <c r="CB48" i="78"/>
  <c r="CD49" i="78"/>
  <c r="CA55" i="78"/>
  <c r="CB56" i="78"/>
  <c r="CD57" i="78"/>
  <c r="CA63" i="78"/>
  <c r="CB64" i="78"/>
  <c r="CD65" i="78"/>
  <c r="CC67" i="78"/>
  <c r="CC59" i="78"/>
  <c r="CC51" i="78"/>
  <c r="CB142" i="78"/>
  <c r="CC64" i="78"/>
  <c r="CC56" i="78"/>
  <c r="CC48" i="78"/>
  <c r="CD66" i="78"/>
  <c r="CD58" i="78"/>
  <c r="CD50" i="78"/>
  <c r="CD142" i="78"/>
  <c r="CD63" i="78"/>
  <c r="CD55" i="78"/>
  <c r="CD47" i="78"/>
  <c r="CD70" i="78"/>
  <c r="CC47" i="78"/>
  <c r="CC55" i="78"/>
  <c r="CC63" i="78"/>
  <c r="CA44" i="78"/>
  <c r="CC45" i="78"/>
  <c r="CC46" i="78"/>
  <c r="CA52" i="78"/>
  <c r="CC53" i="78"/>
  <c r="CA60" i="78"/>
  <c r="CC61" i="78"/>
  <c r="CC62" i="78"/>
  <c r="CD67" i="78"/>
  <c r="CC44" i="78"/>
  <c r="CD45" i="78"/>
  <c r="CD46" i="78"/>
  <c r="CA51" i="78"/>
  <c r="CC52" i="78"/>
  <c r="CD53" i="78"/>
  <c r="CD54" i="78"/>
  <c r="CA59" i="78"/>
  <c r="CC60" i="78"/>
  <c r="CD61" i="78"/>
  <c r="CD62" i="78"/>
  <c r="CC54" i="78"/>
  <c r="CD44" i="78"/>
  <c r="CB50" i="78"/>
  <c r="CB51" i="78"/>
  <c r="CD52" i="78"/>
  <c r="CB58" i="78"/>
  <c r="CB59" i="78"/>
  <c r="CD60" i="78"/>
  <c r="CC66" i="78"/>
  <c r="CB70" i="78"/>
  <c r="CC142" i="78"/>
  <c r="CE46" i="78"/>
  <c r="CE54" i="78"/>
  <c r="CE62" i="78"/>
  <c r="CE49" i="78"/>
  <c r="CE57" i="78"/>
  <c r="CE65" i="78"/>
  <c r="BP56" i="78"/>
  <c r="BR67" i="78"/>
  <c r="BR59" i="78"/>
  <c r="BR51" i="78"/>
  <c r="BR66" i="78"/>
  <c r="BR58" i="78"/>
  <c r="BR50" i="78"/>
  <c r="BR48" i="78"/>
  <c r="BR65" i="78"/>
  <c r="BR57" i="78"/>
  <c r="BR49" i="78"/>
  <c r="BQ142" i="78"/>
  <c r="BR64" i="78"/>
  <c r="BR56" i="78"/>
  <c r="BQ47" i="78"/>
  <c r="BR52" i="78"/>
  <c r="BQ61" i="78"/>
  <c r="BP64" i="78"/>
  <c r="BS66" i="78"/>
  <c r="BS58" i="78"/>
  <c r="BS50" i="78"/>
  <c r="BS65" i="78"/>
  <c r="BS57" i="78"/>
  <c r="BS49" i="78"/>
  <c r="BS55" i="78"/>
  <c r="BS47" i="78"/>
  <c r="BR142" i="78"/>
  <c r="BS64" i="78"/>
  <c r="BS56" i="78"/>
  <c r="BS48" i="78"/>
  <c r="BS63" i="78"/>
  <c r="BP46" i="78"/>
  <c r="BR47" i="78"/>
  <c r="BP49" i="78"/>
  <c r="BS52" i="78"/>
  <c r="BP55" i="78"/>
  <c r="BR61" i="78"/>
  <c r="BQ64" i="78"/>
  <c r="BQ68" i="78"/>
  <c r="BQ60" i="78"/>
  <c r="BQ52" i="78"/>
  <c r="BQ44" i="78"/>
  <c r="BQ67" i="78"/>
  <c r="BQ59" i="78"/>
  <c r="BQ51" i="78"/>
  <c r="BQ49" i="78"/>
  <c r="BQ66" i="78"/>
  <c r="BQ58" i="78"/>
  <c r="BQ50" i="78"/>
  <c r="BQ65" i="78"/>
  <c r="BQ57" i="78"/>
  <c r="BP142" i="78"/>
  <c r="BQ56" i="78"/>
  <c r="BQ46" i="78"/>
  <c r="BQ55" i="78"/>
  <c r="BR60" i="78"/>
  <c r="BR70" i="78"/>
  <c r="BP70" i="78"/>
  <c r="BP61" i="78"/>
  <c r="BP53" i="78"/>
  <c r="BP45" i="78"/>
  <c r="BP68" i="78"/>
  <c r="BP60" i="78"/>
  <c r="BP52" i="78"/>
  <c r="BP44" i="78"/>
  <c r="BP50" i="78"/>
  <c r="BP67" i="78"/>
  <c r="BP59" i="78"/>
  <c r="BP51" i="78"/>
  <c r="BP66" i="78"/>
  <c r="BP58" i="78"/>
  <c r="BR46" i="78"/>
  <c r="BP54" i="78"/>
  <c r="BR55" i="78"/>
  <c r="BP57" i="78"/>
  <c r="BP63" i="78"/>
  <c r="BT54" i="78"/>
  <c r="BT62" i="78"/>
  <c r="BT47" i="78"/>
  <c r="BT55" i="78"/>
  <c r="BT63" i="78"/>
  <c r="BT46" i="78"/>
  <c r="BT48" i="78"/>
  <c r="BT56" i="78"/>
  <c r="BT64" i="78"/>
  <c r="BS142" i="78"/>
  <c r="BT49" i="78"/>
  <c r="BT57" i="78"/>
  <c r="BT65" i="78"/>
  <c r="BE57" i="78"/>
  <c r="BE46" i="78"/>
  <c r="BE50" i="78"/>
  <c r="BG55" i="78"/>
  <c r="BG64" i="78"/>
  <c r="BE67" i="78"/>
  <c r="BG46" i="78"/>
  <c r="BI47" i="78"/>
  <c r="BE54" i="78"/>
  <c r="BH55" i="78"/>
  <c r="BE58" i="78"/>
  <c r="BH59" i="78"/>
  <c r="BG63" i="78"/>
  <c r="BH64" i="78"/>
  <c r="BE65" i="78"/>
  <c r="BG52" i="78"/>
  <c r="BH66" i="78"/>
  <c r="BH58" i="78"/>
  <c r="BH50" i="78"/>
  <c r="BH65" i="78"/>
  <c r="BH57" i="78"/>
  <c r="BH49" i="78"/>
  <c r="BG142" i="78"/>
  <c r="BH68" i="78"/>
  <c r="BH60" i="78"/>
  <c r="BH52" i="78"/>
  <c r="BH44" i="78"/>
  <c r="BG48" i="78"/>
  <c r="BE51" i="78"/>
  <c r="BI52" i="78"/>
  <c r="BG60" i="78"/>
  <c r="BE64" i="78"/>
  <c r="BG65" i="78"/>
  <c r="BE70" i="78"/>
  <c r="BE61" i="78"/>
  <c r="BE53" i="78"/>
  <c r="BE45" i="78"/>
  <c r="BE68" i="78"/>
  <c r="BE60" i="78"/>
  <c r="BE52" i="78"/>
  <c r="BE44" i="78"/>
  <c r="BE63" i="78"/>
  <c r="BE55" i="78"/>
  <c r="BE47" i="78"/>
  <c r="BE48" i="78"/>
  <c r="BG67" i="78"/>
  <c r="BG59" i="78"/>
  <c r="BG51" i="78"/>
  <c r="BG66" i="78"/>
  <c r="BG58" i="78"/>
  <c r="BG50" i="78"/>
  <c r="BG70" i="78"/>
  <c r="BG61" i="78"/>
  <c r="BG53" i="78"/>
  <c r="BG45" i="78"/>
  <c r="BE56" i="78"/>
  <c r="BG57" i="78"/>
  <c r="BI65" i="78"/>
  <c r="BI57" i="78"/>
  <c r="BI49" i="78"/>
  <c r="BH142" i="78"/>
  <c r="BI64" i="78"/>
  <c r="BI56" i="78"/>
  <c r="BI48" i="78"/>
  <c r="BI67" i="78"/>
  <c r="BI59" i="78"/>
  <c r="BI51" i="78"/>
  <c r="BG47" i="78"/>
  <c r="BG56" i="78"/>
  <c r="BE59" i="78"/>
  <c r="BI60" i="78"/>
  <c r="BI68" i="78"/>
  <c r="BF142" i="78"/>
  <c r="BF46" i="78"/>
  <c r="BF54" i="78"/>
  <c r="BF62" i="78"/>
  <c r="BF67" i="78"/>
  <c r="BF44" i="78"/>
  <c r="BF52" i="78"/>
  <c r="BF60" i="78"/>
  <c r="AX65" i="78"/>
  <c r="AX66" i="78"/>
  <c r="AV66" i="78"/>
  <c r="AV58" i="78"/>
  <c r="AV50" i="78"/>
  <c r="AV142" i="78"/>
  <c r="AV63" i="78"/>
  <c r="AV55" i="78"/>
  <c r="AV47" i="78"/>
  <c r="AX49" i="78"/>
  <c r="AX50" i="78"/>
  <c r="AV56" i="78"/>
  <c r="AX59" i="78"/>
  <c r="AV65" i="78"/>
  <c r="AX57" i="78"/>
  <c r="AX58" i="78"/>
  <c r="AV64" i="78"/>
  <c r="AX67" i="78"/>
  <c r="AX47" i="78"/>
  <c r="AV53" i="78"/>
  <c r="AV62" i="78"/>
  <c r="AV70" i="78"/>
  <c r="AV51" i="78"/>
  <c r="AV61" i="78"/>
  <c r="AT68" i="78"/>
  <c r="AT60" i="78"/>
  <c r="AT52" i="78"/>
  <c r="AT44" i="78"/>
  <c r="AT65" i="78"/>
  <c r="AT57" i="78"/>
  <c r="AT49" i="78"/>
  <c r="AT48" i="78"/>
  <c r="AV49" i="78"/>
  <c r="AU57" i="78"/>
  <c r="AT58" i="78"/>
  <c r="AV59" i="78"/>
  <c r="AT67" i="78"/>
  <c r="AV68" i="78"/>
  <c r="AW142" i="78"/>
  <c r="AX64" i="78"/>
  <c r="AX56" i="78"/>
  <c r="AX48" i="78"/>
  <c r="AX70" i="78"/>
  <c r="AX61" i="78"/>
  <c r="AX53" i="78"/>
  <c r="AX45" i="78"/>
  <c r="AX68" i="78"/>
  <c r="AX46" i="78"/>
  <c r="AX55" i="78"/>
  <c r="AV52" i="78"/>
  <c r="AX54" i="78"/>
  <c r="AX63" i="78"/>
  <c r="AX44" i="78"/>
  <c r="AV60" i="78"/>
  <c r="AX62" i="78"/>
  <c r="AU67" i="78"/>
  <c r="AU59" i="78"/>
  <c r="AU51" i="78"/>
  <c r="AT142" i="78"/>
  <c r="AU64" i="78"/>
  <c r="AU56" i="78"/>
  <c r="AU48" i="78"/>
  <c r="AT47" i="78"/>
  <c r="AV48" i="78"/>
  <c r="AX51" i="78"/>
  <c r="AT56" i="78"/>
  <c r="AV57" i="78"/>
  <c r="AU58" i="78"/>
  <c r="AX60" i="78"/>
  <c r="AU65" i="78"/>
  <c r="AT66" i="78"/>
  <c r="AV67" i="78"/>
  <c r="AU142" i="78"/>
  <c r="AW46" i="78"/>
  <c r="AW54" i="78"/>
  <c r="AJ45" i="78"/>
  <c r="AJ54" i="78"/>
  <c r="AJ59" i="78"/>
  <c r="AJ63" i="78"/>
  <c r="AI44" i="78"/>
  <c r="AK46" i="78"/>
  <c r="AI52" i="78"/>
  <c r="AK54" i="78"/>
  <c r="AL66" i="78"/>
  <c r="AL58" i="78"/>
  <c r="AL50" i="78"/>
  <c r="AK142" i="78"/>
  <c r="AL64" i="78"/>
  <c r="AL56" i="78"/>
  <c r="AL48" i="78"/>
  <c r="AL68" i="78"/>
  <c r="AL60" i="78"/>
  <c r="AK44" i="78"/>
  <c r="AL45" i="78"/>
  <c r="AL46" i="78"/>
  <c r="AL53" i="78"/>
  <c r="AL54" i="78"/>
  <c r="AI58" i="78"/>
  <c r="AI62" i="78"/>
  <c r="AL63" i="78"/>
  <c r="AI66" i="78"/>
  <c r="AI46" i="78"/>
  <c r="AJ68" i="78"/>
  <c r="AJ60" i="78"/>
  <c r="AJ52" i="78"/>
  <c r="AJ44" i="78"/>
  <c r="AJ66" i="78"/>
  <c r="AJ58" i="78"/>
  <c r="AJ50" i="78"/>
  <c r="AJ62" i="78"/>
  <c r="AJ46" i="78"/>
  <c r="AJ53" i="78"/>
  <c r="AJ67" i="78"/>
  <c r="AK67" i="78"/>
  <c r="AK59" i="78"/>
  <c r="AK51" i="78"/>
  <c r="AK65" i="78"/>
  <c r="AK57" i="78"/>
  <c r="AK49" i="78"/>
  <c r="AJ142" i="78"/>
  <c r="AK70" i="78"/>
  <c r="AK61" i="78"/>
  <c r="AK45" i="78"/>
  <c r="AK53" i="78"/>
  <c r="AK63" i="78"/>
  <c r="AM65" i="78"/>
  <c r="AM57" i="78"/>
  <c r="AM49" i="78"/>
  <c r="AL142" i="78"/>
  <c r="AM63" i="78"/>
  <c r="AM55" i="78"/>
  <c r="AM47" i="78"/>
  <c r="AM67" i="78"/>
  <c r="AM59" i="78"/>
  <c r="AL44" i="78"/>
  <c r="AM45" i="78"/>
  <c r="AM46" i="78"/>
  <c r="AI50" i="78"/>
  <c r="AL51" i="78"/>
  <c r="AL52" i="78"/>
  <c r="AM53" i="78"/>
  <c r="AM54" i="78"/>
  <c r="AK58" i="78"/>
  <c r="AK62" i="78"/>
  <c r="AK66" i="78"/>
  <c r="AJ61" i="78"/>
  <c r="AJ70" i="78"/>
  <c r="AI70" i="78"/>
  <c r="AI61" i="78"/>
  <c r="AI53" i="78"/>
  <c r="AI45" i="78"/>
  <c r="AI67" i="78"/>
  <c r="AI59" i="78"/>
  <c r="AI51" i="78"/>
  <c r="AI63" i="78"/>
  <c r="AI54" i="78"/>
  <c r="AI49" i="78"/>
  <c r="AI57" i="78"/>
  <c r="AI48" i="78"/>
  <c r="AJ49" i="78"/>
  <c r="AI56" i="78"/>
  <c r="AJ57" i="78"/>
  <c r="AJ65" i="78"/>
  <c r="AI142" i="78"/>
  <c r="CG70" i="78" l="1"/>
  <c r="CG106" i="78" s="1"/>
  <c r="BV70" i="78"/>
  <c r="BV106" i="78" s="1"/>
  <c r="AO70" i="78"/>
  <c r="AO106" i="78" s="1"/>
  <c r="AZ70" i="78"/>
  <c r="AZ106" i="78" s="1"/>
  <c r="BK70" i="78"/>
  <c r="BK106" i="78" s="1"/>
  <c r="CR70" i="78"/>
  <c r="CR106" i="78" s="1"/>
  <c r="CT34" i="78"/>
  <c r="CT70" i="78" s="1"/>
  <c r="CT106" i="78" s="1"/>
  <c r="D99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B100" i="52"/>
  <c r="C100" i="52"/>
  <c r="D100" i="52"/>
  <c r="B101" i="52"/>
  <c r="C101" i="52"/>
  <c r="D101" i="52"/>
  <c r="C93" i="52"/>
  <c r="D93" i="52"/>
  <c r="B93" i="52"/>
  <c r="AN92" i="52"/>
  <c r="AM92" i="52"/>
  <c r="AL92" i="52"/>
  <c r="AJ92" i="52"/>
  <c r="AI92" i="52"/>
  <c r="AH92" i="52"/>
  <c r="AF92" i="52"/>
  <c r="AE92" i="52"/>
  <c r="AD92" i="52"/>
  <c r="D76" i="52"/>
  <c r="D83" i="52"/>
  <c r="C83" i="52"/>
  <c r="B83" i="52"/>
  <c r="D82" i="52"/>
  <c r="C82" i="52"/>
  <c r="B82" i="52"/>
  <c r="D81" i="52"/>
  <c r="C81" i="52"/>
  <c r="B81" i="52"/>
  <c r="D80" i="52"/>
  <c r="C80" i="52"/>
  <c r="B80" i="52"/>
  <c r="D79" i="52"/>
  <c r="C79" i="52"/>
  <c r="B79" i="52"/>
  <c r="D78" i="52"/>
  <c r="C78" i="52"/>
  <c r="B78" i="52"/>
  <c r="D77" i="52"/>
  <c r="C77" i="52"/>
  <c r="B77" i="52"/>
  <c r="C76" i="52"/>
  <c r="B76" i="52"/>
  <c r="D75" i="52"/>
  <c r="C75" i="52"/>
  <c r="B75" i="52"/>
  <c r="D71" i="52"/>
  <c r="C71" i="52"/>
  <c r="B71" i="52"/>
  <c r="D70" i="52"/>
  <c r="C70" i="52"/>
  <c r="B70" i="52"/>
  <c r="D69" i="52"/>
  <c r="C69" i="52"/>
  <c r="B69" i="52"/>
  <c r="D68" i="52"/>
  <c r="C68" i="52"/>
  <c r="B68" i="52"/>
  <c r="D67" i="52"/>
  <c r="C67" i="52"/>
  <c r="B67" i="52"/>
  <c r="D66" i="52"/>
  <c r="C66" i="52"/>
  <c r="B66" i="52"/>
  <c r="D65" i="52"/>
  <c r="C65" i="52"/>
  <c r="B65" i="52"/>
  <c r="D64" i="52"/>
  <c r="C64" i="52"/>
  <c r="B64" i="52"/>
  <c r="D63" i="52"/>
  <c r="C63" i="52"/>
  <c r="B63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C51" i="52"/>
  <c r="D51" i="52"/>
  <c r="B51" i="52"/>
  <c r="AN74" i="52"/>
  <c r="AM74" i="52"/>
  <c r="AL74" i="52"/>
  <c r="AN62" i="52"/>
  <c r="AM62" i="52"/>
  <c r="AL62" i="52"/>
  <c r="AN50" i="52"/>
  <c r="AM50" i="52"/>
  <c r="AL50" i="52"/>
  <c r="AL46" i="52"/>
  <c r="AJ74" i="52"/>
  <c r="AI74" i="52"/>
  <c r="AH74" i="52"/>
  <c r="AJ62" i="52"/>
  <c r="AI62" i="52"/>
  <c r="AH62" i="52"/>
  <c r="AJ50" i="52"/>
  <c r="AI50" i="52"/>
  <c r="AH50" i="52"/>
  <c r="AF74" i="52"/>
  <c r="AE74" i="52"/>
  <c r="AD74" i="52"/>
  <c r="AF62" i="52"/>
  <c r="AE62" i="52"/>
  <c r="AD62" i="52"/>
  <c r="AF50" i="52"/>
  <c r="AE50" i="52"/>
  <c r="AD50" i="52"/>
  <c r="AD46" i="52"/>
  <c r="AD9" i="52"/>
  <c r="D41" i="52"/>
  <c r="C41" i="52"/>
  <c r="B41" i="52"/>
  <c r="D40" i="52"/>
  <c r="C40" i="52"/>
  <c r="B40" i="52"/>
  <c r="D39" i="52"/>
  <c r="C39" i="52"/>
  <c r="B39" i="52"/>
  <c r="D38" i="52"/>
  <c r="C38" i="52"/>
  <c r="B38" i="52"/>
  <c r="D37" i="52"/>
  <c r="C37" i="52"/>
  <c r="B37" i="52"/>
  <c r="D36" i="52"/>
  <c r="C36" i="52"/>
  <c r="B36" i="52"/>
  <c r="D35" i="52"/>
  <c r="C35" i="52"/>
  <c r="B35" i="52"/>
  <c r="D34" i="52"/>
  <c r="C34" i="52"/>
  <c r="B34" i="52"/>
  <c r="D33" i="52"/>
  <c r="C33" i="52"/>
  <c r="B33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C21" i="52"/>
  <c r="D21" i="52"/>
  <c r="AL4" i="52"/>
  <c r="AM88" i="52" s="1"/>
  <c r="AH4" i="52"/>
  <c r="AH46" i="52" s="1"/>
  <c r="AD4" i="52"/>
  <c r="AD88" i="52" s="1"/>
  <c r="AN32" i="52"/>
  <c r="AM32" i="52"/>
  <c r="AL32" i="52"/>
  <c r="AN20" i="52"/>
  <c r="AM20" i="52"/>
  <c r="AL20" i="52"/>
  <c r="AN17" i="52"/>
  <c r="AM17" i="52"/>
  <c r="AL17" i="52"/>
  <c r="AN16" i="52"/>
  <c r="AM16" i="52"/>
  <c r="AL16" i="52"/>
  <c r="AN15" i="52"/>
  <c r="AM15" i="52"/>
  <c r="AL15" i="52"/>
  <c r="AN14" i="52"/>
  <c r="AM14" i="52"/>
  <c r="AL14" i="52"/>
  <c r="AN13" i="52"/>
  <c r="AM13" i="52"/>
  <c r="AL13" i="52"/>
  <c r="AN12" i="52"/>
  <c r="AM12" i="52"/>
  <c r="AL12" i="52"/>
  <c r="AN11" i="52"/>
  <c r="AM11" i="52"/>
  <c r="AL11" i="52"/>
  <c r="AN10" i="52"/>
  <c r="AM10" i="52"/>
  <c r="AL10" i="52"/>
  <c r="AN9" i="52"/>
  <c r="AM9" i="52"/>
  <c r="AL9" i="52"/>
  <c r="AJ32" i="52"/>
  <c r="AI32" i="52"/>
  <c r="AH32" i="52"/>
  <c r="AJ20" i="52"/>
  <c r="AI20" i="52"/>
  <c r="AH20" i="52"/>
  <c r="AJ17" i="52"/>
  <c r="AI17" i="52"/>
  <c r="AH17" i="52"/>
  <c r="AJ16" i="52"/>
  <c r="AI16" i="52"/>
  <c r="AH16" i="52"/>
  <c r="AJ15" i="52"/>
  <c r="AI15" i="52"/>
  <c r="AH15" i="52"/>
  <c r="AJ14" i="52"/>
  <c r="AI14" i="52"/>
  <c r="AH14" i="52"/>
  <c r="AJ13" i="52"/>
  <c r="AI13" i="52"/>
  <c r="AH13" i="52"/>
  <c r="AJ12" i="52"/>
  <c r="AI12" i="52"/>
  <c r="AH12" i="52"/>
  <c r="AJ11" i="52"/>
  <c r="AI11" i="52"/>
  <c r="AH11" i="52"/>
  <c r="AJ10" i="52"/>
  <c r="AI10" i="52"/>
  <c r="AH10" i="52"/>
  <c r="AJ9" i="52"/>
  <c r="AI9" i="52"/>
  <c r="AH9" i="52"/>
  <c r="AF32" i="52"/>
  <c r="AE32" i="52"/>
  <c r="AD32" i="52"/>
  <c r="AF20" i="52"/>
  <c r="AE20" i="52"/>
  <c r="AD20" i="52"/>
  <c r="AF17" i="52"/>
  <c r="AE17" i="52"/>
  <c r="AD17" i="52"/>
  <c r="AF16" i="52"/>
  <c r="AE16" i="52"/>
  <c r="AD16" i="52"/>
  <c r="AF15" i="52"/>
  <c r="AE15" i="52"/>
  <c r="AD15" i="52"/>
  <c r="AF14" i="52"/>
  <c r="AE14" i="52"/>
  <c r="AD14" i="52"/>
  <c r="AF13" i="52"/>
  <c r="AE13" i="52"/>
  <c r="AD13" i="52"/>
  <c r="AF12" i="52"/>
  <c r="AE12" i="52"/>
  <c r="AD12" i="52"/>
  <c r="AF11" i="52"/>
  <c r="AE11" i="52"/>
  <c r="AD11" i="52"/>
  <c r="AF10" i="52"/>
  <c r="AE10" i="52"/>
  <c r="AD10" i="52"/>
  <c r="AF9" i="52"/>
  <c r="AE9" i="52"/>
  <c r="Z4" i="52"/>
  <c r="Z88" i="52" s="1"/>
  <c r="V4" i="52"/>
  <c r="V46" i="52" s="1"/>
  <c r="R4" i="52"/>
  <c r="R88" i="52" s="1"/>
  <c r="N5" i="52"/>
  <c r="Z5" i="52" s="1"/>
  <c r="AL5" i="52" s="1"/>
  <c r="N4" i="52"/>
  <c r="J4" i="52"/>
  <c r="F4" i="52"/>
  <c r="A34" i="78"/>
  <c r="A9" i="78"/>
  <c r="A10" i="78"/>
  <c r="A11" i="78"/>
  <c r="A12" i="78"/>
  <c r="A13" i="78"/>
  <c r="A14" i="78"/>
  <c r="A15" i="78"/>
  <c r="A16" i="78"/>
  <c r="A17" i="78"/>
  <c r="A18" i="78"/>
  <c r="A19" i="78"/>
  <c r="A20" i="78"/>
  <c r="A21" i="78"/>
  <c r="A22" i="78"/>
  <c r="A23" i="78"/>
  <c r="A24" i="78"/>
  <c r="A25" i="78"/>
  <c r="A26" i="78"/>
  <c r="A27" i="78"/>
  <c r="A28" i="78"/>
  <c r="A29" i="78"/>
  <c r="A30" i="78"/>
  <c r="A31" i="78"/>
  <c r="A32" i="78"/>
  <c r="A8" i="78"/>
  <c r="AB92" i="52"/>
  <c r="AA92" i="52"/>
  <c r="Z92" i="52"/>
  <c r="X92" i="52"/>
  <c r="W92" i="52"/>
  <c r="V92" i="52"/>
  <c r="T92" i="52"/>
  <c r="S92" i="52"/>
  <c r="R92" i="52"/>
  <c r="AB12" i="52"/>
  <c r="AB74" i="52"/>
  <c r="AA74" i="52"/>
  <c r="Z74" i="52"/>
  <c r="AB62" i="52"/>
  <c r="AA62" i="52"/>
  <c r="Z62" i="52"/>
  <c r="AB50" i="52"/>
  <c r="AA50" i="52"/>
  <c r="Z50" i="52"/>
  <c r="X74" i="52"/>
  <c r="W74" i="52"/>
  <c r="V74" i="52"/>
  <c r="X62" i="52"/>
  <c r="W62" i="52"/>
  <c r="V62" i="52"/>
  <c r="X50" i="52"/>
  <c r="W50" i="52"/>
  <c r="V50" i="52"/>
  <c r="T74" i="52"/>
  <c r="S74" i="52"/>
  <c r="R74" i="52"/>
  <c r="T62" i="52"/>
  <c r="S62" i="52"/>
  <c r="R62" i="52"/>
  <c r="T50" i="52"/>
  <c r="S50" i="52"/>
  <c r="R50" i="52"/>
  <c r="R14" i="52"/>
  <c r="AB32" i="52"/>
  <c r="AA32" i="52"/>
  <c r="Z32" i="52"/>
  <c r="AB20" i="52"/>
  <c r="AA20" i="52"/>
  <c r="Z20" i="52"/>
  <c r="AB17" i="52"/>
  <c r="AA17" i="52"/>
  <c r="Z17" i="52"/>
  <c r="AB16" i="52"/>
  <c r="AA16" i="52"/>
  <c r="Z16" i="52"/>
  <c r="AB15" i="52"/>
  <c r="AA15" i="52"/>
  <c r="Z15" i="52"/>
  <c r="AB14" i="52"/>
  <c r="AA14" i="52"/>
  <c r="Z14" i="52"/>
  <c r="AB13" i="52"/>
  <c r="AA13" i="52"/>
  <c r="Z13" i="52"/>
  <c r="AA12" i="52"/>
  <c r="Z12" i="52"/>
  <c r="AB11" i="52"/>
  <c r="AA11" i="52"/>
  <c r="Z11" i="52"/>
  <c r="AB10" i="52"/>
  <c r="AA10" i="52"/>
  <c r="Z10" i="52"/>
  <c r="AB9" i="52"/>
  <c r="AA9" i="52"/>
  <c r="Z9" i="52"/>
  <c r="X32" i="52"/>
  <c r="W32" i="52"/>
  <c r="V32" i="52"/>
  <c r="X20" i="52"/>
  <c r="W20" i="52"/>
  <c r="V20" i="52"/>
  <c r="X17" i="52"/>
  <c r="W17" i="52"/>
  <c r="V17" i="52"/>
  <c r="X16" i="52"/>
  <c r="W16" i="52"/>
  <c r="V16" i="52"/>
  <c r="X15" i="52"/>
  <c r="W15" i="52"/>
  <c r="V15" i="52"/>
  <c r="X14" i="52"/>
  <c r="W14" i="52"/>
  <c r="V14" i="52"/>
  <c r="X13" i="52"/>
  <c r="W13" i="52"/>
  <c r="V13" i="52"/>
  <c r="X12" i="52"/>
  <c r="W12" i="52"/>
  <c r="V12" i="52"/>
  <c r="X11" i="52"/>
  <c r="W11" i="52"/>
  <c r="V11" i="52"/>
  <c r="X10" i="52"/>
  <c r="W10" i="52"/>
  <c r="V10" i="52"/>
  <c r="X9" i="52"/>
  <c r="W9" i="52"/>
  <c r="V9" i="52"/>
  <c r="T32" i="52"/>
  <c r="S32" i="52"/>
  <c r="R32" i="52"/>
  <c r="T20" i="52"/>
  <c r="S20" i="52"/>
  <c r="R20" i="52"/>
  <c r="T17" i="52"/>
  <c r="S17" i="52"/>
  <c r="R17" i="52"/>
  <c r="T16" i="52"/>
  <c r="S16" i="52"/>
  <c r="R16" i="52"/>
  <c r="T15" i="52"/>
  <c r="S15" i="52"/>
  <c r="R15" i="52"/>
  <c r="T14" i="52"/>
  <c r="S14" i="52"/>
  <c r="T13" i="52"/>
  <c r="S13" i="52"/>
  <c r="R13" i="52"/>
  <c r="T12" i="52"/>
  <c r="S12" i="52"/>
  <c r="R12" i="52"/>
  <c r="T11" i="52"/>
  <c r="S11" i="52"/>
  <c r="R11" i="52"/>
  <c r="T10" i="52"/>
  <c r="S10" i="52"/>
  <c r="R10" i="52"/>
  <c r="T9" i="52"/>
  <c r="S9" i="52"/>
  <c r="R9" i="52"/>
  <c r="Z46" i="52" l="1"/>
  <c r="R46" i="52"/>
  <c r="AH88" i="52"/>
  <c r="B92" i="52"/>
  <c r="AA8" i="52"/>
  <c r="AN8" i="52"/>
  <c r="AJ8" i="52"/>
  <c r="AE8" i="52"/>
  <c r="B11" i="52"/>
  <c r="B50" i="52"/>
  <c r="AL8" i="52"/>
  <c r="AM8" i="52"/>
  <c r="AH8" i="52"/>
  <c r="AI8" i="52"/>
  <c r="AD8" i="52"/>
  <c r="AF8" i="52"/>
  <c r="B9" i="52"/>
  <c r="D11" i="52"/>
  <c r="V88" i="52"/>
  <c r="T8" i="52"/>
  <c r="AB8" i="52"/>
  <c r="Z8" i="52"/>
  <c r="V8" i="52"/>
  <c r="W8" i="52"/>
  <c r="X8" i="52"/>
  <c r="R8" i="52"/>
  <c r="S8" i="52"/>
  <c r="A13" i="44"/>
  <c r="A27" i="44" s="1"/>
  <c r="A41" i="44" s="1"/>
  <c r="A55" i="44" s="1"/>
  <c r="A12" i="44"/>
  <c r="A26" i="44" s="1"/>
  <c r="A40" i="44" s="1"/>
  <c r="A54" i="44" s="1"/>
  <c r="A8" i="44"/>
  <c r="A22" i="44" s="1"/>
  <c r="A36" i="44" s="1"/>
  <c r="A50" i="44" s="1"/>
  <c r="A9" i="44"/>
  <c r="A23" i="44" s="1"/>
  <c r="A37" i="44" s="1"/>
  <c r="A51" i="44" s="1"/>
  <c r="A10" i="44"/>
  <c r="A24" i="44" s="1"/>
  <c r="A38" i="44" s="1"/>
  <c r="A52" i="44" s="1"/>
  <c r="A11" i="44"/>
  <c r="A25" i="44" s="1"/>
  <c r="A39" i="44" s="1"/>
  <c r="A53" i="44" s="1"/>
  <c r="R44" i="76"/>
  <c r="S44" i="76"/>
  <c r="T44" i="76"/>
  <c r="U44" i="76"/>
  <c r="V44" i="76"/>
  <c r="W44" i="76"/>
  <c r="X44" i="76"/>
  <c r="Y44" i="76"/>
  <c r="Z44" i="76"/>
  <c r="AA44" i="76"/>
  <c r="AB44" i="76"/>
  <c r="AC44" i="76"/>
  <c r="AD44" i="76"/>
  <c r="AE44" i="76"/>
  <c r="AF44" i="76"/>
  <c r="AG44" i="76"/>
  <c r="Q44" i="76"/>
  <c r="R40" i="76"/>
  <c r="S40" i="76"/>
  <c r="T40" i="76"/>
  <c r="U40" i="76"/>
  <c r="V40" i="76"/>
  <c r="W40" i="76"/>
  <c r="X40" i="76"/>
  <c r="Y40" i="76"/>
  <c r="Z40" i="76"/>
  <c r="AA40" i="76"/>
  <c r="AB40" i="76"/>
  <c r="AC40" i="76"/>
  <c r="AD40" i="76"/>
  <c r="AE40" i="76"/>
  <c r="AF40" i="76"/>
  <c r="AG40" i="76"/>
  <c r="Q40" i="76"/>
  <c r="R36" i="76"/>
  <c r="S36" i="76"/>
  <c r="T36" i="76"/>
  <c r="U36" i="76"/>
  <c r="V36" i="76"/>
  <c r="W36" i="76"/>
  <c r="X36" i="76"/>
  <c r="Y36" i="76"/>
  <c r="Z36" i="76"/>
  <c r="AA36" i="76"/>
  <c r="AB36" i="76"/>
  <c r="AC36" i="76"/>
  <c r="AD36" i="76"/>
  <c r="AE36" i="76"/>
  <c r="AF36" i="76"/>
  <c r="AG36" i="76"/>
  <c r="Q36" i="76"/>
  <c r="R32" i="76"/>
  <c r="S32" i="76"/>
  <c r="T32" i="76"/>
  <c r="U32" i="76"/>
  <c r="V32" i="76"/>
  <c r="W32" i="76"/>
  <c r="X32" i="76"/>
  <c r="Y32" i="76"/>
  <c r="Z32" i="76"/>
  <c r="AA32" i="76"/>
  <c r="AB32" i="76"/>
  <c r="AC32" i="76"/>
  <c r="AD32" i="76"/>
  <c r="AE32" i="76"/>
  <c r="AF32" i="76"/>
  <c r="AG32" i="76"/>
  <c r="Q32" i="76"/>
  <c r="R15" i="76"/>
  <c r="S15" i="76"/>
  <c r="T15" i="76"/>
  <c r="U15" i="76"/>
  <c r="V15" i="76"/>
  <c r="W15" i="76"/>
  <c r="X15" i="76"/>
  <c r="Y15" i="76"/>
  <c r="Z15" i="76"/>
  <c r="AA15" i="76"/>
  <c r="AB15" i="76"/>
  <c r="AC15" i="76"/>
  <c r="AD15" i="76"/>
  <c r="AE15" i="76"/>
  <c r="AF15" i="76"/>
  <c r="AG15" i="76"/>
  <c r="Q15" i="76"/>
  <c r="Q9" i="76"/>
  <c r="R5" i="76"/>
  <c r="S5" i="76"/>
  <c r="T5" i="76"/>
  <c r="U5" i="76"/>
  <c r="V5" i="76"/>
  <c r="W5" i="76"/>
  <c r="X5" i="76"/>
  <c r="Y5" i="76"/>
  <c r="Z5" i="76"/>
  <c r="AA5" i="76"/>
  <c r="AB5" i="76"/>
  <c r="AC5" i="76"/>
  <c r="AD5" i="76"/>
  <c r="AE5" i="76"/>
  <c r="AF5" i="76"/>
  <c r="AG5" i="76"/>
  <c r="Q5" i="76"/>
  <c r="B47" i="18" l="1"/>
  <c r="C47" i="18"/>
  <c r="D47" i="18"/>
  <c r="E47" i="18"/>
  <c r="F47" i="18"/>
  <c r="B48" i="18"/>
  <c r="C48" i="18"/>
  <c r="D48" i="18"/>
  <c r="E48" i="18"/>
  <c r="F48" i="18"/>
  <c r="B43" i="18"/>
  <c r="C43" i="18"/>
  <c r="D43" i="18"/>
  <c r="E43" i="18"/>
  <c r="F43" i="18"/>
  <c r="B44" i="18"/>
  <c r="C44" i="18"/>
  <c r="D44" i="18"/>
  <c r="E44" i="18"/>
  <c r="F44" i="18"/>
  <c r="B39" i="18"/>
  <c r="C39" i="18"/>
  <c r="D39" i="18"/>
  <c r="E39" i="18"/>
  <c r="F39" i="18"/>
  <c r="B40" i="18"/>
  <c r="C40" i="18"/>
  <c r="D40" i="18"/>
  <c r="E40" i="18"/>
  <c r="F40" i="18"/>
  <c r="B35" i="18"/>
  <c r="C35" i="18"/>
  <c r="D35" i="18"/>
  <c r="E35" i="18"/>
  <c r="F35" i="18"/>
  <c r="B36" i="18"/>
  <c r="C36" i="18"/>
  <c r="D36" i="18"/>
  <c r="E36" i="18"/>
  <c r="F36" i="18"/>
  <c r="B29" i="18"/>
  <c r="C29" i="18"/>
  <c r="D29" i="18"/>
  <c r="E29" i="18"/>
  <c r="F29" i="18"/>
  <c r="B30" i="18"/>
  <c r="C30" i="18"/>
  <c r="D30" i="18"/>
  <c r="E30" i="18"/>
  <c r="F30" i="18"/>
  <c r="B31" i="18"/>
  <c r="C31" i="18"/>
  <c r="D31" i="18"/>
  <c r="E31" i="18"/>
  <c r="F31" i="18"/>
  <c r="B32" i="18"/>
  <c r="C32" i="18"/>
  <c r="D32" i="18"/>
  <c r="E32" i="18"/>
  <c r="F32" i="18"/>
  <c r="A30" i="18"/>
  <c r="L28" i="76" s="1"/>
  <c r="B18" i="18"/>
  <c r="C18" i="18"/>
  <c r="D18" i="18"/>
  <c r="E18" i="18"/>
  <c r="F18" i="18"/>
  <c r="B19" i="18"/>
  <c r="C19" i="18"/>
  <c r="D19" i="18"/>
  <c r="E19" i="18"/>
  <c r="F19" i="18"/>
  <c r="B20" i="18"/>
  <c r="C20" i="18"/>
  <c r="D20" i="18"/>
  <c r="E20" i="18"/>
  <c r="F20" i="18"/>
  <c r="B21" i="18"/>
  <c r="C21" i="18"/>
  <c r="D21" i="18"/>
  <c r="E21" i="18"/>
  <c r="F21" i="18"/>
  <c r="B22" i="18"/>
  <c r="C22" i="18"/>
  <c r="D22" i="18"/>
  <c r="E22" i="18"/>
  <c r="F22" i="18"/>
  <c r="B12" i="18"/>
  <c r="C12" i="18"/>
  <c r="D12" i="18"/>
  <c r="E12" i="18"/>
  <c r="F12" i="18"/>
  <c r="B13" i="18"/>
  <c r="C13" i="18"/>
  <c r="D13" i="18"/>
  <c r="E13" i="18"/>
  <c r="F13" i="18"/>
  <c r="B14" i="18"/>
  <c r="C14" i="18"/>
  <c r="D14" i="18"/>
  <c r="E14" i="18"/>
  <c r="F14" i="18"/>
  <c r="B15" i="18"/>
  <c r="C15" i="18"/>
  <c r="D15" i="18"/>
  <c r="E15" i="18"/>
  <c r="F15" i="18"/>
  <c r="B9" i="18"/>
  <c r="C9" i="18"/>
  <c r="D9" i="18"/>
  <c r="E9" i="18"/>
  <c r="J9" i="18" s="1"/>
  <c r="F9" i="18"/>
  <c r="C8" i="18"/>
  <c r="D8" i="18"/>
  <c r="E8" i="18"/>
  <c r="F8" i="18"/>
  <c r="B8" i="18"/>
  <c r="A19" i="18"/>
  <c r="L17" i="76" s="1"/>
  <c r="A15" i="18"/>
  <c r="L13" i="76" s="1"/>
  <c r="F34" i="71"/>
  <c r="F175" i="71" s="1"/>
  <c r="B34" i="71"/>
  <c r="B175" i="71" s="1"/>
  <c r="F8" i="16" a="1"/>
  <c r="F8" i="16" s="1"/>
  <c r="E8" i="16" a="1"/>
  <c r="E8" i="16" s="1"/>
  <c r="D8" i="16" a="1"/>
  <c r="D8" i="16" s="1"/>
  <c r="C8" i="16" a="1"/>
  <c r="C8" i="16" s="1"/>
  <c r="B8" i="16" a="1"/>
  <c r="B8" i="16" s="1"/>
  <c r="B80" i="16" s="1"/>
  <c r="B104" i="71"/>
  <c r="A34" i="71"/>
  <c r="A9" i="71"/>
  <c r="A9" i="18" s="1"/>
  <c r="A10" i="71"/>
  <c r="A12" i="18" s="1"/>
  <c r="L10" i="76" s="1"/>
  <c r="A11" i="71"/>
  <c r="A13" i="18" s="1"/>
  <c r="L11" i="76" s="1"/>
  <c r="A12" i="71"/>
  <c r="A14" i="18" s="1"/>
  <c r="L12" i="76" s="1"/>
  <c r="A13" i="71"/>
  <c r="A14" i="71"/>
  <c r="A18" i="18" s="1"/>
  <c r="L16" i="76" s="1"/>
  <c r="A15" i="71"/>
  <c r="A16" i="71"/>
  <c r="A20" i="18" s="1"/>
  <c r="L18" i="76" s="1"/>
  <c r="A17" i="71"/>
  <c r="A21" i="18" s="1"/>
  <c r="L19" i="76" s="1"/>
  <c r="A18" i="71"/>
  <c r="A22" i="18" s="1"/>
  <c r="L20" i="76" s="1"/>
  <c r="A19" i="71"/>
  <c r="A20" i="71"/>
  <c r="A26" i="18" s="1"/>
  <c r="L24" i="76" s="1"/>
  <c r="A21" i="71"/>
  <c r="A29" i="18" s="1"/>
  <c r="L27" i="76" s="1"/>
  <c r="A22" i="71"/>
  <c r="A23" i="71"/>
  <c r="A31" i="18" s="1"/>
  <c r="L29" i="76" s="1"/>
  <c r="A24" i="71"/>
  <c r="A32" i="18" s="1"/>
  <c r="L30" i="76" s="1"/>
  <c r="A25" i="71"/>
  <c r="A35" i="18" s="1"/>
  <c r="L33" i="76" s="1"/>
  <c r="A26" i="71"/>
  <c r="A36" i="18" s="1"/>
  <c r="L34" i="76" s="1"/>
  <c r="A27" i="71"/>
  <c r="A39" i="18" s="1"/>
  <c r="L37" i="76" s="1"/>
  <c r="A28" i="71"/>
  <c r="A40" i="18" s="1"/>
  <c r="L38" i="76" s="1"/>
  <c r="A29" i="71"/>
  <c r="A43" i="18" s="1"/>
  <c r="L41" i="76" s="1"/>
  <c r="A30" i="71"/>
  <c r="A44" i="18" s="1"/>
  <c r="L42" i="76" s="1"/>
  <c r="A31" i="71"/>
  <c r="A47" i="18" s="1"/>
  <c r="L45" i="76" s="1"/>
  <c r="A32" i="71"/>
  <c r="A48" i="18" s="1"/>
  <c r="L46" i="76" s="1"/>
  <c r="A8" i="18"/>
  <c r="A27" i="15"/>
  <c r="B331" i="97"/>
  <c r="B323" i="97"/>
  <c r="C323" i="97"/>
  <c r="D323" i="97"/>
  <c r="E323" i="97"/>
  <c r="F323" i="97"/>
  <c r="B324" i="97"/>
  <c r="C324" i="97"/>
  <c r="D324" i="97"/>
  <c r="E324" i="97"/>
  <c r="F324" i="97"/>
  <c r="B325" i="97"/>
  <c r="C325" i="97"/>
  <c r="D325" i="97"/>
  <c r="E325" i="97"/>
  <c r="F325" i="97"/>
  <c r="B326" i="97"/>
  <c r="C326" i="97"/>
  <c r="D326" i="97"/>
  <c r="E326" i="97"/>
  <c r="F326" i="97"/>
  <c r="B327" i="97"/>
  <c r="C327" i="97"/>
  <c r="D327" i="97"/>
  <c r="E327" i="97"/>
  <c r="F327" i="97"/>
  <c r="B328" i="97"/>
  <c r="C328" i="97"/>
  <c r="D328" i="97"/>
  <c r="E328" i="97"/>
  <c r="F328" i="97"/>
  <c r="B329" i="97"/>
  <c r="C329" i="97"/>
  <c r="D329" i="97"/>
  <c r="E329" i="97"/>
  <c r="F329" i="97"/>
  <c r="B330" i="97"/>
  <c r="C330" i="97"/>
  <c r="D330" i="97"/>
  <c r="E330" i="97"/>
  <c r="F330" i="97"/>
  <c r="C331" i="97"/>
  <c r="D331" i="97"/>
  <c r="E331" i="97"/>
  <c r="F331" i="97"/>
  <c r="B247" i="97"/>
  <c r="B239" i="97"/>
  <c r="C239" i="97"/>
  <c r="D239" i="97"/>
  <c r="E239" i="97"/>
  <c r="F239" i="97"/>
  <c r="B240" i="97"/>
  <c r="C240" i="97"/>
  <c r="D240" i="97"/>
  <c r="E240" i="97"/>
  <c r="F240" i="97"/>
  <c r="B241" i="97"/>
  <c r="C241" i="97"/>
  <c r="D241" i="97"/>
  <c r="E241" i="97"/>
  <c r="F241" i="97"/>
  <c r="B242" i="97"/>
  <c r="C242" i="97"/>
  <c r="D242" i="97"/>
  <c r="E242" i="97"/>
  <c r="F242" i="97"/>
  <c r="B243" i="97"/>
  <c r="C243" i="97"/>
  <c r="D243" i="97"/>
  <c r="E243" i="97"/>
  <c r="F243" i="97"/>
  <c r="B244" i="97"/>
  <c r="C244" i="97"/>
  <c r="D244" i="97"/>
  <c r="E244" i="97"/>
  <c r="F244" i="97"/>
  <c r="B245" i="97"/>
  <c r="C245" i="97"/>
  <c r="D245" i="97"/>
  <c r="E245" i="97"/>
  <c r="F245" i="97"/>
  <c r="B246" i="97"/>
  <c r="C246" i="97"/>
  <c r="D246" i="97"/>
  <c r="E246" i="97"/>
  <c r="F246" i="97"/>
  <c r="C247" i="97"/>
  <c r="D247" i="97"/>
  <c r="E247" i="97"/>
  <c r="F247" i="97"/>
  <c r="B81" i="97"/>
  <c r="B165" i="97" s="1"/>
  <c r="F5" i="12" a="1"/>
  <c r="F5" i="12" s="1"/>
  <c r="E5" i="12" a="1"/>
  <c r="E5" i="12" s="1"/>
  <c r="D5" i="12" a="1"/>
  <c r="D5" i="12" s="1"/>
  <c r="C5" i="12" a="1"/>
  <c r="C5" i="12" s="1"/>
  <c r="B5" i="12" a="1"/>
  <c r="B8" i="12" s="1"/>
  <c r="A28" i="12"/>
  <c r="A21" i="12"/>
  <c r="A48" i="12" s="1"/>
  <c r="A22" i="12"/>
  <c r="A49" i="12" s="1"/>
  <c r="A23" i="12"/>
  <c r="A50" i="12" s="1"/>
  <c r="A24" i="12"/>
  <c r="A51" i="12" s="1"/>
  <c r="A25" i="12"/>
  <c r="A52" i="12" s="1"/>
  <c r="A26" i="12"/>
  <c r="A53" i="12" s="1"/>
  <c r="A6" i="12"/>
  <c r="A7" i="12"/>
  <c r="A8" i="12"/>
  <c r="A9" i="12"/>
  <c r="A10" i="12"/>
  <c r="A11" i="12"/>
  <c r="A11" i="15" s="1"/>
  <c r="A12" i="12"/>
  <c r="A13" i="12"/>
  <c r="A21" i="15" s="1"/>
  <c r="A14" i="12"/>
  <c r="A22" i="15" s="1"/>
  <c r="A15" i="12"/>
  <c r="A23" i="15" s="1"/>
  <c r="A16" i="12"/>
  <c r="A26" i="15" s="1"/>
  <c r="A17" i="12"/>
  <c r="A18" i="12"/>
  <c r="A28" i="15" s="1"/>
  <c r="A19" i="12"/>
  <c r="A29" i="15" s="1"/>
  <c r="A20" i="12"/>
  <c r="A47" i="12" s="1"/>
  <c r="A5" i="12"/>
  <c r="F7" i="11" a="1"/>
  <c r="F8" i="11" s="1"/>
  <c r="E7" i="11" a="1"/>
  <c r="E7" i="11" s="1"/>
  <c r="D7" i="11" a="1"/>
  <c r="D7" i="11" s="1"/>
  <c r="C7" i="11" a="1"/>
  <c r="C8" i="11" s="1"/>
  <c r="B7" i="11" a="1"/>
  <c r="B7" i="11" s="1"/>
  <c r="C81" i="97"/>
  <c r="C157" i="97" s="1"/>
  <c r="D81" i="97"/>
  <c r="D160" i="97" s="1"/>
  <c r="E81" i="97"/>
  <c r="E155" i="97" s="1"/>
  <c r="F81" i="97"/>
  <c r="F158" i="97" s="1"/>
  <c r="A79" i="97"/>
  <c r="A163" i="97" s="1"/>
  <c r="A76" i="97"/>
  <c r="A160" i="97" s="1"/>
  <c r="A77" i="97"/>
  <c r="A161" i="97" s="1"/>
  <c r="A78" i="97"/>
  <c r="A162" i="97" s="1"/>
  <c r="A71" i="97"/>
  <c r="A155" i="97" s="1"/>
  <c r="A72" i="97"/>
  <c r="A156" i="97" s="1"/>
  <c r="A73" i="97"/>
  <c r="A157" i="97" s="1"/>
  <c r="A74" i="97"/>
  <c r="A158" i="97" s="1"/>
  <c r="A75" i="97"/>
  <c r="A159" i="97" s="1"/>
  <c r="M151" i="75" l="1"/>
  <c r="H26" i="16"/>
  <c r="I20" i="11"/>
  <c r="L22" i="18"/>
  <c r="N266" i="21"/>
  <c r="H8" i="16"/>
  <c r="N151" i="75" s="1"/>
  <c r="X4" i="106"/>
  <c r="Z4" i="106"/>
  <c r="Y4" i="106"/>
  <c r="AB4" i="106"/>
  <c r="AC4" i="106"/>
  <c r="AA4" i="106"/>
  <c r="A60" i="18"/>
  <c r="L48" i="75"/>
  <c r="L7" i="76"/>
  <c r="A72" i="15"/>
  <c r="L18" i="19" s="1"/>
  <c r="L27" i="21"/>
  <c r="A59" i="18"/>
  <c r="L49" i="75"/>
  <c r="L6" i="76"/>
  <c r="A54" i="15"/>
  <c r="L36" i="19" s="1"/>
  <c r="L9" i="21"/>
  <c r="A36" i="15"/>
  <c r="A38" i="15"/>
  <c r="A37" i="15"/>
  <c r="A327" i="97"/>
  <c r="A32" i="15"/>
  <c r="A111" i="12"/>
  <c r="A331" i="97"/>
  <c r="A33" i="15"/>
  <c r="A31" i="15"/>
  <c r="A30" i="15"/>
  <c r="L30" i="18"/>
  <c r="L40" i="18"/>
  <c r="L9" i="18"/>
  <c r="L19" i="18"/>
  <c r="L13" i="18"/>
  <c r="L32" i="18"/>
  <c r="L47" i="18"/>
  <c r="L48" i="18"/>
  <c r="L12" i="18"/>
  <c r="L31" i="18"/>
  <c r="C160" i="97"/>
  <c r="K8" i="18"/>
  <c r="L8" i="18"/>
  <c r="D158" i="97"/>
  <c r="L15" i="18"/>
  <c r="L18" i="18"/>
  <c r="L36" i="18"/>
  <c r="L44" i="18"/>
  <c r="C155" i="97"/>
  <c r="L21" i="18"/>
  <c r="L29" i="18"/>
  <c r="L39" i="18"/>
  <c r="L14" i="18"/>
  <c r="L35" i="18"/>
  <c r="L43" i="18"/>
  <c r="F64" i="16"/>
  <c r="N3" i="107" s="1"/>
  <c r="L20" i="18"/>
  <c r="I8" i="18"/>
  <c r="I9" i="18"/>
  <c r="K9" i="18"/>
  <c r="H8" i="18"/>
  <c r="J8" i="18"/>
  <c r="H9" i="18"/>
  <c r="F15" i="16"/>
  <c r="F14" i="16"/>
  <c r="F13" i="16"/>
  <c r="F12" i="16"/>
  <c r="F11" i="16"/>
  <c r="F10" i="16"/>
  <c r="F9" i="16"/>
  <c r="F16" i="16"/>
  <c r="E15" i="16"/>
  <c r="E13" i="16"/>
  <c r="E12" i="16"/>
  <c r="E10" i="16"/>
  <c r="E9" i="16"/>
  <c r="E14" i="16"/>
  <c r="E11" i="16"/>
  <c r="E16" i="16"/>
  <c r="D15" i="16"/>
  <c r="D14" i="16"/>
  <c r="D13" i="16"/>
  <c r="D12" i="16"/>
  <c r="D11" i="16"/>
  <c r="D10" i="16"/>
  <c r="D9" i="16"/>
  <c r="D16" i="16"/>
  <c r="C15" i="16"/>
  <c r="C14" i="16"/>
  <c r="C13" i="16"/>
  <c r="C12" i="16"/>
  <c r="C11" i="16"/>
  <c r="C10" i="16"/>
  <c r="C9" i="16"/>
  <c r="C16" i="16"/>
  <c r="B15" i="16"/>
  <c r="B14" i="16"/>
  <c r="B86" i="16" s="1"/>
  <c r="B13" i="16"/>
  <c r="B12" i="16"/>
  <c r="B11" i="16"/>
  <c r="B10" i="16"/>
  <c r="B9" i="16"/>
  <c r="B16" i="16"/>
  <c r="A329" i="97"/>
  <c r="C158" i="97"/>
  <c r="A243" i="97"/>
  <c r="A330" i="97"/>
  <c r="A326" i="97"/>
  <c r="B158" i="97"/>
  <c r="A323" i="97"/>
  <c r="B157" i="97"/>
  <c r="A324" i="97"/>
  <c r="B162" i="97"/>
  <c r="D155" i="97"/>
  <c r="A325" i="97"/>
  <c r="B160" i="97"/>
  <c r="B155" i="97"/>
  <c r="E158" i="97"/>
  <c r="B163" i="97"/>
  <c r="B249" i="97"/>
  <c r="A328" i="97"/>
  <c r="A244" i="97"/>
  <c r="A240" i="97"/>
  <c r="E163" i="97"/>
  <c r="F156" i="97"/>
  <c r="A241" i="97"/>
  <c r="C161" i="97"/>
  <c r="F157" i="97"/>
  <c r="E162" i="97"/>
  <c r="F160" i="97"/>
  <c r="C159" i="97"/>
  <c r="E157" i="97"/>
  <c r="B156" i="97"/>
  <c r="A245" i="97"/>
  <c r="D163" i="97"/>
  <c r="E161" i="97"/>
  <c r="F159" i="97"/>
  <c r="E156" i="97"/>
  <c r="A242" i="97"/>
  <c r="F162" i="97"/>
  <c r="D159" i="97"/>
  <c r="C156" i="97"/>
  <c r="D162" i="97"/>
  <c r="E160" i="97"/>
  <c r="B159" i="97"/>
  <c r="D157" i="97"/>
  <c r="F155" i="97"/>
  <c r="A246" i="97"/>
  <c r="F163" i="97"/>
  <c r="F161" i="97"/>
  <c r="C163" i="97"/>
  <c r="D161" i="97"/>
  <c r="E159" i="97"/>
  <c r="D156" i="97"/>
  <c r="C162" i="97"/>
  <c r="A239" i="97"/>
  <c r="A247" i="97"/>
  <c r="B161" i="97"/>
  <c r="A106" i="12"/>
  <c r="A107" i="12"/>
  <c r="A108" i="12"/>
  <c r="A109" i="12"/>
  <c r="A110" i="12"/>
  <c r="A83" i="12"/>
  <c r="A79" i="12"/>
  <c r="A80" i="12"/>
  <c r="A81" i="12"/>
  <c r="A82" i="12"/>
  <c r="A84" i="12"/>
  <c r="F8" i="12"/>
  <c r="F23" i="12"/>
  <c r="F37" i="15" s="1"/>
  <c r="F15" i="12"/>
  <c r="F23" i="15" s="1"/>
  <c r="F7" i="12"/>
  <c r="F12" i="12"/>
  <c r="F19" i="12"/>
  <c r="F29" i="15" s="1"/>
  <c r="F18" i="12"/>
  <c r="F28" i="15" s="1"/>
  <c r="F25" i="12"/>
  <c r="F32" i="15" s="1"/>
  <c r="F17" i="12"/>
  <c r="F27" i="15" s="1"/>
  <c r="F16" i="12"/>
  <c r="F26" i="15" s="1"/>
  <c r="F22" i="12"/>
  <c r="F36" i="15" s="1"/>
  <c r="F14" i="12"/>
  <c r="F22" i="15" s="1"/>
  <c r="F6" i="12"/>
  <c r="F20" i="12"/>
  <c r="F30" i="15" s="1"/>
  <c r="F11" i="12"/>
  <c r="F11" i="15" s="1"/>
  <c r="F26" i="12"/>
  <c r="F33" i="15" s="1"/>
  <c r="F10" i="12"/>
  <c r="F9" i="12"/>
  <c r="F24" i="12"/>
  <c r="F38" i="15" s="1"/>
  <c r="F21" i="12"/>
  <c r="F31" i="15" s="1"/>
  <c r="F13" i="12"/>
  <c r="F21" i="15" s="1"/>
  <c r="E12" i="12"/>
  <c r="E19" i="12"/>
  <c r="E29" i="15" s="1"/>
  <c r="E10" i="12"/>
  <c r="E25" i="12"/>
  <c r="E32" i="15" s="1"/>
  <c r="E9" i="12"/>
  <c r="E24" i="12"/>
  <c r="E38" i="15" s="1"/>
  <c r="E16" i="12"/>
  <c r="E26" i="15" s="1"/>
  <c r="E8" i="12"/>
  <c r="E22" i="12"/>
  <c r="E36" i="15" s="1"/>
  <c r="E20" i="12"/>
  <c r="E30" i="15" s="1"/>
  <c r="E11" i="12"/>
  <c r="E11" i="15" s="1"/>
  <c r="E26" i="12"/>
  <c r="E33" i="15" s="1"/>
  <c r="E18" i="12"/>
  <c r="E28" i="15" s="1"/>
  <c r="E17" i="12"/>
  <c r="E27" i="15" s="1"/>
  <c r="E23" i="12"/>
  <c r="E37" i="15" s="1"/>
  <c r="E15" i="12"/>
  <c r="E23" i="15" s="1"/>
  <c r="E7" i="12"/>
  <c r="E14" i="12"/>
  <c r="E22" i="15" s="1"/>
  <c r="E6" i="12"/>
  <c r="E21" i="12"/>
  <c r="E31" i="15" s="1"/>
  <c r="E13" i="12"/>
  <c r="E21" i="15" s="1"/>
  <c r="D20" i="12"/>
  <c r="D30" i="15" s="1"/>
  <c r="D26" i="12"/>
  <c r="D18" i="12"/>
  <c r="D28" i="15" s="1"/>
  <c r="D10" i="12"/>
  <c r="D12" i="12"/>
  <c r="D9" i="12"/>
  <c r="D8" i="12"/>
  <c r="D23" i="12"/>
  <c r="D37" i="15" s="1"/>
  <c r="D15" i="12"/>
  <c r="D23" i="15" s="1"/>
  <c r="D7" i="12"/>
  <c r="D11" i="12"/>
  <c r="D11" i="15" s="1"/>
  <c r="D25" i="12"/>
  <c r="D32" i="15" s="1"/>
  <c r="D16" i="12"/>
  <c r="D26" i="15" s="1"/>
  <c r="D22" i="12"/>
  <c r="D36" i="15" s="1"/>
  <c r="D14" i="12"/>
  <c r="D22" i="15" s="1"/>
  <c r="D6" i="12"/>
  <c r="D19" i="12"/>
  <c r="D29" i="15" s="1"/>
  <c r="D17" i="12"/>
  <c r="D27" i="15" s="1"/>
  <c r="D24" i="12"/>
  <c r="D38" i="15" s="1"/>
  <c r="D21" i="12"/>
  <c r="D31" i="15" s="1"/>
  <c r="D13" i="12"/>
  <c r="D21" i="15" s="1"/>
  <c r="C20" i="12"/>
  <c r="C30" i="15" s="1"/>
  <c r="C19" i="12"/>
  <c r="C29" i="15" s="1"/>
  <c r="C11" i="12"/>
  <c r="C11" i="15" s="1"/>
  <c r="C26" i="12"/>
  <c r="C33" i="15" s="1"/>
  <c r="C18" i="12"/>
  <c r="C28" i="15" s="1"/>
  <c r="C10" i="12"/>
  <c r="C25" i="12"/>
  <c r="C32" i="15" s="1"/>
  <c r="C17" i="12"/>
  <c r="C27" i="15" s="1"/>
  <c r="C9" i="12"/>
  <c r="C24" i="12"/>
  <c r="C38" i="15" s="1"/>
  <c r="C16" i="12"/>
  <c r="C26" i="15" s="1"/>
  <c r="C8" i="12"/>
  <c r="C12" i="12"/>
  <c r="C23" i="12"/>
  <c r="C37" i="15" s="1"/>
  <c r="C15" i="12"/>
  <c r="C23" i="15" s="1"/>
  <c r="C7" i="12"/>
  <c r="C22" i="12"/>
  <c r="C36" i="15" s="1"/>
  <c r="C14" i="12"/>
  <c r="C22" i="15" s="1"/>
  <c r="C6" i="12"/>
  <c r="C21" i="12"/>
  <c r="C31" i="15" s="1"/>
  <c r="C13" i="12"/>
  <c r="C21" i="15" s="1"/>
  <c r="B23" i="12"/>
  <c r="B37" i="15" s="1"/>
  <c r="B15" i="12"/>
  <c r="B23" i="15" s="1"/>
  <c r="B7" i="12"/>
  <c r="B22" i="12"/>
  <c r="B36" i="15" s="1"/>
  <c r="B14" i="12"/>
  <c r="B22" i="15" s="1"/>
  <c r="B6" i="12"/>
  <c r="B21" i="12"/>
  <c r="B31" i="15" s="1"/>
  <c r="B13" i="12"/>
  <c r="B21" i="15" s="1"/>
  <c r="B5" i="12"/>
  <c r="B20" i="12"/>
  <c r="B30" i="15" s="1"/>
  <c r="B12" i="12"/>
  <c r="B19" i="12"/>
  <c r="B29" i="15" s="1"/>
  <c r="B11" i="12"/>
  <c r="B11" i="15" s="1"/>
  <c r="B26" i="12"/>
  <c r="B33" i="15" s="1"/>
  <c r="B18" i="12"/>
  <c r="B28" i="15" s="1"/>
  <c r="B10" i="12"/>
  <c r="B25" i="12"/>
  <c r="B32" i="15" s="1"/>
  <c r="B17" i="12"/>
  <c r="B27" i="15" s="1"/>
  <c r="B9" i="12"/>
  <c r="B24" i="12"/>
  <c r="B38" i="15" s="1"/>
  <c r="B16" i="12"/>
  <c r="B26" i="15" s="1"/>
  <c r="F7" i="11"/>
  <c r="F12" i="11"/>
  <c r="F11" i="11"/>
  <c r="F10" i="11"/>
  <c r="H10" i="11" s="1"/>
  <c r="J10" i="11" s="1"/>
  <c r="F9" i="11"/>
  <c r="E11" i="11"/>
  <c r="E9" i="11"/>
  <c r="E8" i="11"/>
  <c r="E12" i="11"/>
  <c r="E10" i="11"/>
  <c r="D11" i="11"/>
  <c r="D9" i="11"/>
  <c r="D8" i="11"/>
  <c r="D12" i="11"/>
  <c r="D10" i="11"/>
  <c r="C7" i="11"/>
  <c r="C12" i="11"/>
  <c r="C11" i="11"/>
  <c r="C10" i="11"/>
  <c r="C9" i="11"/>
  <c r="B12" i="11"/>
  <c r="B11" i="11"/>
  <c r="B10" i="11"/>
  <c r="B9" i="11"/>
  <c r="B8" i="11"/>
  <c r="M154" i="75" l="1"/>
  <c r="M158" i="75"/>
  <c r="M155" i="75"/>
  <c r="X5" i="106"/>
  <c r="M156" i="75"/>
  <c r="X6" i="106"/>
  <c r="M153" i="75"/>
  <c r="M157" i="75"/>
  <c r="H9" i="11"/>
  <c r="J9" i="11" s="1"/>
  <c r="I24" i="11"/>
  <c r="H23" i="11"/>
  <c r="I23" i="11"/>
  <c r="J23" i="11"/>
  <c r="H11" i="11"/>
  <c r="J11" i="11" s="1"/>
  <c r="J24" i="11" s="1"/>
  <c r="I25" i="11"/>
  <c r="H12" i="11"/>
  <c r="J12" i="11" s="1"/>
  <c r="J25" i="11" s="1"/>
  <c r="H21" i="11"/>
  <c r="I21" i="11"/>
  <c r="F45" i="11"/>
  <c r="H7" i="11"/>
  <c r="H22" i="11"/>
  <c r="I22" i="11"/>
  <c r="J22" i="11"/>
  <c r="H8" i="11"/>
  <c r="J8" i="11" s="1"/>
  <c r="J21" i="11" s="1"/>
  <c r="N261" i="21"/>
  <c r="N262" i="21"/>
  <c r="M159" i="75"/>
  <c r="M152" i="75"/>
  <c r="Z11" i="106"/>
  <c r="N263" i="21"/>
  <c r="N264" i="21"/>
  <c r="F46" i="11"/>
  <c r="N265" i="21"/>
  <c r="Z9" i="106"/>
  <c r="Z8" i="106"/>
  <c r="Z6" i="106"/>
  <c r="X11" i="106"/>
  <c r="Z5" i="106"/>
  <c r="AA11" i="106"/>
  <c r="AC11" i="106"/>
  <c r="AB5" i="106"/>
  <c r="Y5" i="106"/>
  <c r="AB7" i="106"/>
  <c r="Y7" i="106"/>
  <c r="X12" i="106"/>
  <c r="AB8" i="106"/>
  <c r="Y8" i="106"/>
  <c r="AC12" i="106"/>
  <c r="AA12" i="106"/>
  <c r="Y9" i="106"/>
  <c r="AB9" i="106"/>
  <c r="AC5" i="106"/>
  <c r="AA5" i="106"/>
  <c r="AB10" i="106"/>
  <c r="Y10" i="106"/>
  <c r="AA6" i="106"/>
  <c r="AC6" i="106"/>
  <c r="AB6" i="106"/>
  <c r="Y6" i="106"/>
  <c r="X7" i="106"/>
  <c r="AB11" i="106"/>
  <c r="Y11" i="106"/>
  <c r="AC7" i="106"/>
  <c r="AA7" i="106"/>
  <c r="X8" i="106"/>
  <c r="Y12" i="106"/>
  <c r="AB12" i="106"/>
  <c r="AA8" i="106"/>
  <c r="AC8" i="106"/>
  <c r="X9" i="106"/>
  <c r="Z7" i="106"/>
  <c r="AA9" i="106"/>
  <c r="AC9" i="106"/>
  <c r="Z12" i="106"/>
  <c r="X10" i="106"/>
  <c r="Z10" i="106"/>
  <c r="AA10" i="106"/>
  <c r="AC10" i="106"/>
  <c r="A73" i="15"/>
  <c r="L17" i="19" s="1"/>
  <c r="L28" i="21"/>
  <c r="L29" i="21"/>
  <c r="A74" i="15"/>
  <c r="L16" i="19" s="1"/>
  <c r="L31" i="21"/>
  <c r="A76" i="15"/>
  <c r="L14" i="19" s="1"/>
  <c r="L30" i="21"/>
  <c r="A75" i="15"/>
  <c r="L15" i="19" s="1"/>
  <c r="H11" i="15"/>
  <c r="H31" i="15"/>
  <c r="K31" i="15"/>
  <c r="L22" i="15"/>
  <c r="F47" i="11"/>
  <c r="L38" i="15"/>
  <c r="I11" i="15"/>
  <c r="K33" i="15"/>
  <c r="L28" i="15"/>
  <c r="J30" i="15"/>
  <c r="J29" i="15"/>
  <c r="K11" i="15"/>
  <c r="L11" i="15"/>
  <c r="F69" i="16"/>
  <c r="N8" i="107" s="1"/>
  <c r="H13" i="16"/>
  <c r="H30" i="15"/>
  <c r="I31" i="15"/>
  <c r="I32" i="15"/>
  <c r="K30" i="15"/>
  <c r="L30" i="15"/>
  <c r="L29" i="15"/>
  <c r="H32" i="15"/>
  <c r="H14" i="16"/>
  <c r="F70" i="16"/>
  <c r="N9" i="107" s="1"/>
  <c r="F48" i="11"/>
  <c r="L21" i="15"/>
  <c r="H15" i="16"/>
  <c r="F71" i="16"/>
  <c r="N10" i="107" s="1"/>
  <c r="K32" i="15"/>
  <c r="L32" i="15"/>
  <c r="F49" i="11"/>
  <c r="C111" i="12"/>
  <c r="D33" i="15"/>
  <c r="J33" i="15" s="1"/>
  <c r="F50" i="11"/>
  <c r="I29" i="15"/>
  <c r="I30" i="15"/>
  <c r="L36" i="15"/>
  <c r="L23" i="15"/>
  <c r="K29" i="15"/>
  <c r="H9" i="16"/>
  <c r="H27" i="16" s="1"/>
  <c r="F65" i="16"/>
  <c r="N4" i="107" s="1"/>
  <c r="L26" i="15"/>
  <c r="L37" i="15"/>
  <c r="D82" i="16"/>
  <c r="H10" i="16"/>
  <c r="F66" i="16"/>
  <c r="N5" i="107" s="1"/>
  <c r="L31" i="15"/>
  <c r="J11" i="15"/>
  <c r="H16" i="16"/>
  <c r="F72" i="16"/>
  <c r="N11" i="107" s="1"/>
  <c r="J31" i="15"/>
  <c r="J32" i="15"/>
  <c r="L27" i="15"/>
  <c r="H33" i="15"/>
  <c r="H11" i="16"/>
  <c r="F67" i="16"/>
  <c r="N6" i="107" s="1"/>
  <c r="H29" i="15"/>
  <c r="F68" i="16"/>
  <c r="N7" i="107" s="1"/>
  <c r="H12" i="16"/>
  <c r="B18" i="16"/>
  <c r="B50" i="18" s="1"/>
  <c r="D108" i="12"/>
  <c r="B111" i="12"/>
  <c r="C109" i="12"/>
  <c r="D107" i="12"/>
  <c r="B106" i="12"/>
  <c r="F109" i="12"/>
  <c r="E109" i="12"/>
  <c r="C108" i="12"/>
  <c r="F108" i="12"/>
  <c r="E108" i="12"/>
  <c r="F107" i="12"/>
  <c r="E107" i="12"/>
  <c r="B109" i="12"/>
  <c r="D106" i="12"/>
  <c r="D111" i="12"/>
  <c r="D110" i="12"/>
  <c r="B108" i="12"/>
  <c r="E106" i="12"/>
  <c r="F106" i="12"/>
  <c r="D109" i="12"/>
  <c r="B107" i="12"/>
  <c r="C107" i="12"/>
  <c r="E111" i="12"/>
  <c r="F111" i="12"/>
  <c r="E110" i="12"/>
  <c r="F110" i="12"/>
  <c r="B110" i="12"/>
  <c r="C106" i="12"/>
  <c r="C110" i="12"/>
  <c r="B28" i="12"/>
  <c r="B35" i="12" s="1"/>
  <c r="E28" i="12"/>
  <c r="E32" i="12" s="1"/>
  <c r="F28" i="12"/>
  <c r="F32" i="12" s="1"/>
  <c r="C28" i="12"/>
  <c r="D28" i="12"/>
  <c r="D32" i="12" s="1"/>
  <c r="H25" i="11" l="1"/>
  <c r="H14" i="11"/>
  <c r="J7" i="11"/>
  <c r="H20" i="11"/>
  <c r="H24" i="11"/>
  <c r="H33" i="16"/>
  <c r="N158" i="75"/>
  <c r="H29" i="16"/>
  <c r="N154" i="75"/>
  <c r="P7" i="31"/>
  <c r="N159" i="75"/>
  <c r="N152" i="75"/>
  <c r="H31" i="16"/>
  <c r="N156" i="75"/>
  <c r="H28" i="16"/>
  <c r="N153" i="75"/>
  <c r="H30" i="16"/>
  <c r="N155" i="75"/>
  <c r="H32" i="16"/>
  <c r="N157" i="75"/>
  <c r="X18" i="106"/>
  <c r="X19" i="106"/>
  <c r="Y18" i="106" s="1"/>
  <c r="H18" i="16"/>
  <c r="N161" i="75" s="1"/>
  <c r="L33" i="15"/>
  <c r="H34" i="16"/>
  <c r="I33" i="15"/>
  <c r="H60" i="18"/>
  <c r="H59" i="18"/>
  <c r="C32" i="12"/>
  <c r="B113" i="12"/>
  <c r="E39" i="12"/>
  <c r="E49" i="12"/>
  <c r="E34" i="12"/>
  <c r="E48" i="12"/>
  <c r="F48" i="12"/>
  <c r="C39" i="12"/>
  <c r="D40" i="12"/>
  <c r="C44" i="12"/>
  <c r="B40" i="12"/>
  <c r="B34" i="12"/>
  <c r="B33" i="12"/>
  <c r="E37" i="12"/>
  <c r="B38" i="12"/>
  <c r="F34" i="12"/>
  <c r="B51" i="12"/>
  <c r="B43" i="12"/>
  <c r="B37" i="12"/>
  <c r="F44" i="12"/>
  <c r="F50" i="12"/>
  <c r="C50" i="12"/>
  <c r="E44" i="12"/>
  <c r="C43" i="12"/>
  <c r="E46" i="12"/>
  <c r="F40" i="12"/>
  <c r="C42" i="12"/>
  <c r="B32" i="12"/>
  <c r="D47" i="12"/>
  <c r="B42" i="12"/>
  <c r="F36" i="12"/>
  <c r="E43" i="12"/>
  <c r="F45" i="12"/>
  <c r="E38" i="12"/>
  <c r="F41" i="12"/>
  <c r="B47" i="12"/>
  <c r="E36" i="12"/>
  <c r="E50" i="12"/>
  <c r="F38" i="12"/>
  <c r="E33" i="12"/>
  <c r="F39" i="12"/>
  <c r="B44" i="12"/>
  <c r="D33" i="12"/>
  <c r="B49" i="12"/>
  <c r="F47" i="12"/>
  <c r="E53" i="12"/>
  <c r="C38" i="12"/>
  <c r="C40" i="12"/>
  <c r="D43" i="12"/>
  <c r="B46" i="12"/>
  <c r="E42" i="12"/>
  <c r="D41" i="12"/>
  <c r="C33" i="12"/>
  <c r="C34" i="12"/>
  <c r="D36" i="12"/>
  <c r="D37" i="12"/>
  <c r="C46" i="12"/>
  <c r="D53" i="12"/>
  <c r="D49" i="12"/>
  <c r="D38" i="12"/>
  <c r="D52" i="12"/>
  <c r="F35" i="12"/>
  <c r="C51" i="12"/>
  <c r="E45" i="12"/>
  <c r="B53" i="12"/>
  <c r="D34" i="12"/>
  <c r="E35" i="12"/>
  <c r="E47" i="12"/>
  <c r="B39" i="12"/>
  <c r="C47" i="12"/>
  <c r="F42" i="12"/>
  <c r="C35" i="12"/>
  <c r="C37" i="12"/>
  <c r="F52" i="12"/>
  <c r="F33" i="12"/>
  <c r="C53" i="12"/>
  <c r="D48" i="12"/>
  <c r="F37" i="12"/>
  <c r="C41" i="12"/>
  <c r="E40" i="12"/>
  <c r="F49" i="12"/>
  <c r="D44" i="12"/>
  <c r="D45" i="12"/>
  <c r="E41" i="12"/>
  <c r="B36" i="12"/>
  <c r="C36" i="12"/>
  <c r="F51" i="12"/>
  <c r="C48" i="12"/>
  <c r="B50" i="12"/>
  <c r="D35" i="12"/>
  <c r="D42" i="12"/>
  <c r="D46" i="12"/>
  <c r="F43" i="12"/>
  <c r="F46" i="12"/>
  <c r="C52" i="12"/>
  <c r="E52" i="12"/>
  <c r="B41" i="12"/>
  <c r="D50" i="12"/>
  <c r="B48" i="12"/>
  <c r="C45" i="12"/>
  <c r="D51" i="12"/>
  <c r="D39" i="12"/>
  <c r="F53" i="12"/>
  <c r="C49" i="12"/>
  <c r="E51" i="12"/>
  <c r="B45" i="12"/>
  <c r="B52" i="12"/>
  <c r="J14" i="11" l="1"/>
  <c r="J20" i="11"/>
  <c r="Y19" i="106"/>
  <c r="Z18" i="106"/>
  <c r="A52" i="5"/>
  <c r="A53" i="5"/>
  <c r="A54" i="5"/>
  <c r="A55" i="5"/>
  <c r="A56" i="5"/>
  <c r="A51" i="5"/>
  <c r="B50" i="5" a="1"/>
  <c r="D50" i="5" s="1"/>
  <c r="A49" i="5"/>
  <c r="H50" i="5" l="1"/>
  <c r="G50" i="5"/>
  <c r="F50" i="5"/>
  <c r="E50" i="5"/>
  <c r="C50" i="5"/>
  <c r="J50" i="5"/>
  <c r="B50" i="5"/>
  <c r="I50" i="5"/>
  <c r="B37" i="5" a="1"/>
  <c r="B37" i="5" s="1"/>
  <c r="A36" i="5"/>
  <c r="Y37" i="5" l="1"/>
  <c r="Q37" i="5"/>
  <c r="I37" i="5"/>
  <c r="X37" i="5"/>
  <c r="P37" i="5"/>
  <c r="H37" i="5"/>
  <c r="W37" i="5"/>
  <c r="O37" i="5"/>
  <c r="G37" i="5"/>
  <c r="V37" i="5"/>
  <c r="N37" i="5"/>
  <c r="F37" i="5"/>
  <c r="U37" i="5"/>
  <c r="M37" i="5"/>
  <c r="E37" i="5"/>
  <c r="T37" i="5"/>
  <c r="L37" i="5"/>
  <c r="D37" i="5"/>
  <c r="S37" i="5"/>
  <c r="K37" i="5"/>
  <c r="C37" i="5"/>
  <c r="Z37" i="5"/>
  <c r="R37" i="5"/>
  <c r="J37" i="5"/>
  <c r="A27" i="5"/>
  <c r="A29" i="5"/>
  <c r="A30" i="5"/>
  <c r="A31" i="5"/>
  <c r="A32" i="5"/>
  <c r="A33" i="5"/>
  <c r="A28" i="5"/>
  <c r="B2" i="5" a="1"/>
  <c r="B2" i="5" s="1"/>
  <c r="A1" i="5"/>
  <c r="BT2" i="5" l="1"/>
  <c r="BD2" i="5"/>
  <c r="AN2" i="5"/>
  <c r="X2" i="5"/>
  <c r="H2" i="5"/>
  <c r="BS2" i="5"/>
  <c r="BC2" i="5"/>
  <c r="AM2" i="5"/>
  <c r="W2" i="5"/>
  <c r="G2" i="5"/>
  <c r="BR2" i="5"/>
  <c r="BB2" i="5"/>
  <c r="AL2" i="5"/>
  <c r="V2" i="5"/>
  <c r="F2" i="5"/>
  <c r="BQ2" i="5"/>
  <c r="BA2" i="5"/>
  <c r="AK2" i="5"/>
  <c r="U2" i="5"/>
  <c r="E2" i="5"/>
  <c r="BP2" i="5"/>
  <c r="AZ2" i="5"/>
  <c r="AJ2" i="5"/>
  <c r="T2" i="5"/>
  <c r="D2" i="5"/>
  <c r="BW2" i="5"/>
  <c r="BO2" i="5"/>
  <c r="BG2" i="5"/>
  <c r="AY2" i="5"/>
  <c r="AQ2" i="5"/>
  <c r="AI2" i="5"/>
  <c r="AA2" i="5"/>
  <c r="S2" i="5"/>
  <c r="K2" i="5"/>
  <c r="C2" i="5"/>
  <c r="BU2" i="5"/>
  <c r="BM2" i="5"/>
  <c r="BE2" i="5"/>
  <c r="AW2" i="5"/>
  <c r="AO2" i="5"/>
  <c r="AG2" i="5"/>
  <c r="Y2" i="5"/>
  <c r="Q2" i="5"/>
  <c r="I2" i="5"/>
  <c r="BL2" i="5"/>
  <c r="AV2" i="5"/>
  <c r="AF2" i="5"/>
  <c r="P2" i="5"/>
  <c r="BK2" i="5"/>
  <c r="AU2" i="5"/>
  <c r="AE2" i="5"/>
  <c r="O2" i="5"/>
  <c r="BJ2" i="5"/>
  <c r="AT2" i="5"/>
  <c r="AD2" i="5"/>
  <c r="N2" i="5"/>
  <c r="BI2" i="5"/>
  <c r="AS2" i="5"/>
  <c r="AC2" i="5"/>
  <c r="M2" i="5"/>
  <c r="BX2" i="5"/>
  <c r="BH2" i="5"/>
  <c r="AR2" i="5"/>
  <c r="AB2" i="5"/>
  <c r="L2" i="5"/>
  <c r="BV2" i="5"/>
  <c r="BN2" i="5"/>
  <c r="BF2" i="5"/>
  <c r="AX2" i="5"/>
  <c r="AP2" i="5"/>
  <c r="AH2" i="5"/>
  <c r="Z2" i="5"/>
  <c r="R2" i="5"/>
  <c r="J2" i="5"/>
  <c r="K9" i="80" l="1"/>
  <c r="K10" i="80"/>
  <c r="K11" i="80"/>
  <c r="K14" i="80"/>
  <c r="L14" i="80" s="1"/>
  <c r="K15" i="80"/>
  <c r="K16" i="80"/>
  <c r="K17" i="80"/>
  <c r="K18" i="80"/>
  <c r="K19" i="80"/>
  <c r="K20" i="80"/>
  <c r="K21" i="80"/>
  <c r="K22" i="80"/>
  <c r="K23" i="80"/>
  <c r="K24" i="80"/>
  <c r="K25" i="80"/>
  <c r="K26" i="80"/>
  <c r="K27" i="80"/>
  <c r="K28" i="80"/>
  <c r="K29" i="80"/>
  <c r="K30" i="80"/>
  <c r="K31" i="80"/>
  <c r="K32" i="80"/>
  <c r="Y137" i="78" l="1"/>
  <c r="Y140" i="78"/>
  <c r="Y139" i="78"/>
  <c r="Y138" i="78"/>
  <c r="Y136" i="78"/>
  <c r="Y135" i="78"/>
  <c r="Y134" i="78"/>
  <c r="Y133" i="78"/>
  <c r="Y132" i="78"/>
  <c r="Y131" i="78"/>
  <c r="Y130" i="78"/>
  <c r="Y129" i="78"/>
  <c r="Y128" i="78"/>
  <c r="Y127" i="78"/>
  <c r="Y126" i="78"/>
  <c r="Y125" i="78"/>
  <c r="Y124" i="78"/>
  <c r="Y123" i="78"/>
  <c r="Y122" i="78"/>
  <c r="Y121" i="78"/>
  <c r="Y120" i="78"/>
  <c r="Y119" i="78"/>
  <c r="Y118" i="78"/>
  <c r="Y117" i="78"/>
  <c r="Y116" i="78"/>
  <c r="N140" i="78"/>
  <c r="N139" i="78"/>
  <c r="N138" i="78"/>
  <c r="N137" i="78"/>
  <c r="N136" i="78"/>
  <c r="N135" i="78"/>
  <c r="N134" i="78"/>
  <c r="N133" i="78"/>
  <c r="N132" i="78"/>
  <c r="N131" i="78"/>
  <c r="N130" i="78"/>
  <c r="N129" i="78"/>
  <c r="N128" i="78"/>
  <c r="N127" i="78"/>
  <c r="N126" i="78"/>
  <c r="N125" i="78"/>
  <c r="N124" i="78"/>
  <c r="N123" i="78"/>
  <c r="N122" i="78"/>
  <c r="N121" i="78"/>
  <c r="N120" i="78"/>
  <c r="N119" i="78"/>
  <c r="N118" i="78"/>
  <c r="N117" i="78"/>
  <c r="N116" i="78"/>
  <c r="C117" i="78"/>
  <c r="C118" i="78"/>
  <c r="C119" i="78"/>
  <c r="C120" i="78"/>
  <c r="C121" i="78"/>
  <c r="C122" i="78"/>
  <c r="C123" i="78"/>
  <c r="C124" i="78"/>
  <c r="C125" i="78"/>
  <c r="C126" i="78"/>
  <c r="C127" i="78"/>
  <c r="C128" i="78"/>
  <c r="C129" i="78"/>
  <c r="C130" i="78"/>
  <c r="C131" i="78"/>
  <c r="C132" i="78"/>
  <c r="C133" i="78"/>
  <c r="C134" i="78"/>
  <c r="C135" i="78"/>
  <c r="C136" i="78"/>
  <c r="C137" i="78"/>
  <c r="C138" i="78"/>
  <c r="C139" i="78"/>
  <c r="C140" i="78"/>
  <c r="C116" i="78"/>
  <c r="C114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F104" i="78"/>
  <c r="F80" i="78"/>
  <c r="F78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C104" i="78"/>
  <c r="C80" i="78"/>
  <c r="C78" i="78"/>
  <c r="C117" i="71" l="1"/>
  <c r="C118" i="71"/>
  <c r="C119" i="71"/>
  <c r="C120" i="71"/>
  <c r="C121" i="71"/>
  <c r="C122" i="71"/>
  <c r="C123" i="71"/>
  <c r="C124" i="71"/>
  <c r="C125" i="71"/>
  <c r="C126" i="71"/>
  <c r="C127" i="71"/>
  <c r="C128" i="71"/>
  <c r="C129" i="71"/>
  <c r="C130" i="71"/>
  <c r="C131" i="71"/>
  <c r="C132" i="71"/>
  <c r="C133" i="71"/>
  <c r="C134" i="71"/>
  <c r="C135" i="71"/>
  <c r="C136" i="71"/>
  <c r="C137" i="71"/>
  <c r="C138" i="71"/>
  <c r="C139" i="71"/>
  <c r="C140" i="71"/>
  <c r="C116" i="71"/>
  <c r="C114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C104" i="71"/>
  <c r="C80" i="71"/>
  <c r="C78" i="71"/>
  <c r="I17" i="15"/>
  <c r="F258" i="97"/>
  <c r="F259" i="97"/>
  <c r="F260" i="97"/>
  <c r="F261" i="97"/>
  <c r="F262" i="97"/>
  <c r="F263" i="97"/>
  <c r="F264" i="97"/>
  <c r="F265" i="97"/>
  <c r="F266" i="97"/>
  <c r="F267" i="97"/>
  <c r="F268" i="97"/>
  <c r="F269" i="97"/>
  <c r="F270" i="97"/>
  <c r="F271" i="97"/>
  <c r="F272" i="97"/>
  <c r="F273" i="97"/>
  <c r="F274" i="97"/>
  <c r="F275" i="97"/>
  <c r="F276" i="97"/>
  <c r="F277" i="97"/>
  <c r="F278" i="97"/>
  <c r="F279" i="97"/>
  <c r="F280" i="97"/>
  <c r="F281" i="97"/>
  <c r="F282" i="97"/>
  <c r="F283" i="97"/>
  <c r="F284" i="97"/>
  <c r="F285" i="97"/>
  <c r="F286" i="97"/>
  <c r="F287" i="97"/>
  <c r="F288" i="97"/>
  <c r="F289" i="97"/>
  <c r="F290" i="97"/>
  <c r="F291" i="97"/>
  <c r="F292" i="97"/>
  <c r="F293" i="97"/>
  <c r="F294" i="97"/>
  <c r="F295" i="97"/>
  <c r="F296" i="97"/>
  <c r="F297" i="97"/>
  <c r="F298" i="97"/>
  <c r="F299" i="97"/>
  <c r="F300" i="97"/>
  <c r="F301" i="97"/>
  <c r="F302" i="97"/>
  <c r="F303" i="97"/>
  <c r="F304" i="97"/>
  <c r="F305" i="97"/>
  <c r="F306" i="97"/>
  <c r="F307" i="97"/>
  <c r="F308" i="97"/>
  <c r="F309" i="97"/>
  <c r="F310" i="97"/>
  <c r="F311" i="97"/>
  <c r="F312" i="97"/>
  <c r="F313" i="97"/>
  <c r="F314" i="97"/>
  <c r="F315" i="97"/>
  <c r="F316" i="97"/>
  <c r="F317" i="97"/>
  <c r="F318" i="97"/>
  <c r="F319" i="97"/>
  <c r="F320" i="97"/>
  <c r="F321" i="97"/>
  <c r="F322" i="97"/>
  <c r="F257" i="97"/>
  <c r="F255" i="97"/>
  <c r="C258" i="97"/>
  <c r="C259" i="97"/>
  <c r="C260" i="97"/>
  <c r="C261" i="97"/>
  <c r="C262" i="97"/>
  <c r="C263" i="97"/>
  <c r="C264" i="97"/>
  <c r="C265" i="97"/>
  <c r="C266" i="97"/>
  <c r="C267" i="97"/>
  <c r="C268" i="97"/>
  <c r="C269" i="97"/>
  <c r="C270" i="97"/>
  <c r="C271" i="97"/>
  <c r="C272" i="97"/>
  <c r="C273" i="97"/>
  <c r="C274" i="97"/>
  <c r="C275" i="97"/>
  <c r="C276" i="97"/>
  <c r="C277" i="97"/>
  <c r="C278" i="97"/>
  <c r="C279" i="97"/>
  <c r="C280" i="97"/>
  <c r="C281" i="97"/>
  <c r="C282" i="97"/>
  <c r="C283" i="97"/>
  <c r="C284" i="97"/>
  <c r="C285" i="97"/>
  <c r="C286" i="97"/>
  <c r="C287" i="97"/>
  <c r="C288" i="97"/>
  <c r="C289" i="97"/>
  <c r="C290" i="97"/>
  <c r="C291" i="97"/>
  <c r="C292" i="97"/>
  <c r="C293" i="97"/>
  <c r="C294" i="97"/>
  <c r="C295" i="97"/>
  <c r="C296" i="97"/>
  <c r="C297" i="97"/>
  <c r="C298" i="97"/>
  <c r="C299" i="97"/>
  <c r="C300" i="97"/>
  <c r="C301" i="97"/>
  <c r="C302" i="97"/>
  <c r="C303" i="97"/>
  <c r="C304" i="97"/>
  <c r="C305" i="97"/>
  <c r="C306" i="97"/>
  <c r="C307" i="97"/>
  <c r="C308" i="97"/>
  <c r="C309" i="97"/>
  <c r="C310" i="97"/>
  <c r="C311" i="97"/>
  <c r="C312" i="97"/>
  <c r="C313" i="97"/>
  <c r="C314" i="97"/>
  <c r="C315" i="97"/>
  <c r="C316" i="97"/>
  <c r="C317" i="97"/>
  <c r="C318" i="97"/>
  <c r="C319" i="97"/>
  <c r="C320" i="97"/>
  <c r="C321" i="97"/>
  <c r="C322" i="97"/>
  <c r="C257" i="97"/>
  <c r="C255" i="97"/>
  <c r="F174" i="97"/>
  <c r="F175" i="97"/>
  <c r="F176" i="97"/>
  <c r="F177" i="97"/>
  <c r="F178" i="97"/>
  <c r="F179" i="97"/>
  <c r="F180" i="97"/>
  <c r="F181" i="97"/>
  <c r="F182" i="97"/>
  <c r="F183" i="97"/>
  <c r="F184" i="97"/>
  <c r="F185" i="97"/>
  <c r="F186" i="97"/>
  <c r="F187" i="97"/>
  <c r="F188" i="97"/>
  <c r="F189" i="97"/>
  <c r="F190" i="97"/>
  <c r="F191" i="97"/>
  <c r="F192" i="97"/>
  <c r="F193" i="97"/>
  <c r="F194" i="97"/>
  <c r="F195" i="97"/>
  <c r="F196" i="97"/>
  <c r="F197" i="97"/>
  <c r="F198" i="97"/>
  <c r="F199" i="97"/>
  <c r="F200" i="97"/>
  <c r="F201" i="97"/>
  <c r="F202" i="97"/>
  <c r="F203" i="97"/>
  <c r="F204" i="97"/>
  <c r="F205" i="97"/>
  <c r="F206" i="97"/>
  <c r="F207" i="97"/>
  <c r="F208" i="97"/>
  <c r="F209" i="97"/>
  <c r="F210" i="97"/>
  <c r="F211" i="97"/>
  <c r="F212" i="97"/>
  <c r="F213" i="97"/>
  <c r="F214" i="97"/>
  <c r="F215" i="97"/>
  <c r="F216" i="97"/>
  <c r="F217" i="97"/>
  <c r="F218" i="97"/>
  <c r="F219" i="97"/>
  <c r="F220" i="97"/>
  <c r="F221" i="97"/>
  <c r="F222" i="97"/>
  <c r="F223" i="97"/>
  <c r="F224" i="97"/>
  <c r="F225" i="97"/>
  <c r="F226" i="97"/>
  <c r="F227" i="97"/>
  <c r="F228" i="97"/>
  <c r="F229" i="97"/>
  <c r="F230" i="97"/>
  <c r="F231" i="97"/>
  <c r="F232" i="97"/>
  <c r="F233" i="97"/>
  <c r="F234" i="97"/>
  <c r="F235" i="97"/>
  <c r="F236" i="97"/>
  <c r="F237" i="97"/>
  <c r="F238" i="97"/>
  <c r="F173" i="97"/>
  <c r="F171" i="97"/>
  <c r="C174" i="97"/>
  <c r="C175" i="97"/>
  <c r="C176" i="97"/>
  <c r="C177" i="97"/>
  <c r="C178" i="97"/>
  <c r="C179" i="97"/>
  <c r="C180" i="97"/>
  <c r="C181" i="97"/>
  <c r="C182" i="97"/>
  <c r="C183" i="97"/>
  <c r="C184" i="97"/>
  <c r="C185" i="97"/>
  <c r="C186" i="97"/>
  <c r="C187" i="97"/>
  <c r="C188" i="97"/>
  <c r="C189" i="97"/>
  <c r="C190" i="97"/>
  <c r="C191" i="97"/>
  <c r="C192" i="97"/>
  <c r="C193" i="97"/>
  <c r="C194" i="97"/>
  <c r="C195" i="97"/>
  <c r="C196" i="97"/>
  <c r="C197" i="97"/>
  <c r="C198" i="97"/>
  <c r="C199" i="97"/>
  <c r="C200" i="97"/>
  <c r="C201" i="97"/>
  <c r="C202" i="97"/>
  <c r="C203" i="97"/>
  <c r="C204" i="97"/>
  <c r="C205" i="97"/>
  <c r="C206" i="97"/>
  <c r="C207" i="97"/>
  <c r="C208" i="97"/>
  <c r="C209" i="97"/>
  <c r="C210" i="97"/>
  <c r="C211" i="97"/>
  <c r="C212" i="97"/>
  <c r="C213" i="97"/>
  <c r="C214" i="97"/>
  <c r="C215" i="97"/>
  <c r="C216" i="97"/>
  <c r="C217" i="97"/>
  <c r="C218" i="97"/>
  <c r="C219" i="97"/>
  <c r="C220" i="97"/>
  <c r="C221" i="97"/>
  <c r="C222" i="97"/>
  <c r="C223" i="97"/>
  <c r="C224" i="97"/>
  <c r="C225" i="97"/>
  <c r="C226" i="97"/>
  <c r="C227" i="97"/>
  <c r="C228" i="97"/>
  <c r="C229" i="97"/>
  <c r="C230" i="97"/>
  <c r="C231" i="97"/>
  <c r="C232" i="97"/>
  <c r="C233" i="97"/>
  <c r="C234" i="97"/>
  <c r="C235" i="97"/>
  <c r="C236" i="97"/>
  <c r="C237" i="97"/>
  <c r="C238" i="97"/>
  <c r="C173" i="97"/>
  <c r="C171" i="97"/>
  <c r="C4" i="13" l="1"/>
  <c r="D12" i="13" l="1"/>
  <c r="E12" i="13"/>
  <c r="F12" i="13"/>
  <c r="G12" i="13"/>
  <c r="C12" i="13"/>
  <c r="G39" i="49" l="1"/>
  <c r="D39" i="49"/>
  <c r="F39" i="49" l="1"/>
  <c r="F9" i="52" l="1"/>
  <c r="K10" i="79" l="1"/>
  <c r="K11" i="79"/>
  <c r="K12" i="79"/>
  <c r="K13" i="79"/>
  <c r="K14" i="79"/>
  <c r="K15" i="79"/>
  <c r="K16" i="79"/>
  <c r="K17" i="79"/>
  <c r="K18" i="79"/>
  <c r="K19" i="79"/>
  <c r="K20" i="79"/>
  <c r="K21" i="79"/>
  <c r="K22" i="79"/>
  <c r="K23" i="79"/>
  <c r="K24" i="79"/>
  <c r="K25" i="79"/>
  <c r="K26" i="79"/>
  <c r="K27" i="79"/>
  <c r="K28" i="79"/>
  <c r="K29" i="79"/>
  <c r="K30" i="79"/>
  <c r="K31" i="79"/>
  <c r="K32" i="79"/>
  <c r="AE16" i="79" l="1"/>
  <c r="AF16" i="79"/>
  <c r="Z16" i="79"/>
  <c r="Y16" i="79"/>
  <c r="AG16" i="79"/>
  <c r="AA16" i="79"/>
  <c r="AB16" i="79"/>
  <c r="AC16" i="79"/>
  <c r="AD16" i="79"/>
  <c r="AF15" i="79"/>
  <c r="AB15" i="79"/>
  <c r="Y15" i="79"/>
  <c r="AG15" i="79"/>
  <c r="AC15" i="79"/>
  <c r="Z15" i="79"/>
  <c r="AA15" i="79"/>
  <c r="AD15" i="79"/>
  <c r="AE15" i="79"/>
  <c r="Y14" i="79"/>
  <c r="AG14" i="79"/>
  <c r="AB14" i="79"/>
  <c r="Z14" i="79"/>
  <c r="AC14" i="79"/>
  <c r="AA14" i="79"/>
  <c r="AE14" i="79"/>
  <c r="AF14" i="79"/>
  <c r="AD14" i="79"/>
  <c r="AE24" i="79"/>
  <c r="Z24" i="79"/>
  <c r="AA24" i="79"/>
  <c r="AB24" i="79"/>
  <c r="AF24" i="79"/>
  <c r="Y24" i="79"/>
  <c r="AG24" i="79"/>
  <c r="AC24" i="79"/>
  <c r="AD24" i="79"/>
  <c r="AF23" i="79"/>
  <c r="Y23" i="79"/>
  <c r="AG23" i="79"/>
  <c r="AB23" i="79"/>
  <c r="Z23" i="79"/>
  <c r="AA23" i="79"/>
  <c r="AC23" i="79"/>
  <c r="AD23" i="79"/>
  <c r="AE23" i="79"/>
  <c r="Z29" i="79"/>
  <c r="AC29" i="79"/>
  <c r="AA29" i="79"/>
  <c r="AD29" i="79"/>
  <c r="AB29" i="79"/>
  <c r="AF29" i="79"/>
  <c r="Y29" i="79"/>
  <c r="AG29" i="79"/>
  <c r="AE29" i="79"/>
  <c r="AA12" i="79"/>
  <c r="AB12" i="79"/>
  <c r="AD12" i="79"/>
  <c r="AC12" i="79"/>
  <c r="AE12" i="79"/>
  <c r="AF12" i="79"/>
  <c r="Y12" i="79"/>
  <c r="AG12" i="79"/>
  <c r="Z12" i="79"/>
  <c r="AB19" i="79"/>
  <c r="AF19" i="79"/>
  <c r="AC19" i="79"/>
  <c r="AE19" i="79"/>
  <c r="Y19" i="79"/>
  <c r="AD19" i="79"/>
  <c r="AG19" i="79"/>
  <c r="Z19" i="79"/>
  <c r="AA19" i="79"/>
  <c r="AB11" i="79"/>
  <c r="AC11" i="79"/>
  <c r="AF11" i="79"/>
  <c r="AG11" i="79"/>
  <c r="AD11" i="79"/>
  <c r="AE11" i="79"/>
  <c r="Z11" i="79"/>
  <c r="AA11" i="79"/>
  <c r="Y11" i="79"/>
  <c r="AE32" i="79"/>
  <c r="Z32" i="79"/>
  <c r="AF32" i="79"/>
  <c r="AA32" i="79"/>
  <c r="AB32" i="79"/>
  <c r="Y32" i="79"/>
  <c r="AG32" i="79"/>
  <c r="AC32" i="79"/>
  <c r="AD32" i="79"/>
  <c r="AF31" i="79"/>
  <c r="Y31" i="79"/>
  <c r="AG31" i="79"/>
  <c r="Z31" i="79"/>
  <c r="AA31" i="79"/>
  <c r="AB31" i="79"/>
  <c r="AC31" i="79"/>
  <c r="AD31" i="79"/>
  <c r="AE31" i="79"/>
  <c r="Y30" i="79"/>
  <c r="AG30" i="79"/>
  <c r="AC30" i="79"/>
  <c r="AD30" i="79"/>
  <c r="Z30" i="79"/>
  <c r="AB30" i="79"/>
  <c r="AA30" i="79"/>
  <c r="AE30" i="79"/>
  <c r="AF30" i="79"/>
  <c r="Z13" i="79"/>
  <c r="AD13" i="79"/>
  <c r="AE13" i="79"/>
  <c r="AA13" i="79"/>
  <c r="AB13" i="79"/>
  <c r="AC13" i="79"/>
  <c r="AF13" i="79"/>
  <c r="Y13" i="79"/>
  <c r="AG13" i="79"/>
  <c r="AA28" i="79"/>
  <c r="AE28" i="79"/>
  <c r="AB28" i="79"/>
  <c r="AF28" i="79"/>
  <c r="AC28" i="79"/>
  <c r="AD28" i="79"/>
  <c r="Y28" i="79"/>
  <c r="AG28" i="79"/>
  <c r="Z28" i="79"/>
  <c r="AB27" i="79"/>
  <c r="Y27" i="79"/>
  <c r="AC27" i="79"/>
  <c r="AE27" i="79"/>
  <c r="AD27" i="79"/>
  <c r="AF27" i="79"/>
  <c r="AG27" i="79"/>
  <c r="Z27" i="79"/>
  <c r="AA27" i="79"/>
  <c r="AC26" i="79"/>
  <c r="AF26" i="79"/>
  <c r="AG26" i="79"/>
  <c r="AD26" i="79"/>
  <c r="Y26" i="79"/>
  <c r="Z26" i="79"/>
  <c r="AE26" i="79"/>
  <c r="AA26" i="79"/>
  <c r="AB26" i="79"/>
  <c r="AC18" i="79"/>
  <c r="AF18" i="79"/>
  <c r="Y18" i="79"/>
  <c r="AD18" i="79"/>
  <c r="AE18" i="79"/>
  <c r="AG18" i="79"/>
  <c r="AA18" i="79"/>
  <c r="AB18" i="79"/>
  <c r="Z18" i="79"/>
  <c r="AC10" i="79"/>
  <c r="AF10" i="79"/>
  <c r="AG10" i="79"/>
  <c r="Z10" i="79"/>
  <c r="AD10" i="79"/>
  <c r="AE10" i="79"/>
  <c r="Y10" i="79"/>
  <c r="AA10" i="79"/>
  <c r="AB10" i="79"/>
  <c r="Y22" i="79"/>
  <c r="AG22" i="79"/>
  <c r="AC22" i="79"/>
  <c r="Z22" i="79"/>
  <c r="AB22" i="79"/>
  <c r="AD22" i="79"/>
  <c r="AA22" i="79"/>
  <c r="AE22" i="79"/>
  <c r="AF22" i="79"/>
  <c r="Z21" i="79"/>
  <c r="AC21" i="79"/>
  <c r="AA21" i="79"/>
  <c r="AB21" i="79"/>
  <c r="AD21" i="79"/>
  <c r="AF21" i="79"/>
  <c r="Y21" i="79"/>
  <c r="AG21" i="79"/>
  <c r="AE21" i="79"/>
  <c r="AA20" i="79"/>
  <c r="AF20" i="79"/>
  <c r="AB20" i="79"/>
  <c r="AE20" i="79"/>
  <c r="AC20" i="79"/>
  <c r="AD20" i="79"/>
  <c r="Y20" i="79"/>
  <c r="AG20" i="79"/>
  <c r="Z20" i="79"/>
  <c r="AD25" i="79"/>
  <c r="AE25" i="79"/>
  <c r="Y25" i="79"/>
  <c r="AF25" i="79"/>
  <c r="AG25" i="79"/>
  <c r="Z25" i="79"/>
  <c r="AB25" i="79"/>
  <c r="AC25" i="79"/>
  <c r="AA25" i="79"/>
  <c r="AD17" i="79"/>
  <c r="Y17" i="79"/>
  <c r="AA17" i="79"/>
  <c r="AE17" i="79"/>
  <c r="Z17" i="79"/>
  <c r="AF17" i="79"/>
  <c r="AG17" i="79"/>
  <c r="AB17" i="79"/>
  <c r="AC17" i="79"/>
  <c r="AD9" i="79"/>
  <c r="AE9" i="79"/>
  <c r="Z9" i="79"/>
  <c r="AF9" i="79"/>
  <c r="Y9" i="79"/>
  <c r="AG9" i="79"/>
  <c r="AA9" i="79"/>
  <c r="AB9" i="79"/>
  <c r="AC9" i="79"/>
  <c r="I9" i="71"/>
  <c r="I20" i="71"/>
  <c r="I45" i="71" l="1"/>
  <c r="I81" i="71"/>
  <c r="J9" i="71"/>
  <c r="Q38" i="31" s="1"/>
  <c r="M8" i="49" a="1"/>
  <c r="M10" i="49" s="1"/>
  <c r="I8" i="71"/>
  <c r="I92" i="71"/>
  <c r="I56" i="71"/>
  <c r="E116" i="49"/>
  <c r="E88" i="49"/>
  <c r="E60" i="49"/>
  <c r="T9" i="78"/>
  <c r="T10" i="78"/>
  <c r="T11" i="78"/>
  <c r="T12" i="78"/>
  <c r="T13" i="78"/>
  <c r="T14" i="78"/>
  <c r="T15" i="78"/>
  <c r="T16" i="78"/>
  <c r="T17" i="78"/>
  <c r="T18" i="78"/>
  <c r="T19" i="78"/>
  <c r="T20" i="78"/>
  <c r="T21" i="78"/>
  <c r="T22" i="78"/>
  <c r="T23" i="78"/>
  <c r="T24" i="78"/>
  <c r="T25" i="78"/>
  <c r="T26" i="78"/>
  <c r="T27" i="78"/>
  <c r="T28" i="78"/>
  <c r="T29" i="78"/>
  <c r="T30" i="78"/>
  <c r="T31" i="78"/>
  <c r="T32" i="78"/>
  <c r="I9" i="78"/>
  <c r="I10" i="78"/>
  <c r="I11" i="78"/>
  <c r="I12" i="78"/>
  <c r="I13" i="78"/>
  <c r="I14" i="78"/>
  <c r="I15" i="78"/>
  <c r="I16" i="78"/>
  <c r="I17" i="78"/>
  <c r="I18" i="78"/>
  <c r="I19" i="78"/>
  <c r="I20" i="78"/>
  <c r="I21" i="78"/>
  <c r="I22" i="78"/>
  <c r="I23" i="78"/>
  <c r="I24" i="78"/>
  <c r="I25" i="78"/>
  <c r="I26" i="78"/>
  <c r="I27" i="78"/>
  <c r="I28" i="78"/>
  <c r="I29" i="78"/>
  <c r="I30" i="78"/>
  <c r="I31" i="78"/>
  <c r="I32" i="78"/>
  <c r="E32" i="49" l="1"/>
  <c r="M13" i="49"/>
  <c r="M9" i="49"/>
  <c r="M8" i="49"/>
  <c r="M11" i="49"/>
  <c r="M14" i="49"/>
  <c r="M12" i="49"/>
  <c r="M16" i="49"/>
  <c r="M15" i="49"/>
  <c r="I44" i="71"/>
  <c r="I80" i="71"/>
  <c r="J8" i="71"/>
  <c r="I59" i="78"/>
  <c r="I95" i="78"/>
  <c r="T103" i="78"/>
  <c r="T67" i="78"/>
  <c r="T51" i="78"/>
  <c r="T87" i="78"/>
  <c r="I58" i="78"/>
  <c r="I94" i="78"/>
  <c r="T102" i="78"/>
  <c r="T66" i="78"/>
  <c r="T86" i="78"/>
  <c r="T50" i="78"/>
  <c r="I101" i="78"/>
  <c r="I65" i="78"/>
  <c r="T65" i="78"/>
  <c r="T101" i="78"/>
  <c r="T85" i="78"/>
  <c r="T49" i="78"/>
  <c r="I56" i="78"/>
  <c r="I92" i="78"/>
  <c r="T64" i="78"/>
  <c r="T100" i="78"/>
  <c r="T84" i="78"/>
  <c r="T48" i="78"/>
  <c r="I99" i="78"/>
  <c r="I63" i="78"/>
  <c r="T99" i="78"/>
  <c r="T63" i="78"/>
  <c r="T83" i="78"/>
  <c r="T47" i="78"/>
  <c r="I103" i="78"/>
  <c r="I67" i="78"/>
  <c r="I87" i="78"/>
  <c r="I51" i="78"/>
  <c r="T95" i="78"/>
  <c r="T59" i="78"/>
  <c r="I66" i="78"/>
  <c r="I102" i="78"/>
  <c r="I50" i="78"/>
  <c r="I86" i="78"/>
  <c r="T58" i="78"/>
  <c r="T94" i="78"/>
  <c r="I93" i="78"/>
  <c r="I57" i="78"/>
  <c r="I85" i="78"/>
  <c r="I49" i="78"/>
  <c r="T57" i="78"/>
  <c r="T93" i="78"/>
  <c r="I100" i="78"/>
  <c r="I64" i="78"/>
  <c r="I84" i="78"/>
  <c r="I48" i="78"/>
  <c r="T92" i="78"/>
  <c r="T56" i="78"/>
  <c r="I91" i="78"/>
  <c r="I55" i="78"/>
  <c r="I83" i="78"/>
  <c r="I47" i="78"/>
  <c r="T91" i="78"/>
  <c r="T55" i="78"/>
  <c r="I98" i="78"/>
  <c r="I62" i="78"/>
  <c r="I54" i="78"/>
  <c r="I90" i="78"/>
  <c r="I82" i="78"/>
  <c r="I46" i="78"/>
  <c r="T98" i="78"/>
  <c r="T62" i="78"/>
  <c r="T54" i="78"/>
  <c r="T90" i="78"/>
  <c r="T82" i="78"/>
  <c r="T46" i="78"/>
  <c r="I97" i="78"/>
  <c r="I61" i="78"/>
  <c r="I53" i="78"/>
  <c r="I89" i="78"/>
  <c r="I45" i="78"/>
  <c r="I81" i="78"/>
  <c r="T61" i="78"/>
  <c r="T97" i="78"/>
  <c r="T89" i="78"/>
  <c r="T53" i="78"/>
  <c r="T81" i="78"/>
  <c r="T45" i="78"/>
  <c r="I104" i="78"/>
  <c r="I68" i="78"/>
  <c r="I96" i="78"/>
  <c r="I60" i="78"/>
  <c r="I88" i="78"/>
  <c r="I52" i="78"/>
  <c r="T68" i="78"/>
  <c r="T104" i="78"/>
  <c r="T96" i="78"/>
  <c r="T60" i="78"/>
  <c r="T88" i="78"/>
  <c r="T52" i="78"/>
  <c r="I34" i="78"/>
  <c r="S4" i="78"/>
  <c r="AD4" i="78" s="1"/>
  <c r="AO4" i="78" s="1"/>
  <c r="AZ4" i="78" s="1"/>
  <c r="BK4" i="78" s="1"/>
  <c r="BV4" i="78" s="1"/>
  <c r="CG4" i="78" s="1"/>
  <c r="CR4" i="78" s="1"/>
  <c r="B116" i="49"/>
  <c r="B88" i="49"/>
  <c r="C60" i="49"/>
  <c r="B60" i="49"/>
  <c r="G34" i="49"/>
  <c r="G118" i="49" s="1"/>
  <c r="G202" i="49" s="1"/>
  <c r="G62" i="49"/>
  <c r="G146" i="49" s="1"/>
  <c r="G230" i="49" s="1"/>
  <c r="G90" i="49"/>
  <c r="G174" i="49" s="1"/>
  <c r="G258" i="49" s="1"/>
  <c r="B32" i="49" l="1"/>
  <c r="J44" i="71"/>
  <c r="J80" i="71" s="1"/>
  <c r="Q37" i="31"/>
  <c r="A90" i="49"/>
  <c r="A62" i="49"/>
  <c r="A34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8" i="49"/>
  <c r="G37" i="49"/>
  <c r="G36" i="49"/>
  <c r="G35" i="49"/>
  <c r="A6" i="49"/>
  <c r="D35" i="49"/>
  <c r="I10" i="71"/>
  <c r="I13" i="71"/>
  <c r="I14" i="71"/>
  <c r="I15" i="71"/>
  <c r="I18" i="71"/>
  <c r="I22" i="71"/>
  <c r="I23" i="71"/>
  <c r="I26" i="71"/>
  <c r="I29" i="71"/>
  <c r="I30" i="71"/>
  <c r="I31" i="71"/>
  <c r="I94" i="71" l="1"/>
  <c r="I58" i="71"/>
  <c r="I54" i="71"/>
  <c r="I90" i="71"/>
  <c r="I87" i="71"/>
  <c r="I51" i="71"/>
  <c r="I86" i="71"/>
  <c r="I50" i="71"/>
  <c r="I85" i="71"/>
  <c r="I49" i="71"/>
  <c r="I101" i="71"/>
  <c r="I65" i="71"/>
  <c r="I46" i="71"/>
  <c r="I82" i="71"/>
  <c r="I67" i="71"/>
  <c r="I103" i="71"/>
  <c r="I102" i="71"/>
  <c r="I66" i="71"/>
  <c r="I62" i="71"/>
  <c r="I98" i="71"/>
  <c r="I59" i="71"/>
  <c r="I95" i="71"/>
  <c r="K8" i="49" a="1"/>
  <c r="K11" i="49" s="1"/>
  <c r="J8" i="49" a="1"/>
  <c r="G27" i="49"/>
  <c r="I28" i="71"/>
  <c r="G19" i="49"/>
  <c r="G11" i="49"/>
  <c r="I12" i="71"/>
  <c r="G26" i="49"/>
  <c r="I27" i="71"/>
  <c r="G24" i="49"/>
  <c r="I25" i="71"/>
  <c r="G16" i="49"/>
  <c r="I17" i="71"/>
  <c r="G8" i="49"/>
  <c r="G10" i="49"/>
  <c r="I11" i="71"/>
  <c r="G31" i="49"/>
  <c r="I32" i="71"/>
  <c r="G23" i="49"/>
  <c r="I24" i="71"/>
  <c r="G15" i="49"/>
  <c r="I16" i="71"/>
  <c r="G20" i="49"/>
  <c r="I21" i="71"/>
  <c r="G18" i="49"/>
  <c r="I19" i="71"/>
  <c r="G28" i="49"/>
  <c r="G12" i="49"/>
  <c r="G14" i="49"/>
  <c r="G29" i="49"/>
  <c r="G25" i="49"/>
  <c r="G21" i="49"/>
  <c r="G17" i="49"/>
  <c r="G13" i="49"/>
  <c r="G9" i="49"/>
  <c r="G30" i="49"/>
  <c r="G22" i="49"/>
  <c r="I60" i="71" l="1"/>
  <c r="I96" i="71"/>
  <c r="I64" i="71"/>
  <c r="I100" i="71"/>
  <c r="I97" i="71"/>
  <c r="I61" i="71"/>
  <c r="I91" i="71"/>
  <c r="I55" i="71"/>
  <c r="I68" i="71"/>
  <c r="I104" i="71"/>
  <c r="K12" i="49"/>
  <c r="I99" i="71"/>
  <c r="I63" i="71"/>
  <c r="K15" i="49"/>
  <c r="I52" i="71"/>
  <c r="I88" i="71"/>
  <c r="I89" i="71"/>
  <c r="I53" i="71"/>
  <c r="I93" i="71"/>
  <c r="I57" i="71"/>
  <c r="I83" i="71"/>
  <c r="I47" i="71"/>
  <c r="K8" i="49"/>
  <c r="I84" i="71"/>
  <c r="I48" i="71"/>
  <c r="K13" i="49"/>
  <c r="K16" i="49"/>
  <c r="K10" i="49"/>
  <c r="K14" i="49"/>
  <c r="K9" i="49"/>
  <c r="J8" i="49"/>
  <c r="J12" i="49"/>
  <c r="J11" i="49"/>
  <c r="J10" i="49"/>
  <c r="J9" i="49"/>
  <c r="J15" i="49"/>
  <c r="J14" i="49"/>
  <c r="J16" i="49"/>
  <c r="J13" i="49"/>
  <c r="I34" i="71"/>
  <c r="I8" i="16" a="1"/>
  <c r="I8" i="16" l="1"/>
  <c r="I26" i="16" s="1"/>
  <c r="I9" i="16"/>
  <c r="I27" i="16" s="1"/>
  <c r="I11" i="16"/>
  <c r="I29" i="16" s="1"/>
  <c r="I16" i="16"/>
  <c r="I15" i="16"/>
  <c r="I14" i="16"/>
  <c r="I32" i="16" s="1"/>
  <c r="I13" i="16"/>
  <c r="I31" i="16" s="1"/>
  <c r="I12" i="16"/>
  <c r="I30" i="16" s="1"/>
  <c r="I10" i="16"/>
  <c r="I28" i="16" s="1"/>
  <c r="F249" i="97"/>
  <c r="C249" i="97"/>
  <c r="B333" i="97"/>
  <c r="F333" i="97"/>
  <c r="C333" i="97"/>
  <c r="A72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A69" i="83"/>
  <c r="A70" i="83"/>
  <c r="A71" i="83"/>
  <c r="A7" i="83"/>
  <c r="A8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6" i="83"/>
  <c r="J16" i="16" l="1"/>
  <c r="I34" i="16"/>
  <c r="I33" i="16"/>
  <c r="AM4" i="21"/>
  <c r="O2" i="21" s="1"/>
  <c r="C3" i="12"/>
  <c r="D3" i="12"/>
  <c r="E3" i="12"/>
  <c r="F3" i="12"/>
  <c r="B3" i="12"/>
  <c r="D5" i="11"/>
  <c r="E5" i="11"/>
  <c r="F5" i="11"/>
  <c r="C5" i="11"/>
  <c r="B5" i="11"/>
  <c r="A1" i="12" l="1"/>
  <c r="H3" i="11"/>
  <c r="L1" i="11"/>
  <c r="A1" i="21"/>
  <c r="A1" i="11"/>
  <c r="J34" i="16"/>
  <c r="Q7" i="31"/>
  <c r="F35" i="11"/>
  <c r="F39" i="11"/>
  <c r="F36" i="11"/>
  <c r="F37" i="11"/>
  <c r="F38" i="11"/>
  <c r="F34" i="11"/>
  <c r="S5" i="11" s="1"/>
  <c r="R5" i="11"/>
  <c r="F33" i="11"/>
  <c r="S4" i="11" s="1"/>
  <c r="R6" i="11"/>
  <c r="R8" i="11"/>
  <c r="R9" i="11"/>
  <c r="F44" i="11"/>
  <c r="R7" i="11"/>
  <c r="R10" i="11"/>
  <c r="B33" i="11"/>
  <c r="R4" i="11"/>
  <c r="N260" i="21" s="1"/>
  <c r="B39" i="11"/>
  <c r="B34" i="11"/>
  <c r="B35" i="11"/>
  <c r="B36" i="11"/>
  <c r="B38" i="11"/>
  <c r="B37" i="11"/>
  <c r="F83" i="12"/>
  <c r="E80" i="12"/>
  <c r="F81" i="12"/>
  <c r="E83" i="12"/>
  <c r="F80" i="12"/>
  <c r="E82" i="12"/>
  <c r="E79" i="12"/>
  <c r="F82" i="12"/>
  <c r="E84" i="12"/>
  <c r="F79" i="12"/>
  <c r="F84" i="12"/>
  <c r="E81" i="12"/>
  <c r="D80" i="12"/>
  <c r="D82" i="12"/>
  <c r="D79" i="12"/>
  <c r="D84" i="12"/>
  <c r="D81" i="12"/>
  <c r="D83" i="12"/>
  <c r="C82" i="12"/>
  <c r="C80" i="12"/>
  <c r="C79" i="12"/>
  <c r="C84" i="12"/>
  <c r="C81" i="12"/>
  <c r="C83" i="12"/>
  <c r="B83" i="12"/>
  <c r="B82" i="12"/>
  <c r="B79" i="12"/>
  <c r="B84" i="12"/>
  <c r="B63" i="12"/>
  <c r="B81" i="12"/>
  <c r="B80" i="12"/>
  <c r="B86" i="12"/>
  <c r="C44" i="11"/>
  <c r="C33" i="11"/>
  <c r="F89" i="12"/>
  <c r="C89" i="12"/>
  <c r="F61" i="12"/>
  <c r="C61" i="12"/>
  <c r="F97" i="12"/>
  <c r="F70" i="12"/>
  <c r="C97" i="12"/>
  <c r="C71" i="12"/>
  <c r="C63" i="12"/>
  <c r="F73" i="12"/>
  <c r="C91" i="12"/>
  <c r="C67" i="12" l="1"/>
  <c r="C78" i="12"/>
  <c r="F91" i="12"/>
  <c r="F95" i="12"/>
  <c r="C96" i="12"/>
  <c r="C100" i="12"/>
  <c r="F99" i="12"/>
  <c r="F103" i="12"/>
  <c r="F74" i="12"/>
  <c r="C75" i="12"/>
  <c r="F96" i="12"/>
  <c r="C92" i="12"/>
  <c r="C72" i="12"/>
  <c r="F67" i="12"/>
  <c r="F65" i="12"/>
  <c r="F77" i="12"/>
  <c r="C95" i="12"/>
  <c r="F66" i="12"/>
  <c r="C103" i="12"/>
  <c r="F98" i="12"/>
  <c r="F72" i="12"/>
  <c r="C99" i="12"/>
  <c r="F102" i="12"/>
  <c r="C68" i="12"/>
  <c r="C104" i="12"/>
  <c r="F92" i="12"/>
  <c r="F76" i="12"/>
  <c r="F71" i="12"/>
  <c r="C69" i="12"/>
  <c r="F69" i="12"/>
  <c r="C74" i="12"/>
  <c r="C66" i="12"/>
  <c r="F68" i="12"/>
  <c r="C73" i="12"/>
  <c r="C101" i="12"/>
  <c r="C105" i="12"/>
  <c r="F100" i="12"/>
  <c r="F104" i="12"/>
  <c r="F64" i="12"/>
  <c r="C65" i="12"/>
  <c r="C76" i="12"/>
  <c r="C93" i="12"/>
  <c r="C94" i="12"/>
  <c r="C102" i="12"/>
  <c r="C98" i="12"/>
  <c r="F105" i="12"/>
  <c r="F101" i="12"/>
  <c r="F63" i="12"/>
  <c r="C77" i="12"/>
  <c r="C64" i="12"/>
  <c r="C90" i="12"/>
  <c r="F93" i="12"/>
  <c r="F78" i="12"/>
  <c r="F90" i="12"/>
  <c r="F94" i="12"/>
  <c r="F75" i="12"/>
  <c r="C70" i="12"/>
  <c r="C46" i="11" l="1"/>
  <c r="C35" i="11"/>
  <c r="C45" i="11"/>
  <c r="C34" i="11"/>
  <c r="C48" i="11"/>
  <c r="C37" i="11"/>
  <c r="C39" i="11"/>
  <c r="C49" i="11"/>
  <c r="C38" i="11"/>
  <c r="C47" i="11"/>
  <c r="C36" i="11"/>
  <c r="C50" i="11"/>
  <c r="A4" i="5" l="1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3" i="5"/>
  <c r="E180" i="97"/>
  <c r="E265" i="97"/>
  <c r="E183" i="97"/>
  <c r="E269" i="97"/>
  <c r="E187" i="97"/>
  <c r="E188" i="97"/>
  <c r="E288" i="97"/>
  <c r="E295" i="97"/>
  <c r="E296" i="97"/>
  <c r="E213" i="97"/>
  <c r="E217" i="97"/>
  <c r="F136" i="97"/>
  <c r="E305" i="97"/>
  <c r="E225" i="97"/>
  <c r="F142" i="97"/>
  <c r="F143" i="97"/>
  <c r="E312" i="97"/>
  <c r="E229" i="97"/>
  <c r="F147" i="97"/>
  <c r="F150" i="97"/>
  <c r="E319" i="97"/>
  <c r="E236" i="97"/>
  <c r="E237" i="97"/>
  <c r="E260" i="97"/>
  <c r="D177" i="97"/>
  <c r="E262" i="97"/>
  <c r="E263" i="97"/>
  <c r="D265" i="97"/>
  <c r="D186" i="97"/>
  <c r="E192" i="97"/>
  <c r="E277" i="97"/>
  <c r="D194" i="97"/>
  <c r="E195" i="97"/>
  <c r="E281" i="97"/>
  <c r="E200" i="97"/>
  <c r="D201" i="97"/>
  <c r="D286" i="97"/>
  <c r="D289" i="97"/>
  <c r="E292" i="97"/>
  <c r="E209" i="97"/>
  <c r="E210" i="97"/>
  <c r="D300" i="97"/>
  <c r="E133" i="97"/>
  <c r="D219" i="97"/>
  <c r="E137" i="97"/>
  <c r="E224" i="97"/>
  <c r="D309" i="97"/>
  <c r="E142" i="97"/>
  <c r="D227" i="97"/>
  <c r="E232" i="97"/>
  <c r="E149" i="97"/>
  <c r="D234" i="97"/>
  <c r="E151" i="97"/>
  <c r="D321" i="97"/>
  <c r="D94" i="97"/>
  <c r="D96" i="97"/>
  <c r="D105" i="97"/>
  <c r="D275" i="97"/>
  <c r="D283" i="97"/>
  <c r="D126" i="97"/>
  <c r="D295" i="97"/>
  <c r="D297" i="97"/>
  <c r="D304" i="97"/>
  <c r="D147" i="97"/>
  <c r="D232" i="97"/>
  <c r="D236" i="97"/>
  <c r="B90" i="97"/>
  <c r="B91" i="97"/>
  <c r="B92" i="97"/>
  <c r="B93" i="97"/>
  <c r="B94" i="97"/>
  <c r="B95" i="97"/>
  <c r="B96" i="97"/>
  <c r="B97" i="97"/>
  <c r="B98" i="97"/>
  <c r="B99" i="97"/>
  <c r="B100" i="97"/>
  <c r="B101" i="97"/>
  <c r="B102" i="97"/>
  <c r="B103" i="97"/>
  <c r="B104" i="97"/>
  <c r="B105" i="97"/>
  <c r="B106" i="97"/>
  <c r="B107" i="97"/>
  <c r="B108" i="97"/>
  <c r="B109" i="97"/>
  <c r="B110" i="97"/>
  <c r="B111" i="97"/>
  <c r="B112" i="97"/>
  <c r="B113" i="97"/>
  <c r="B114" i="97"/>
  <c r="B115" i="97"/>
  <c r="B116" i="97"/>
  <c r="B117" i="97"/>
  <c r="B118" i="97"/>
  <c r="B119" i="97"/>
  <c r="B120" i="97"/>
  <c r="B121" i="97"/>
  <c r="B122" i="97"/>
  <c r="B123" i="97"/>
  <c r="B124" i="97"/>
  <c r="B125" i="97"/>
  <c r="B126" i="97"/>
  <c r="B127" i="97"/>
  <c r="B128" i="97"/>
  <c r="B129" i="97"/>
  <c r="B130" i="97"/>
  <c r="B131" i="97"/>
  <c r="B132" i="97"/>
  <c r="B133" i="97"/>
  <c r="B134" i="97"/>
  <c r="B135" i="97"/>
  <c r="B136" i="97"/>
  <c r="B137" i="97"/>
  <c r="B138" i="97"/>
  <c r="B139" i="97"/>
  <c r="B140" i="97"/>
  <c r="B141" i="97"/>
  <c r="B142" i="97"/>
  <c r="B143" i="97"/>
  <c r="B144" i="97"/>
  <c r="B145" i="97"/>
  <c r="B146" i="97"/>
  <c r="B147" i="97"/>
  <c r="B148" i="97"/>
  <c r="B149" i="97"/>
  <c r="B150" i="97"/>
  <c r="B151" i="97"/>
  <c r="B152" i="97"/>
  <c r="B153" i="97"/>
  <c r="B154" i="97"/>
  <c r="B89" i="97"/>
  <c r="C89" i="97"/>
  <c r="B259" i="97"/>
  <c r="B260" i="97"/>
  <c r="B178" i="97"/>
  <c r="B180" i="97"/>
  <c r="B181" i="97"/>
  <c r="B268" i="97"/>
  <c r="C102" i="97"/>
  <c r="B272" i="97"/>
  <c r="B273" i="97"/>
  <c r="B194" i="97"/>
  <c r="B195" i="97"/>
  <c r="B280" i="97"/>
  <c r="B281" i="97"/>
  <c r="C116" i="97"/>
  <c r="B202" i="97"/>
  <c r="B203" i="97"/>
  <c r="B204" i="97"/>
  <c r="B289" i="97"/>
  <c r="B291" i="97"/>
  <c r="C124" i="97"/>
  <c r="C127" i="97"/>
  <c r="C128" i="97"/>
  <c r="C129" i="97"/>
  <c r="B216" i="97"/>
  <c r="C134" i="97"/>
  <c r="B304" i="97"/>
  <c r="B305" i="97"/>
  <c r="B308" i="97"/>
  <c r="C143" i="97"/>
  <c r="B228" i="97"/>
  <c r="B229" i="97"/>
  <c r="C148" i="97"/>
  <c r="C150" i="97"/>
  <c r="B236" i="97"/>
  <c r="C153" i="97"/>
  <c r="B322" i="97"/>
  <c r="B179" i="97"/>
  <c r="B267" i="97"/>
  <c r="B187" i="97"/>
  <c r="B275" i="97"/>
  <c r="B283" i="97"/>
  <c r="B211" i="97"/>
  <c r="B300" i="97"/>
  <c r="B217" i="97"/>
  <c r="B302" i="97"/>
  <c r="B220" i="97"/>
  <c r="B225" i="97"/>
  <c r="B231" i="97"/>
  <c r="B233" i="97"/>
  <c r="B318" i="97"/>
  <c r="D322" i="97"/>
  <c r="E322" i="97"/>
  <c r="B238" i="97"/>
  <c r="D238" i="97"/>
  <c r="E238" i="97"/>
  <c r="C151" i="97"/>
  <c r="D151" i="97"/>
  <c r="E152" i="97"/>
  <c r="E153" i="97"/>
  <c r="C154" i="97"/>
  <c r="D154" i="97"/>
  <c r="E154" i="97"/>
  <c r="F154" i="97"/>
  <c r="B314" i="97"/>
  <c r="D314" i="97"/>
  <c r="E314" i="97"/>
  <c r="B315" i="97"/>
  <c r="D315" i="97"/>
  <c r="E315" i="97"/>
  <c r="D316" i="97"/>
  <c r="E316" i="97"/>
  <c r="B317" i="97"/>
  <c r="D318" i="97"/>
  <c r="E318" i="97"/>
  <c r="B298" i="97"/>
  <c r="D298" i="97"/>
  <c r="E298" i="97"/>
  <c r="B299" i="97"/>
  <c r="D299" i="97"/>
  <c r="E299" i="97"/>
  <c r="E300" i="97"/>
  <c r="B301" i="97"/>
  <c r="D301" i="97"/>
  <c r="E301" i="97"/>
  <c r="E304" i="97"/>
  <c r="B306" i="97"/>
  <c r="D306" i="97"/>
  <c r="E306" i="97"/>
  <c r="B307" i="97"/>
  <c r="D307" i="97"/>
  <c r="E307" i="97"/>
  <c r="E308" i="97"/>
  <c r="B309" i="97"/>
  <c r="E310" i="97"/>
  <c r="D312" i="97"/>
  <c r="D231" i="97"/>
  <c r="E231" i="97"/>
  <c r="D233" i="97"/>
  <c r="E233" i="97"/>
  <c r="B214" i="97"/>
  <c r="D214" i="97"/>
  <c r="E214" i="97"/>
  <c r="B215" i="97"/>
  <c r="D215" i="97"/>
  <c r="E215" i="97"/>
  <c r="D216" i="97"/>
  <c r="E216" i="97"/>
  <c r="D217" i="97"/>
  <c r="B222" i="97"/>
  <c r="D222" i="97"/>
  <c r="E222" i="97"/>
  <c r="B223" i="97"/>
  <c r="D223" i="97"/>
  <c r="E223" i="97"/>
  <c r="B224" i="97"/>
  <c r="D226" i="97"/>
  <c r="E228" i="97"/>
  <c r="B230" i="97"/>
  <c r="D230" i="97"/>
  <c r="E230" i="97"/>
  <c r="C130" i="97"/>
  <c r="D130" i="97"/>
  <c r="E130" i="97"/>
  <c r="F130" i="97"/>
  <c r="C131" i="97"/>
  <c r="D131" i="97"/>
  <c r="E131" i="97"/>
  <c r="F131" i="97"/>
  <c r="E132" i="97"/>
  <c r="F132" i="97"/>
  <c r="C133" i="97"/>
  <c r="D133" i="97"/>
  <c r="C135" i="97"/>
  <c r="D135" i="97"/>
  <c r="F135" i="97"/>
  <c r="E136" i="97"/>
  <c r="C138" i="97"/>
  <c r="D138" i="97"/>
  <c r="E138" i="97"/>
  <c r="F138" i="97"/>
  <c r="C139" i="97"/>
  <c r="D139" i="97"/>
  <c r="E139" i="97"/>
  <c r="F139" i="97"/>
  <c r="C140" i="97"/>
  <c r="E140" i="97"/>
  <c r="F140" i="97"/>
  <c r="C141" i="97"/>
  <c r="D141" i="97"/>
  <c r="F141" i="97"/>
  <c r="C142" i="97"/>
  <c r="D142" i="97"/>
  <c r="E143" i="97"/>
  <c r="C144" i="97"/>
  <c r="E144" i="97"/>
  <c r="F144" i="97"/>
  <c r="E145" i="97"/>
  <c r="C146" i="97"/>
  <c r="D146" i="97"/>
  <c r="E146" i="97"/>
  <c r="F146" i="97"/>
  <c r="C147" i="97"/>
  <c r="E147" i="97"/>
  <c r="D148" i="97"/>
  <c r="E148" i="97"/>
  <c r="F148" i="97"/>
  <c r="C149" i="97"/>
  <c r="D149" i="97"/>
  <c r="F149" i="97"/>
  <c r="D150" i="97"/>
  <c r="A169" i="97"/>
  <c r="A81" i="97"/>
  <c r="A165" i="97" s="1"/>
  <c r="A69" i="97"/>
  <c r="A321" i="97" s="1"/>
  <c r="A70" i="97"/>
  <c r="A322" i="97" s="1"/>
  <c r="A64" i="97"/>
  <c r="A316" i="97" s="1"/>
  <c r="A65" i="97"/>
  <c r="A317" i="97" s="1"/>
  <c r="A66" i="97"/>
  <c r="A318" i="97" s="1"/>
  <c r="A67" i="97"/>
  <c r="A319" i="97" s="1"/>
  <c r="A68" i="97"/>
  <c r="A320" i="97" s="1"/>
  <c r="A46" i="97"/>
  <c r="A298" i="97" s="1"/>
  <c r="A47" i="97"/>
  <c r="A299" i="97" s="1"/>
  <c r="A48" i="97"/>
  <c r="A300" i="97" s="1"/>
  <c r="A49" i="97"/>
  <c r="A301" i="97" s="1"/>
  <c r="A50" i="97"/>
  <c r="A302" i="97" s="1"/>
  <c r="A51" i="97"/>
  <c r="A303" i="97" s="1"/>
  <c r="A52" i="97"/>
  <c r="A304" i="97" s="1"/>
  <c r="A53" i="97"/>
  <c r="A305" i="97" s="1"/>
  <c r="A54" i="97"/>
  <c r="A306" i="97" s="1"/>
  <c r="A55" i="97"/>
  <c r="A307" i="97" s="1"/>
  <c r="A56" i="97"/>
  <c r="A308" i="97" s="1"/>
  <c r="A57" i="97"/>
  <c r="A309" i="97" s="1"/>
  <c r="A58" i="97"/>
  <c r="A310" i="97" s="1"/>
  <c r="A59" i="97"/>
  <c r="A311" i="97" s="1"/>
  <c r="A60" i="97"/>
  <c r="A312" i="97" s="1"/>
  <c r="A61" i="97"/>
  <c r="A313" i="97" s="1"/>
  <c r="A62" i="97"/>
  <c r="A314" i="97" s="1"/>
  <c r="A63" i="97"/>
  <c r="A315" i="97" s="1"/>
  <c r="A6" i="97"/>
  <c r="A258" i="97" s="1"/>
  <c r="A7" i="97"/>
  <c r="A259" i="97" s="1"/>
  <c r="A8" i="97"/>
  <c r="A260" i="97" s="1"/>
  <c r="A9" i="97"/>
  <c r="A10" i="97"/>
  <c r="A262" i="97" s="1"/>
  <c r="A11" i="97"/>
  <c r="A263" i="97" s="1"/>
  <c r="A12" i="97"/>
  <c r="A264" i="97" s="1"/>
  <c r="A13" i="97"/>
  <c r="A14" i="97"/>
  <c r="A266" i="97" s="1"/>
  <c r="A15" i="97"/>
  <c r="A267" i="97" s="1"/>
  <c r="A16" i="97"/>
  <c r="A268" i="97" s="1"/>
  <c r="A17" i="97"/>
  <c r="A18" i="97"/>
  <c r="A270" i="97" s="1"/>
  <c r="A19" i="97"/>
  <c r="A271" i="97" s="1"/>
  <c r="A20" i="97"/>
  <c r="A272" i="97" s="1"/>
  <c r="A21" i="97"/>
  <c r="A273" i="97" s="1"/>
  <c r="A22" i="97"/>
  <c r="A23" i="97"/>
  <c r="A24" i="97"/>
  <c r="A276" i="97" s="1"/>
  <c r="A25" i="97"/>
  <c r="A26" i="97"/>
  <c r="A27" i="97"/>
  <c r="A28" i="97"/>
  <c r="A29" i="97"/>
  <c r="A281" i="97" s="1"/>
  <c r="A30" i="97"/>
  <c r="A282" i="97" s="1"/>
  <c r="A31" i="97"/>
  <c r="A283" i="97" s="1"/>
  <c r="A32" i="97"/>
  <c r="A33" i="97"/>
  <c r="A285" i="97" s="1"/>
  <c r="A34" i="97"/>
  <c r="A286" i="97" s="1"/>
  <c r="A35" i="97"/>
  <c r="A287" i="97" s="1"/>
  <c r="A36" i="97"/>
  <c r="A37" i="97"/>
  <c r="A289" i="97" s="1"/>
  <c r="A38" i="97"/>
  <c r="A290" i="97" s="1"/>
  <c r="A39" i="97"/>
  <c r="A291" i="97" s="1"/>
  <c r="A40" i="97"/>
  <c r="A41" i="97"/>
  <c r="A293" i="97" s="1"/>
  <c r="A42" i="97"/>
  <c r="A294" i="97" s="1"/>
  <c r="A43" i="97"/>
  <c r="A295" i="97" s="1"/>
  <c r="A44" i="97"/>
  <c r="A296" i="97" s="1"/>
  <c r="A45" i="97"/>
  <c r="A297" i="97" s="1"/>
  <c r="A5" i="97"/>
  <c r="A257" i="97" s="1"/>
  <c r="E297" i="97"/>
  <c r="B297" i="97"/>
  <c r="E293" i="97"/>
  <c r="E291" i="97"/>
  <c r="D291" i="97"/>
  <c r="E290" i="97"/>
  <c r="D290" i="97"/>
  <c r="B290" i="97"/>
  <c r="B288" i="97"/>
  <c r="D285" i="97"/>
  <c r="E284" i="97"/>
  <c r="B284" i="97"/>
  <c r="E283" i="97"/>
  <c r="E282" i="97"/>
  <c r="D282" i="97"/>
  <c r="B282" i="97"/>
  <c r="E276" i="97"/>
  <c r="B276" i="97"/>
  <c r="E275" i="97"/>
  <c r="E274" i="97"/>
  <c r="D274" i="97"/>
  <c r="B274" i="97"/>
  <c r="E268" i="97"/>
  <c r="E267" i="97"/>
  <c r="D267" i="97"/>
  <c r="E266" i="97"/>
  <c r="D266" i="97"/>
  <c r="B266" i="97"/>
  <c r="B265" i="97"/>
  <c r="E264" i="97"/>
  <c r="D262" i="97"/>
  <c r="E259" i="97"/>
  <c r="D259" i="97"/>
  <c r="E258" i="97"/>
  <c r="D258" i="97"/>
  <c r="B258" i="97"/>
  <c r="E257" i="97"/>
  <c r="D257" i="97"/>
  <c r="B257" i="97"/>
  <c r="E255" i="97"/>
  <c r="D255" i="97"/>
  <c r="B255" i="97"/>
  <c r="D212" i="97"/>
  <c r="B212" i="97"/>
  <c r="D210" i="97"/>
  <c r="B210" i="97"/>
  <c r="E208" i="97"/>
  <c r="D208" i="97"/>
  <c r="E207" i="97"/>
  <c r="D207" i="97"/>
  <c r="B207" i="97"/>
  <c r="E206" i="97"/>
  <c r="D206" i="97"/>
  <c r="B206" i="97"/>
  <c r="E204" i="97"/>
  <c r="D204" i="97"/>
  <c r="D202" i="97"/>
  <c r="D200" i="97"/>
  <c r="E199" i="97"/>
  <c r="B199" i="97"/>
  <c r="E198" i="97"/>
  <c r="D198" i="97"/>
  <c r="B198" i="97"/>
  <c r="E196" i="97"/>
  <c r="D196" i="97"/>
  <c r="E191" i="97"/>
  <c r="D191" i="97"/>
  <c r="B191" i="97"/>
  <c r="E190" i="97"/>
  <c r="D190" i="97"/>
  <c r="B190" i="97"/>
  <c r="E189" i="97"/>
  <c r="B186" i="97"/>
  <c r="E184" i="97"/>
  <c r="D183" i="97"/>
  <c r="B183" i="97"/>
  <c r="E182" i="97"/>
  <c r="D182" i="97"/>
  <c r="B182" i="97"/>
  <c r="D178" i="97"/>
  <c r="E175" i="97"/>
  <c r="D175" i="97"/>
  <c r="B175" i="97"/>
  <c r="E174" i="97"/>
  <c r="D174" i="97"/>
  <c r="B174" i="97"/>
  <c r="E173" i="97"/>
  <c r="D173" i="97"/>
  <c r="B173" i="97"/>
  <c r="E171" i="97"/>
  <c r="D171" i="97"/>
  <c r="B171" i="97"/>
  <c r="D165" i="97"/>
  <c r="C165" i="97"/>
  <c r="C126" i="97"/>
  <c r="D125" i="97"/>
  <c r="C125" i="97"/>
  <c r="D122" i="97"/>
  <c r="C122" i="97"/>
  <c r="D118" i="97"/>
  <c r="C118" i="97"/>
  <c r="D117" i="97"/>
  <c r="C117" i="97"/>
  <c r="D114" i="97"/>
  <c r="C114" i="97"/>
  <c r="C113" i="97"/>
  <c r="D110" i="97"/>
  <c r="D109" i="97"/>
  <c r="C109" i="97"/>
  <c r="C108" i="97"/>
  <c r="D106" i="97"/>
  <c r="C106" i="97"/>
  <c r="C104" i="97"/>
  <c r="D102" i="97"/>
  <c r="D101" i="97"/>
  <c r="C101" i="97"/>
  <c r="D100" i="97"/>
  <c r="C100" i="97"/>
  <c r="D98" i="97"/>
  <c r="C98" i="97"/>
  <c r="C94" i="97"/>
  <c r="D93" i="97"/>
  <c r="C93" i="97"/>
  <c r="D92" i="97"/>
  <c r="D90" i="97"/>
  <c r="C90" i="97"/>
  <c r="D89" i="97"/>
  <c r="F87" i="97"/>
  <c r="E87" i="97"/>
  <c r="D87" i="97"/>
  <c r="C87" i="97"/>
  <c r="B87" i="97"/>
  <c r="E129" i="97"/>
  <c r="D127" i="97"/>
  <c r="A204" i="97" l="1"/>
  <c r="A288" i="97"/>
  <c r="A193" i="97"/>
  <c r="A277" i="97"/>
  <c r="A185" i="97"/>
  <c r="A269" i="97"/>
  <c r="A177" i="97"/>
  <c r="A261" i="97"/>
  <c r="A196" i="97"/>
  <c r="A280" i="97"/>
  <c r="A195" i="97"/>
  <c r="A279" i="97"/>
  <c r="A194" i="97"/>
  <c r="A278" i="97"/>
  <c r="A208" i="97"/>
  <c r="A292" i="97"/>
  <c r="A200" i="97"/>
  <c r="A284" i="97"/>
  <c r="A181" i="97"/>
  <c r="A265" i="97"/>
  <c r="A191" i="97"/>
  <c r="A275" i="97"/>
  <c r="A190" i="97"/>
  <c r="A274" i="97"/>
  <c r="A205" i="97"/>
  <c r="A105" i="97"/>
  <c r="A189" i="97"/>
  <c r="A147" i="97"/>
  <c r="A231" i="97"/>
  <c r="A153" i="97"/>
  <c r="A237" i="97"/>
  <c r="A188" i="97"/>
  <c r="A146" i="97"/>
  <c r="A230" i="97"/>
  <c r="A203" i="97"/>
  <c r="A95" i="97"/>
  <c r="A179" i="97"/>
  <c r="A178" i="97"/>
  <c r="A144" i="97"/>
  <c r="A228" i="97"/>
  <c r="A151" i="97"/>
  <c r="A235" i="97"/>
  <c r="A201" i="97"/>
  <c r="A143" i="97"/>
  <c r="A227" i="97"/>
  <c r="A135" i="97"/>
  <c r="A219" i="97"/>
  <c r="A108" i="97"/>
  <c r="A192" i="97"/>
  <c r="A100" i="97"/>
  <c r="A184" i="97"/>
  <c r="A92" i="97"/>
  <c r="A176" i="97"/>
  <c r="A142" i="97"/>
  <c r="A226" i="97"/>
  <c r="A134" i="97"/>
  <c r="A218" i="97"/>
  <c r="A149" i="97"/>
  <c r="A233" i="97"/>
  <c r="A131" i="97"/>
  <c r="A215" i="97"/>
  <c r="A212" i="97"/>
  <c r="A96" i="97"/>
  <c r="A180" i="97"/>
  <c r="A138" i="97"/>
  <c r="A222" i="97"/>
  <c r="A130" i="97"/>
  <c r="A214" i="97"/>
  <c r="A211" i="97"/>
  <c r="A187" i="97"/>
  <c r="A145" i="97"/>
  <c r="A229" i="97"/>
  <c r="A137" i="97"/>
  <c r="A221" i="97"/>
  <c r="A152" i="97"/>
  <c r="A236" i="97"/>
  <c r="A126" i="97"/>
  <c r="A210" i="97"/>
  <c r="A118" i="97"/>
  <c r="A202" i="97"/>
  <c r="A102" i="97"/>
  <c r="A186" i="97"/>
  <c r="A136" i="97"/>
  <c r="A220" i="97"/>
  <c r="A125" i="97"/>
  <c r="A209" i="97"/>
  <c r="A150" i="97"/>
  <c r="A234" i="97"/>
  <c r="A123" i="97"/>
  <c r="A207" i="97"/>
  <c r="A115" i="97"/>
  <c r="A199" i="97"/>
  <c r="A183" i="97"/>
  <c r="A175" i="97"/>
  <c r="A141" i="97"/>
  <c r="A225" i="97"/>
  <c r="A133" i="97"/>
  <c r="A217" i="97"/>
  <c r="A148" i="97"/>
  <c r="A232" i="97"/>
  <c r="A129" i="97"/>
  <c r="A213" i="97"/>
  <c r="A197" i="97"/>
  <c r="A139" i="97"/>
  <c r="A223" i="97"/>
  <c r="A173" i="97"/>
  <c r="A206" i="97"/>
  <c r="A198" i="97"/>
  <c r="A182" i="97"/>
  <c r="A90" i="97"/>
  <c r="A174" i="97"/>
  <c r="A140" i="97"/>
  <c r="A224" i="97"/>
  <c r="A132" i="97"/>
  <c r="A216" i="97"/>
  <c r="A154" i="97"/>
  <c r="A238" i="97"/>
  <c r="E197" i="97"/>
  <c r="E221" i="97"/>
  <c r="F153" i="97"/>
  <c r="E272" i="97"/>
  <c r="E321" i="97"/>
  <c r="E273" i="97"/>
  <c r="E181" i="97"/>
  <c r="E280" i="97"/>
  <c r="E287" i="97"/>
  <c r="F134" i="97"/>
  <c r="E313" i="97"/>
  <c r="E302" i="97"/>
  <c r="E203" i="97"/>
  <c r="F133" i="97"/>
  <c r="F151" i="97"/>
  <c r="E320" i="97"/>
  <c r="E220" i="97"/>
  <c r="F152" i="97"/>
  <c r="E212" i="97"/>
  <c r="E270" i="97"/>
  <c r="F145" i="97"/>
  <c r="F137" i="97"/>
  <c r="D294" i="97"/>
  <c r="E150" i="97"/>
  <c r="E177" i="97"/>
  <c r="E185" i="97"/>
  <c r="D193" i="97"/>
  <c r="E201" i="97"/>
  <c r="D261" i="97"/>
  <c r="D278" i="97"/>
  <c r="E286" i="97"/>
  <c r="E141" i="97"/>
  <c r="D218" i="97"/>
  <c r="E234" i="97"/>
  <c r="D302" i="97"/>
  <c r="D287" i="97"/>
  <c r="E193" i="97"/>
  <c r="E205" i="97"/>
  <c r="E261" i="97"/>
  <c r="D270" i="97"/>
  <c r="E278" i="97"/>
  <c r="D293" i="97"/>
  <c r="E226" i="97"/>
  <c r="E311" i="97"/>
  <c r="D319" i="97"/>
  <c r="D308" i="97"/>
  <c r="D263" i="97"/>
  <c r="E135" i="97"/>
  <c r="E235" i="97"/>
  <c r="D271" i="97"/>
  <c r="E186" i="97"/>
  <c r="E194" i="97"/>
  <c r="D277" i="97"/>
  <c r="E294" i="97"/>
  <c r="D225" i="97"/>
  <c r="E309" i="97"/>
  <c r="E317" i="97"/>
  <c r="E176" i="97"/>
  <c r="E179" i="97"/>
  <c r="D195" i="97"/>
  <c r="D209" i="97"/>
  <c r="E211" i="97"/>
  <c r="D269" i="97"/>
  <c r="E289" i="97"/>
  <c r="E227" i="97"/>
  <c r="E303" i="97"/>
  <c r="D317" i="97"/>
  <c r="E279" i="97"/>
  <c r="E178" i="97"/>
  <c r="E202" i="97"/>
  <c r="E271" i="97"/>
  <c r="E219" i="97"/>
  <c r="E285" i="97"/>
  <c r="D185" i="97"/>
  <c r="E134" i="97"/>
  <c r="E218" i="97"/>
  <c r="D180" i="97"/>
  <c r="D188" i="97"/>
  <c r="D264" i="97"/>
  <c r="D272" i="97"/>
  <c r="D280" i="97"/>
  <c r="D296" i="97"/>
  <c r="D137" i="97"/>
  <c r="D184" i="97"/>
  <c r="D192" i="97"/>
  <c r="D288" i="97"/>
  <c r="D143" i="97"/>
  <c r="D132" i="97"/>
  <c r="D229" i="97"/>
  <c r="D224" i="97"/>
  <c r="D305" i="97"/>
  <c r="D303" i="97"/>
  <c r="D153" i="97"/>
  <c r="D237" i="97"/>
  <c r="D235" i="97"/>
  <c r="D320" i="97"/>
  <c r="D176" i="97"/>
  <c r="D203" i="97"/>
  <c r="D205" i="97"/>
  <c r="D211" i="97"/>
  <c r="D260" i="97"/>
  <c r="D268" i="97"/>
  <c r="D276" i="97"/>
  <c r="D284" i="97"/>
  <c r="D292" i="97"/>
  <c r="D145" i="97"/>
  <c r="D134" i="97"/>
  <c r="D220" i="97"/>
  <c r="D313" i="97"/>
  <c r="D311" i="97"/>
  <c r="D221" i="97"/>
  <c r="D129" i="97"/>
  <c r="D197" i="97"/>
  <c r="D213" i="97"/>
  <c r="D136" i="97"/>
  <c r="D97" i="97"/>
  <c r="D121" i="97"/>
  <c r="D179" i="97"/>
  <c r="D181" i="97"/>
  <c r="D187" i="97"/>
  <c r="D189" i="97"/>
  <c r="D273" i="97"/>
  <c r="D279" i="97"/>
  <c r="D281" i="97"/>
  <c r="D140" i="97"/>
  <c r="D228" i="97"/>
  <c r="D152" i="97"/>
  <c r="D113" i="97"/>
  <c r="D199" i="97"/>
  <c r="D144" i="97"/>
  <c r="D310" i="97"/>
  <c r="B312" i="97"/>
  <c r="C96" i="97"/>
  <c r="C105" i="97"/>
  <c r="C121" i="97"/>
  <c r="B264" i="97"/>
  <c r="B296" i="97"/>
  <c r="C145" i="97"/>
  <c r="C136" i="97"/>
  <c r="B321" i="97"/>
  <c r="B197" i="97"/>
  <c r="C92" i="97"/>
  <c r="C110" i="97"/>
  <c r="B292" i="97"/>
  <c r="C132" i="97"/>
  <c r="B234" i="97"/>
  <c r="B232" i="97"/>
  <c r="C152" i="97"/>
  <c r="B188" i="97"/>
  <c r="B221" i="97"/>
  <c r="B313" i="97"/>
  <c r="B320" i="97"/>
  <c r="B205" i="97"/>
  <c r="C112" i="97"/>
  <c r="B196" i="97"/>
  <c r="C137" i="97"/>
  <c r="B189" i="97"/>
  <c r="C120" i="97"/>
  <c r="C97" i="97"/>
  <c r="B227" i="97"/>
  <c r="B219" i="97"/>
  <c r="B185" i="97"/>
  <c r="B193" i="97"/>
  <c r="B310" i="97"/>
  <c r="B176" i="97"/>
  <c r="B184" i="97"/>
  <c r="B192" i="97"/>
  <c r="B200" i="97"/>
  <c r="B208" i="97"/>
  <c r="B311" i="97"/>
  <c r="B303" i="97"/>
  <c r="B316" i="97"/>
  <c r="B213" i="97"/>
  <c r="B261" i="97"/>
  <c r="B269" i="97"/>
  <c r="B277" i="97"/>
  <c r="B285" i="97"/>
  <c r="B293" i="97"/>
  <c r="B226" i="97"/>
  <c r="B218" i="97"/>
  <c r="B237" i="97"/>
  <c r="B263" i="97"/>
  <c r="B271" i="97"/>
  <c r="B279" i="97"/>
  <c r="B287" i="97"/>
  <c r="B295" i="97"/>
  <c r="B235" i="97"/>
  <c r="B319" i="97"/>
  <c r="B177" i="97"/>
  <c r="B201" i="97"/>
  <c r="B209" i="97"/>
  <c r="B262" i="97"/>
  <c r="B270" i="97"/>
  <c r="B278" i="97"/>
  <c r="B286" i="97"/>
  <c r="B294" i="97"/>
  <c r="A89" i="97"/>
  <c r="A98" i="97"/>
  <c r="A106" i="97"/>
  <c r="A124" i="97"/>
  <c r="A99" i="97"/>
  <c r="A114" i="97"/>
  <c r="A122" i="97"/>
  <c r="A116" i="97"/>
  <c r="A91" i="97"/>
  <c r="A101" i="97"/>
  <c r="A93" i="97"/>
  <c r="A109" i="97"/>
  <c r="A333" i="97"/>
  <c r="A107" i="97"/>
  <c r="A117" i="97"/>
  <c r="A249" i="97"/>
  <c r="A121" i="97"/>
  <c r="A97" i="97"/>
  <c r="A113" i="97"/>
  <c r="E95" i="97"/>
  <c r="E115" i="97"/>
  <c r="E119" i="97"/>
  <c r="E127" i="97"/>
  <c r="F91" i="97"/>
  <c r="F95" i="97"/>
  <c r="F99" i="97"/>
  <c r="F103" i="97"/>
  <c r="A112" i="97"/>
  <c r="E114" i="97"/>
  <c r="E118" i="97"/>
  <c r="E126" i="97"/>
  <c r="E165" i="97"/>
  <c r="F90" i="97"/>
  <c r="F94" i="97"/>
  <c r="F165" i="97"/>
  <c r="E89" i="97"/>
  <c r="E93" i="97"/>
  <c r="E101" i="97"/>
  <c r="A111" i="97"/>
  <c r="A119" i="97"/>
  <c r="E121" i="97"/>
  <c r="E125" i="97"/>
  <c r="F89" i="97"/>
  <c r="F93" i="97"/>
  <c r="F97" i="97"/>
  <c r="F101" i="97"/>
  <c r="D104" i="97"/>
  <c r="F105" i="97"/>
  <c r="D108" i="97"/>
  <c r="F109" i="97"/>
  <c r="D112" i="97"/>
  <c r="F113" i="97"/>
  <c r="D116" i="97"/>
  <c r="F117" i="97"/>
  <c r="D120" i="97"/>
  <c r="F121" i="97"/>
  <c r="D124" i="97"/>
  <c r="F125" i="97"/>
  <c r="D128" i="97"/>
  <c r="F129" i="97"/>
  <c r="D333" i="97"/>
  <c r="E111" i="97"/>
  <c r="F107" i="97"/>
  <c r="F111" i="97"/>
  <c r="F115" i="97"/>
  <c r="E94" i="97"/>
  <c r="A104" i="97"/>
  <c r="E106" i="97"/>
  <c r="E110" i="97"/>
  <c r="A128" i="97"/>
  <c r="F98" i="97"/>
  <c r="F106" i="97"/>
  <c r="F110" i="97"/>
  <c r="F114" i="97"/>
  <c r="F118" i="97"/>
  <c r="A103" i="97"/>
  <c r="E105" i="97"/>
  <c r="A127" i="97"/>
  <c r="E249" i="97"/>
  <c r="C91" i="97"/>
  <c r="E92" i="97"/>
  <c r="A94" i="97"/>
  <c r="C95" i="97"/>
  <c r="E96" i="97"/>
  <c r="C99" i="97"/>
  <c r="E100" i="97"/>
  <c r="C103" i="97"/>
  <c r="E104" i="97"/>
  <c r="C107" i="97"/>
  <c r="E108" i="97"/>
  <c r="A110" i="97"/>
  <c r="C111" i="97"/>
  <c r="E112" i="97"/>
  <c r="C115" i="97"/>
  <c r="E116" i="97"/>
  <c r="C119" i="97"/>
  <c r="E120" i="97"/>
  <c r="C123" i="97"/>
  <c r="E124" i="97"/>
  <c r="E128" i="97"/>
  <c r="A253" i="97"/>
  <c r="E333" i="97"/>
  <c r="E91" i="97"/>
  <c r="E99" i="97"/>
  <c r="E103" i="97"/>
  <c r="E107" i="97"/>
  <c r="E123" i="97"/>
  <c r="F119" i="97"/>
  <c r="F123" i="97"/>
  <c r="F127" i="97"/>
  <c r="A85" i="97"/>
  <c r="E90" i="97"/>
  <c r="E98" i="97"/>
  <c r="E102" i="97"/>
  <c r="A120" i="97"/>
  <c r="E122" i="97"/>
  <c r="F102" i="97"/>
  <c r="F122" i="97"/>
  <c r="F126" i="97"/>
  <c r="D249" i="97"/>
  <c r="E97" i="97"/>
  <c r="E109" i="97"/>
  <c r="E113" i="97"/>
  <c r="E117" i="97"/>
  <c r="D91" i="97"/>
  <c r="F92" i="97"/>
  <c r="D95" i="97"/>
  <c r="F96" i="97"/>
  <c r="D99" i="97"/>
  <c r="F100" i="97"/>
  <c r="D103" i="97"/>
  <c r="F104" i="97"/>
  <c r="D107" i="97"/>
  <c r="F108" i="97"/>
  <c r="D111" i="97"/>
  <c r="F112" i="97"/>
  <c r="D115" i="97"/>
  <c r="F116" i="97"/>
  <c r="D119" i="97"/>
  <c r="F120" i="97"/>
  <c r="D123" i="97"/>
  <c r="F124" i="97"/>
  <c r="F128" i="97"/>
  <c r="A94" i="60" l="1"/>
  <c r="A88" i="60"/>
  <c r="A89" i="60"/>
  <c r="A90" i="60"/>
  <c r="A91" i="60"/>
  <c r="A92" i="60"/>
  <c r="A87" i="60"/>
  <c r="A77" i="60"/>
  <c r="A61" i="60"/>
  <c r="A62" i="60"/>
  <c r="A63" i="60"/>
  <c r="A64" i="60"/>
  <c r="A65" i="60"/>
  <c r="A66" i="60"/>
  <c r="A67" i="60"/>
  <c r="A68" i="60"/>
  <c r="A69" i="60"/>
  <c r="A70" i="60"/>
  <c r="A71" i="60"/>
  <c r="A72" i="60"/>
  <c r="A73" i="60"/>
  <c r="A74" i="60"/>
  <c r="A75" i="60"/>
  <c r="A60" i="60"/>
  <c r="A50" i="60"/>
  <c r="A9" i="60"/>
  <c r="A10" i="60"/>
  <c r="A11" i="60"/>
  <c r="A12" i="60"/>
  <c r="A13" i="60"/>
  <c r="A14" i="60"/>
  <c r="A15" i="60"/>
  <c r="A16" i="60"/>
  <c r="A17" i="60"/>
  <c r="A18" i="60"/>
  <c r="A19" i="60"/>
  <c r="A20" i="60"/>
  <c r="A21" i="60"/>
  <c r="A22" i="60"/>
  <c r="A23" i="60"/>
  <c r="A24" i="60"/>
  <c r="A25" i="60"/>
  <c r="A26" i="60"/>
  <c r="A27" i="60"/>
  <c r="A28" i="60"/>
  <c r="A29" i="60"/>
  <c r="A30" i="60"/>
  <c r="A31" i="60"/>
  <c r="A32" i="60"/>
  <c r="A33" i="60"/>
  <c r="A34" i="60"/>
  <c r="A35" i="60"/>
  <c r="A36" i="60"/>
  <c r="A37" i="60"/>
  <c r="A38" i="60"/>
  <c r="A39" i="60"/>
  <c r="A40" i="60"/>
  <c r="A41" i="60"/>
  <c r="A42" i="60"/>
  <c r="A43" i="60"/>
  <c r="A44" i="60"/>
  <c r="A45" i="60"/>
  <c r="A46" i="60"/>
  <c r="A47" i="60"/>
  <c r="A48" i="60"/>
  <c r="A8" i="60"/>
  <c r="A91" i="52" l="1"/>
  <c r="A73" i="52"/>
  <c r="A61" i="52"/>
  <c r="A49" i="52"/>
  <c r="A31" i="52"/>
  <c r="A19" i="52"/>
  <c r="A7" i="52"/>
  <c r="A14" i="11" l="1"/>
  <c r="A8" i="11"/>
  <c r="A9" i="11"/>
  <c r="A10" i="11"/>
  <c r="A11" i="11"/>
  <c r="A12" i="11"/>
  <c r="A7" i="11"/>
  <c r="AQ49" i="93" l="1"/>
  <c r="Y49" i="93"/>
  <c r="A49" i="93"/>
  <c r="AQ1" i="93"/>
  <c r="Y1" i="93"/>
  <c r="A1" i="93"/>
  <c r="F3" i="83" l="1"/>
  <c r="BH83" i="93" l="1"/>
  <c r="BG83" i="93"/>
  <c r="BF83" i="93"/>
  <c r="BE83" i="93"/>
  <c r="BD83" i="93"/>
  <c r="BB83" i="93"/>
  <c r="BA83" i="93"/>
  <c r="AZ83" i="93"/>
  <c r="AY83" i="93"/>
  <c r="AX83" i="93"/>
  <c r="AV83" i="93"/>
  <c r="AU83" i="93"/>
  <c r="AT83" i="93"/>
  <c r="AS83" i="93"/>
  <c r="AR83" i="93"/>
  <c r="AP83" i="93"/>
  <c r="AO83" i="93"/>
  <c r="AN83" i="93"/>
  <c r="AM83" i="93"/>
  <c r="AL83" i="93"/>
  <c r="AJ83" i="93"/>
  <c r="AI83" i="93"/>
  <c r="AH83" i="93"/>
  <c r="AG83" i="93"/>
  <c r="AF83" i="93"/>
  <c r="AD83" i="93"/>
  <c r="AC83" i="93"/>
  <c r="AB83" i="93"/>
  <c r="AA83" i="93"/>
  <c r="Z83" i="93"/>
  <c r="X83" i="93"/>
  <c r="W83" i="93"/>
  <c r="V83" i="93"/>
  <c r="U83" i="93"/>
  <c r="T83" i="93"/>
  <c r="R83" i="93"/>
  <c r="Q83" i="93"/>
  <c r="P83" i="93"/>
  <c r="O83" i="93"/>
  <c r="N83" i="93"/>
  <c r="L83" i="93"/>
  <c r="K83" i="93"/>
  <c r="J83" i="93"/>
  <c r="I83" i="93"/>
  <c r="H83" i="93"/>
  <c r="F83" i="93"/>
  <c r="E83" i="93"/>
  <c r="D83" i="93"/>
  <c r="C83" i="93"/>
  <c r="B83" i="93"/>
  <c r="BH69" i="93"/>
  <c r="BG69" i="93"/>
  <c r="BF69" i="93"/>
  <c r="BE69" i="93"/>
  <c r="BD69" i="93"/>
  <c r="BB69" i="93"/>
  <c r="BA69" i="93"/>
  <c r="AZ69" i="93"/>
  <c r="AZ55" i="93" s="1"/>
  <c r="AY69" i="93"/>
  <c r="AX69" i="93"/>
  <c r="AV69" i="93"/>
  <c r="AU69" i="93"/>
  <c r="AT69" i="93"/>
  <c r="AS69" i="93"/>
  <c r="AR69" i="93"/>
  <c r="AP69" i="93"/>
  <c r="AO69" i="93"/>
  <c r="AN69" i="93"/>
  <c r="AM69" i="93"/>
  <c r="AL69" i="93"/>
  <c r="AJ69" i="93"/>
  <c r="AI69" i="93"/>
  <c r="AH69" i="93"/>
  <c r="AG69" i="93"/>
  <c r="AG55" i="93" s="1"/>
  <c r="AF69" i="93"/>
  <c r="AD69" i="93"/>
  <c r="AC69" i="93"/>
  <c r="AB69" i="93"/>
  <c r="AA69" i="93"/>
  <c r="Z69" i="93"/>
  <c r="X69" i="93"/>
  <c r="W69" i="93"/>
  <c r="W55" i="93" s="1"/>
  <c r="V69" i="93"/>
  <c r="U69" i="93"/>
  <c r="T69" i="93"/>
  <c r="R69" i="93"/>
  <c r="Q69" i="93"/>
  <c r="P69" i="93"/>
  <c r="O69" i="93"/>
  <c r="N69" i="93"/>
  <c r="L69" i="93"/>
  <c r="K69" i="93"/>
  <c r="J69" i="93"/>
  <c r="I69" i="93"/>
  <c r="H69" i="93"/>
  <c r="F69" i="93"/>
  <c r="E69" i="93"/>
  <c r="D69" i="93"/>
  <c r="D55" i="93" s="1"/>
  <c r="C69" i="93"/>
  <c r="B69" i="93"/>
  <c r="BH66" i="93"/>
  <c r="BG66" i="93"/>
  <c r="BF66" i="93"/>
  <c r="BE66" i="93"/>
  <c r="BD66" i="93"/>
  <c r="BB66" i="93"/>
  <c r="BA66" i="93"/>
  <c r="AZ66" i="93"/>
  <c r="AY66" i="93"/>
  <c r="AX66" i="93"/>
  <c r="AV66" i="93"/>
  <c r="AU66" i="93"/>
  <c r="AT66" i="93"/>
  <c r="AS66" i="93"/>
  <c r="AR66" i="93"/>
  <c r="AP66" i="93"/>
  <c r="AO66" i="93"/>
  <c r="AN66" i="93"/>
  <c r="AM66" i="93"/>
  <c r="AL66" i="93"/>
  <c r="AJ66" i="93"/>
  <c r="AI66" i="93"/>
  <c r="AH66" i="93"/>
  <c r="AG66" i="93"/>
  <c r="AF66" i="93"/>
  <c r="AD66" i="93"/>
  <c r="AC66" i="93"/>
  <c r="AB66" i="93"/>
  <c r="AA66" i="93"/>
  <c r="Z66" i="93"/>
  <c r="X66" i="93"/>
  <c r="W66" i="93"/>
  <c r="V66" i="93"/>
  <c r="U66" i="93"/>
  <c r="T66" i="93"/>
  <c r="R66" i="93"/>
  <c r="Q66" i="93"/>
  <c r="P66" i="93"/>
  <c r="O66" i="93"/>
  <c r="N66" i="93"/>
  <c r="L66" i="93"/>
  <c r="K66" i="93"/>
  <c r="J66" i="93"/>
  <c r="I66" i="93"/>
  <c r="H66" i="93"/>
  <c r="F66" i="93"/>
  <c r="E66" i="93"/>
  <c r="D66" i="93"/>
  <c r="C66" i="93"/>
  <c r="B66" i="93"/>
  <c r="A66" i="93"/>
  <c r="BH65" i="93"/>
  <c r="BG65" i="93"/>
  <c r="BF65" i="93"/>
  <c r="BE65" i="93"/>
  <c r="BD65" i="93"/>
  <c r="BB65" i="93"/>
  <c r="BA65" i="93"/>
  <c r="AZ65" i="93"/>
  <c r="AY65" i="93"/>
  <c r="AX65" i="93"/>
  <c r="AV65" i="93"/>
  <c r="AU65" i="93"/>
  <c r="AT65" i="93"/>
  <c r="AS65" i="93"/>
  <c r="AR65" i="93"/>
  <c r="AP65" i="93"/>
  <c r="AO65" i="93"/>
  <c r="AN65" i="93"/>
  <c r="AM65" i="93"/>
  <c r="AL65" i="93"/>
  <c r="AJ65" i="93"/>
  <c r="AI65" i="93"/>
  <c r="AH65" i="93"/>
  <c r="AG65" i="93"/>
  <c r="AF65" i="93"/>
  <c r="AD65" i="93"/>
  <c r="AC65" i="93"/>
  <c r="AB65" i="93"/>
  <c r="AA65" i="93"/>
  <c r="Z65" i="93"/>
  <c r="X65" i="93"/>
  <c r="W65" i="93"/>
  <c r="V65" i="93"/>
  <c r="U65" i="93"/>
  <c r="T65" i="93"/>
  <c r="R65" i="93"/>
  <c r="Q65" i="93"/>
  <c r="P65" i="93"/>
  <c r="O65" i="93"/>
  <c r="N65" i="93"/>
  <c r="L65" i="93"/>
  <c r="K65" i="93"/>
  <c r="J65" i="93"/>
  <c r="I65" i="93"/>
  <c r="H65" i="93"/>
  <c r="F65" i="93"/>
  <c r="E65" i="93"/>
  <c r="D65" i="93"/>
  <c r="C65" i="93"/>
  <c r="B65" i="93"/>
  <c r="BH64" i="93"/>
  <c r="BG64" i="93"/>
  <c r="BF64" i="93"/>
  <c r="BE64" i="93"/>
  <c r="BD64" i="93"/>
  <c r="BB64" i="93"/>
  <c r="BA64" i="93"/>
  <c r="AZ64" i="93"/>
  <c r="AY64" i="93"/>
  <c r="AX64" i="93"/>
  <c r="AV64" i="93"/>
  <c r="AU64" i="93"/>
  <c r="AT64" i="93"/>
  <c r="AS64" i="93"/>
  <c r="AR64" i="93"/>
  <c r="AP64" i="93"/>
  <c r="AO64" i="93"/>
  <c r="AN64" i="93"/>
  <c r="AM64" i="93"/>
  <c r="AL64" i="93"/>
  <c r="AJ64" i="93"/>
  <c r="AI64" i="93"/>
  <c r="AH64" i="93"/>
  <c r="AG64" i="93"/>
  <c r="AF64" i="93"/>
  <c r="AD64" i="93"/>
  <c r="AC64" i="93"/>
  <c r="AB64" i="93"/>
  <c r="AA64" i="93"/>
  <c r="Z64" i="93"/>
  <c r="X64" i="93"/>
  <c r="W64" i="93"/>
  <c r="V64" i="93"/>
  <c r="U64" i="93"/>
  <c r="T64" i="93"/>
  <c r="R64" i="93"/>
  <c r="Q64" i="93"/>
  <c r="P64" i="93"/>
  <c r="O64" i="93"/>
  <c r="N64" i="93"/>
  <c r="L64" i="93"/>
  <c r="K64" i="93"/>
  <c r="J64" i="93"/>
  <c r="I64" i="93"/>
  <c r="H64" i="93"/>
  <c r="F64" i="93"/>
  <c r="E64" i="93"/>
  <c r="D64" i="93"/>
  <c r="C64" i="93"/>
  <c r="B64" i="93"/>
  <c r="BH63" i="93"/>
  <c r="BG63" i="93"/>
  <c r="BF63" i="93"/>
  <c r="BE63" i="93"/>
  <c r="BD63" i="93"/>
  <c r="BB63" i="93"/>
  <c r="BA63" i="93"/>
  <c r="AZ63" i="93"/>
  <c r="AY63" i="93"/>
  <c r="AX63" i="93"/>
  <c r="AV63" i="93"/>
  <c r="AU63" i="93"/>
  <c r="AT63" i="93"/>
  <c r="AS63" i="93"/>
  <c r="AR63" i="93"/>
  <c r="AP63" i="93"/>
  <c r="AO63" i="93"/>
  <c r="AN63" i="93"/>
  <c r="AM63" i="93"/>
  <c r="AL63" i="93"/>
  <c r="AJ63" i="93"/>
  <c r="AI63" i="93"/>
  <c r="AH63" i="93"/>
  <c r="AG63" i="93"/>
  <c r="AF63" i="93"/>
  <c r="AD63" i="93"/>
  <c r="AC63" i="93"/>
  <c r="AB63" i="93"/>
  <c r="AA63" i="93"/>
  <c r="Z63" i="93"/>
  <c r="X63" i="93"/>
  <c r="W63" i="93"/>
  <c r="V63" i="93"/>
  <c r="U63" i="93"/>
  <c r="T63" i="93"/>
  <c r="R63" i="93"/>
  <c r="Q63" i="93"/>
  <c r="P63" i="93"/>
  <c r="O63" i="93"/>
  <c r="N63" i="93"/>
  <c r="L63" i="93"/>
  <c r="K63" i="93"/>
  <c r="J63" i="93"/>
  <c r="I63" i="93"/>
  <c r="H63" i="93"/>
  <c r="F63" i="93"/>
  <c r="E63" i="93"/>
  <c r="D63" i="93"/>
  <c r="C63" i="93"/>
  <c r="B63" i="93"/>
  <c r="A63" i="93"/>
  <c r="BH62" i="93"/>
  <c r="BG62" i="93"/>
  <c r="BF62" i="93"/>
  <c r="BE62" i="93"/>
  <c r="BD62" i="93"/>
  <c r="BB62" i="93"/>
  <c r="BA62" i="93"/>
  <c r="AZ62" i="93"/>
  <c r="AY62" i="93"/>
  <c r="AX62" i="93"/>
  <c r="AV62" i="93"/>
  <c r="AU62" i="93"/>
  <c r="AT62" i="93"/>
  <c r="AS62" i="93"/>
  <c r="AR62" i="93"/>
  <c r="AP62" i="93"/>
  <c r="AO62" i="93"/>
  <c r="AN62" i="93"/>
  <c r="AM62" i="93"/>
  <c r="AL62" i="93"/>
  <c r="AJ62" i="93"/>
  <c r="AI62" i="93"/>
  <c r="AH62" i="93"/>
  <c r="AG62" i="93"/>
  <c r="AF62" i="93"/>
  <c r="AD62" i="93"/>
  <c r="AC62" i="93"/>
  <c r="AB62" i="93"/>
  <c r="AA62" i="93"/>
  <c r="Z62" i="93"/>
  <c r="X62" i="93"/>
  <c r="W62" i="93"/>
  <c r="V62" i="93"/>
  <c r="U62" i="93"/>
  <c r="T62" i="93"/>
  <c r="R62" i="93"/>
  <c r="Q62" i="93"/>
  <c r="P62" i="93"/>
  <c r="O62" i="93"/>
  <c r="N62" i="93"/>
  <c r="L62" i="93"/>
  <c r="K62" i="93"/>
  <c r="J62" i="93"/>
  <c r="I62" i="93"/>
  <c r="H62" i="93"/>
  <c r="F62" i="93"/>
  <c r="E62" i="93"/>
  <c r="D62" i="93"/>
  <c r="C62" i="93"/>
  <c r="B62" i="93"/>
  <c r="BH61" i="93"/>
  <c r="BG61" i="93"/>
  <c r="BF61" i="93"/>
  <c r="BE61" i="93"/>
  <c r="BD61" i="93"/>
  <c r="BB61" i="93"/>
  <c r="BA61" i="93"/>
  <c r="AZ61" i="93"/>
  <c r="AY61" i="93"/>
  <c r="AX61" i="93"/>
  <c r="AV61" i="93"/>
  <c r="AU61" i="93"/>
  <c r="AT61" i="93"/>
  <c r="AS61" i="93"/>
  <c r="AR61" i="93"/>
  <c r="AP61" i="93"/>
  <c r="AO61" i="93"/>
  <c r="AN61" i="93"/>
  <c r="AM61" i="93"/>
  <c r="AL61" i="93"/>
  <c r="AJ61" i="93"/>
  <c r="AI61" i="93"/>
  <c r="AH61" i="93"/>
  <c r="AG61" i="93"/>
  <c r="AF61" i="93"/>
  <c r="AD61" i="93"/>
  <c r="AC61" i="93"/>
  <c r="AB61" i="93"/>
  <c r="AA61" i="93"/>
  <c r="Z61" i="93"/>
  <c r="X61" i="93"/>
  <c r="W61" i="93"/>
  <c r="V61" i="93"/>
  <c r="U61" i="93"/>
  <c r="T61" i="93"/>
  <c r="R61" i="93"/>
  <c r="Q61" i="93"/>
  <c r="P61" i="93"/>
  <c r="O61" i="93"/>
  <c r="N61" i="93"/>
  <c r="L61" i="93"/>
  <c r="K61" i="93"/>
  <c r="J61" i="93"/>
  <c r="I61" i="93"/>
  <c r="H61" i="93"/>
  <c r="F61" i="93"/>
  <c r="E61" i="93"/>
  <c r="D61" i="93"/>
  <c r="C61" i="93"/>
  <c r="B61" i="93"/>
  <c r="BH60" i="93"/>
  <c r="BG60" i="93"/>
  <c r="BF60" i="93"/>
  <c r="BE60" i="93"/>
  <c r="BD60" i="93"/>
  <c r="BB60" i="93"/>
  <c r="BA60" i="93"/>
  <c r="AZ60" i="93"/>
  <c r="AY60" i="93"/>
  <c r="AX60" i="93"/>
  <c r="AV60" i="93"/>
  <c r="AU60" i="93"/>
  <c r="AT60" i="93"/>
  <c r="AS60" i="93"/>
  <c r="AR60" i="93"/>
  <c r="AP60" i="93"/>
  <c r="AO60" i="93"/>
  <c r="AN60" i="93"/>
  <c r="AM60" i="93"/>
  <c r="AL60" i="93"/>
  <c r="AJ60" i="93"/>
  <c r="AI60" i="93"/>
  <c r="AH60" i="93"/>
  <c r="AG60" i="93"/>
  <c r="AF60" i="93"/>
  <c r="AD60" i="93"/>
  <c r="AC60" i="93"/>
  <c r="AB60" i="93"/>
  <c r="AA60" i="93"/>
  <c r="Z60" i="93"/>
  <c r="X60" i="93"/>
  <c r="W60" i="93"/>
  <c r="V60" i="93"/>
  <c r="U60" i="93"/>
  <c r="T60" i="93"/>
  <c r="R60" i="93"/>
  <c r="Q60" i="93"/>
  <c r="P60" i="93"/>
  <c r="O60" i="93"/>
  <c r="N60" i="93"/>
  <c r="L60" i="93"/>
  <c r="K60" i="93"/>
  <c r="J60" i="93"/>
  <c r="I60" i="93"/>
  <c r="H60" i="93"/>
  <c r="F60" i="93"/>
  <c r="E60" i="93"/>
  <c r="D60" i="93"/>
  <c r="C60" i="93"/>
  <c r="B60" i="93"/>
  <c r="A60" i="93"/>
  <c r="BH59" i="93"/>
  <c r="BG59" i="93"/>
  <c r="BF59" i="93"/>
  <c r="BE59" i="93"/>
  <c r="BD59" i="93"/>
  <c r="BB59" i="93"/>
  <c r="BA59" i="93"/>
  <c r="AZ59" i="93"/>
  <c r="AY59" i="93"/>
  <c r="AX59" i="93"/>
  <c r="AV59" i="93"/>
  <c r="AU59" i="93"/>
  <c r="AT59" i="93"/>
  <c r="AS59" i="93"/>
  <c r="AR59" i="93"/>
  <c r="AP59" i="93"/>
  <c r="AO59" i="93"/>
  <c r="AN59" i="93"/>
  <c r="AM59" i="93"/>
  <c r="AL59" i="93"/>
  <c r="AJ59" i="93"/>
  <c r="AI59" i="93"/>
  <c r="AH59" i="93"/>
  <c r="AG59" i="93"/>
  <c r="AF59" i="93"/>
  <c r="AD59" i="93"/>
  <c r="AC59" i="93"/>
  <c r="AB59" i="93"/>
  <c r="AA59" i="93"/>
  <c r="Z59" i="93"/>
  <c r="X59" i="93"/>
  <c r="W59" i="93"/>
  <c r="V59" i="93"/>
  <c r="U59" i="93"/>
  <c r="T59" i="93"/>
  <c r="R59" i="93"/>
  <c r="Q59" i="93"/>
  <c r="P59" i="93"/>
  <c r="O59" i="93"/>
  <c r="N59" i="93"/>
  <c r="L59" i="93"/>
  <c r="K59" i="93"/>
  <c r="J59" i="93"/>
  <c r="I59" i="93"/>
  <c r="H59" i="93"/>
  <c r="F59" i="93"/>
  <c r="E59" i="93"/>
  <c r="D59" i="93"/>
  <c r="C59" i="93"/>
  <c r="B59" i="93"/>
  <c r="BH58" i="93"/>
  <c r="BG58" i="93"/>
  <c r="BF58" i="93"/>
  <c r="BE58" i="93"/>
  <c r="BD58" i="93"/>
  <c r="BB58" i="93"/>
  <c r="BA58" i="93"/>
  <c r="AZ58" i="93"/>
  <c r="AY58" i="93"/>
  <c r="AX58" i="93"/>
  <c r="AV58" i="93"/>
  <c r="AU58" i="93"/>
  <c r="AT58" i="93"/>
  <c r="AS58" i="93"/>
  <c r="AR58" i="93"/>
  <c r="AP58" i="93"/>
  <c r="AO58" i="93"/>
  <c r="AN58" i="93"/>
  <c r="AM58" i="93"/>
  <c r="AL58" i="93"/>
  <c r="AJ58" i="93"/>
  <c r="AI58" i="93"/>
  <c r="AH58" i="93"/>
  <c r="AG58" i="93"/>
  <c r="AF58" i="93"/>
  <c r="AD58" i="93"/>
  <c r="AC58" i="93"/>
  <c r="AB58" i="93"/>
  <c r="AA58" i="93"/>
  <c r="Z58" i="93"/>
  <c r="X58" i="93"/>
  <c r="W58" i="93"/>
  <c r="V58" i="93"/>
  <c r="U58" i="93"/>
  <c r="T58" i="93"/>
  <c r="R58" i="93"/>
  <c r="Q58" i="93"/>
  <c r="P58" i="93"/>
  <c r="O58" i="93"/>
  <c r="N58" i="93"/>
  <c r="L58" i="93"/>
  <c r="K58" i="93"/>
  <c r="J58" i="93"/>
  <c r="I58" i="93"/>
  <c r="H58" i="93"/>
  <c r="F58" i="93"/>
  <c r="E58" i="93"/>
  <c r="D58" i="93"/>
  <c r="C58" i="93"/>
  <c r="B58" i="93"/>
  <c r="A58" i="93"/>
  <c r="BH57" i="93"/>
  <c r="BG57" i="93"/>
  <c r="BF57" i="93"/>
  <c r="BE57" i="93"/>
  <c r="BD57" i="93"/>
  <c r="BB57" i="93"/>
  <c r="BA57" i="93"/>
  <c r="AZ57" i="93"/>
  <c r="AY57" i="93"/>
  <c r="AX57" i="93"/>
  <c r="AV57" i="93"/>
  <c r="AU57" i="93"/>
  <c r="AT57" i="93"/>
  <c r="AS57" i="93"/>
  <c r="AR57" i="93"/>
  <c r="AP57" i="93"/>
  <c r="AO57" i="93"/>
  <c r="AN57" i="93"/>
  <c r="AM57" i="93"/>
  <c r="AL57" i="93"/>
  <c r="AJ57" i="93"/>
  <c r="AI57" i="93"/>
  <c r="AH57" i="93"/>
  <c r="AG57" i="93"/>
  <c r="AF57" i="93"/>
  <c r="AD57" i="93"/>
  <c r="AC57" i="93"/>
  <c r="AB57" i="93"/>
  <c r="AA57" i="93"/>
  <c r="Z57" i="93"/>
  <c r="X57" i="93"/>
  <c r="W57" i="93"/>
  <c r="V57" i="93"/>
  <c r="U57" i="93"/>
  <c r="T57" i="93"/>
  <c r="R57" i="93"/>
  <c r="Q57" i="93"/>
  <c r="P57" i="93"/>
  <c r="O57" i="93"/>
  <c r="N57" i="93"/>
  <c r="L57" i="93"/>
  <c r="K57" i="93"/>
  <c r="J57" i="93"/>
  <c r="I57" i="93"/>
  <c r="H57" i="93"/>
  <c r="F57" i="93"/>
  <c r="E57" i="93"/>
  <c r="D57" i="93"/>
  <c r="C57" i="93"/>
  <c r="B57" i="93"/>
  <c r="A57" i="93"/>
  <c r="BH56" i="93"/>
  <c r="BG56" i="93"/>
  <c r="BF56" i="93"/>
  <c r="BE56" i="93"/>
  <c r="BD56" i="93"/>
  <c r="BB56" i="93"/>
  <c r="BA56" i="93"/>
  <c r="AZ56" i="93"/>
  <c r="AY56" i="93"/>
  <c r="AX56" i="93"/>
  <c r="AV56" i="93"/>
  <c r="AU56" i="93"/>
  <c r="AT56" i="93"/>
  <c r="AS56" i="93"/>
  <c r="AR56" i="93"/>
  <c r="AP56" i="93"/>
  <c r="AO56" i="93"/>
  <c r="AN56" i="93"/>
  <c r="AM56" i="93"/>
  <c r="AL56" i="93"/>
  <c r="AJ56" i="93"/>
  <c r="AI56" i="93"/>
  <c r="AH56" i="93"/>
  <c r="AG56" i="93"/>
  <c r="AF56" i="93"/>
  <c r="AD56" i="93"/>
  <c r="AC56" i="93"/>
  <c r="AB56" i="93"/>
  <c r="AA56" i="93"/>
  <c r="Z56" i="93"/>
  <c r="X56" i="93"/>
  <c r="W56" i="93"/>
  <c r="V56" i="93"/>
  <c r="U56" i="93"/>
  <c r="T56" i="93"/>
  <c r="R56" i="93"/>
  <c r="Q56" i="93"/>
  <c r="P56" i="93"/>
  <c r="O56" i="93"/>
  <c r="N56" i="93"/>
  <c r="L56" i="93"/>
  <c r="K56" i="93"/>
  <c r="J56" i="93"/>
  <c r="I56" i="93"/>
  <c r="H56" i="93"/>
  <c r="F56" i="93"/>
  <c r="E56" i="93"/>
  <c r="D56" i="93"/>
  <c r="C56" i="93"/>
  <c r="B56" i="93"/>
  <c r="A55" i="93"/>
  <c r="BH53" i="93"/>
  <c r="BG53" i="93"/>
  <c r="BF53" i="93"/>
  <c r="BE53" i="93"/>
  <c r="BD53" i="93"/>
  <c r="BB53" i="93"/>
  <c r="BA53" i="93"/>
  <c r="AZ53" i="93"/>
  <c r="AY53" i="93"/>
  <c r="AX53" i="93"/>
  <c r="AP53" i="93"/>
  <c r="AO53" i="93"/>
  <c r="AN53" i="93"/>
  <c r="AM53" i="93"/>
  <c r="AL53" i="93"/>
  <c r="AJ53" i="93"/>
  <c r="AI53" i="93"/>
  <c r="AH53" i="93"/>
  <c r="AG53" i="93"/>
  <c r="AF53" i="93"/>
  <c r="X53" i="93"/>
  <c r="W53" i="93"/>
  <c r="V53" i="93"/>
  <c r="U53" i="93"/>
  <c r="T53" i="93"/>
  <c r="R53" i="93"/>
  <c r="Q53" i="93"/>
  <c r="P53" i="93"/>
  <c r="O53" i="93"/>
  <c r="N53" i="93"/>
  <c r="L53" i="93"/>
  <c r="K53" i="93"/>
  <c r="J53" i="93"/>
  <c r="I53" i="93"/>
  <c r="H53" i="93"/>
  <c r="BD51" i="93"/>
  <c r="AX51" i="93"/>
  <c r="AR51" i="93"/>
  <c r="N51" i="93"/>
  <c r="H51" i="93"/>
  <c r="B51" i="93"/>
  <c r="BH50" i="93"/>
  <c r="AP50" i="93"/>
  <c r="AQ46" i="93"/>
  <c r="AQ94" i="93" s="1"/>
  <c r="Y46" i="93"/>
  <c r="Y94" i="93" s="1"/>
  <c r="A46" i="93"/>
  <c r="A94" i="93" s="1"/>
  <c r="Y44" i="93"/>
  <c r="Y92" i="93" s="1"/>
  <c r="AQ43" i="93"/>
  <c r="AQ91" i="93" s="1"/>
  <c r="Y43" i="93"/>
  <c r="Y91" i="93" s="1"/>
  <c r="A43" i="93"/>
  <c r="A91" i="93" s="1"/>
  <c r="AQ41" i="93"/>
  <c r="AQ89" i="93" s="1"/>
  <c r="AQ40" i="93"/>
  <c r="AQ88" i="93" s="1"/>
  <c r="Y40" i="93"/>
  <c r="Y88" i="93" s="1"/>
  <c r="A40" i="93"/>
  <c r="A88" i="93" s="1"/>
  <c r="A39" i="93"/>
  <c r="A87" i="93" s="1"/>
  <c r="AQ38" i="93"/>
  <c r="AQ86" i="93" s="1"/>
  <c r="Y38" i="93"/>
  <c r="Y86" i="93" s="1"/>
  <c r="A38" i="93"/>
  <c r="A86" i="93" s="1"/>
  <c r="A36" i="93"/>
  <c r="A84" i="93" s="1"/>
  <c r="BH35" i="93"/>
  <c r="BG35" i="93"/>
  <c r="BF35" i="93"/>
  <c r="BE35" i="93"/>
  <c r="BD35" i="93"/>
  <c r="BB35" i="93"/>
  <c r="BA35" i="93"/>
  <c r="AZ35" i="93"/>
  <c r="AY35" i="93"/>
  <c r="AX35" i="93"/>
  <c r="AV35" i="93"/>
  <c r="AU35" i="93"/>
  <c r="AT35" i="93"/>
  <c r="AS35" i="93"/>
  <c r="AR35" i="93"/>
  <c r="AQ35" i="93"/>
  <c r="AQ83" i="93" s="1"/>
  <c r="AP35" i="93"/>
  <c r="AO35" i="93"/>
  <c r="AN35" i="93"/>
  <c r="AM35" i="93"/>
  <c r="AL35" i="93"/>
  <c r="AJ35" i="93"/>
  <c r="AI35" i="93"/>
  <c r="AH35" i="93"/>
  <c r="AG35" i="93"/>
  <c r="AF35" i="93"/>
  <c r="AD35" i="93"/>
  <c r="AC35" i="93"/>
  <c r="AB35" i="93"/>
  <c r="AA35" i="93"/>
  <c r="Z35" i="93"/>
  <c r="Y35" i="93"/>
  <c r="Y83" i="93" s="1"/>
  <c r="X35" i="93"/>
  <c r="W35" i="93"/>
  <c r="V35" i="93"/>
  <c r="U35" i="93"/>
  <c r="T35" i="93"/>
  <c r="R35" i="93"/>
  <c r="Q35" i="93"/>
  <c r="P35" i="93"/>
  <c r="O35" i="93"/>
  <c r="N35" i="93"/>
  <c r="L35" i="93"/>
  <c r="K35" i="93"/>
  <c r="J35" i="93"/>
  <c r="I35" i="93"/>
  <c r="H35" i="93"/>
  <c r="F35" i="93"/>
  <c r="E35" i="93"/>
  <c r="D35" i="93"/>
  <c r="C35" i="93"/>
  <c r="B35" i="93"/>
  <c r="A35" i="93"/>
  <c r="A83" i="93" s="1"/>
  <c r="Y34" i="93"/>
  <c r="Y82" i="93" s="1"/>
  <c r="Y32" i="93"/>
  <c r="Y80" i="93" s="1"/>
  <c r="A32" i="93"/>
  <c r="AQ32" i="93" s="1"/>
  <c r="AQ80" i="93" s="1"/>
  <c r="Y30" i="93"/>
  <c r="Y78" i="93" s="1"/>
  <c r="Y29" i="93"/>
  <c r="Y77" i="93" s="1"/>
  <c r="A29" i="93"/>
  <c r="A77" i="93" s="1"/>
  <c r="Y26" i="93"/>
  <c r="Y74" i="93" s="1"/>
  <c r="A26" i="93"/>
  <c r="A74" i="93" s="1"/>
  <c r="Y25" i="93"/>
  <c r="Y73" i="93" s="1"/>
  <c r="A25" i="93"/>
  <c r="Y24" i="93"/>
  <c r="Y72" i="93" s="1"/>
  <c r="A24" i="93"/>
  <c r="AQ24" i="93" s="1"/>
  <c r="AQ72" i="93" s="1"/>
  <c r="Y22" i="93"/>
  <c r="Y70" i="93" s="1"/>
  <c r="BH21" i="93"/>
  <c r="BG21" i="93"/>
  <c r="BF21" i="93"/>
  <c r="BE21" i="93"/>
  <c r="BD21" i="93"/>
  <c r="BB21" i="93"/>
  <c r="BA21" i="93"/>
  <c r="AZ21" i="93"/>
  <c r="AY21" i="93"/>
  <c r="AX21" i="93"/>
  <c r="AV21" i="93"/>
  <c r="AU21" i="93"/>
  <c r="AT21" i="93"/>
  <c r="AS21" i="93"/>
  <c r="AR21" i="93"/>
  <c r="AP21" i="93"/>
  <c r="AO21" i="93"/>
  <c r="AN21" i="93"/>
  <c r="AM21" i="93"/>
  <c r="AL21" i="93"/>
  <c r="AJ21" i="93"/>
  <c r="AJ7" i="93" s="1"/>
  <c r="AI21" i="93"/>
  <c r="AH21" i="93"/>
  <c r="AG21" i="93"/>
  <c r="AF21" i="93"/>
  <c r="AD21" i="93"/>
  <c r="AC21" i="93"/>
  <c r="AB21" i="93"/>
  <c r="AA21" i="93"/>
  <c r="AA7" i="93" s="1"/>
  <c r="Z21" i="93"/>
  <c r="Y21" i="93"/>
  <c r="Y69" i="93" s="1"/>
  <c r="X21" i="93"/>
  <c r="W21" i="93"/>
  <c r="W7" i="93" s="1"/>
  <c r="V21" i="93"/>
  <c r="U21" i="93"/>
  <c r="T21" i="93"/>
  <c r="R21" i="93"/>
  <c r="R7" i="93" s="1"/>
  <c r="Q21" i="93"/>
  <c r="P21" i="93"/>
  <c r="O21" i="93"/>
  <c r="N21" i="93"/>
  <c r="N7" i="93" s="1"/>
  <c r="L21" i="93"/>
  <c r="K21" i="93"/>
  <c r="J21" i="93"/>
  <c r="I21" i="93"/>
  <c r="I7" i="93" s="1"/>
  <c r="H21" i="93"/>
  <c r="F21" i="93"/>
  <c r="E21" i="93"/>
  <c r="D21" i="93"/>
  <c r="C21" i="93"/>
  <c r="B21" i="93"/>
  <c r="A21" i="93"/>
  <c r="AQ21" i="93" s="1"/>
  <c r="AQ69" i="93" s="1"/>
  <c r="AQ20" i="93"/>
  <c r="AQ68" i="93" s="1"/>
  <c r="Y20" i="93"/>
  <c r="Y68" i="93" s="1"/>
  <c r="A68" i="93"/>
  <c r="BH18" i="93"/>
  <c r="BG18" i="93"/>
  <c r="BF18" i="93"/>
  <c r="BE18" i="93"/>
  <c r="BD18" i="93"/>
  <c r="BB18" i="93"/>
  <c r="BA18" i="93"/>
  <c r="AZ18" i="93"/>
  <c r="AY18" i="93"/>
  <c r="AX18" i="93"/>
  <c r="AV18" i="93"/>
  <c r="AU18" i="93"/>
  <c r="AT18" i="93"/>
  <c r="AS18" i="93"/>
  <c r="AR18" i="93"/>
  <c r="AQ18" i="93"/>
  <c r="AQ66" i="93" s="1"/>
  <c r="AP18" i="93"/>
  <c r="AO18" i="93"/>
  <c r="AN18" i="93"/>
  <c r="AM18" i="93"/>
  <c r="AL18" i="93"/>
  <c r="AJ18" i="93"/>
  <c r="AI18" i="93"/>
  <c r="AH18" i="93"/>
  <c r="AG18" i="93"/>
  <c r="AF18" i="93"/>
  <c r="AD18" i="93"/>
  <c r="AC18" i="93"/>
  <c r="AB18" i="93"/>
  <c r="AA18" i="93"/>
  <c r="Z18" i="93"/>
  <c r="Y18" i="93"/>
  <c r="Y66" i="93" s="1"/>
  <c r="X18" i="93"/>
  <c r="W18" i="93"/>
  <c r="V18" i="93"/>
  <c r="U18" i="93"/>
  <c r="T18" i="93"/>
  <c r="R18" i="93"/>
  <c r="Q18" i="93"/>
  <c r="P18" i="93"/>
  <c r="O18" i="93"/>
  <c r="N18" i="93"/>
  <c r="L18" i="93"/>
  <c r="K18" i="93"/>
  <c r="J18" i="93"/>
  <c r="I18" i="93"/>
  <c r="H18" i="93"/>
  <c r="F18" i="93"/>
  <c r="E18" i="93"/>
  <c r="D18" i="93"/>
  <c r="C18" i="93"/>
  <c r="B18" i="93"/>
  <c r="BH17" i="93"/>
  <c r="BG17" i="93"/>
  <c r="BF17" i="93"/>
  <c r="BE17" i="93"/>
  <c r="BD17" i="93"/>
  <c r="BB17" i="93"/>
  <c r="BA17" i="93"/>
  <c r="AZ17" i="93"/>
  <c r="AY17" i="93"/>
  <c r="AX17" i="93"/>
  <c r="AV17" i="93"/>
  <c r="AU17" i="93"/>
  <c r="AT17" i="93"/>
  <c r="AS17" i="93"/>
  <c r="AR17" i="93"/>
  <c r="AP17" i="93"/>
  <c r="AO17" i="93"/>
  <c r="AN17" i="93"/>
  <c r="AM17" i="93"/>
  <c r="AL17" i="93"/>
  <c r="AJ17" i="93"/>
  <c r="AI17" i="93"/>
  <c r="AH17" i="93"/>
  <c r="AG17" i="93"/>
  <c r="AF17" i="93"/>
  <c r="AD17" i="93"/>
  <c r="AC17" i="93"/>
  <c r="AB17" i="93"/>
  <c r="AA17" i="93"/>
  <c r="Z17" i="93"/>
  <c r="X17" i="93"/>
  <c r="W17" i="93"/>
  <c r="V17" i="93"/>
  <c r="U17" i="93"/>
  <c r="T17" i="93"/>
  <c r="R17" i="93"/>
  <c r="Q17" i="93"/>
  <c r="P17" i="93"/>
  <c r="O17" i="93"/>
  <c r="N17" i="93"/>
  <c r="L17" i="93"/>
  <c r="K17" i="93"/>
  <c r="J17" i="93"/>
  <c r="I17" i="93"/>
  <c r="H17" i="93"/>
  <c r="F17" i="93"/>
  <c r="E17" i="93"/>
  <c r="D17" i="93"/>
  <c r="C17" i="93"/>
  <c r="B17" i="93"/>
  <c r="BH16" i="93"/>
  <c r="BG16" i="93"/>
  <c r="BF16" i="93"/>
  <c r="BE16" i="93"/>
  <c r="BD16" i="93"/>
  <c r="BB16" i="93"/>
  <c r="BA16" i="93"/>
  <c r="AZ16" i="93"/>
  <c r="AY16" i="93"/>
  <c r="AX16" i="93"/>
  <c r="AV16" i="93"/>
  <c r="AU16" i="93"/>
  <c r="AT16" i="93"/>
  <c r="AS16" i="93"/>
  <c r="AR16" i="93"/>
  <c r="AQ16" i="93"/>
  <c r="AQ64" i="93" s="1"/>
  <c r="AP16" i="93"/>
  <c r="AO16" i="93"/>
  <c r="AN16" i="93"/>
  <c r="AM16" i="93"/>
  <c r="AL16" i="93"/>
  <c r="AJ16" i="93"/>
  <c r="AI16" i="93"/>
  <c r="AH16" i="93"/>
  <c r="AG16" i="93"/>
  <c r="AF16" i="93"/>
  <c r="AD16" i="93"/>
  <c r="AC16" i="93"/>
  <c r="AB16" i="93"/>
  <c r="AA16" i="93"/>
  <c r="Z16" i="93"/>
  <c r="Y16" i="93"/>
  <c r="Y64" i="93" s="1"/>
  <c r="X16" i="93"/>
  <c r="W16" i="93"/>
  <c r="V16" i="93"/>
  <c r="U16" i="93"/>
  <c r="T16" i="93"/>
  <c r="R16" i="93"/>
  <c r="Q16" i="93"/>
  <c r="P16" i="93"/>
  <c r="O16" i="93"/>
  <c r="N16" i="93"/>
  <c r="L16" i="93"/>
  <c r="K16" i="93"/>
  <c r="J16" i="93"/>
  <c r="I16" i="93"/>
  <c r="H16" i="93"/>
  <c r="F16" i="93"/>
  <c r="E16" i="93"/>
  <c r="D16" i="93"/>
  <c r="C16" i="93"/>
  <c r="B16" i="93"/>
  <c r="A44" i="93"/>
  <c r="A92" i="93" s="1"/>
  <c r="BH15" i="93"/>
  <c r="BG15" i="93"/>
  <c r="BF15" i="93"/>
  <c r="BE15" i="93"/>
  <c r="BD15" i="93"/>
  <c r="BB15" i="93"/>
  <c r="BA15" i="93"/>
  <c r="AZ15" i="93"/>
  <c r="AY15" i="93"/>
  <c r="AX15" i="93"/>
  <c r="AV15" i="93"/>
  <c r="AU15" i="93"/>
  <c r="AT15" i="93"/>
  <c r="AS15" i="93"/>
  <c r="AR15" i="93"/>
  <c r="AQ15" i="93"/>
  <c r="AQ63" i="93" s="1"/>
  <c r="AP15" i="93"/>
  <c r="AO15" i="93"/>
  <c r="AN15" i="93"/>
  <c r="AM15" i="93"/>
  <c r="AL15" i="93"/>
  <c r="AJ15" i="93"/>
  <c r="AI15" i="93"/>
  <c r="AH15" i="93"/>
  <c r="AG15" i="93"/>
  <c r="AF15" i="93"/>
  <c r="AD15" i="93"/>
  <c r="AC15" i="93"/>
  <c r="AB15" i="93"/>
  <c r="AA15" i="93"/>
  <c r="Z15" i="93"/>
  <c r="Y15" i="93"/>
  <c r="Y63" i="93" s="1"/>
  <c r="X15" i="93"/>
  <c r="W15" i="93"/>
  <c r="V15" i="93"/>
  <c r="U15" i="93"/>
  <c r="T15" i="93"/>
  <c r="R15" i="93"/>
  <c r="Q15" i="93"/>
  <c r="P15" i="93"/>
  <c r="O15" i="93"/>
  <c r="N15" i="93"/>
  <c r="L15" i="93"/>
  <c r="K15" i="93"/>
  <c r="J15" i="93"/>
  <c r="I15" i="93"/>
  <c r="H15" i="93"/>
  <c r="F15" i="93"/>
  <c r="E15" i="93"/>
  <c r="D15" i="93"/>
  <c r="C15" i="93"/>
  <c r="B15" i="93"/>
  <c r="BH14" i="93"/>
  <c r="BG14" i="93"/>
  <c r="BF14" i="93"/>
  <c r="BE14" i="93"/>
  <c r="BD14" i="93"/>
  <c r="BB14" i="93"/>
  <c r="BA14" i="93"/>
  <c r="AZ14" i="93"/>
  <c r="AY14" i="93"/>
  <c r="AX14" i="93"/>
  <c r="AV14" i="93"/>
  <c r="AU14" i="93"/>
  <c r="AT14" i="93"/>
  <c r="AS14" i="93"/>
  <c r="AR14" i="93"/>
  <c r="AP14" i="93"/>
  <c r="AO14" i="93"/>
  <c r="AN14" i="93"/>
  <c r="AM14" i="93"/>
  <c r="AL14" i="93"/>
  <c r="AJ14" i="93"/>
  <c r="AI14" i="93"/>
  <c r="AH14" i="93"/>
  <c r="AG14" i="93"/>
  <c r="AF14" i="93"/>
  <c r="AD14" i="93"/>
  <c r="AC14" i="93"/>
  <c r="AB14" i="93"/>
  <c r="AA14" i="93"/>
  <c r="Z14" i="93"/>
  <c r="X14" i="93"/>
  <c r="W14" i="93"/>
  <c r="V14" i="93"/>
  <c r="U14" i="93"/>
  <c r="T14" i="93"/>
  <c r="R14" i="93"/>
  <c r="Q14" i="93"/>
  <c r="P14" i="93"/>
  <c r="O14" i="93"/>
  <c r="N14" i="93"/>
  <c r="L14" i="93"/>
  <c r="K14" i="93"/>
  <c r="J14" i="93"/>
  <c r="I14" i="93"/>
  <c r="H14" i="93"/>
  <c r="F14" i="93"/>
  <c r="E14" i="93"/>
  <c r="D14" i="93"/>
  <c r="C14" i="93"/>
  <c r="B14" i="93"/>
  <c r="A62" i="93"/>
  <c r="BH13" i="93"/>
  <c r="BG13" i="93"/>
  <c r="BF13" i="93"/>
  <c r="BE13" i="93"/>
  <c r="BD13" i="93"/>
  <c r="BB13" i="93"/>
  <c r="BA13" i="93"/>
  <c r="AZ13" i="93"/>
  <c r="AY13" i="93"/>
  <c r="AX13" i="93"/>
  <c r="AV13" i="93"/>
  <c r="AU13" i="93"/>
  <c r="AT13" i="93"/>
  <c r="AS13" i="93"/>
  <c r="AR13" i="93"/>
  <c r="AP13" i="93"/>
  <c r="AO13" i="93"/>
  <c r="AN13" i="93"/>
  <c r="AM13" i="93"/>
  <c r="AL13" i="93"/>
  <c r="AJ13" i="93"/>
  <c r="AI13" i="93"/>
  <c r="AH13" i="93"/>
  <c r="AG13" i="93"/>
  <c r="AF13" i="93"/>
  <c r="AD13" i="93"/>
  <c r="AC13" i="93"/>
  <c r="AB13" i="93"/>
  <c r="AA13" i="93"/>
  <c r="Z13" i="93"/>
  <c r="X13" i="93"/>
  <c r="W13" i="93"/>
  <c r="V13" i="93"/>
  <c r="U13" i="93"/>
  <c r="T13" i="93"/>
  <c r="R13" i="93"/>
  <c r="Q13" i="93"/>
  <c r="P13" i="93"/>
  <c r="O13" i="93"/>
  <c r="N13" i="93"/>
  <c r="L13" i="93"/>
  <c r="K13" i="93"/>
  <c r="J13" i="93"/>
  <c r="I13" i="93"/>
  <c r="H13" i="93"/>
  <c r="F13" i="93"/>
  <c r="E13" i="93"/>
  <c r="D13" i="93"/>
  <c r="C13" i="93"/>
  <c r="B13" i="93"/>
  <c r="BH12" i="93"/>
  <c r="BG12" i="93"/>
  <c r="BF12" i="93"/>
  <c r="BE12" i="93"/>
  <c r="BD12" i="93"/>
  <c r="BB12" i="93"/>
  <c r="BA12" i="93"/>
  <c r="AZ12" i="93"/>
  <c r="AY12" i="93"/>
  <c r="AX12" i="93"/>
  <c r="AV12" i="93"/>
  <c r="AU12" i="93"/>
  <c r="AT12" i="93"/>
  <c r="AS12" i="93"/>
  <c r="AR12" i="93"/>
  <c r="AQ12" i="93"/>
  <c r="AQ60" i="93" s="1"/>
  <c r="AP12" i="93"/>
  <c r="AO12" i="93"/>
  <c r="AN12" i="93"/>
  <c r="AM12" i="93"/>
  <c r="AL12" i="93"/>
  <c r="AJ12" i="93"/>
  <c r="AI12" i="93"/>
  <c r="AH12" i="93"/>
  <c r="AG12" i="93"/>
  <c r="AF12" i="93"/>
  <c r="AD12" i="93"/>
  <c r="AC12" i="93"/>
  <c r="AB12" i="93"/>
  <c r="AA12" i="93"/>
  <c r="Z12" i="93"/>
  <c r="Y12" i="93"/>
  <c r="Y60" i="93" s="1"/>
  <c r="X12" i="93"/>
  <c r="W12" i="93"/>
  <c r="V12" i="93"/>
  <c r="U12" i="93"/>
  <c r="T12" i="93"/>
  <c r="R12" i="93"/>
  <c r="Q12" i="93"/>
  <c r="P12" i="93"/>
  <c r="O12" i="93"/>
  <c r="N12" i="93"/>
  <c r="L12" i="93"/>
  <c r="K12" i="93"/>
  <c r="J12" i="93"/>
  <c r="I12" i="93"/>
  <c r="H12" i="93"/>
  <c r="F12" i="93"/>
  <c r="E12" i="93"/>
  <c r="D12" i="93"/>
  <c r="C12" i="93"/>
  <c r="B12" i="93"/>
  <c r="BH11" i="93"/>
  <c r="BG11" i="93"/>
  <c r="BF11" i="93"/>
  <c r="BE11" i="93"/>
  <c r="BD11" i="93"/>
  <c r="BB11" i="93"/>
  <c r="BA11" i="93"/>
  <c r="AZ11" i="93"/>
  <c r="AY11" i="93"/>
  <c r="AX11" i="93"/>
  <c r="AV11" i="93"/>
  <c r="AU11" i="93"/>
  <c r="AT11" i="93"/>
  <c r="AS11" i="93"/>
  <c r="AR11" i="93"/>
  <c r="AP11" i="93"/>
  <c r="AO11" i="93"/>
  <c r="AN11" i="93"/>
  <c r="AM11" i="93"/>
  <c r="AL11" i="93"/>
  <c r="AJ11" i="93"/>
  <c r="AI11" i="93"/>
  <c r="AH11" i="93"/>
  <c r="AG11" i="93"/>
  <c r="AF11" i="93"/>
  <c r="AD11" i="93"/>
  <c r="AC11" i="93"/>
  <c r="AB11" i="93"/>
  <c r="AA11" i="93"/>
  <c r="Z11" i="93"/>
  <c r="X11" i="93"/>
  <c r="W11" i="93"/>
  <c r="V11" i="93"/>
  <c r="U11" i="93"/>
  <c r="T11" i="93"/>
  <c r="R11" i="93"/>
  <c r="Q11" i="93"/>
  <c r="P11" i="93"/>
  <c r="O11" i="93"/>
  <c r="N11" i="93"/>
  <c r="L11" i="93"/>
  <c r="K11" i="93"/>
  <c r="J11" i="93"/>
  <c r="I11" i="93"/>
  <c r="H11" i="93"/>
  <c r="F11" i="93"/>
  <c r="E11" i="93"/>
  <c r="D11" i="93"/>
  <c r="C11" i="93"/>
  <c r="B11" i="93"/>
  <c r="AQ11" i="93"/>
  <c r="AQ59" i="93" s="1"/>
  <c r="BH10" i="93"/>
  <c r="BG10" i="93"/>
  <c r="BF10" i="93"/>
  <c r="BE10" i="93"/>
  <c r="BD10" i="93"/>
  <c r="BB10" i="93"/>
  <c r="BA10" i="93"/>
  <c r="AZ10" i="93"/>
  <c r="AY10" i="93"/>
  <c r="AX10" i="93"/>
  <c r="AV10" i="93"/>
  <c r="AU10" i="93"/>
  <c r="AT10" i="93"/>
  <c r="AS10" i="93"/>
  <c r="AR10" i="93"/>
  <c r="AQ10" i="93"/>
  <c r="AQ58" i="93" s="1"/>
  <c r="AP10" i="93"/>
  <c r="AO10" i="93"/>
  <c r="AN10" i="93"/>
  <c r="AM10" i="93"/>
  <c r="AL10" i="93"/>
  <c r="AJ10" i="93"/>
  <c r="AI10" i="93"/>
  <c r="AH10" i="93"/>
  <c r="AG10" i="93"/>
  <c r="AF10" i="93"/>
  <c r="AD10" i="93"/>
  <c r="AC10" i="93"/>
  <c r="AB10" i="93"/>
  <c r="AA10" i="93"/>
  <c r="Z10" i="93"/>
  <c r="Y10" i="93"/>
  <c r="Y58" i="93" s="1"/>
  <c r="X10" i="93"/>
  <c r="W10" i="93"/>
  <c r="V10" i="93"/>
  <c r="U10" i="93"/>
  <c r="T10" i="93"/>
  <c r="R10" i="93"/>
  <c r="Q10" i="93"/>
  <c r="P10" i="93"/>
  <c r="O10" i="93"/>
  <c r="N10" i="93"/>
  <c r="L10" i="93"/>
  <c r="K10" i="93"/>
  <c r="J10" i="93"/>
  <c r="I10" i="93"/>
  <c r="H10" i="93"/>
  <c r="F10" i="93"/>
  <c r="E10" i="93"/>
  <c r="D10" i="93"/>
  <c r="C10" i="93"/>
  <c r="B10" i="93"/>
  <c r="BH9" i="93"/>
  <c r="BG9" i="93"/>
  <c r="BF9" i="93"/>
  <c r="BE9" i="93"/>
  <c r="BD9" i="93"/>
  <c r="BB9" i="93"/>
  <c r="BA9" i="93"/>
  <c r="AZ9" i="93"/>
  <c r="AY9" i="93"/>
  <c r="AX9" i="93"/>
  <c r="AV9" i="93"/>
  <c r="AU9" i="93"/>
  <c r="AT9" i="93"/>
  <c r="AS9" i="93"/>
  <c r="AR9" i="93"/>
  <c r="AP9" i="93"/>
  <c r="AO9" i="93"/>
  <c r="AN9" i="93"/>
  <c r="AM9" i="93"/>
  <c r="AL9" i="93"/>
  <c r="AJ9" i="93"/>
  <c r="AI9" i="93"/>
  <c r="AH9" i="93"/>
  <c r="AG9" i="93"/>
  <c r="AF9" i="93"/>
  <c r="AD9" i="93"/>
  <c r="AC9" i="93"/>
  <c r="AB9" i="93"/>
  <c r="AA9" i="93"/>
  <c r="Z9" i="93"/>
  <c r="X9" i="93"/>
  <c r="W9" i="93"/>
  <c r="V9" i="93"/>
  <c r="U9" i="93"/>
  <c r="T9" i="93"/>
  <c r="R9" i="93"/>
  <c r="Q9" i="93"/>
  <c r="P9" i="93"/>
  <c r="O9" i="93"/>
  <c r="N9" i="93"/>
  <c r="L9" i="93"/>
  <c r="K9" i="93"/>
  <c r="J9" i="93"/>
  <c r="I9" i="93"/>
  <c r="H9" i="93"/>
  <c r="F9" i="93"/>
  <c r="E9" i="93"/>
  <c r="D9" i="93"/>
  <c r="C9" i="93"/>
  <c r="B9" i="93"/>
  <c r="BH8" i="93"/>
  <c r="BG8" i="93"/>
  <c r="BF8" i="93"/>
  <c r="BE8" i="93"/>
  <c r="BD8" i="93"/>
  <c r="BB8" i="93"/>
  <c r="BA8" i="93"/>
  <c r="AZ8" i="93"/>
  <c r="AY8" i="93"/>
  <c r="AX8" i="93"/>
  <c r="AV8" i="93"/>
  <c r="AU8" i="93"/>
  <c r="AT8" i="93"/>
  <c r="AS8" i="93"/>
  <c r="AR8" i="93"/>
  <c r="AQ8" i="93"/>
  <c r="AQ56" i="93" s="1"/>
  <c r="AP8" i="93"/>
  <c r="AO8" i="93"/>
  <c r="AN8" i="93"/>
  <c r="AM8" i="93"/>
  <c r="AL8" i="93"/>
  <c r="AJ8" i="93"/>
  <c r="AI8" i="93"/>
  <c r="AH8" i="93"/>
  <c r="AG8" i="93"/>
  <c r="AF8" i="93"/>
  <c r="AD8" i="93"/>
  <c r="AC8" i="93"/>
  <c r="AB8" i="93"/>
  <c r="AA8" i="93"/>
  <c r="Z8" i="93"/>
  <c r="Y8" i="93"/>
  <c r="Y56" i="93" s="1"/>
  <c r="X8" i="93"/>
  <c r="W8" i="93"/>
  <c r="V8" i="93"/>
  <c r="U8" i="93"/>
  <c r="T8" i="93"/>
  <c r="R8" i="93"/>
  <c r="Q8" i="93"/>
  <c r="P8" i="93"/>
  <c r="O8" i="93"/>
  <c r="N8" i="93"/>
  <c r="L8" i="93"/>
  <c r="K8" i="93"/>
  <c r="J8" i="93"/>
  <c r="I8" i="93"/>
  <c r="H8" i="93"/>
  <c r="F8" i="93"/>
  <c r="E8" i="93"/>
  <c r="D8" i="93"/>
  <c r="C8" i="93"/>
  <c r="B8" i="93"/>
  <c r="AQ7" i="93"/>
  <c r="AQ55" i="93" s="1"/>
  <c r="Y7" i="93"/>
  <c r="Y55" i="93" s="1"/>
  <c r="BH5" i="93"/>
  <c r="BG5" i="93"/>
  <c r="BF5" i="93"/>
  <c r="BE5" i="93"/>
  <c r="BD5" i="93"/>
  <c r="BB5" i="93"/>
  <c r="BA5" i="93"/>
  <c r="AZ5" i="93"/>
  <c r="AY5" i="93"/>
  <c r="AX5" i="93"/>
  <c r="AP5" i="93"/>
  <c r="AO5" i="93"/>
  <c r="AN5" i="93"/>
  <c r="AM5" i="93"/>
  <c r="AL5" i="93"/>
  <c r="AJ5" i="93"/>
  <c r="AI5" i="93"/>
  <c r="AH5" i="93"/>
  <c r="AG5" i="93"/>
  <c r="AF5" i="93"/>
  <c r="X5" i="93"/>
  <c r="W5" i="93"/>
  <c r="V5" i="93"/>
  <c r="U5" i="93"/>
  <c r="T5" i="93"/>
  <c r="R5" i="93"/>
  <c r="Q5" i="93"/>
  <c r="P5" i="93"/>
  <c r="O5" i="93"/>
  <c r="N5" i="93"/>
  <c r="L5" i="93"/>
  <c r="K5" i="93"/>
  <c r="J5" i="93"/>
  <c r="I5" i="93"/>
  <c r="H5" i="93"/>
  <c r="AL51" i="93"/>
  <c r="AF51" i="93"/>
  <c r="Z51" i="93"/>
  <c r="T51" i="93"/>
  <c r="H7" i="93" l="1"/>
  <c r="N55" i="93"/>
  <c r="AP55" i="93"/>
  <c r="AU7" i="93"/>
  <c r="AH55" i="93"/>
  <c r="AR55" i="93"/>
  <c r="BA55" i="93"/>
  <c r="AR7" i="93"/>
  <c r="B55" i="93"/>
  <c r="K55" i="93"/>
  <c r="U55" i="93"/>
  <c r="AN55" i="93"/>
  <c r="AX55" i="93"/>
  <c r="BG55" i="93"/>
  <c r="Z7" i="93"/>
  <c r="AS7" i="93"/>
  <c r="BB7" i="93"/>
  <c r="C55" i="93"/>
  <c r="L55" i="93"/>
  <c r="V55" i="93"/>
  <c r="AF55" i="93"/>
  <c r="AO55" i="93"/>
  <c r="AY55" i="93"/>
  <c r="BH55" i="93"/>
  <c r="R55" i="93"/>
  <c r="B7" i="93"/>
  <c r="K7" i="93"/>
  <c r="U7" i="93"/>
  <c r="AC7" i="93"/>
  <c r="AM7" i="93"/>
  <c r="BF55" i="93"/>
  <c r="AZ7" i="93"/>
  <c r="E55" i="93"/>
  <c r="O55" i="93"/>
  <c r="X55" i="93"/>
  <c r="AF7" i="93"/>
  <c r="AT7" i="93"/>
  <c r="BD7" i="93"/>
  <c r="F55" i="93"/>
  <c r="P55" i="93"/>
  <c r="Z55" i="93"/>
  <c r="AI55" i="93"/>
  <c r="AS55" i="93"/>
  <c r="BB55" i="93"/>
  <c r="J55" i="93"/>
  <c r="AV55" i="93"/>
  <c r="J7" i="93"/>
  <c r="T7" i="93"/>
  <c r="AB7" i="93"/>
  <c r="AL7" i="93"/>
  <c r="BE7" i="93"/>
  <c r="Q7" i="93"/>
  <c r="AI7" i="93"/>
  <c r="BA7" i="93"/>
  <c r="P7" i="93"/>
  <c r="H55" i="93"/>
  <c r="Q55" i="93"/>
  <c r="AA55" i="93"/>
  <c r="AJ55" i="93"/>
  <c r="AX7" i="93"/>
  <c r="BG7" i="93"/>
  <c r="AU55" i="93"/>
  <c r="BE55" i="93"/>
  <c r="F7" i="93"/>
  <c r="AH7" i="93"/>
  <c r="D7" i="93"/>
  <c r="AO7" i="93"/>
  <c r="T55" i="93"/>
  <c r="AC55" i="93"/>
  <c r="AM55" i="93"/>
  <c r="AT55" i="93"/>
  <c r="BD55" i="93"/>
  <c r="A80" i="93"/>
  <c r="I55" i="93"/>
  <c r="AB55" i="93"/>
  <c r="AL55" i="93"/>
  <c r="A69" i="93"/>
  <c r="O7" i="93"/>
  <c r="AY7" i="93"/>
  <c r="AQ26" i="93"/>
  <c r="AQ74" i="93" s="1"/>
  <c r="X7" i="93"/>
  <c r="BH7" i="93"/>
  <c r="C7" i="93"/>
  <c r="L7" i="93"/>
  <c r="V7" i="93"/>
  <c r="AD7" i="93"/>
  <c r="AN7" i="93"/>
  <c r="AV7" i="93"/>
  <c r="BF7" i="93"/>
  <c r="A72" i="93"/>
  <c r="E7" i="93"/>
  <c r="AG7" i="93"/>
  <c r="AP7" i="93"/>
  <c r="AD55" i="93"/>
  <c r="AQ29" i="93"/>
  <c r="AQ77" i="93" s="1"/>
  <c r="A54" i="93"/>
  <c r="AQ6" i="93"/>
  <c r="AQ54" i="93" s="1"/>
  <c r="Y6" i="93"/>
  <c r="Y54" i="93" s="1"/>
  <c r="Y37" i="93"/>
  <c r="Y85" i="93" s="1"/>
  <c r="A37" i="93"/>
  <c r="A85" i="93" s="1"/>
  <c r="Y23" i="93"/>
  <c r="Y71" i="93" s="1"/>
  <c r="A23" i="93"/>
  <c r="AQ9" i="93"/>
  <c r="AQ57" i="93" s="1"/>
  <c r="Y9" i="93"/>
  <c r="Y57" i="93" s="1"/>
  <c r="AQ37" i="93"/>
  <c r="AQ85" i="93" s="1"/>
  <c r="A61" i="93"/>
  <c r="A41" i="93"/>
  <c r="A89" i="93" s="1"/>
  <c r="Y27" i="93"/>
  <c r="Y75" i="93" s="1"/>
  <c r="Y41" i="93"/>
  <c r="Y89" i="93" s="1"/>
  <c r="AQ13" i="93"/>
  <c r="AQ61" i="93" s="1"/>
  <c r="Y13" i="93"/>
  <c r="Y61" i="93" s="1"/>
  <c r="A27" i="93"/>
  <c r="Y45" i="93"/>
  <c r="Y93" i="93" s="1"/>
  <c r="A45" i="93"/>
  <c r="A93" i="93" s="1"/>
  <c r="Y31" i="93"/>
  <c r="Y79" i="93" s="1"/>
  <c r="A31" i="93"/>
  <c r="AQ17" i="93"/>
  <c r="AQ65" i="93" s="1"/>
  <c r="Y17" i="93"/>
  <c r="Y65" i="93" s="1"/>
  <c r="AQ45" i="93"/>
  <c r="AQ93" i="93" s="1"/>
  <c r="A65" i="93"/>
  <c r="A56" i="93"/>
  <c r="AQ36" i="93"/>
  <c r="AQ84" i="93" s="1"/>
  <c r="A22" i="93"/>
  <c r="AQ42" i="93"/>
  <c r="AQ90" i="93" s="1"/>
  <c r="Y42" i="93"/>
  <c r="Y90" i="93" s="1"/>
  <c r="AQ14" i="93"/>
  <c r="AQ62" i="93" s="1"/>
  <c r="Y14" i="93"/>
  <c r="Y62" i="93" s="1"/>
  <c r="A42" i="93"/>
  <c r="A90" i="93" s="1"/>
  <c r="Y28" i="93"/>
  <c r="Y76" i="93" s="1"/>
  <c r="A64" i="93"/>
  <c r="AQ44" i="93"/>
  <c r="AQ92" i="93" s="1"/>
  <c r="A30" i="93"/>
  <c r="A28" i="93"/>
  <c r="A82" i="93"/>
  <c r="AQ34" i="93"/>
  <c r="AQ82" i="93" s="1"/>
  <c r="Y36" i="93"/>
  <c r="Y84" i="93" s="1"/>
  <c r="A73" i="93"/>
  <c r="AQ25" i="93"/>
  <c r="AQ73" i="93" s="1"/>
  <c r="Y39" i="93"/>
  <c r="Y87" i="93" s="1"/>
  <c r="A59" i="93"/>
  <c r="AQ39" i="93"/>
  <c r="AQ87" i="93" s="1"/>
  <c r="Y11" i="93"/>
  <c r="Y59" i="93" s="1"/>
  <c r="AQ31" i="93" l="1"/>
  <c r="AQ79" i="93" s="1"/>
  <c r="A79" i="93"/>
  <c r="A76" i="93"/>
  <c r="AQ28" i="93"/>
  <c r="AQ76" i="93" s="1"/>
  <c r="A78" i="93"/>
  <c r="AQ30" i="93"/>
  <c r="AQ78" i="93" s="1"/>
  <c r="A75" i="93"/>
  <c r="AQ27" i="93"/>
  <c r="AQ75" i="93" s="1"/>
  <c r="AQ23" i="93"/>
  <c r="AQ71" i="93" s="1"/>
  <c r="A71" i="93"/>
  <c r="A70" i="93"/>
  <c r="AQ22" i="93"/>
  <c r="AQ70" i="93" s="1"/>
  <c r="N6" i="78" l="1"/>
  <c r="O6" i="78"/>
  <c r="P6" i="78"/>
  <c r="AA6" i="78" s="1"/>
  <c r="AL6" i="78" s="1"/>
  <c r="Q6" i="78"/>
  <c r="M6" i="78"/>
  <c r="L1" i="78" l="1"/>
  <c r="Q114" i="78"/>
  <c r="AW6" i="78"/>
  <c r="AL42" i="78"/>
  <c r="AB6" i="78"/>
  <c r="AM6" i="78" s="1"/>
  <c r="AL90" i="78" s="1"/>
  <c r="Q101" i="78"/>
  <c r="Q93" i="78"/>
  <c r="Q85" i="78"/>
  <c r="Q100" i="78"/>
  <c r="Q92" i="78"/>
  <c r="Q84" i="78"/>
  <c r="Q97" i="78"/>
  <c r="Q89" i="78"/>
  <c r="Q81" i="78"/>
  <c r="Q103" i="78"/>
  <c r="Q90" i="78"/>
  <c r="Q102" i="78"/>
  <c r="Q88" i="78"/>
  <c r="Q99" i="78"/>
  <c r="Q87" i="78"/>
  <c r="Q96" i="78"/>
  <c r="Q83" i="78"/>
  <c r="Q95" i="78"/>
  <c r="Q82" i="78"/>
  <c r="Q104" i="78"/>
  <c r="Q91" i="78"/>
  <c r="Q98" i="78"/>
  <c r="Q94" i="78"/>
  <c r="Q86" i="78"/>
  <c r="Q80" i="78"/>
  <c r="Z6" i="78"/>
  <c r="N102" i="78"/>
  <c r="N94" i="78"/>
  <c r="N86" i="78"/>
  <c r="N101" i="78"/>
  <c r="N93" i="78"/>
  <c r="N85" i="78"/>
  <c r="N98" i="78"/>
  <c r="N90" i="78"/>
  <c r="N82" i="78"/>
  <c r="N92" i="78"/>
  <c r="N80" i="78"/>
  <c r="N89" i="78"/>
  <c r="N104" i="78"/>
  <c r="N91" i="78"/>
  <c r="N103" i="78"/>
  <c r="N99" i="78"/>
  <c r="N87" i="78"/>
  <c r="N97" i="78"/>
  <c r="N84" i="78"/>
  <c r="N100" i="78"/>
  <c r="N95" i="78"/>
  <c r="N96" i="78"/>
  <c r="N88" i="78"/>
  <c r="N83" i="78"/>
  <c r="N81" i="78"/>
  <c r="Y6" i="78"/>
  <c r="AJ6" i="78" s="1"/>
  <c r="N78" i="78"/>
  <c r="N114" i="78"/>
  <c r="Q78" i="78"/>
  <c r="X6" i="78"/>
  <c r="W1" i="78" s="1"/>
  <c r="AI6" i="78" l="1"/>
  <c r="AH1" i="78" s="1"/>
  <c r="AL86" i="78"/>
  <c r="AL87" i="78"/>
  <c r="AL93" i="78"/>
  <c r="AL99" i="78"/>
  <c r="AL85" i="78"/>
  <c r="AL88" i="78"/>
  <c r="AK6" i="78"/>
  <c r="AM114" i="78" s="1"/>
  <c r="AB114" i="78"/>
  <c r="AL81" i="78"/>
  <c r="AL103" i="78"/>
  <c r="AL83" i="78"/>
  <c r="AL114" i="78"/>
  <c r="AL94" i="78"/>
  <c r="AL78" i="78"/>
  <c r="AL101" i="78"/>
  <c r="AL95" i="78"/>
  <c r="AL106" i="78"/>
  <c r="AL102" i="78"/>
  <c r="AL80" i="78"/>
  <c r="AL89" i="78"/>
  <c r="AL84" i="78"/>
  <c r="AL92" i="78"/>
  <c r="AL96" i="78"/>
  <c r="AL82" i="78"/>
  <c r="AL97" i="78"/>
  <c r="AL98" i="78"/>
  <c r="AX6" i="78"/>
  <c r="AW89" i="78" s="1"/>
  <c r="AM42" i="78"/>
  <c r="AL91" i="78"/>
  <c r="AL104" i="78"/>
  <c r="AL100" i="78"/>
  <c r="BH6" i="78"/>
  <c r="AW42" i="78"/>
  <c r="AK85" i="78"/>
  <c r="AK91" i="78"/>
  <c r="AM98" i="78"/>
  <c r="AM87" i="78"/>
  <c r="AM82" i="78"/>
  <c r="AM81" i="78"/>
  <c r="AM95" i="78"/>
  <c r="AM78" i="78"/>
  <c r="AU6" i="78"/>
  <c r="AM90" i="78"/>
  <c r="AJ42" i="78"/>
  <c r="AM101" i="78"/>
  <c r="AM92" i="78"/>
  <c r="AM96" i="78"/>
  <c r="AM97" i="78"/>
  <c r="AM94" i="78"/>
  <c r="AM99" i="78"/>
  <c r="AM85" i="78"/>
  <c r="AM102" i="78"/>
  <c r="AM93" i="78"/>
  <c r="AM84" i="78"/>
  <c r="AM88" i="78"/>
  <c r="AM103" i="78"/>
  <c r="AM106" i="78"/>
  <c r="AM83" i="78"/>
  <c r="AM80" i="78"/>
  <c r="AM86" i="78"/>
  <c r="AM100" i="78"/>
  <c r="AM104" i="78"/>
  <c r="AM89" i="78"/>
  <c r="AM91" i="78"/>
  <c r="AI102" i="78"/>
  <c r="AI95" i="78"/>
  <c r="AT6" i="78"/>
  <c r="AS1" i="78" s="1"/>
  <c r="AI87" i="78"/>
  <c r="AI106" i="78"/>
  <c r="AI84" i="78"/>
  <c r="AI97" i="78"/>
  <c r="AI80" i="78"/>
  <c r="AI99" i="78"/>
  <c r="AI101" i="78"/>
  <c r="AI83" i="78"/>
  <c r="AI94" i="78"/>
  <c r="AI78" i="78"/>
  <c r="AI85" i="78"/>
  <c r="AI89" i="78"/>
  <c r="AI81" i="78"/>
  <c r="AI91" i="78"/>
  <c r="AI42" i="78"/>
  <c r="AI98" i="78"/>
  <c r="AI88" i="78"/>
  <c r="AI96" i="78"/>
  <c r="AI104" i="78"/>
  <c r="AI93" i="78"/>
  <c r="AI100" i="78"/>
  <c r="AI82" i="78"/>
  <c r="AI86" i="78"/>
  <c r="AI114" i="78"/>
  <c r="AI92" i="78"/>
  <c r="AI90" i="78"/>
  <c r="AI103" i="78"/>
  <c r="Y78" i="78"/>
  <c r="AB78" i="78"/>
  <c r="Y114" i="78"/>
  <c r="Y99" i="78"/>
  <c r="Y91" i="78"/>
  <c r="Y83" i="78"/>
  <c r="Y98" i="78"/>
  <c r="Y90" i="78"/>
  <c r="Y82" i="78"/>
  <c r="Y103" i="78"/>
  <c r="Y95" i="78"/>
  <c r="Y87" i="78"/>
  <c r="Y101" i="78"/>
  <c r="Y88" i="78"/>
  <c r="Y100" i="78"/>
  <c r="Y86" i="78"/>
  <c r="Y97" i="78"/>
  <c r="Y85" i="78"/>
  <c r="Y94" i="78"/>
  <c r="Y81" i="78"/>
  <c r="Y93" i="78"/>
  <c r="Y80" i="78"/>
  <c r="Y92" i="78"/>
  <c r="Y84" i="78"/>
  <c r="Y89" i="78"/>
  <c r="Y102" i="78"/>
  <c r="Y104" i="78"/>
  <c r="Y96" i="78"/>
  <c r="AB99" i="78"/>
  <c r="AB91" i="78"/>
  <c r="AB83" i="78"/>
  <c r="AB81" i="78"/>
  <c r="AB98" i="78"/>
  <c r="AB90" i="78"/>
  <c r="AB82" i="78"/>
  <c r="AB103" i="78"/>
  <c r="AB95" i="78"/>
  <c r="AB87" i="78"/>
  <c r="AB100" i="78"/>
  <c r="AB86" i="78"/>
  <c r="AB97" i="78"/>
  <c r="AB85" i="78"/>
  <c r="AB96" i="78"/>
  <c r="AB84" i="78"/>
  <c r="AB93" i="78"/>
  <c r="AB104" i="78"/>
  <c r="AB92" i="78"/>
  <c r="AB94" i="78"/>
  <c r="AB89" i="78"/>
  <c r="AB88" i="78"/>
  <c r="AB80" i="78"/>
  <c r="AB101" i="78"/>
  <c r="AB102" i="78"/>
  <c r="C34" i="79"/>
  <c r="D34" i="79"/>
  <c r="B34" i="79"/>
  <c r="M8" i="79" s="1"/>
  <c r="AB34" i="78"/>
  <c r="AA34" i="78"/>
  <c r="Z34" i="78"/>
  <c r="Y34" i="78"/>
  <c r="X34" i="78"/>
  <c r="Q34" i="78"/>
  <c r="P34" i="78"/>
  <c r="O34" i="78"/>
  <c r="N34" i="78"/>
  <c r="M34" i="78"/>
  <c r="C34" i="78"/>
  <c r="D34" i="78"/>
  <c r="E34" i="78"/>
  <c r="F34" i="78"/>
  <c r="B34" i="78"/>
  <c r="B45" i="78" s="1"/>
  <c r="AJ104" i="78" l="1"/>
  <c r="AJ100" i="78"/>
  <c r="AJ91" i="78"/>
  <c r="AJ101" i="78"/>
  <c r="AK42" i="78"/>
  <c r="AK100" i="78"/>
  <c r="AW86" i="78"/>
  <c r="AW93" i="78"/>
  <c r="AW99" i="78"/>
  <c r="AW104" i="78"/>
  <c r="AW78" i="78"/>
  <c r="AW106" i="78"/>
  <c r="AW91" i="78"/>
  <c r="AW92" i="78"/>
  <c r="AW83" i="78"/>
  <c r="AW81" i="78"/>
  <c r="AJ97" i="78"/>
  <c r="AJ84" i="78"/>
  <c r="AK83" i="78"/>
  <c r="AK114" i="78"/>
  <c r="AJ106" i="78"/>
  <c r="AK94" i="78"/>
  <c r="AK86" i="78"/>
  <c r="AJ98" i="78"/>
  <c r="AJ87" i="78"/>
  <c r="AJ85" i="78"/>
  <c r="AK92" i="78"/>
  <c r="AK103" i="78"/>
  <c r="AJ81" i="78"/>
  <c r="AK90" i="78"/>
  <c r="AJ114" i="78"/>
  <c r="AK89" i="78"/>
  <c r="AV6" i="78"/>
  <c r="AX114" i="78" s="1"/>
  <c r="AJ96" i="78"/>
  <c r="AK87" i="78"/>
  <c r="AJ94" i="78"/>
  <c r="AJ95" i="78"/>
  <c r="AK78" i="78"/>
  <c r="AK95" i="78"/>
  <c r="F142" i="78"/>
  <c r="H34" i="78"/>
  <c r="Q142" i="78"/>
  <c r="S34" i="78"/>
  <c r="S70" i="78" s="1"/>
  <c r="S106" i="78" s="1"/>
  <c r="AJ99" i="78"/>
  <c r="AJ86" i="78"/>
  <c r="AJ103" i="78"/>
  <c r="AJ92" i="78"/>
  <c r="AJ88" i="78"/>
  <c r="AK101" i="78"/>
  <c r="AK104" i="78"/>
  <c r="AK98" i="78"/>
  <c r="AK97" i="78"/>
  <c r="AW95" i="78"/>
  <c r="AW82" i="78"/>
  <c r="AW96" i="78"/>
  <c r="AW85" i="78"/>
  <c r="H70" i="78"/>
  <c r="H106" i="78" s="1"/>
  <c r="I106" i="78"/>
  <c r="I70" i="78"/>
  <c r="AE106" i="78"/>
  <c r="AE70" i="78"/>
  <c r="AW87" i="78"/>
  <c r="AD34" i="78"/>
  <c r="AF34" i="78" s="1"/>
  <c r="AF70" i="78" s="1"/>
  <c r="AF106" i="78" s="1"/>
  <c r="AB142" i="78"/>
  <c r="AJ82" i="78"/>
  <c r="AK96" i="78"/>
  <c r="AK102" i="78"/>
  <c r="AK99" i="78"/>
  <c r="AK93" i="78"/>
  <c r="AW114" i="78"/>
  <c r="AW97" i="78"/>
  <c r="AW102" i="78"/>
  <c r="AW103" i="78"/>
  <c r="AW98" i="78"/>
  <c r="AJ78" i="78"/>
  <c r="AJ89" i="78"/>
  <c r="AJ83" i="78"/>
  <c r="AK80" i="78"/>
  <c r="AK106" i="78"/>
  <c r="AK84" i="78"/>
  <c r="AW84" i="78"/>
  <c r="AW88" i="78"/>
  <c r="AW90" i="78"/>
  <c r="AW100" i="78"/>
  <c r="AJ102" i="78"/>
  <c r="AJ90" i="78"/>
  <c r="AJ80" i="78"/>
  <c r="AJ93" i="78"/>
  <c r="AK88" i="78"/>
  <c r="AK82" i="78"/>
  <c r="AK81" i="78"/>
  <c r="AW80" i="78"/>
  <c r="AW101" i="78"/>
  <c r="AW94" i="78"/>
  <c r="BI6" i="78"/>
  <c r="BH96" i="78" s="1"/>
  <c r="AX42" i="78"/>
  <c r="BH42" i="78"/>
  <c r="BS6" i="78"/>
  <c r="BF6" i="78"/>
  <c r="AX106" i="78"/>
  <c r="AX86" i="78"/>
  <c r="AX89" i="78"/>
  <c r="AX95" i="78"/>
  <c r="AU42" i="78"/>
  <c r="AX101" i="78"/>
  <c r="AX92" i="78"/>
  <c r="AX104" i="78"/>
  <c r="AX78" i="78"/>
  <c r="AX87" i="78"/>
  <c r="AX93" i="78"/>
  <c r="AX98" i="78"/>
  <c r="AX96" i="78"/>
  <c r="AX97" i="78"/>
  <c r="AX88" i="78"/>
  <c r="AX83" i="78"/>
  <c r="AX81" i="78"/>
  <c r="AX103" i="78"/>
  <c r="AX84" i="78"/>
  <c r="AX99" i="78"/>
  <c r="AX94" i="78"/>
  <c r="AX100" i="78"/>
  <c r="AX82" i="78"/>
  <c r="AX80" i="78"/>
  <c r="AX102" i="78"/>
  <c r="AX90" i="78"/>
  <c r="AX91" i="78"/>
  <c r="AX85" i="78"/>
  <c r="AH37" i="78"/>
  <c r="AH73" i="78"/>
  <c r="AH109" i="78"/>
  <c r="BE6" i="78"/>
  <c r="BD1" i="78" s="1"/>
  <c r="AT42" i="78"/>
  <c r="AT98" i="78"/>
  <c r="AT88" i="78"/>
  <c r="AT82" i="78"/>
  <c r="AT99" i="78"/>
  <c r="AT106" i="78"/>
  <c r="AT102" i="78"/>
  <c r="AT91" i="78"/>
  <c r="AT80" i="78"/>
  <c r="AT100" i="78"/>
  <c r="AT89" i="78"/>
  <c r="AT95" i="78"/>
  <c r="AT81" i="78"/>
  <c r="AT90" i="78"/>
  <c r="AT92" i="78"/>
  <c r="AT97" i="78"/>
  <c r="AT94" i="78"/>
  <c r="AT86" i="78"/>
  <c r="AT83" i="78"/>
  <c r="AT101" i="78"/>
  <c r="AT93" i="78"/>
  <c r="AT104" i="78"/>
  <c r="AT85" i="78"/>
  <c r="AT103" i="78"/>
  <c r="AT114" i="78"/>
  <c r="AT96" i="78"/>
  <c r="AT84" i="78"/>
  <c r="AT87" i="78"/>
  <c r="AT78" i="78"/>
  <c r="C142" i="78"/>
  <c r="AB106" i="78"/>
  <c r="F106" i="78"/>
  <c r="C106" i="78"/>
  <c r="Y142" i="78"/>
  <c r="N106" i="78"/>
  <c r="Q106" i="78"/>
  <c r="Y106" i="78"/>
  <c r="N142" i="78"/>
  <c r="K34" i="79"/>
  <c r="P17" i="52"/>
  <c r="O17" i="52"/>
  <c r="N17" i="52"/>
  <c r="P16" i="52"/>
  <c r="O16" i="52"/>
  <c r="N16" i="52"/>
  <c r="P15" i="52"/>
  <c r="O15" i="52"/>
  <c r="N15" i="52"/>
  <c r="P14" i="52"/>
  <c r="O14" i="52"/>
  <c r="N14" i="52"/>
  <c r="P13" i="52"/>
  <c r="O13" i="52"/>
  <c r="N13" i="52"/>
  <c r="P12" i="52"/>
  <c r="O12" i="52"/>
  <c r="N12" i="52"/>
  <c r="P11" i="52"/>
  <c r="O11" i="52"/>
  <c r="N11" i="52"/>
  <c r="P10" i="52"/>
  <c r="O10" i="52"/>
  <c r="N10" i="52"/>
  <c r="P9" i="52"/>
  <c r="O9" i="52"/>
  <c r="N9" i="52"/>
  <c r="L17" i="52"/>
  <c r="K17" i="52"/>
  <c r="J17" i="52"/>
  <c r="L16" i="52"/>
  <c r="K16" i="52"/>
  <c r="J16" i="52"/>
  <c r="L15" i="52"/>
  <c r="K15" i="52"/>
  <c r="J15" i="52"/>
  <c r="L14" i="52"/>
  <c r="K14" i="52"/>
  <c r="J14" i="52"/>
  <c r="L13" i="52"/>
  <c r="K13" i="52"/>
  <c r="J13" i="52"/>
  <c r="L12" i="52"/>
  <c r="K12" i="52"/>
  <c r="J12" i="52"/>
  <c r="L11" i="52"/>
  <c r="K11" i="52"/>
  <c r="J11" i="52"/>
  <c r="L10" i="52"/>
  <c r="K10" i="52"/>
  <c r="J10" i="52"/>
  <c r="L9" i="52"/>
  <c r="K9" i="52"/>
  <c r="J9" i="52"/>
  <c r="H17" i="52"/>
  <c r="G17" i="52"/>
  <c r="F17" i="52"/>
  <c r="H16" i="52"/>
  <c r="G16" i="52"/>
  <c r="F16" i="52"/>
  <c r="H15" i="52"/>
  <c r="G15" i="52"/>
  <c r="F15" i="52"/>
  <c r="H14" i="52"/>
  <c r="G14" i="52"/>
  <c r="F14" i="52"/>
  <c r="H13" i="52"/>
  <c r="G13" i="52"/>
  <c r="F13" i="52"/>
  <c r="H12" i="52"/>
  <c r="G12" i="52"/>
  <c r="F12" i="52"/>
  <c r="H11" i="52"/>
  <c r="G11" i="52"/>
  <c r="F11" i="52"/>
  <c r="H10" i="52"/>
  <c r="G10" i="52"/>
  <c r="F10" i="52"/>
  <c r="H9" i="52"/>
  <c r="G9" i="52"/>
  <c r="P92" i="52"/>
  <c r="O92" i="52"/>
  <c r="N92" i="52"/>
  <c r="L92" i="52"/>
  <c r="K92" i="52"/>
  <c r="J92" i="52"/>
  <c r="H92" i="52"/>
  <c r="G92" i="52"/>
  <c r="F92" i="52"/>
  <c r="P74" i="52"/>
  <c r="O74" i="52"/>
  <c r="N74" i="52"/>
  <c r="L74" i="52"/>
  <c r="K74" i="52"/>
  <c r="J74" i="52"/>
  <c r="H74" i="52"/>
  <c r="G74" i="52"/>
  <c r="F74" i="52"/>
  <c r="P62" i="52"/>
  <c r="O62" i="52"/>
  <c r="N62" i="52"/>
  <c r="L62" i="52"/>
  <c r="K62" i="52"/>
  <c r="J62" i="52"/>
  <c r="H62" i="52"/>
  <c r="G62" i="52"/>
  <c r="F62" i="52"/>
  <c r="P50" i="52"/>
  <c r="O50" i="52"/>
  <c r="N50" i="52"/>
  <c r="L50" i="52"/>
  <c r="K50" i="52"/>
  <c r="J50" i="52"/>
  <c r="H50" i="52"/>
  <c r="G50" i="52"/>
  <c r="F50" i="52"/>
  <c r="P32" i="52"/>
  <c r="O32" i="52"/>
  <c r="N32" i="52"/>
  <c r="L32" i="52"/>
  <c r="K32" i="52"/>
  <c r="J32" i="52"/>
  <c r="H32" i="52"/>
  <c r="G32" i="52"/>
  <c r="F32" i="52"/>
  <c r="P20" i="52"/>
  <c r="O20" i="52"/>
  <c r="N20" i="52"/>
  <c r="L20" i="52"/>
  <c r="K20" i="52"/>
  <c r="J20" i="52"/>
  <c r="H20" i="52"/>
  <c r="G20" i="52"/>
  <c r="F20" i="52"/>
  <c r="R26" i="76"/>
  <c r="S26" i="76"/>
  <c r="T26" i="76"/>
  <c r="U26" i="76"/>
  <c r="V26" i="76"/>
  <c r="W26" i="76"/>
  <c r="X26" i="76"/>
  <c r="Y26" i="76"/>
  <c r="Z26" i="76"/>
  <c r="AA26" i="76"/>
  <c r="AB26" i="76"/>
  <c r="AC26" i="76"/>
  <c r="AD26" i="76"/>
  <c r="AE26" i="76"/>
  <c r="AF26" i="76"/>
  <c r="AG26" i="76"/>
  <c r="Q26" i="76"/>
  <c r="AE22" i="76"/>
  <c r="AF22" i="76"/>
  <c r="R9" i="76"/>
  <c r="S9" i="76"/>
  <c r="T9" i="76"/>
  <c r="U9" i="76"/>
  <c r="V9" i="76"/>
  <c r="W9" i="76"/>
  <c r="X9" i="76"/>
  <c r="Y9" i="76"/>
  <c r="Z9" i="76"/>
  <c r="AA9" i="76"/>
  <c r="AB9" i="76"/>
  <c r="AC9" i="76"/>
  <c r="AD9" i="76"/>
  <c r="AE9" i="76"/>
  <c r="AF9" i="76"/>
  <c r="AG9" i="76"/>
  <c r="X22" i="76" l="1"/>
  <c r="W22" i="76"/>
  <c r="Y22" i="76"/>
  <c r="V22" i="76"/>
  <c r="AG22" i="76"/>
  <c r="AG48" i="76" s="1"/>
  <c r="T22" i="76"/>
  <c r="T48" i="76" s="1"/>
  <c r="T72" i="76" s="1"/>
  <c r="AC22" i="76"/>
  <c r="Q22" i="76"/>
  <c r="R22" i="76"/>
  <c r="R48" i="76" s="1"/>
  <c r="AB22" i="76"/>
  <c r="AB48" i="76" s="1"/>
  <c r="AB72" i="76" s="1"/>
  <c r="U22" i="76"/>
  <c r="U48" i="76" s="1"/>
  <c r="U72" i="76" s="1"/>
  <c r="AD22" i="76"/>
  <c r="AA22" i="76"/>
  <c r="S22" i="76"/>
  <c r="Z22" i="76"/>
  <c r="BH92" i="78"/>
  <c r="BH102" i="78"/>
  <c r="BH83" i="78"/>
  <c r="AV93" i="78"/>
  <c r="AV89" i="78"/>
  <c r="BH99" i="78"/>
  <c r="BH85" i="78"/>
  <c r="AU102" i="78"/>
  <c r="AU99" i="78"/>
  <c r="AV114" i="78"/>
  <c r="AU86" i="78"/>
  <c r="AU94" i="78"/>
  <c r="BG6" i="78"/>
  <c r="BI114" i="78" s="1"/>
  <c r="AV94" i="78"/>
  <c r="BH90" i="78"/>
  <c r="AU101" i="78"/>
  <c r="AV92" i="78"/>
  <c r="AU103" i="78"/>
  <c r="AV95" i="78"/>
  <c r="BH97" i="78"/>
  <c r="AV101" i="78"/>
  <c r="BH98" i="78"/>
  <c r="AU85" i="78"/>
  <c r="AU98" i="78"/>
  <c r="AU78" i="78"/>
  <c r="AV88" i="78"/>
  <c r="AV99" i="78"/>
  <c r="AU88" i="78"/>
  <c r="AU90" i="78"/>
  <c r="AU87" i="78"/>
  <c r="AV86" i="78"/>
  <c r="AV78" i="78"/>
  <c r="AU84" i="78"/>
  <c r="AV42" i="78"/>
  <c r="AV103" i="78"/>
  <c r="AV82" i="78"/>
  <c r="AV81" i="78"/>
  <c r="AU96" i="78"/>
  <c r="AU104" i="78"/>
  <c r="AU93" i="78"/>
  <c r="AU83" i="78"/>
  <c r="AV96" i="78"/>
  <c r="AV84" i="78"/>
  <c r="AV90" i="78"/>
  <c r="AV98" i="78"/>
  <c r="BH106" i="78"/>
  <c r="BH84" i="78"/>
  <c r="AU114" i="78"/>
  <c r="AU89" i="78"/>
  <c r="AU81" i="78"/>
  <c r="AV80" i="78"/>
  <c r="AV106" i="78"/>
  <c r="AV100" i="78"/>
  <c r="BH91" i="78"/>
  <c r="BH93" i="78"/>
  <c r="BH101" i="78"/>
  <c r="AU92" i="78"/>
  <c r="AU95" i="78"/>
  <c r="AU97" i="78"/>
  <c r="AV91" i="78"/>
  <c r="AV83" i="78"/>
  <c r="AV97" i="78"/>
  <c r="BH81" i="78"/>
  <c r="BH88" i="78"/>
  <c r="BH78" i="78"/>
  <c r="BH104" i="78"/>
  <c r="AU80" i="78"/>
  <c r="AU100" i="78"/>
  <c r="AU106" i="78"/>
  <c r="AU82" i="78"/>
  <c r="AU91" i="78"/>
  <c r="AV104" i="78"/>
  <c r="AV87" i="78"/>
  <c r="AV85" i="78"/>
  <c r="AV102" i="78"/>
  <c r="BH94" i="78"/>
  <c r="BH114" i="78"/>
  <c r="BH86" i="78"/>
  <c r="BH82" i="78"/>
  <c r="AE48" i="76"/>
  <c r="AE72" i="76" s="1"/>
  <c r="AD70" i="78"/>
  <c r="AD106" i="78" s="1"/>
  <c r="BH89" i="78"/>
  <c r="BH80" i="78"/>
  <c r="BH87" i="78"/>
  <c r="BH95" i="78"/>
  <c r="V8" i="79"/>
  <c r="AD34" i="79"/>
  <c r="Z34" i="79"/>
  <c r="AE34" i="79"/>
  <c r="Y34" i="79"/>
  <c r="AF34" i="79"/>
  <c r="AG34" i="79"/>
  <c r="AB34" i="79"/>
  <c r="AC34" i="79"/>
  <c r="AA34" i="79"/>
  <c r="BH100" i="78"/>
  <c r="BH103" i="78"/>
  <c r="BT6" i="78"/>
  <c r="BS106" i="78" s="1"/>
  <c r="BI42" i="78"/>
  <c r="CD6" i="78"/>
  <c r="BS42" i="78"/>
  <c r="BQ6" i="78"/>
  <c r="BI95" i="78"/>
  <c r="BI81" i="78"/>
  <c r="BI101" i="78"/>
  <c r="BI92" i="78"/>
  <c r="BI88" i="78"/>
  <c r="BI90" i="78"/>
  <c r="BI89" i="78"/>
  <c r="BI97" i="78"/>
  <c r="BI91" i="78"/>
  <c r="BI104" i="78"/>
  <c r="BI106" i="78"/>
  <c r="BI98" i="78"/>
  <c r="BF42" i="78"/>
  <c r="BI94" i="78"/>
  <c r="BI87" i="78"/>
  <c r="BI78" i="78"/>
  <c r="BI102" i="78"/>
  <c r="BI93" i="78"/>
  <c r="BI84" i="78"/>
  <c r="BI80" i="78"/>
  <c r="BI85" i="78"/>
  <c r="BI99" i="78"/>
  <c r="BI86" i="78"/>
  <c r="BI100" i="78"/>
  <c r="BI96" i="78"/>
  <c r="BI82" i="78"/>
  <c r="BI83" i="78"/>
  <c r="BI103" i="78"/>
  <c r="BE114" i="78"/>
  <c r="BE83" i="78"/>
  <c r="BE96" i="78"/>
  <c r="BE103" i="78"/>
  <c r="BE101" i="78"/>
  <c r="BE93" i="78"/>
  <c r="BE86" i="78"/>
  <c r="BE85" i="78"/>
  <c r="BE42" i="78"/>
  <c r="BE104" i="78"/>
  <c r="BE88" i="78"/>
  <c r="BE95" i="78"/>
  <c r="BE102" i="78"/>
  <c r="BE99" i="78"/>
  <c r="BE91" i="78"/>
  <c r="BE87" i="78"/>
  <c r="BP6" i="78"/>
  <c r="BO1" i="78" s="1"/>
  <c r="BE94" i="78"/>
  <c r="BE78" i="78"/>
  <c r="BE80" i="78"/>
  <c r="BE98" i="78"/>
  <c r="BE82" i="78"/>
  <c r="BE106" i="78"/>
  <c r="BE100" i="78"/>
  <c r="BE90" i="78"/>
  <c r="BE97" i="78"/>
  <c r="BE81" i="78"/>
  <c r="BE84" i="78"/>
  <c r="BE92" i="78"/>
  <c r="BE89" i="78"/>
  <c r="AS109" i="78"/>
  <c r="AS73" i="78"/>
  <c r="AS37" i="78"/>
  <c r="W48" i="76"/>
  <c r="W72" i="76" s="1"/>
  <c r="AF48" i="76"/>
  <c r="AF68" i="76" s="1"/>
  <c r="X48" i="76"/>
  <c r="B20" i="52"/>
  <c r="Z48" i="76"/>
  <c r="AA48" i="76"/>
  <c r="F8" i="52"/>
  <c r="C13" i="52"/>
  <c r="C14" i="52"/>
  <c r="C9" i="52"/>
  <c r="B12" i="52"/>
  <c r="C17" i="52"/>
  <c r="D20" i="52"/>
  <c r="B15" i="52"/>
  <c r="C16" i="52"/>
  <c r="B32" i="52"/>
  <c r="B17" i="52"/>
  <c r="C10" i="52"/>
  <c r="D13" i="52"/>
  <c r="C50" i="52"/>
  <c r="C11" i="52"/>
  <c r="B14" i="52"/>
  <c r="D16" i="52"/>
  <c r="C32" i="52"/>
  <c r="D14" i="52"/>
  <c r="D9" i="52"/>
  <c r="C12" i="52"/>
  <c r="D17" i="52"/>
  <c r="D74" i="52"/>
  <c r="B10" i="52"/>
  <c r="D12" i="52"/>
  <c r="C15" i="52"/>
  <c r="D10" i="52"/>
  <c r="B16" i="52"/>
  <c r="B13" i="52"/>
  <c r="D15" i="52"/>
  <c r="D62" i="52"/>
  <c r="D50" i="52"/>
  <c r="C62" i="52"/>
  <c r="B74" i="52"/>
  <c r="D92" i="52"/>
  <c r="C20" i="52"/>
  <c r="D32" i="52"/>
  <c r="B62" i="52"/>
  <c r="C74" i="52"/>
  <c r="C92" i="52"/>
  <c r="O8" i="52"/>
  <c r="AG33" i="21"/>
  <c r="AF33" i="21"/>
  <c r="AE33" i="21"/>
  <c r="AD33" i="21"/>
  <c r="AD38" i="21" s="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AG18" i="21"/>
  <c r="AF18" i="21"/>
  <c r="AE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AG11" i="21"/>
  <c r="AF11" i="21"/>
  <c r="AE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C34" i="71"/>
  <c r="C175" i="71" s="1"/>
  <c r="D34" i="71"/>
  <c r="E34" i="71"/>
  <c r="E175" i="71" s="1"/>
  <c r="D175" i="71" l="1"/>
  <c r="H175" i="71" s="1"/>
  <c r="M7" i="75" s="1"/>
  <c r="M107" i="75"/>
  <c r="I175" i="71"/>
  <c r="N7" i="75" s="1"/>
  <c r="W55" i="76"/>
  <c r="AF72" i="76"/>
  <c r="AE55" i="76"/>
  <c r="AG64" i="76"/>
  <c r="AG69" i="76"/>
  <c r="AG79" i="76"/>
  <c r="AG59" i="76"/>
  <c r="AG74" i="76"/>
  <c r="AG73" i="76"/>
  <c r="AG53" i="76"/>
  <c r="AG58" i="76"/>
  <c r="AG63" i="76"/>
  <c r="AG52" i="76"/>
  <c r="AG57" i="76"/>
  <c r="AG62" i="76"/>
  <c r="AG66" i="76"/>
  <c r="AG76" i="76"/>
  <c r="AG87" i="76"/>
  <c r="AG92" i="76"/>
  <c r="AG56" i="76"/>
  <c r="AG65" i="76"/>
  <c r="AG80" i="76"/>
  <c r="AG83" i="76"/>
  <c r="AG70" i="76"/>
  <c r="AG91" i="76"/>
  <c r="AG84" i="76"/>
  <c r="AG94" i="76"/>
  <c r="AG75" i="76"/>
  <c r="AG88" i="76"/>
  <c r="AG78" i="76"/>
  <c r="AG86" i="76"/>
  <c r="AG82" i="76"/>
  <c r="AG90" i="76"/>
  <c r="AG61" i="76"/>
  <c r="AG51" i="76"/>
  <c r="AE59" i="76"/>
  <c r="AE64" i="76"/>
  <c r="AE69" i="76"/>
  <c r="AE74" i="76"/>
  <c r="AE79" i="76"/>
  <c r="AE84" i="76"/>
  <c r="AE53" i="76"/>
  <c r="AE58" i="76"/>
  <c r="AE63" i="76"/>
  <c r="AE73" i="76"/>
  <c r="AE52" i="76"/>
  <c r="AE57" i="76"/>
  <c r="AE62" i="76"/>
  <c r="AE66" i="76"/>
  <c r="AE76" i="76"/>
  <c r="AE87" i="76"/>
  <c r="AE92" i="76"/>
  <c r="AE65" i="76"/>
  <c r="AE70" i="76"/>
  <c r="AE56" i="76"/>
  <c r="AE75" i="76"/>
  <c r="AE80" i="76"/>
  <c r="AE83" i="76"/>
  <c r="AE91" i="76"/>
  <c r="AE94" i="76"/>
  <c r="AE88" i="76"/>
  <c r="AE61" i="76"/>
  <c r="AE86" i="76"/>
  <c r="AE82" i="76"/>
  <c r="AE78" i="76"/>
  <c r="AE51" i="76"/>
  <c r="AE90" i="76"/>
  <c r="AG55" i="76"/>
  <c r="U74" i="76"/>
  <c r="U59" i="76"/>
  <c r="U64" i="76"/>
  <c r="U69" i="76"/>
  <c r="U79" i="76"/>
  <c r="U73" i="76"/>
  <c r="U53" i="76"/>
  <c r="U58" i="76"/>
  <c r="U63" i="76"/>
  <c r="U52" i="76"/>
  <c r="U57" i="76"/>
  <c r="U62" i="76"/>
  <c r="U66" i="76"/>
  <c r="U76" i="76"/>
  <c r="U87" i="76"/>
  <c r="U92" i="76"/>
  <c r="U56" i="76"/>
  <c r="U65" i="76"/>
  <c r="U70" i="76"/>
  <c r="U84" i="76"/>
  <c r="U83" i="76"/>
  <c r="U94" i="76"/>
  <c r="U88" i="76"/>
  <c r="U75" i="76"/>
  <c r="U80" i="76"/>
  <c r="U91" i="76"/>
  <c r="U78" i="76"/>
  <c r="U51" i="76"/>
  <c r="U82" i="76"/>
  <c r="U61" i="76"/>
  <c r="U86" i="76"/>
  <c r="U90" i="76"/>
  <c r="U68" i="76"/>
  <c r="T68" i="76"/>
  <c r="AA66" i="76"/>
  <c r="AA52" i="76"/>
  <c r="AA57" i="76"/>
  <c r="AA62" i="76"/>
  <c r="AA76" i="76"/>
  <c r="AA75" i="76"/>
  <c r="AA80" i="76"/>
  <c r="AA56" i="76"/>
  <c r="AA65" i="76"/>
  <c r="AA70" i="76"/>
  <c r="AA59" i="76"/>
  <c r="AA64" i="76"/>
  <c r="AA69" i="76"/>
  <c r="AA74" i="76"/>
  <c r="AA79" i="76"/>
  <c r="AA84" i="76"/>
  <c r="AA53" i="76"/>
  <c r="AA58" i="76"/>
  <c r="AA63" i="76"/>
  <c r="AA91" i="76"/>
  <c r="AA94" i="76"/>
  <c r="AA73" i="76"/>
  <c r="AA88" i="76"/>
  <c r="AA83" i="76"/>
  <c r="AA92" i="76"/>
  <c r="AA87" i="76"/>
  <c r="AA86" i="76"/>
  <c r="AA82" i="76"/>
  <c r="AA90" i="76"/>
  <c r="AA78" i="76"/>
  <c r="AA51" i="76"/>
  <c r="AA61" i="76"/>
  <c r="R53" i="76"/>
  <c r="R58" i="76"/>
  <c r="R63" i="76"/>
  <c r="R73" i="76"/>
  <c r="R83" i="76"/>
  <c r="R52" i="76"/>
  <c r="R66" i="76"/>
  <c r="R57" i="76"/>
  <c r="R62" i="76"/>
  <c r="R76" i="76"/>
  <c r="R56" i="76"/>
  <c r="R65" i="76"/>
  <c r="R70" i="76"/>
  <c r="R75" i="76"/>
  <c r="R80" i="76"/>
  <c r="R91" i="76"/>
  <c r="R59" i="76"/>
  <c r="R64" i="76"/>
  <c r="R69" i="76"/>
  <c r="R84" i="76"/>
  <c r="R94" i="76"/>
  <c r="R88" i="76"/>
  <c r="R74" i="76"/>
  <c r="R87" i="76"/>
  <c r="R79" i="76"/>
  <c r="R92" i="76"/>
  <c r="R90" i="76"/>
  <c r="R82" i="76"/>
  <c r="R78" i="76"/>
  <c r="R51" i="76"/>
  <c r="R61" i="76"/>
  <c r="R86" i="76"/>
  <c r="AB68" i="76"/>
  <c r="AG72" i="76"/>
  <c r="U55" i="76"/>
  <c r="AG68" i="76"/>
  <c r="AB53" i="76"/>
  <c r="AB58" i="76"/>
  <c r="AB63" i="76"/>
  <c r="AB73" i="76"/>
  <c r="AB83" i="76"/>
  <c r="AB88" i="76"/>
  <c r="AB94" i="76"/>
  <c r="AB52" i="76"/>
  <c r="AB57" i="76"/>
  <c r="AB62" i="76"/>
  <c r="AB66" i="76"/>
  <c r="AB76" i="76"/>
  <c r="AB56" i="76"/>
  <c r="AB65" i="76"/>
  <c r="AB70" i="76"/>
  <c r="AB75" i="76"/>
  <c r="AB80" i="76"/>
  <c r="AB91" i="76"/>
  <c r="AB69" i="76"/>
  <c r="AB74" i="76"/>
  <c r="AB59" i="76"/>
  <c r="AB64" i="76"/>
  <c r="AB87" i="76"/>
  <c r="AB84" i="76"/>
  <c r="AB79" i="76"/>
  <c r="AB92" i="76"/>
  <c r="AB86" i="76"/>
  <c r="AB78" i="76"/>
  <c r="AB90" i="76"/>
  <c r="AB61" i="76"/>
  <c r="AB82" i="76"/>
  <c r="AB51" i="76"/>
  <c r="AC48" i="76"/>
  <c r="AA72" i="76"/>
  <c r="R72" i="76"/>
  <c r="AA55" i="76"/>
  <c r="W68" i="76"/>
  <c r="X70" i="76"/>
  <c r="X75" i="76"/>
  <c r="X80" i="76"/>
  <c r="X56" i="76"/>
  <c r="X65" i="76"/>
  <c r="X64" i="76"/>
  <c r="X69" i="76"/>
  <c r="X79" i="76"/>
  <c r="X59" i="76"/>
  <c r="X74" i="76"/>
  <c r="X53" i="76"/>
  <c r="X58" i="76"/>
  <c r="X63" i="76"/>
  <c r="X73" i="76"/>
  <c r="X83" i="76"/>
  <c r="X88" i="76"/>
  <c r="X94" i="76"/>
  <c r="X52" i="76"/>
  <c r="X57" i="76"/>
  <c r="X62" i="76"/>
  <c r="X66" i="76"/>
  <c r="X76" i="76"/>
  <c r="X91" i="76"/>
  <c r="X92" i="76"/>
  <c r="X84" i="76"/>
  <c r="X87" i="76"/>
  <c r="X61" i="76"/>
  <c r="X86" i="76"/>
  <c r="X90" i="76"/>
  <c r="X82" i="76"/>
  <c r="X51" i="76"/>
  <c r="X78" i="76"/>
  <c r="AD48" i="76"/>
  <c r="AD68" i="76" s="1"/>
  <c r="AA68" i="76"/>
  <c r="R68" i="76"/>
  <c r="T59" i="76"/>
  <c r="T64" i="76"/>
  <c r="T69" i="76"/>
  <c r="T74" i="76"/>
  <c r="T79" i="76"/>
  <c r="T84" i="76"/>
  <c r="T53" i="76"/>
  <c r="T58" i="76"/>
  <c r="T63" i="76"/>
  <c r="T73" i="76"/>
  <c r="T83" i="76"/>
  <c r="T88" i="76"/>
  <c r="T94" i="76"/>
  <c r="T52" i="76"/>
  <c r="T57" i="76"/>
  <c r="T62" i="76"/>
  <c r="T66" i="76"/>
  <c r="T76" i="76"/>
  <c r="T87" i="76"/>
  <c r="T92" i="76"/>
  <c r="T56" i="76"/>
  <c r="T65" i="76"/>
  <c r="T70" i="76"/>
  <c r="T75" i="76"/>
  <c r="T80" i="76"/>
  <c r="T91" i="76"/>
  <c r="T61" i="76"/>
  <c r="T82" i="76"/>
  <c r="T86" i="76"/>
  <c r="T90" i="76"/>
  <c r="T78" i="76"/>
  <c r="T51" i="76"/>
  <c r="AF59" i="76"/>
  <c r="AF64" i="76"/>
  <c r="AF69" i="76"/>
  <c r="AF74" i="76"/>
  <c r="AF79" i="76"/>
  <c r="AF84" i="76"/>
  <c r="AF53" i="76"/>
  <c r="AF58" i="76"/>
  <c r="AF63" i="76"/>
  <c r="AF73" i="76"/>
  <c r="AF83" i="76"/>
  <c r="AF88" i="76"/>
  <c r="AF94" i="76"/>
  <c r="AF52" i="76"/>
  <c r="AF57" i="76"/>
  <c r="AF62" i="76"/>
  <c r="AF66" i="76"/>
  <c r="AF76" i="76"/>
  <c r="AF87" i="76"/>
  <c r="AF92" i="76"/>
  <c r="AF56" i="76"/>
  <c r="AF65" i="76"/>
  <c r="AF70" i="76"/>
  <c r="AF75" i="76"/>
  <c r="AF80" i="76"/>
  <c r="AF91" i="76"/>
  <c r="AF86" i="76"/>
  <c r="AF90" i="76"/>
  <c r="AF82" i="76"/>
  <c r="AF78" i="76"/>
  <c r="AF61" i="76"/>
  <c r="AF51" i="76"/>
  <c r="T55" i="76"/>
  <c r="X55" i="76"/>
  <c r="X72" i="76"/>
  <c r="Z52" i="76"/>
  <c r="Z57" i="76"/>
  <c r="Z62" i="76"/>
  <c r="Z66" i="76"/>
  <c r="Z76" i="76"/>
  <c r="Z87" i="76"/>
  <c r="Z92" i="76"/>
  <c r="Z56" i="76"/>
  <c r="Z65" i="76"/>
  <c r="Z70" i="76"/>
  <c r="Z75" i="76"/>
  <c r="Z80" i="76"/>
  <c r="Z91" i="76"/>
  <c r="Z59" i="76"/>
  <c r="Z64" i="76"/>
  <c r="Z69" i="76"/>
  <c r="Z74" i="76"/>
  <c r="Z79" i="76"/>
  <c r="Z84" i="76"/>
  <c r="Z53" i="76"/>
  <c r="Z58" i="76"/>
  <c r="Z63" i="76"/>
  <c r="Z73" i="76"/>
  <c r="Z83" i="76"/>
  <c r="Z88" i="76"/>
  <c r="Z94" i="76"/>
  <c r="Z61" i="76"/>
  <c r="Z51" i="76"/>
  <c r="Z86" i="76"/>
  <c r="Z82" i="76"/>
  <c r="Z78" i="76"/>
  <c r="Z90" i="76"/>
  <c r="AB55" i="76"/>
  <c r="W56" i="76"/>
  <c r="W65" i="76"/>
  <c r="W70" i="76"/>
  <c r="W75" i="76"/>
  <c r="W80" i="76"/>
  <c r="W91" i="76"/>
  <c r="W59" i="76"/>
  <c r="W64" i="76"/>
  <c r="W69" i="76"/>
  <c r="W74" i="76"/>
  <c r="W79" i="76"/>
  <c r="W84" i="76"/>
  <c r="W53" i="76"/>
  <c r="W58" i="76"/>
  <c r="W63" i="76"/>
  <c r="W73" i="76"/>
  <c r="W83" i="76"/>
  <c r="W88" i="76"/>
  <c r="W94" i="76"/>
  <c r="W52" i="76"/>
  <c r="W57" i="76"/>
  <c r="W62" i="76"/>
  <c r="W66" i="76"/>
  <c r="W76" i="76"/>
  <c r="W87" i="76"/>
  <c r="W92" i="76"/>
  <c r="W82" i="76"/>
  <c r="W51" i="76"/>
  <c r="W86" i="76"/>
  <c r="W78" i="76"/>
  <c r="W61" i="76"/>
  <c r="W90" i="76"/>
  <c r="Z72" i="76"/>
  <c r="AF55" i="76"/>
  <c r="Z55" i="76"/>
  <c r="X68" i="76"/>
  <c r="V48" i="76"/>
  <c r="S48" i="76"/>
  <c r="Y48" i="76"/>
  <c r="Z68" i="76"/>
  <c r="Q48" i="76"/>
  <c r="Q68" i="76" s="1"/>
  <c r="AE68" i="76"/>
  <c r="R55" i="76"/>
  <c r="BF106" i="78"/>
  <c r="BG91" i="78"/>
  <c r="BG42" i="78"/>
  <c r="BF97" i="78"/>
  <c r="BF99" i="78"/>
  <c r="BG98" i="78"/>
  <c r="BF78" i="78"/>
  <c r="BG95" i="78"/>
  <c r="BF90" i="78"/>
  <c r="BF114" i="78"/>
  <c r="BF89" i="78"/>
  <c r="BF102" i="78"/>
  <c r="BG80" i="78"/>
  <c r="BG97" i="78"/>
  <c r="BG82" i="78"/>
  <c r="BF81" i="78"/>
  <c r="BG88" i="78"/>
  <c r="BG92" i="78"/>
  <c r="BG101" i="78"/>
  <c r="BF88" i="78"/>
  <c r="BG99" i="78"/>
  <c r="BF98" i="78"/>
  <c r="BF103" i="78"/>
  <c r="BF91" i="78"/>
  <c r="BF80" i="78"/>
  <c r="BF85" i="78"/>
  <c r="BF86" i="78"/>
  <c r="BG86" i="78"/>
  <c r="BG78" i="78"/>
  <c r="BG84" i="78"/>
  <c r="BF104" i="78"/>
  <c r="BF82" i="78"/>
  <c r="BF92" i="78"/>
  <c r="BG87" i="78"/>
  <c r="BG102" i="78"/>
  <c r="BG90" i="78"/>
  <c r="BR6" i="78"/>
  <c r="BR106" i="78" s="1"/>
  <c r="BF95" i="78"/>
  <c r="BG106" i="78"/>
  <c r="BG103" i="78"/>
  <c r="BF101" i="78"/>
  <c r="BF100" i="78"/>
  <c r="BG114" i="78"/>
  <c r="BG81" i="78"/>
  <c r="BG85" i="78"/>
  <c r="BG83" i="78"/>
  <c r="BF87" i="78"/>
  <c r="BF93" i="78"/>
  <c r="BG104" i="78"/>
  <c r="BG100" i="78"/>
  <c r="BF96" i="78"/>
  <c r="BF94" i="78"/>
  <c r="BF84" i="78"/>
  <c r="BF83" i="78"/>
  <c r="BG96" i="78"/>
  <c r="BG93" i="78"/>
  <c r="BG94" i="78"/>
  <c r="BG89" i="78"/>
  <c r="BS85" i="78"/>
  <c r="BS86" i="78"/>
  <c r="BS82" i="78"/>
  <c r="BS90" i="78"/>
  <c r="BS92" i="78"/>
  <c r="BS96" i="78"/>
  <c r="BS104" i="78"/>
  <c r="BS80" i="78"/>
  <c r="BS89" i="78"/>
  <c r="BS84" i="78"/>
  <c r="BS101" i="78"/>
  <c r="BS95" i="78"/>
  <c r="BS114" i="78"/>
  <c r="BS97" i="78"/>
  <c r="BS93" i="78"/>
  <c r="BS91" i="78"/>
  <c r="BS102" i="78"/>
  <c r="BS99" i="78"/>
  <c r="BS81" i="78"/>
  <c r="BS78" i="78"/>
  <c r="BS100" i="78"/>
  <c r="BS87" i="78"/>
  <c r="BS94" i="78"/>
  <c r="BS103" i="78"/>
  <c r="BS83" i="78"/>
  <c r="BS98" i="78"/>
  <c r="BS88" i="78"/>
  <c r="F106" i="71"/>
  <c r="H34" i="71"/>
  <c r="F142" i="71"/>
  <c r="N107" i="75" s="1"/>
  <c r="I70" i="71"/>
  <c r="I106" i="71"/>
  <c r="B106" i="71"/>
  <c r="B142" i="71"/>
  <c r="CE6" i="78"/>
  <c r="CD78" i="78" s="1"/>
  <c r="BT42" i="78"/>
  <c r="CO6" i="78"/>
  <c r="CD42" i="78"/>
  <c r="CB6" i="78"/>
  <c r="BT104" i="78"/>
  <c r="BT82" i="78"/>
  <c r="BT95" i="78"/>
  <c r="BT81" i="78"/>
  <c r="BT101" i="78"/>
  <c r="BT90" i="78"/>
  <c r="BQ42" i="78"/>
  <c r="BT89" i="78"/>
  <c r="BT88" i="78"/>
  <c r="BT87" i="78"/>
  <c r="BT106" i="78"/>
  <c r="BT86" i="78"/>
  <c r="BT92" i="78"/>
  <c r="BT91" i="78"/>
  <c r="BT85" i="78"/>
  <c r="BT83" i="78"/>
  <c r="BT93" i="78"/>
  <c r="BT84" i="78"/>
  <c r="BT80" i="78"/>
  <c r="BT96" i="78"/>
  <c r="BT98" i="78"/>
  <c r="BT103" i="78"/>
  <c r="BT94" i="78"/>
  <c r="BT100" i="78"/>
  <c r="BT97" i="78"/>
  <c r="BT78" i="78"/>
  <c r="BT102" i="78"/>
  <c r="BT99" i="78"/>
  <c r="BD73" i="78"/>
  <c r="BD109" i="78"/>
  <c r="BD37" i="78"/>
  <c r="BP114" i="78"/>
  <c r="BP102" i="78"/>
  <c r="BP91" i="78"/>
  <c r="BP100" i="78"/>
  <c r="CA6" i="78"/>
  <c r="BZ1" i="78" s="1"/>
  <c r="BP94" i="78"/>
  <c r="BP86" i="78"/>
  <c r="BP83" i="78"/>
  <c r="BP93" i="78"/>
  <c r="BP85" i="78"/>
  <c r="BP101" i="78"/>
  <c r="BP78" i="78"/>
  <c r="BP103" i="78"/>
  <c r="BP95" i="78"/>
  <c r="BP92" i="78"/>
  <c r="BP87" i="78"/>
  <c r="BP84" i="78"/>
  <c r="BP99" i="78"/>
  <c r="BP104" i="78"/>
  <c r="BP106" i="78"/>
  <c r="BP98" i="78"/>
  <c r="BP89" i="78"/>
  <c r="BP97" i="78"/>
  <c r="BP80" i="78"/>
  <c r="BP81" i="78"/>
  <c r="BP82" i="78"/>
  <c r="BP90" i="78"/>
  <c r="BP42" i="78"/>
  <c r="BP88" i="78"/>
  <c r="BP96" i="78"/>
  <c r="Q38" i="21"/>
  <c r="B8" i="52"/>
  <c r="C142" i="71"/>
  <c r="C106" i="71"/>
  <c r="P8" i="52"/>
  <c r="N8" i="52"/>
  <c r="L8" i="52"/>
  <c r="K8" i="52"/>
  <c r="J8" i="52"/>
  <c r="H8" i="52"/>
  <c r="G8" i="52"/>
  <c r="H70" i="71" l="1"/>
  <c r="H106" i="71" s="1"/>
  <c r="P63" i="31"/>
  <c r="Y52" i="76"/>
  <c r="Y57" i="76"/>
  <c r="Y62" i="76"/>
  <c r="Y66" i="76"/>
  <c r="Y76" i="76"/>
  <c r="Y87" i="76"/>
  <c r="Y92" i="76"/>
  <c r="Y56" i="76"/>
  <c r="Y65" i="76"/>
  <c r="Y70" i="76"/>
  <c r="Y75" i="76"/>
  <c r="Y59" i="76"/>
  <c r="Y64" i="76"/>
  <c r="Y69" i="76"/>
  <c r="Y74" i="76"/>
  <c r="Y79" i="76"/>
  <c r="Y84" i="76"/>
  <c r="Y63" i="76"/>
  <c r="Y53" i="76"/>
  <c r="Y58" i="76"/>
  <c r="Y73" i="76"/>
  <c r="Y83" i="76"/>
  <c r="Y80" i="76"/>
  <c r="Y91" i="76"/>
  <c r="Y88" i="76"/>
  <c r="Y94" i="76"/>
  <c r="Y78" i="76"/>
  <c r="Y90" i="76"/>
  <c r="Y51" i="76"/>
  <c r="Y61" i="76"/>
  <c r="Y82" i="76"/>
  <c r="Y86" i="76"/>
  <c r="Y55" i="76"/>
  <c r="Y72" i="76"/>
  <c r="S59" i="76"/>
  <c r="S64" i="76"/>
  <c r="S69" i="76"/>
  <c r="S74" i="76"/>
  <c r="S79" i="76"/>
  <c r="S84" i="76"/>
  <c r="S53" i="76"/>
  <c r="S58" i="76"/>
  <c r="S63" i="76"/>
  <c r="S73" i="76"/>
  <c r="S52" i="76"/>
  <c r="S57" i="76"/>
  <c r="S62" i="76"/>
  <c r="S66" i="76"/>
  <c r="S76" i="76"/>
  <c r="S87" i="76"/>
  <c r="S92" i="76"/>
  <c r="S80" i="76"/>
  <c r="S56" i="76"/>
  <c r="S65" i="76"/>
  <c r="S70" i="76"/>
  <c r="S94" i="76"/>
  <c r="S83" i="76"/>
  <c r="S88" i="76"/>
  <c r="S75" i="76"/>
  <c r="S91" i="76"/>
  <c r="S82" i="76"/>
  <c r="S78" i="76"/>
  <c r="S51" i="76"/>
  <c r="S86" i="76"/>
  <c r="S90" i="76"/>
  <c r="S61" i="76"/>
  <c r="S72" i="76"/>
  <c r="S55" i="76"/>
  <c r="S68" i="76"/>
  <c r="V56" i="76"/>
  <c r="V65" i="76"/>
  <c r="V70" i="76"/>
  <c r="V75" i="76"/>
  <c r="V80" i="76"/>
  <c r="V91" i="76"/>
  <c r="V59" i="76"/>
  <c r="V64" i="76"/>
  <c r="V69" i="76"/>
  <c r="V74" i="76"/>
  <c r="V53" i="76"/>
  <c r="V58" i="76"/>
  <c r="V63" i="76"/>
  <c r="V73" i="76"/>
  <c r="V83" i="76"/>
  <c r="V88" i="76"/>
  <c r="V94" i="76"/>
  <c r="V52" i="76"/>
  <c r="V76" i="76"/>
  <c r="V57" i="76"/>
  <c r="V62" i="76"/>
  <c r="V66" i="76"/>
  <c r="V87" i="76"/>
  <c r="V84" i="76"/>
  <c r="V79" i="76"/>
  <c r="V92" i="76"/>
  <c r="V86" i="76"/>
  <c r="V82" i="76"/>
  <c r="V61" i="76"/>
  <c r="V90" i="76"/>
  <c r="V78" i="76"/>
  <c r="V51" i="76"/>
  <c r="V55" i="76"/>
  <c r="V72" i="76"/>
  <c r="V68" i="76"/>
  <c r="AD63" i="76"/>
  <c r="AD73" i="76"/>
  <c r="AD53" i="76"/>
  <c r="AD58" i="76"/>
  <c r="AD76" i="76"/>
  <c r="AD52" i="76"/>
  <c r="AD57" i="76"/>
  <c r="AD62" i="76"/>
  <c r="AD66" i="76"/>
  <c r="AD56" i="76"/>
  <c r="AD65" i="76"/>
  <c r="AD70" i="76"/>
  <c r="AD75" i="76"/>
  <c r="AD80" i="76"/>
  <c r="AD91" i="76"/>
  <c r="AD59" i="76"/>
  <c r="AD64" i="76"/>
  <c r="AD92" i="76"/>
  <c r="AD69" i="76"/>
  <c r="AD87" i="76"/>
  <c r="AD94" i="76"/>
  <c r="AD84" i="76"/>
  <c r="AD74" i="76"/>
  <c r="AD79" i="76"/>
  <c r="AD88" i="76"/>
  <c r="AD83" i="76"/>
  <c r="AD78" i="76"/>
  <c r="AD82" i="76"/>
  <c r="AD90" i="76"/>
  <c r="AD61" i="76"/>
  <c r="AD51" i="76"/>
  <c r="AD86" i="76"/>
  <c r="AD72" i="76"/>
  <c r="AD55" i="76"/>
  <c r="Q53" i="76"/>
  <c r="Q58" i="76"/>
  <c r="Q63" i="76"/>
  <c r="Q73" i="76"/>
  <c r="Q83" i="76"/>
  <c r="Q88" i="76"/>
  <c r="Q94" i="76"/>
  <c r="Q52" i="76"/>
  <c r="Q57" i="76"/>
  <c r="Q62" i="76"/>
  <c r="Q66" i="76"/>
  <c r="Q76" i="76"/>
  <c r="Q87" i="76"/>
  <c r="Q92" i="76"/>
  <c r="Q56" i="76"/>
  <c r="Q65" i="76"/>
  <c r="Q70" i="76"/>
  <c r="Q75" i="76"/>
  <c r="Q80" i="76"/>
  <c r="Q91" i="76"/>
  <c r="Q59" i="76"/>
  <c r="Q64" i="76"/>
  <c r="Q69" i="76"/>
  <c r="Q74" i="76"/>
  <c r="Q79" i="76"/>
  <c r="Q84" i="76"/>
  <c r="Q55" i="76"/>
  <c r="Q82" i="76"/>
  <c r="Q51" i="76"/>
  <c r="Q90" i="76"/>
  <c r="Q61" i="76"/>
  <c r="Q78" i="76"/>
  <c r="Q86" i="76"/>
  <c r="Q72" i="76"/>
  <c r="AC53" i="76"/>
  <c r="AC58" i="76"/>
  <c r="AC63" i="76"/>
  <c r="AC73" i="76"/>
  <c r="AC83" i="76"/>
  <c r="AC88" i="76"/>
  <c r="AC94" i="76"/>
  <c r="AC52" i="76"/>
  <c r="AC57" i="76"/>
  <c r="AC62" i="76"/>
  <c r="AC66" i="76"/>
  <c r="AC76" i="76"/>
  <c r="AC87" i="76"/>
  <c r="AC92" i="76"/>
  <c r="AC56" i="76"/>
  <c r="AC65" i="76"/>
  <c r="AC70" i="76"/>
  <c r="AC75" i="76"/>
  <c r="AC80" i="76"/>
  <c r="AC91" i="76"/>
  <c r="AC59" i="76"/>
  <c r="AC64" i="76"/>
  <c r="AC69" i="76"/>
  <c r="AC74" i="76"/>
  <c r="AC79" i="76"/>
  <c r="AC84" i="76"/>
  <c r="AC82" i="76"/>
  <c r="AC90" i="76"/>
  <c r="AC86" i="76"/>
  <c r="AC61" i="76"/>
  <c r="AC78" i="76"/>
  <c r="AC51" i="76"/>
  <c r="AC72" i="76"/>
  <c r="AC55" i="76"/>
  <c r="Y68" i="76"/>
  <c r="AC68" i="76"/>
  <c r="BQ83" i="78"/>
  <c r="BQ94" i="78"/>
  <c r="BR97" i="78"/>
  <c r="BQ93" i="78"/>
  <c r="BR84" i="78"/>
  <c r="BQ97" i="78"/>
  <c r="BR93" i="78"/>
  <c r="BQ100" i="78"/>
  <c r="BR87" i="78"/>
  <c r="BR90" i="78"/>
  <c r="BQ87" i="78"/>
  <c r="BQ95" i="78"/>
  <c r="BQ99" i="78"/>
  <c r="BR99" i="78"/>
  <c r="BQ81" i="78"/>
  <c r="BQ91" i="78"/>
  <c r="BR83" i="78"/>
  <c r="BR102" i="78"/>
  <c r="BQ104" i="78"/>
  <c r="BR100" i="78"/>
  <c r="BR85" i="78"/>
  <c r="BQ80" i="78"/>
  <c r="BQ88" i="78"/>
  <c r="BQ85" i="78"/>
  <c r="BR103" i="78"/>
  <c r="CC6" i="78"/>
  <c r="CC78" i="78" s="1"/>
  <c r="BQ102" i="78"/>
  <c r="BQ86" i="78"/>
  <c r="BQ89" i="78"/>
  <c r="BQ92" i="78"/>
  <c r="BR98" i="78"/>
  <c r="BR101" i="78"/>
  <c r="BR81" i="78"/>
  <c r="BR96" i="78"/>
  <c r="BR86" i="78"/>
  <c r="BQ90" i="78"/>
  <c r="BQ114" i="78"/>
  <c r="BQ101" i="78"/>
  <c r="BQ84" i="78"/>
  <c r="BR89" i="78"/>
  <c r="BR114" i="78"/>
  <c r="BR92" i="78"/>
  <c r="BR104" i="78"/>
  <c r="BR88" i="78"/>
  <c r="BQ98" i="78"/>
  <c r="BQ103" i="78"/>
  <c r="BQ96" i="78"/>
  <c r="BR95" i="78"/>
  <c r="BR42" i="78"/>
  <c r="BR94" i="78"/>
  <c r="BR91" i="78"/>
  <c r="BT114" i="78"/>
  <c r="BQ78" i="78"/>
  <c r="BQ82" i="78"/>
  <c r="BQ106" i="78"/>
  <c r="BR78" i="78"/>
  <c r="BR82" i="78"/>
  <c r="BR80" i="78"/>
  <c r="CD87" i="78"/>
  <c r="CD84" i="78"/>
  <c r="CD114" i="78"/>
  <c r="CD106" i="78"/>
  <c r="CD82" i="78"/>
  <c r="CD97" i="78"/>
  <c r="CE114" i="78"/>
  <c r="CD102" i="78"/>
  <c r="CD104" i="78"/>
  <c r="CD93" i="78"/>
  <c r="CD91" i="78"/>
  <c r="CD103" i="78"/>
  <c r="CD83" i="78"/>
  <c r="CD81" i="78"/>
  <c r="CD98" i="78"/>
  <c r="CD100" i="78"/>
  <c r="CD99" i="78"/>
  <c r="CD94" i="78"/>
  <c r="CD96" i="78"/>
  <c r="CD95" i="78"/>
  <c r="CD85" i="78"/>
  <c r="CD89" i="78"/>
  <c r="CD101" i="78"/>
  <c r="CD90" i="78"/>
  <c r="CD86" i="78"/>
  <c r="CD80" i="78"/>
  <c r="CD92" i="78"/>
  <c r="CD88" i="78"/>
  <c r="CE42" i="78"/>
  <c r="CP6" i="78"/>
  <c r="CP42" i="78" s="1"/>
  <c r="CO42" i="78"/>
  <c r="CB42" i="78"/>
  <c r="CM6" i="78"/>
  <c r="CE103" i="78"/>
  <c r="CE96" i="78"/>
  <c r="CE82" i="78"/>
  <c r="CE85" i="78"/>
  <c r="CE97" i="78"/>
  <c r="CE99" i="78"/>
  <c r="CE80" i="78"/>
  <c r="CE104" i="78"/>
  <c r="CE102" i="78"/>
  <c r="CE93" i="78"/>
  <c r="CE83" i="78"/>
  <c r="CE106" i="78"/>
  <c r="CE94" i="78"/>
  <c r="CE87" i="78"/>
  <c r="CE92" i="78"/>
  <c r="CB85" i="78"/>
  <c r="CE95" i="78"/>
  <c r="CE84" i="78"/>
  <c r="CE98" i="78"/>
  <c r="CE100" i="78"/>
  <c r="CE78" i="78"/>
  <c r="CE90" i="78"/>
  <c r="CE88" i="78"/>
  <c r="CE101" i="78"/>
  <c r="CE91" i="78"/>
  <c r="CE81" i="78"/>
  <c r="CE86" i="78"/>
  <c r="CE89" i="78"/>
  <c r="BO37" i="78"/>
  <c r="BO73" i="78"/>
  <c r="BO109" i="78"/>
  <c r="CA81" i="78"/>
  <c r="CA83" i="78"/>
  <c r="CL6" i="78"/>
  <c r="CK1" i="78" s="1"/>
  <c r="CA99" i="78"/>
  <c r="CA91" i="78"/>
  <c r="CA80" i="78"/>
  <c r="CA42" i="78"/>
  <c r="CA78" i="78"/>
  <c r="CA96" i="78"/>
  <c r="CA101" i="78"/>
  <c r="CA90" i="78"/>
  <c r="CA100" i="78"/>
  <c r="CA102" i="78"/>
  <c r="CA92" i="78"/>
  <c r="CA86" i="78"/>
  <c r="CA98" i="78"/>
  <c r="CA106" i="78"/>
  <c r="CA87" i="78"/>
  <c r="CA94" i="78"/>
  <c r="CA82" i="78"/>
  <c r="CA114" i="78"/>
  <c r="CA93" i="78"/>
  <c r="CA84" i="78"/>
  <c r="CA97" i="78"/>
  <c r="CA85" i="78"/>
  <c r="CA95" i="78"/>
  <c r="CA89" i="78"/>
  <c r="CA88" i="78"/>
  <c r="CA104" i="78"/>
  <c r="CA103" i="78"/>
  <c r="C8" i="52"/>
  <c r="D8" i="52"/>
  <c r="CB106" i="78" l="1"/>
  <c r="CB96" i="78"/>
  <c r="CC81" i="78"/>
  <c r="CC90" i="78"/>
  <c r="CC93" i="78"/>
  <c r="CC84" i="78"/>
  <c r="CC95" i="78"/>
  <c r="CB104" i="78"/>
  <c r="CB94" i="78"/>
  <c r="CC104" i="78"/>
  <c r="CN6" i="78"/>
  <c r="CP114" i="78" s="1"/>
  <c r="CC106" i="78"/>
  <c r="CB98" i="78"/>
  <c r="CC100" i="78"/>
  <c r="CB88" i="78"/>
  <c r="CB81" i="78"/>
  <c r="CC96" i="78"/>
  <c r="CB95" i="78"/>
  <c r="CB82" i="78"/>
  <c r="CB90" i="78"/>
  <c r="CB87" i="78"/>
  <c r="CC102" i="78"/>
  <c r="CB92" i="78"/>
  <c r="CB93" i="78"/>
  <c r="CB99" i="78"/>
  <c r="CC114" i="78"/>
  <c r="CC80" i="78"/>
  <c r="CC98" i="78"/>
  <c r="CB86" i="78"/>
  <c r="CB97" i="78"/>
  <c r="CC94" i="78"/>
  <c r="CC92" i="78"/>
  <c r="CC101" i="78"/>
  <c r="CC82" i="78"/>
  <c r="CB80" i="78"/>
  <c r="CB89" i="78"/>
  <c r="CB101" i="78"/>
  <c r="CB91" i="78"/>
  <c r="CC99" i="78"/>
  <c r="CC83" i="78"/>
  <c r="CC85" i="78"/>
  <c r="CC97" i="78"/>
  <c r="CB84" i="78"/>
  <c r="CB83" i="78"/>
  <c r="CC87" i="78"/>
  <c r="CC91" i="78"/>
  <c r="CC88" i="78"/>
  <c r="CC89" i="78"/>
  <c r="CB114" i="78"/>
  <c r="CB100" i="78"/>
  <c r="CB78" i="78"/>
  <c r="CB102" i="78"/>
  <c r="CB103" i="78"/>
  <c r="CC86" i="78"/>
  <c r="CC103" i="78"/>
  <c r="CC42" i="78"/>
  <c r="CO84" i="78"/>
  <c r="CO86" i="78"/>
  <c r="CO101" i="78"/>
  <c r="CO88" i="78"/>
  <c r="CO81" i="78"/>
  <c r="CO93" i="78"/>
  <c r="CO103" i="78"/>
  <c r="CO97" i="78"/>
  <c r="CO87" i="78"/>
  <c r="CO90" i="78"/>
  <c r="CO102" i="78"/>
  <c r="CO104" i="78"/>
  <c r="CO106" i="78"/>
  <c r="CO85" i="78"/>
  <c r="CO91" i="78"/>
  <c r="CO80" i="78"/>
  <c r="CO99" i="78"/>
  <c r="CO98" i="78"/>
  <c r="CO96" i="78"/>
  <c r="CO95" i="78"/>
  <c r="CO114" i="78"/>
  <c r="CO89" i="78"/>
  <c r="CO78" i="78"/>
  <c r="CO100" i="78"/>
  <c r="CO94" i="78"/>
  <c r="CO82" i="78"/>
  <c r="CO83" i="78"/>
  <c r="CO92" i="78"/>
  <c r="CP82" i="78"/>
  <c r="CP87" i="78"/>
  <c r="CP78" i="78"/>
  <c r="CP96" i="78"/>
  <c r="CP95" i="78"/>
  <c r="CP104" i="78"/>
  <c r="CP94" i="78"/>
  <c r="CP92" i="78"/>
  <c r="CP93" i="78"/>
  <c r="CP90" i="78"/>
  <c r="CP81" i="78"/>
  <c r="CP103" i="78"/>
  <c r="CP106" i="78"/>
  <c r="CP86" i="78"/>
  <c r="CP84" i="78"/>
  <c r="CP89" i="78"/>
  <c r="CP80" i="78"/>
  <c r="CP88" i="78"/>
  <c r="CP99" i="78"/>
  <c r="CP85" i="78"/>
  <c r="CM42" i="78"/>
  <c r="CP91" i="78"/>
  <c r="CP102" i="78"/>
  <c r="CP100" i="78"/>
  <c r="CP98" i="78"/>
  <c r="CP97" i="78"/>
  <c r="CP101" i="78"/>
  <c r="CP83" i="78"/>
  <c r="CL114" i="78"/>
  <c r="CL87" i="78"/>
  <c r="CL103" i="78"/>
  <c r="CL78" i="78"/>
  <c r="CL102" i="78"/>
  <c r="CL100" i="78"/>
  <c r="CL83" i="78"/>
  <c r="CL86" i="78"/>
  <c r="CL85" i="78"/>
  <c r="CL93" i="78"/>
  <c r="CL95" i="78"/>
  <c r="CL101" i="78"/>
  <c r="CL94" i="78"/>
  <c r="CL91" i="78"/>
  <c r="CL84" i="78"/>
  <c r="CL92" i="78"/>
  <c r="CL99" i="78"/>
  <c r="CL106" i="78"/>
  <c r="CL82" i="78"/>
  <c r="CL81" i="78"/>
  <c r="CL42" i="78"/>
  <c r="CL80" i="78"/>
  <c r="CL90" i="78"/>
  <c r="CL104" i="78"/>
  <c r="CL88" i="78"/>
  <c r="CL96" i="78"/>
  <c r="CL98" i="78"/>
  <c r="CL89" i="78"/>
  <c r="CL97" i="78"/>
  <c r="BZ37" i="78"/>
  <c r="BZ73" i="78"/>
  <c r="BZ109" i="78"/>
  <c r="I39" i="18"/>
  <c r="CM91" i="78" l="1"/>
  <c r="CN86" i="78"/>
  <c r="CN101" i="78"/>
  <c r="CM93" i="78"/>
  <c r="CN80" i="78"/>
  <c r="CM103" i="78"/>
  <c r="CM84" i="78"/>
  <c r="CN98" i="78"/>
  <c r="CM97" i="78"/>
  <c r="CM88" i="78"/>
  <c r="CN91" i="78"/>
  <c r="CN103" i="78"/>
  <c r="CM81" i="78"/>
  <c r="CM96" i="78"/>
  <c r="CN88" i="78"/>
  <c r="CN82" i="78"/>
  <c r="CM87" i="78"/>
  <c r="CM106" i="78"/>
  <c r="CN102" i="78"/>
  <c r="CN93" i="78"/>
  <c r="CM104" i="78"/>
  <c r="CN96" i="78"/>
  <c r="CN85" i="78"/>
  <c r="CM100" i="78"/>
  <c r="CM114" i="78"/>
  <c r="CN84" i="78"/>
  <c r="CN95" i="78"/>
  <c r="CM98" i="78"/>
  <c r="CM80" i="78"/>
  <c r="CM99" i="78"/>
  <c r="CM83" i="78"/>
  <c r="CN92" i="78"/>
  <c r="CN78" i="78"/>
  <c r="CN94" i="78"/>
  <c r="CM95" i="78"/>
  <c r="CM86" i="78"/>
  <c r="CM90" i="78"/>
  <c r="CN114" i="78"/>
  <c r="CN87" i="78"/>
  <c r="CN89" i="78"/>
  <c r="CN106" i="78"/>
  <c r="CM78" i="78"/>
  <c r="CM102" i="78"/>
  <c r="CM89" i="78"/>
  <c r="CM92" i="78"/>
  <c r="CM101" i="78"/>
  <c r="CN90" i="78"/>
  <c r="CN104" i="78"/>
  <c r="CN81" i="78"/>
  <c r="CN100" i="78"/>
  <c r="CM82" i="78"/>
  <c r="CM85" i="78"/>
  <c r="CM94" i="78"/>
  <c r="CN83" i="78"/>
  <c r="CN97" i="78"/>
  <c r="CN42" i="78"/>
  <c r="CN99" i="78"/>
  <c r="CK109" i="78"/>
  <c r="CK37" i="78"/>
  <c r="CK73" i="78"/>
  <c r="I40" i="18"/>
  <c r="H40" i="18"/>
  <c r="K39" i="18"/>
  <c r="H39" i="18"/>
  <c r="J40" i="18"/>
  <c r="K40" i="18"/>
  <c r="J39" i="18"/>
  <c r="R10" i="80" l="1"/>
  <c r="R12" i="80"/>
  <c r="R13" i="80"/>
  <c r="R14" i="80"/>
  <c r="R15" i="80"/>
  <c r="R16" i="80"/>
  <c r="R17" i="80"/>
  <c r="R18" i="80"/>
  <c r="R19" i="80"/>
  <c r="R20" i="80"/>
  <c r="R21" i="80"/>
  <c r="R22" i="80"/>
  <c r="R23" i="80"/>
  <c r="R24" i="80"/>
  <c r="R25" i="80"/>
  <c r="R26" i="80"/>
  <c r="R27" i="80"/>
  <c r="R28" i="80"/>
  <c r="R29" i="80"/>
  <c r="R30" i="80"/>
  <c r="R31" i="80"/>
  <c r="R32" i="80"/>
  <c r="R9" i="80"/>
  <c r="I34" i="80"/>
  <c r="I9" i="80"/>
  <c r="I10" i="80"/>
  <c r="I12" i="80"/>
  <c r="I13" i="80"/>
  <c r="I14" i="80"/>
  <c r="I15" i="80"/>
  <c r="I16" i="80"/>
  <c r="I17" i="80"/>
  <c r="I18" i="80"/>
  <c r="I19" i="80"/>
  <c r="I20" i="80"/>
  <c r="I21" i="80"/>
  <c r="I22" i="80"/>
  <c r="I23" i="80"/>
  <c r="I24" i="80"/>
  <c r="I25" i="80"/>
  <c r="I26" i="80"/>
  <c r="I27" i="80"/>
  <c r="I28" i="80"/>
  <c r="I29" i="80"/>
  <c r="I30" i="80"/>
  <c r="I31" i="80"/>
  <c r="I32" i="80"/>
  <c r="F34" i="80"/>
  <c r="F32" i="80"/>
  <c r="F31" i="80"/>
  <c r="F30" i="80"/>
  <c r="F29" i="80"/>
  <c r="F28" i="80"/>
  <c r="F27" i="80"/>
  <c r="F26" i="80"/>
  <c r="F25" i="80"/>
  <c r="F24" i="80"/>
  <c r="F23" i="80"/>
  <c r="F22" i="80"/>
  <c r="F21" i="80"/>
  <c r="F20" i="80"/>
  <c r="F19" i="80"/>
  <c r="F18" i="80"/>
  <c r="F17" i="80"/>
  <c r="F16" i="80"/>
  <c r="F15" i="80"/>
  <c r="F14" i="80"/>
  <c r="F13" i="80"/>
  <c r="F12" i="80"/>
  <c r="F11" i="80"/>
  <c r="F10" i="80"/>
  <c r="F8" i="80"/>
  <c r="C34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L10" i="80" l="1"/>
  <c r="L11" i="80"/>
  <c r="L12" i="80"/>
  <c r="L13" i="80"/>
  <c r="L15" i="80"/>
  <c r="L16" i="80"/>
  <c r="L17" i="80"/>
  <c r="L18" i="80"/>
  <c r="L19" i="80"/>
  <c r="L20" i="80"/>
  <c r="L21" i="80"/>
  <c r="L23" i="80"/>
  <c r="L24" i="80"/>
  <c r="L25" i="80"/>
  <c r="L26" i="80"/>
  <c r="L27" i="80"/>
  <c r="L28" i="80"/>
  <c r="L29" i="80"/>
  <c r="L31" i="80"/>
  <c r="L32" i="80"/>
  <c r="L9" i="80"/>
  <c r="H34" i="80"/>
  <c r="H32" i="80"/>
  <c r="H31" i="80"/>
  <c r="H30" i="80"/>
  <c r="H29" i="80"/>
  <c r="H28" i="80"/>
  <c r="H27" i="80"/>
  <c r="H26" i="80"/>
  <c r="N26" i="80" s="1"/>
  <c r="O26" i="80" s="1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N13" i="80" s="1"/>
  <c r="O13" i="80" s="1"/>
  <c r="H12" i="80"/>
  <c r="H10" i="80"/>
  <c r="H9" i="80"/>
  <c r="N32" i="80" l="1"/>
  <c r="O32" i="80" s="1"/>
  <c r="N18" i="80"/>
  <c r="O18" i="80" s="1"/>
  <c r="N10" i="80"/>
  <c r="O10" i="80" s="1"/>
  <c r="N28" i="80"/>
  <c r="O28" i="80" s="1"/>
  <c r="N21" i="80"/>
  <c r="O21" i="80" s="1"/>
  <c r="N29" i="80"/>
  <c r="O29" i="80" s="1"/>
  <c r="N24" i="80"/>
  <c r="O24" i="80" s="1"/>
  <c r="N20" i="80"/>
  <c r="O20" i="80" s="1"/>
  <c r="N16" i="80"/>
  <c r="O16" i="80" s="1"/>
  <c r="N12" i="80"/>
  <c r="O12" i="80" s="1"/>
  <c r="N9" i="80"/>
  <c r="O9" i="80" s="1"/>
  <c r="N17" i="80"/>
  <c r="O17" i="80" s="1"/>
  <c r="N25" i="80"/>
  <c r="O25" i="80" s="1"/>
  <c r="N22" i="80"/>
  <c r="O22" i="80" s="1"/>
  <c r="L22" i="80"/>
  <c r="N30" i="80"/>
  <c r="O30" i="80" s="1"/>
  <c r="L30" i="80"/>
  <c r="N14" i="80"/>
  <c r="O14" i="80" s="1"/>
  <c r="N31" i="80"/>
  <c r="O31" i="80" s="1"/>
  <c r="N23" i="80"/>
  <c r="O23" i="80" s="1"/>
  <c r="N15" i="80"/>
  <c r="O15" i="80" s="1"/>
  <c r="N27" i="80"/>
  <c r="O27" i="80" s="1"/>
  <c r="N11" i="80"/>
  <c r="O11" i="80" s="1"/>
  <c r="N19" i="80"/>
  <c r="O19" i="80" s="1"/>
  <c r="H23" i="16" l="1"/>
  <c r="H24" i="16"/>
  <c r="H43" i="16"/>
  <c r="H44" i="16"/>
  <c r="W34" i="78" l="1"/>
  <c r="AS34" i="78" s="1"/>
  <c r="W24" i="78"/>
  <c r="AS24" i="78" s="1"/>
  <c r="BO24" i="78" s="1"/>
  <c r="CK24" i="78" s="1"/>
  <c r="W9" i="78"/>
  <c r="AS9" i="78" s="1"/>
  <c r="BO9" i="78" s="1"/>
  <c r="CK9" i="78" s="1"/>
  <c r="W10" i="78"/>
  <c r="AS10" i="78" s="1"/>
  <c r="BO10" i="78" s="1"/>
  <c r="CK10" i="78" s="1"/>
  <c r="L11" i="78"/>
  <c r="AH11" i="78" s="1"/>
  <c r="BD11" i="78" s="1"/>
  <c r="BZ11" i="78" s="1"/>
  <c r="L12" i="78"/>
  <c r="AH12" i="78" s="1"/>
  <c r="BD12" i="78" s="1"/>
  <c r="BZ12" i="78" s="1"/>
  <c r="L13" i="78"/>
  <c r="AH13" i="78" s="1"/>
  <c r="BD13" i="78" s="1"/>
  <c r="BZ13" i="78" s="1"/>
  <c r="L14" i="78"/>
  <c r="AH14" i="78" s="1"/>
  <c r="BD14" i="78" s="1"/>
  <c r="BZ14" i="78" s="1"/>
  <c r="L15" i="78"/>
  <c r="AH15" i="78" s="1"/>
  <c r="BD15" i="78" s="1"/>
  <c r="BZ15" i="78" s="1"/>
  <c r="W16" i="78"/>
  <c r="AS16" i="78" s="1"/>
  <c r="BO16" i="78" s="1"/>
  <c r="CK16" i="78" s="1"/>
  <c r="W17" i="78"/>
  <c r="AS17" i="78" s="1"/>
  <c r="BO17" i="78" s="1"/>
  <c r="CK17" i="78" s="1"/>
  <c r="W18" i="78"/>
  <c r="AS18" i="78" s="1"/>
  <c r="BO18" i="78" s="1"/>
  <c r="CK18" i="78" s="1"/>
  <c r="L19" i="78"/>
  <c r="AH19" i="78" s="1"/>
  <c r="BD19" i="78" s="1"/>
  <c r="BZ19" i="78" s="1"/>
  <c r="L20" i="78"/>
  <c r="AH20" i="78" s="1"/>
  <c r="BD20" i="78" s="1"/>
  <c r="BZ20" i="78" s="1"/>
  <c r="L21" i="78"/>
  <c r="AH21" i="78" s="1"/>
  <c r="BD21" i="78" s="1"/>
  <c r="BZ21" i="78" s="1"/>
  <c r="L22" i="78"/>
  <c r="AH22" i="78" s="1"/>
  <c r="BD22" i="78" s="1"/>
  <c r="BZ22" i="78" s="1"/>
  <c r="L23" i="78"/>
  <c r="AH23" i="78" s="1"/>
  <c r="BD23" i="78" s="1"/>
  <c r="BZ23" i="78" s="1"/>
  <c r="W25" i="78"/>
  <c r="AS25" i="78" s="1"/>
  <c r="BO25" i="78" s="1"/>
  <c r="CK25" i="78" s="1"/>
  <c r="W26" i="78"/>
  <c r="AS26" i="78" s="1"/>
  <c r="BO26" i="78" s="1"/>
  <c r="CK26" i="78" s="1"/>
  <c r="W27" i="78"/>
  <c r="AS27" i="78" s="1"/>
  <c r="BO27" i="78" s="1"/>
  <c r="CK27" i="78" s="1"/>
  <c r="L28" i="78"/>
  <c r="AH28" i="78" s="1"/>
  <c r="BD28" i="78" s="1"/>
  <c r="BZ28" i="78" s="1"/>
  <c r="L29" i="78"/>
  <c r="AH29" i="78" s="1"/>
  <c r="BD29" i="78" s="1"/>
  <c r="BZ29" i="78" s="1"/>
  <c r="L30" i="78"/>
  <c r="AH30" i="78" s="1"/>
  <c r="BD30" i="78" s="1"/>
  <c r="BZ30" i="78" s="1"/>
  <c r="L31" i="78"/>
  <c r="AH31" i="78" s="1"/>
  <c r="BD31" i="78" s="1"/>
  <c r="BZ31" i="78" s="1"/>
  <c r="W32" i="78"/>
  <c r="AS32" i="78" s="1"/>
  <c r="BO32" i="78" s="1"/>
  <c r="CK32" i="78" s="1"/>
  <c r="W8" i="78"/>
  <c r="AS8" i="78" s="1"/>
  <c r="BO8" i="78" s="1"/>
  <c r="CK8" i="78" s="1"/>
  <c r="BO34" i="78" l="1"/>
  <c r="AS70" i="78"/>
  <c r="AS106" i="78"/>
  <c r="AS142" i="78"/>
  <c r="L27" i="78"/>
  <c r="AH27" i="78" s="1"/>
  <c r="BD27" i="78" s="1"/>
  <c r="BZ27" i="78" s="1"/>
  <c r="L18" i="78"/>
  <c r="AH18" i="78" s="1"/>
  <c r="BD18" i="78" s="1"/>
  <c r="BZ18" i="78" s="1"/>
  <c r="W29" i="78"/>
  <c r="AS29" i="78" s="1"/>
  <c r="BO29" i="78" s="1"/>
  <c r="CK29" i="78" s="1"/>
  <c r="L10" i="78"/>
  <c r="AH10" i="78" s="1"/>
  <c r="BD10" i="78" s="1"/>
  <c r="BZ10" i="78" s="1"/>
  <c r="W28" i="78"/>
  <c r="AS28" i="78" s="1"/>
  <c r="BO28" i="78" s="1"/>
  <c r="CK28" i="78" s="1"/>
  <c r="W19" i="78"/>
  <c r="AS19" i="78" s="1"/>
  <c r="BO19" i="78" s="1"/>
  <c r="CK19" i="78" s="1"/>
  <c r="W13" i="78"/>
  <c r="AS13" i="78" s="1"/>
  <c r="BO13" i="78" s="1"/>
  <c r="CK13" i="78" s="1"/>
  <c r="W11" i="78"/>
  <c r="AS11" i="78" s="1"/>
  <c r="BO11" i="78" s="1"/>
  <c r="CK11" i="78" s="1"/>
  <c r="L9" i="78"/>
  <c r="AH9" i="78" s="1"/>
  <c r="BD9" i="78" s="1"/>
  <c r="BZ9" i="78" s="1"/>
  <c r="L26" i="78"/>
  <c r="AH26" i="78" s="1"/>
  <c r="BD26" i="78" s="1"/>
  <c r="BZ26" i="78" s="1"/>
  <c r="W21" i="78"/>
  <c r="AS21" i="78" s="1"/>
  <c r="BO21" i="78" s="1"/>
  <c r="CK21" i="78" s="1"/>
  <c r="W20" i="78"/>
  <c r="AS20" i="78" s="1"/>
  <c r="BO20" i="78" s="1"/>
  <c r="CK20" i="78" s="1"/>
  <c r="L17" i="78"/>
  <c r="AH17" i="78" s="1"/>
  <c r="BD17" i="78" s="1"/>
  <c r="BZ17" i="78" s="1"/>
  <c r="W12" i="78"/>
  <c r="AS12" i="78" s="1"/>
  <c r="BO12" i="78" s="1"/>
  <c r="CK12" i="78" s="1"/>
  <c r="W31" i="78"/>
  <c r="AS31" i="78" s="1"/>
  <c r="BO31" i="78" s="1"/>
  <c r="CK31" i="78" s="1"/>
  <c r="W23" i="78"/>
  <c r="AS23" i="78" s="1"/>
  <c r="BO23" i="78" s="1"/>
  <c r="CK23" i="78" s="1"/>
  <c r="W15" i="78"/>
  <c r="AS15" i="78" s="1"/>
  <c r="BO15" i="78" s="1"/>
  <c r="CK15" i="78" s="1"/>
  <c r="W30" i="78"/>
  <c r="AS30" i="78" s="1"/>
  <c r="BO30" i="78" s="1"/>
  <c r="CK30" i="78" s="1"/>
  <c r="W22" i="78"/>
  <c r="AS22" i="78" s="1"/>
  <c r="BO22" i="78" s="1"/>
  <c r="CK22" i="78" s="1"/>
  <c r="W14" i="78"/>
  <c r="AS14" i="78" s="1"/>
  <c r="BO14" i="78" s="1"/>
  <c r="CK14" i="78" s="1"/>
  <c r="L8" i="78"/>
  <c r="AH8" i="78" s="1"/>
  <c r="BD8" i="78" s="1"/>
  <c r="BZ8" i="78" s="1"/>
  <c r="L25" i="78"/>
  <c r="AH25" i="78" s="1"/>
  <c r="BD25" i="78" s="1"/>
  <c r="BZ25" i="78" s="1"/>
  <c r="L32" i="78"/>
  <c r="AH32" i="78" s="1"/>
  <c r="BD32" i="78" s="1"/>
  <c r="BZ32" i="78" s="1"/>
  <c r="L24" i="78"/>
  <c r="AH24" i="78" s="1"/>
  <c r="BD24" i="78" s="1"/>
  <c r="BZ24" i="78" s="1"/>
  <c r="L16" i="78"/>
  <c r="AH16" i="78" s="1"/>
  <c r="BD16" i="78" s="1"/>
  <c r="BZ16" i="78" s="1"/>
  <c r="L34" i="78"/>
  <c r="AH34" i="78" s="1"/>
  <c r="AH106" i="78" l="1"/>
  <c r="AH70" i="78"/>
  <c r="BD34" i="78"/>
  <c r="AH142" i="78"/>
  <c r="BO70" i="78"/>
  <c r="BO142" i="78"/>
  <c r="CK34" i="78"/>
  <c r="BO106" i="78"/>
  <c r="C6" i="16"/>
  <c r="D6" i="16"/>
  <c r="E6" i="16"/>
  <c r="F6" i="16"/>
  <c r="B6" i="16"/>
  <c r="M150" i="75" l="1"/>
  <c r="L1" i="16"/>
  <c r="L39" i="16" s="1"/>
  <c r="H80" i="16"/>
  <c r="M50" i="75" s="1"/>
  <c r="AE54" i="16"/>
  <c r="T52" i="16"/>
  <c r="T51" i="16"/>
  <c r="AE53" i="16"/>
  <c r="U53" i="16"/>
  <c r="AE51" i="16"/>
  <c r="AD51" i="16"/>
  <c r="AD47" i="16"/>
  <c r="AF47" i="16"/>
  <c r="T46" i="16"/>
  <c r="AE48" i="16"/>
  <c r="AF52" i="16"/>
  <c r="AF53" i="16"/>
  <c r="T50" i="16"/>
  <c r="AE47" i="16"/>
  <c r="U54" i="16"/>
  <c r="T48" i="16"/>
  <c r="U51" i="16"/>
  <c r="S47" i="16"/>
  <c r="AD46" i="16"/>
  <c r="T53" i="16"/>
  <c r="T54" i="16"/>
  <c r="S51" i="16"/>
  <c r="U49" i="16"/>
  <c r="U47" i="16"/>
  <c r="S46" i="16"/>
  <c r="AE52" i="16"/>
  <c r="AE50" i="16"/>
  <c r="U50" i="16"/>
  <c r="AF50" i="16"/>
  <c r="S49" i="16"/>
  <c r="T47" i="16"/>
  <c r="U48" i="16"/>
  <c r="AE49" i="16"/>
  <c r="T49" i="16"/>
  <c r="AD49" i="16"/>
  <c r="AE46" i="16"/>
  <c r="U56" i="16"/>
  <c r="U46" i="16"/>
  <c r="AD53" i="16"/>
  <c r="AD52" i="16"/>
  <c r="AF48" i="16"/>
  <c r="AE56" i="16"/>
  <c r="S48" i="16"/>
  <c r="S53" i="16"/>
  <c r="AF51" i="16"/>
  <c r="S52" i="16"/>
  <c r="S50" i="16"/>
  <c r="AD48" i="16"/>
  <c r="AD54" i="16"/>
  <c r="AF46" i="16"/>
  <c r="AF49" i="16"/>
  <c r="S54" i="16"/>
  <c r="AD50" i="16"/>
  <c r="U52" i="16"/>
  <c r="T56" i="16"/>
  <c r="AF54" i="16"/>
  <c r="AF56" i="16"/>
  <c r="AD56" i="16"/>
  <c r="S56" i="16"/>
  <c r="AA3" i="106"/>
  <c r="Y3" i="106"/>
  <c r="A477" i="76"/>
  <c r="AB3" i="106"/>
  <c r="X3" i="106"/>
  <c r="W1" i="106" s="1"/>
  <c r="Z3" i="106"/>
  <c r="AC3" i="106"/>
  <c r="X1" i="106" s="1"/>
  <c r="A1" i="16"/>
  <c r="CK70" i="78"/>
  <c r="CK142" i="78"/>
  <c r="CK106" i="78"/>
  <c r="BD70" i="78"/>
  <c r="BZ34" i="78"/>
  <c r="BD142" i="78"/>
  <c r="BD106" i="78"/>
  <c r="H79" i="16"/>
  <c r="H47" i="16"/>
  <c r="F50" i="16"/>
  <c r="F52" i="16"/>
  <c r="F54" i="16"/>
  <c r="H46" i="16"/>
  <c r="H48" i="16"/>
  <c r="F51" i="16"/>
  <c r="H49" i="16"/>
  <c r="H50" i="16"/>
  <c r="H51" i="16"/>
  <c r="F47" i="16"/>
  <c r="I81" i="16" s="1"/>
  <c r="N46" i="75" s="1"/>
  <c r="H52" i="16"/>
  <c r="F53" i="16"/>
  <c r="H53" i="16"/>
  <c r="F48" i="16"/>
  <c r="F46" i="16"/>
  <c r="I80" i="16" s="1"/>
  <c r="N50" i="75" s="1"/>
  <c r="F49" i="16"/>
  <c r="H54" i="16"/>
  <c r="I46" i="16"/>
  <c r="J54" i="16"/>
  <c r="I53" i="16"/>
  <c r="H82" i="16"/>
  <c r="M40" i="75" s="1"/>
  <c r="H84" i="16"/>
  <c r="M29" i="75" s="1"/>
  <c r="H85" i="16"/>
  <c r="M23" i="75" s="1"/>
  <c r="H83" i="16"/>
  <c r="M33" i="75" s="1"/>
  <c r="F62" i="16"/>
  <c r="N1" i="107" s="1"/>
  <c r="A1" i="107" s="1"/>
  <c r="H87" i="16"/>
  <c r="M15" i="75" s="1"/>
  <c r="H81" i="16"/>
  <c r="M46" i="75" s="1"/>
  <c r="H88" i="16"/>
  <c r="M11" i="75" s="1"/>
  <c r="F44" i="16"/>
  <c r="I79" i="16" s="1"/>
  <c r="H86" i="16"/>
  <c r="M19" i="75" s="1"/>
  <c r="H4" i="16"/>
  <c r="N150" i="75" s="1"/>
  <c r="C44" i="16"/>
  <c r="C62" i="16"/>
  <c r="A150" i="75" l="1"/>
  <c r="P4" i="31"/>
  <c r="A1" i="31" s="1"/>
  <c r="P35" i="31"/>
  <c r="A34" i="31" s="1"/>
  <c r="A1" i="106"/>
  <c r="BZ106" i="78"/>
  <c r="BZ70" i="78"/>
  <c r="BZ142" i="78"/>
  <c r="H42" i="16"/>
  <c r="H22" i="16"/>
  <c r="E65" i="16" l="1"/>
  <c r="B46" i="16"/>
  <c r="C72" i="16" l="1"/>
  <c r="C54" i="16"/>
  <c r="C69" i="16"/>
  <c r="C64" i="16"/>
  <c r="C46" i="16"/>
  <c r="C68" i="16"/>
  <c r="C50" i="16"/>
  <c r="C67" i="16"/>
  <c r="C49" i="16"/>
  <c r="C65" i="16"/>
  <c r="C47" i="16"/>
  <c r="C66" i="16"/>
  <c r="C48" i="16"/>
  <c r="C71" i="16"/>
  <c r="C53" i="16"/>
  <c r="C70" i="16"/>
  <c r="C52" i="16"/>
  <c r="C51" i="16"/>
  <c r="F18" i="16"/>
  <c r="F14" i="11"/>
  <c r="E14" i="11"/>
  <c r="D14" i="11"/>
  <c r="C14" i="11"/>
  <c r="D18" i="16"/>
  <c r="E18" i="16"/>
  <c r="C18" i="16"/>
  <c r="Q39" i="80"/>
  <c r="E39" i="80"/>
  <c r="B40" i="80"/>
  <c r="B39" i="80"/>
  <c r="M161" i="75" l="1"/>
  <c r="H36" i="16"/>
  <c r="H27" i="11"/>
  <c r="J27" i="11"/>
  <c r="I27" i="11"/>
  <c r="AB14" i="106"/>
  <c r="Y14" i="106"/>
  <c r="C50" i="18"/>
  <c r="I60" i="18" s="1"/>
  <c r="X14" i="106"/>
  <c r="AC14" i="106"/>
  <c r="AA14" i="106"/>
  <c r="E50" i="18"/>
  <c r="K60" i="18" s="1"/>
  <c r="Z14" i="106"/>
  <c r="F52" i="11"/>
  <c r="F41" i="11"/>
  <c r="I59" i="18"/>
  <c r="D33" i="16"/>
  <c r="H56" i="16"/>
  <c r="D50" i="18"/>
  <c r="H90" i="16"/>
  <c r="F74" i="16"/>
  <c r="N13" i="107" s="1"/>
  <c r="F50" i="18"/>
  <c r="F56" i="16"/>
  <c r="C86" i="12"/>
  <c r="F86" i="12"/>
  <c r="C113" i="12"/>
  <c r="C74" i="16"/>
  <c r="C56" i="16"/>
  <c r="F113" i="12"/>
  <c r="C52" i="11"/>
  <c r="C41" i="11"/>
  <c r="K59" i="18" l="1"/>
  <c r="L50" i="18"/>
  <c r="L60" i="18"/>
  <c r="L59" i="18"/>
  <c r="J60" i="18"/>
  <c r="J59" i="18"/>
  <c r="C116" i="49"/>
  <c r="D113" i="49"/>
  <c r="D114" i="49"/>
  <c r="D109" i="49"/>
  <c r="D110" i="49"/>
  <c r="D106" i="49"/>
  <c r="D100" i="49"/>
  <c r="D101" i="49"/>
  <c r="D95" i="49"/>
  <c r="C88" i="49"/>
  <c r="C32" i="49" s="1"/>
  <c r="D85" i="49"/>
  <c r="D86" i="49"/>
  <c r="D81" i="49"/>
  <c r="D82" i="49"/>
  <c r="D78" i="49"/>
  <c r="D72" i="49"/>
  <c r="D73" i="49"/>
  <c r="D67" i="49"/>
  <c r="D57" i="49"/>
  <c r="D58" i="49"/>
  <c r="D53" i="49"/>
  <c r="D54" i="49"/>
  <c r="D50" i="49"/>
  <c r="D44" i="49"/>
  <c r="D45" i="49"/>
  <c r="A94" i="49"/>
  <c r="A178" i="49" s="1"/>
  <c r="A262" i="49" s="1"/>
  <c r="A68" i="49"/>
  <c r="A152" i="49" s="1"/>
  <c r="A236" i="49" s="1"/>
  <c r="A46" i="49"/>
  <c r="A130" i="49" s="1"/>
  <c r="A214" i="49" s="1"/>
  <c r="A48" i="49"/>
  <c r="A132" i="49" s="1"/>
  <c r="A216" i="49" s="1"/>
  <c r="A79" i="49"/>
  <c r="A163" i="49" s="1"/>
  <c r="A247" i="49" s="1"/>
  <c r="A82" i="49"/>
  <c r="A166" i="49" s="1"/>
  <c r="A250" i="49" s="1"/>
  <c r="A84" i="49"/>
  <c r="A168" i="49" s="1"/>
  <c r="A252" i="49" s="1"/>
  <c r="D25" i="49" l="1"/>
  <c r="D26" i="49"/>
  <c r="D30" i="49"/>
  <c r="D22" i="49"/>
  <c r="D29" i="49"/>
  <c r="D17" i="49"/>
  <c r="D11" i="49"/>
  <c r="D16" i="49"/>
  <c r="A74" i="49"/>
  <c r="A158" i="49" s="1"/>
  <c r="A242" i="49" s="1"/>
  <c r="A54" i="49"/>
  <c r="A138" i="49" s="1"/>
  <c r="A222" i="49" s="1"/>
  <c r="A110" i="49"/>
  <c r="A194" i="49" s="1"/>
  <c r="A278" i="49" s="1"/>
  <c r="A99" i="49"/>
  <c r="A183" i="49" s="1"/>
  <c r="A267" i="49" s="1"/>
  <c r="A66" i="49"/>
  <c r="A150" i="49" s="1"/>
  <c r="A234" i="49" s="1"/>
  <c r="F78" i="49"/>
  <c r="F72" i="49"/>
  <c r="F54" i="49"/>
  <c r="F67" i="49"/>
  <c r="F73" i="49"/>
  <c r="F114" i="49"/>
  <c r="F82" i="49"/>
  <c r="F101" i="49"/>
  <c r="F109" i="49"/>
  <c r="F44" i="49"/>
  <c r="F113" i="49"/>
  <c r="F57" i="49"/>
  <c r="F110" i="49"/>
  <c r="A70" i="49"/>
  <c r="A154" i="49" s="1"/>
  <c r="A238" i="49" s="1"/>
  <c r="F58" i="49"/>
  <c r="F95" i="49"/>
  <c r="F50" i="49"/>
  <c r="F81" i="49"/>
  <c r="A102" i="49"/>
  <c r="A186" i="49" s="1"/>
  <c r="A270" i="49" s="1"/>
  <c r="F100" i="49"/>
  <c r="F86" i="49"/>
  <c r="A86" i="49"/>
  <c r="A170" i="49" s="1"/>
  <c r="A254" i="49" s="1"/>
  <c r="A38" i="49"/>
  <c r="A122" i="49" s="1"/>
  <c r="A206" i="49" s="1"/>
  <c r="F45" i="49"/>
  <c r="F53" i="49"/>
  <c r="F85" i="49"/>
  <c r="F106" i="49"/>
  <c r="A112" i="49"/>
  <c r="A196" i="49" s="1"/>
  <c r="A280" i="49" s="1"/>
  <c r="A104" i="49"/>
  <c r="A188" i="49" s="1"/>
  <c r="A272" i="49" s="1"/>
  <c r="A96" i="49"/>
  <c r="A180" i="49" s="1"/>
  <c r="A264" i="49" s="1"/>
  <c r="A76" i="49"/>
  <c r="A160" i="49" s="1"/>
  <c r="A244" i="49" s="1"/>
  <c r="A51" i="49"/>
  <c r="A135" i="49" s="1"/>
  <c r="A219" i="49" s="1"/>
  <c r="A107" i="49"/>
  <c r="A191" i="49" s="1"/>
  <c r="A275" i="49" s="1"/>
  <c r="A50" i="49"/>
  <c r="A134" i="49" s="1"/>
  <c r="A218" i="49" s="1"/>
  <c r="A87" i="49"/>
  <c r="A171" i="49" s="1"/>
  <c r="A255" i="49" s="1"/>
  <c r="A71" i="49"/>
  <c r="A155" i="49" s="1"/>
  <c r="A239" i="49" s="1"/>
  <c r="A106" i="49"/>
  <c r="A190" i="49" s="1"/>
  <c r="A274" i="49" s="1"/>
  <c r="A59" i="49"/>
  <c r="A143" i="49" s="1"/>
  <c r="A227" i="49" s="1"/>
  <c r="A43" i="49"/>
  <c r="A127" i="49" s="1"/>
  <c r="A211" i="49" s="1"/>
  <c r="A98" i="49"/>
  <c r="A182" i="49" s="1"/>
  <c r="A266" i="49" s="1"/>
  <c r="A58" i="49"/>
  <c r="A142" i="49" s="1"/>
  <c r="A226" i="49" s="1"/>
  <c r="A42" i="49"/>
  <c r="A126" i="49" s="1"/>
  <c r="A210" i="49" s="1"/>
  <c r="A115" i="49"/>
  <c r="A199" i="49" s="1"/>
  <c r="A283" i="49" s="1"/>
  <c r="A56" i="49"/>
  <c r="A140" i="49" s="1"/>
  <c r="A224" i="49" s="1"/>
  <c r="A40" i="49"/>
  <c r="A124" i="49" s="1"/>
  <c r="A208" i="49" s="1"/>
  <c r="A78" i="49"/>
  <c r="A162" i="49" s="1"/>
  <c r="A246" i="49" s="1"/>
  <c r="A114" i="49"/>
  <c r="A198" i="49" s="1"/>
  <c r="A282" i="49" s="1"/>
  <c r="A53" i="49"/>
  <c r="A137" i="49" s="1"/>
  <c r="A221" i="49" s="1"/>
  <c r="A45" i="49"/>
  <c r="A129" i="49" s="1"/>
  <c r="A213" i="49" s="1"/>
  <c r="A37" i="49"/>
  <c r="A121" i="49" s="1"/>
  <c r="A205" i="49" s="1"/>
  <c r="A81" i="49"/>
  <c r="A165" i="49" s="1"/>
  <c r="A249" i="49" s="1"/>
  <c r="A73" i="49"/>
  <c r="A157" i="49" s="1"/>
  <c r="A241" i="49" s="1"/>
  <c r="A65" i="49"/>
  <c r="A149" i="49" s="1"/>
  <c r="A233" i="49" s="1"/>
  <c r="A109" i="49"/>
  <c r="A193" i="49" s="1"/>
  <c r="A277" i="49" s="1"/>
  <c r="A101" i="49"/>
  <c r="A185" i="49" s="1"/>
  <c r="A269" i="49" s="1"/>
  <c r="A93" i="49"/>
  <c r="A177" i="49" s="1"/>
  <c r="A261" i="49" s="1"/>
  <c r="A52" i="49"/>
  <c r="A136" i="49" s="1"/>
  <c r="A220" i="49" s="1"/>
  <c r="A44" i="49"/>
  <c r="A128" i="49" s="1"/>
  <c r="A212" i="49" s="1"/>
  <c r="A36" i="49"/>
  <c r="A120" i="49" s="1"/>
  <c r="A204" i="49" s="1"/>
  <c r="A80" i="49"/>
  <c r="A164" i="49" s="1"/>
  <c r="A248" i="49" s="1"/>
  <c r="A72" i="49"/>
  <c r="A156" i="49" s="1"/>
  <c r="A240" i="49" s="1"/>
  <c r="A64" i="49"/>
  <c r="A148" i="49" s="1"/>
  <c r="A232" i="49" s="1"/>
  <c r="A108" i="49"/>
  <c r="A192" i="49" s="1"/>
  <c r="A276" i="49" s="1"/>
  <c r="A100" i="49"/>
  <c r="A184" i="49" s="1"/>
  <c r="A268" i="49" s="1"/>
  <c r="A92" i="49"/>
  <c r="A176" i="49" s="1"/>
  <c r="A260" i="49" s="1"/>
  <c r="A57" i="49"/>
  <c r="A141" i="49" s="1"/>
  <c r="A225" i="49" s="1"/>
  <c r="A49" i="49"/>
  <c r="A133" i="49" s="1"/>
  <c r="A217" i="49" s="1"/>
  <c r="A41" i="49"/>
  <c r="A125" i="49" s="1"/>
  <c r="A209" i="49" s="1"/>
  <c r="A85" i="49"/>
  <c r="A169" i="49" s="1"/>
  <c r="A253" i="49" s="1"/>
  <c r="A77" i="49"/>
  <c r="A161" i="49" s="1"/>
  <c r="A245" i="49" s="1"/>
  <c r="A69" i="49"/>
  <c r="A153" i="49" s="1"/>
  <c r="A237" i="49" s="1"/>
  <c r="A113" i="49"/>
  <c r="A197" i="49" s="1"/>
  <c r="A281" i="49" s="1"/>
  <c r="A105" i="49"/>
  <c r="A189" i="49" s="1"/>
  <c r="A273" i="49" s="1"/>
  <c r="A97" i="49"/>
  <c r="A181" i="49" s="1"/>
  <c r="A265" i="49" s="1"/>
  <c r="A55" i="49"/>
  <c r="A139" i="49" s="1"/>
  <c r="A223" i="49" s="1"/>
  <c r="A47" i="49"/>
  <c r="A131" i="49" s="1"/>
  <c r="A215" i="49" s="1"/>
  <c r="A39" i="49"/>
  <c r="A123" i="49" s="1"/>
  <c r="A207" i="49" s="1"/>
  <c r="A83" i="49"/>
  <c r="A167" i="49" s="1"/>
  <c r="A251" i="49" s="1"/>
  <c r="A75" i="49"/>
  <c r="A159" i="49" s="1"/>
  <c r="A243" i="49" s="1"/>
  <c r="A67" i="49"/>
  <c r="A151" i="49" s="1"/>
  <c r="A235" i="49" s="1"/>
  <c r="A111" i="49"/>
  <c r="A195" i="49" s="1"/>
  <c r="A279" i="49" s="1"/>
  <c r="A103" i="49"/>
  <c r="A187" i="49" s="1"/>
  <c r="A271" i="49" s="1"/>
  <c r="A95" i="49"/>
  <c r="A179" i="49" s="1"/>
  <c r="A263" i="49" s="1"/>
  <c r="F29" i="49" l="1"/>
  <c r="F22" i="49"/>
  <c r="F16" i="49"/>
  <c r="F30" i="49"/>
  <c r="F25" i="49"/>
  <c r="F17" i="49"/>
  <c r="F11" i="49"/>
  <c r="F26" i="49"/>
  <c r="A15" i="44" l="1"/>
  <c r="A6" i="44"/>
  <c r="A7" i="44"/>
  <c r="A5" i="44"/>
  <c r="A106" i="71"/>
  <c r="A117" i="71"/>
  <c r="A82" i="71"/>
  <c r="A83" i="71"/>
  <c r="A66" i="18"/>
  <c r="A49" i="71"/>
  <c r="A86" i="71"/>
  <c r="A123" i="71"/>
  <c r="A72" i="18"/>
  <c r="A73" i="18"/>
  <c r="A91" i="71"/>
  <c r="A128" i="71"/>
  <c r="A94" i="71"/>
  <c r="A131" i="71"/>
  <c r="A60" i="71"/>
  <c r="A133" i="71"/>
  <c r="A136" i="71"/>
  <c r="A102" i="71"/>
  <c r="A139" i="71"/>
  <c r="A116" i="71"/>
  <c r="A18" i="16"/>
  <c r="A50" i="18" s="1"/>
  <c r="L48" i="76" s="1"/>
  <c r="A9" i="16"/>
  <c r="A10" i="16"/>
  <c r="A11" i="16"/>
  <c r="A12" i="16"/>
  <c r="A13" i="16"/>
  <c r="A14" i="16"/>
  <c r="A15" i="16"/>
  <c r="A16" i="16"/>
  <c r="A8" i="16"/>
  <c r="A55" i="71" l="1"/>
  <c r="A48" i="71"/>
  <c r="L14" i="75"/>
  <c r="A101" i="71"/>
  <c r="A88" i="71"/>
  <c r="A85" i="71"/>
  <c r="A130" i="71"/>
  <c r="A64" i="71"/>
  <c r="A138" i="71"/>
  <c r="A56" i="71"/>
  <c r="A100" i="71"/>
  <c r="A132" i="71"/>
  <c r="A122" i="71"/>
  <c r="A140" i="71"/>
  <c r="A84" i="71"/>
  <c r="A70" i="71"/>
  <c r="A104" i="71"/>
  <c r="A44" i="71"/>
  <c r="A53" i="71"/>
  <c r="A129" i="71"/>
  <c r="A142" i="71"/>
  <c r="A68" i="71"/>
  <c r="A52" i="71"/>
  <c r="A97" i="71"/>
  <c r="A81" i="71"/>
  <c r="A127" i="71"/>
  <c r="A65" i="18"/>
  <c r="A96" i="71"/>
  <c r="A124" i="71"/>
  <c r="A63" i="71"/>
  <c r="A47" i="71"/>
  <c r="A93" i="71"/>
  <c r="A25" i="18"/>
  <c r="L23" i="76" s="1"/>
  <c r="A61" i="71"/>
  <c r="A45" i="71"/>
  <c r="A92" i="71"/>
  <c r="A137" i="71"/>
  <c r="A121" i="71"/>
  <c r="A80" i="71"/>
  <c r="A89" i="71"/>
  <c r="A135" i="71"/>
  <c r="A119" i="71"/>
  <c r="A63" i="18"/>
  <c r="A71" i="18"/>
  <c r="A62" i="71"/>
  <c r="A54" i="71"/>
  <c r="A46" i="71"/>
  <c r="A99" i="71"/>
  <c r="A120" i="71"/>
  <c r="A70" i="18"/>
  <c r="A134" i="71"/>
  <c r="A126" i="71"/>
  <c r="A118" i="71"/>
  <c r="A64" i="18"/>
  <c r="A67" i="71"/>
  <c r="A59" i="71"/>
  <c r="A51" i="71"/>
  <c r="A125" i="71"/>
  <c r="A98" i="71"/>
  <c r="A90" i="71"/>
  <c r="A66" i="71"/>
  <c r="A58" i="71"/>
  <c r="A50" i="71"/>
  <c r="A103" i="71"/>
  <c r="A95" i="71"/>
  <c r="A87" i="71"/>
  <c r="A65" i="71"/>
  <c r="A57" i="71"/>
  <c r="L22" i="75" l="1"/>
  <c r="A86" i="18"/>
  <c r="A94" i="18"/>
  <c r="L18" i="75"/>
  <c r="A90" i="18"/>
  <c r="L17" i="75"/>
  <c r="A91" i="18"/>
  <c r="A80" i="18"/>
  <c r="L28" i="75"/>
  <c r="A98" i="18"/>
  <c r="L10" i="75"/>
  <c r="A76" i="18"/>
  <c r="L32" i="75"/>
  <c r="A69" i="18"/>
  <c r="L39" i="75"/>
  <c r="L4" i="83" l="1"/>
  <c r="O4" i="83" s="1"/>
  <c r="R4" i="83" s="1"/>
  <c r="F4" i="83"/>
  <c r="E4" i="83"/>
  <c r="H4" i="83" l="1"/>
  <c r="AM5" i="80"/>
  <c r="Z5" i="80"/>
  <c r="K4" i="83" l="1"/>
  <c r="N4" i="83" s="1"/>
  <c r="Q4" i="83" s="1"/>
  <c r="A66" i="80" l="1"/>
  <c r="A65" i="80"/>
  <c r="A64" i="80"/>
  <c r="A63" i="80"/>
  <c r="A62" i="80"/>
  <c r="A61" i="80"/>
  <c r="A60" i="80"/>
  <c r="A58" i="80"/>
  <c r="A57" i="80"/>
  <c r="A56" i="80"/>
  <c r="A55" i="80"/>
  <c r="A54" i="80"/>
  <c r="A53" i="80"/>
  <c r="A52" i="80"/>
  <c r="A50" i="80"/>
  <c r="A49" i="80"/>
  <c r="A48" i="80"/>
  <c r="A47" i="80"/>
  <c r="A46" i="80"/>
  <c r="A45" i="80"/>
  <c r="A44" i="80"/>
  <c r="A43" i="80"/>
  <c r="A69" i="80"/>
  <c r="I40" i="80"/>
  <c r="C40" i="80"/>
  <c r="A40" i="80"/>
  <c r="N39" i="80"/>
  <c r="K39" i="80"/>
  <c r="H39" i="80"/>
  <c r="K38" i="80"/>
  <c r="A34" i="80"/>
  <c r="AT14" i="80"/>
  <c r="AT12" i="80"/>
  <c r="AT10" i="80"/>
  <c r="AT8" i="80"/>
  <c r="L5" i="80"/>
  <c r="O5" i="80" s="1"/>
  <c r="R5" i="80" s="1"/>
  <c r="F5" i="80"/>
  <c r="F40" i="80" s="1"/>
  <c r="E5" i="80"/>
  <c r="E40" i="80" s="1"/>
  <c r="H54" i="80" l="1"/>
  <c r="I62" i="80"/>
  <c r="R64" i="80"/>
  <c r="I45" i="80"/>
  <c r="I64" i="80"/>
  <c r="H64" i="80"/>
  <c r="R67" i="80"/>
  <c r="R59" i="80"/>
  <c r="R58" i="80"/>
  <c r="R51" i="80"/>
  <c r="R50" i="80"/>
  <c r="I60" i="80"/>
  <c r="I52" i="80"/>
  <c r="I44" i="80"/>
  <c r="R62" i="80"/>
  <c r="H56" i="80"/>
  <c r="H50" i="80"/>
  <c r="I46" i="80"/>
  <c r="R65" i="80"/>
  <c r="R66" i="80"/>
  <c r="R49" i="80"/>
  <c r="I61" i="80"/>
  <c r="I57" i="80"/>
  <c r="I53" i="80"/>
  <c r="H66" i="80"/>
  <c r="R60" i="80"/>
  <c r="R61" i="80"/>
  <c r="H57" i="80"/>
  <c r="I55" i="80"/>
  <c r="R54" i="80"/>
  <c r="I54" i="80"/>
  <c r="R53" i="80"/>
  <c r="R52" i="80"/>
  <c r="R46" i="80"/>
  <c r="I47" i="80"/>
  <c r="R45" i="80"/>
  <c r="I50" i="80"/>
  <c r="I58" i="80"/>
  <c r="I66" i="80"/>
  <c r="R47" i="80"/>
  <c r="R55" i="80"/>
  <c r="R63" i="80"/>
  <c r="I63" i="80"/>
  <c r="I56" i="80"/>
  <c r="I49" i="80"/>
  <c r="F63" i="80"/>
  <c r="I51" i="80"/>
  <c r="I59" i="80"/>
  <c r="I67" i="80"/>
  <c r="R48" i="80"/>
  <c r="R56" i="80"/>
  <c r="I48" i="80"/>
  <c r="H58" i="80"/>
  <c r="C60" i="80"/>
  <c r="I65" i="80"/>
  <c r="H61" i="80"/>
  <c r="R57" i="80"/>
  <c r="H48" i="80"/>
  <c r="H47" i="80"/>
  <c r="H59" i="80"/>
  <c r="H51" i="80"/>
  <c r="H67" i="80"/>
  <c r="H65" i="80"/>
  <c r="H46" i="80"/>
  <c r="H49" i="80"/>
  <c r="H55" i="80"/>
  <c r="H62" i="80"/>
  <c r="H53" i="80"/>
  <c r="H44" i="80"/>
  <c r="H52" i="80"/>
  <c r="H60" i="80"/>
  <c r="H45" i="80"/>
  <c r="H63" i="80"/>
  <c r="H5" i="80"/>
  <c r="H40" i="80" s="1"/>
  <c r="I39" i="80"/>
  <c r="A36" i="80" s="1"/>
  <c r="A51" i="80"/>
  <c r="A59" i="80"/>
  <c r="A67" i="80"/>
  <c r="I4" i="80"/>
  <c r="A1" i="80" s="1"/>
  <c r="L40" i="80"/>
  <c r="O40" i="80" s="1"/>
  <c r="R40" i="80" s="1"/>
  <c r="A36" i="79"/>
  <c r="A109" i="78"/>
  <c r="Z129" i="78"/>
  <c r="Z117" i="78"/>
  <c r="X117" i="78"/>
  <c r="M129" i="78"/>
  <c r="O123" i="78"/>
  <c r="M118" i="78"/>
  <c r="D93" i="78"/>
  <c r="E82" i="78"/>
  <c r="B123" i="78"/>
  <c r="B121" i="78"/>
  <c r="D118" i="78"/>
  <c r="Z93" i="78"/>
  <c r="Y42" i="78"/>
  <c r="A104" i="78"/>
  <c r="L104" i="78" s="1"/>
  <c r="AH104" i="78" s="1"/>
  <c r="BD104" i="78" s="1"/>
  <c r="BZ104" i="78" s="1"/>
  <c r="A139" i="78"/>
  <c r="L139" i="78" s="1"/>
  <c r="AH139" i="78" s="1"/>
  <c r="BD139" i="78" s="1"/>
  <c r="BZ139" i="78" s="1"/>
  <c r="A101" i="78"/>
  <c r="W101" i="78" s="1"/>
  <c r="AS101" i="78" s="1"/>
  <c r="BO101" i="78" s="1"/>
  <c r="CK101" i="78" s="1"/>
  <c r="A62" i="78"/>
  <c r="L62" i="78" s="1"/>
  <c r="AH62" i="78" s="1"/>
  <c r="BD62" i="78" s="1"/>
  <c r="BZ62" i="78" s="1"/>
  <c r="A96" i="78"/>
  <c r="L96" i="78" s="1"/>
  <c r="AH96" i="78" s="1"/>
  <c r="BD96" i="78" s="1"/>
  <c r="BZ96" i="78" s="1"/>
  <c r="A93" i="78"/>
  <c r="W93" i="78" s="1"/>
  <c r="AS93" i="78" s="1"/>
  <c r="BO93" i="78" s="1"/>
  <c r="CK93" i="78" s="1"/>
  <c r="A54" i="78"/>
  <c r="L54" i="78" s="1"/>
  <c r="AH54" i="78" s="1"/>
  <c r="BD54" i="78" s="1"/>
  <c r="BZ54" i="78" s="1"/>
  <c r="A88" i="78"/>
  <c r="L88" i="78" s="1"/>
  <c r="AH88" i="78" s="1"/>
  <c r="BD88" i="78" s="1"/>
  <c r="BZ88" i="78" s="1"/>
  <c r="A123" i="78"/>
  <c r="L123" i="78" s="1"/>
  <c r="AH123" i="78" s="1"/>
  <c r="BD123" i="78" s="1"/>
  <c r="BZ123" i="78" s="1"/>
  <c r="A85" i="78"/>
  <c r="W85" i="78" s="1"/>
  <c r="AS85" i="78" s="1"/>
  <c r="BO85" i="78" s="1"/>
  <c r="CK85" i="78" s="1"/>
  <c r="A46" i="78"/>
  <c r="L46" i="78" s="1"/>
  <c r="AH46" i="78" s="1"/>
  <c r="BD46" i="78" s="1"/>
  <c r="BZ46" i="78" s="1"/>
  <c r="A81" i="78"/>
  <c r="L81" i="78" s="1"/>
  <c r="AH81" i="78" s="1"/>
  <c r="BD81" i="78" s="1"/>
  <c r="BZ81" i="78" s="1"/>
  <c r="A116" i="78"/>
  <c r="L116" i="78" s="1"/>
  <c r="AH116" i="78" s="1"/>
  <c r="BD116" i="78" s="1"/>
  <c r="BZ116" i="78" s="1"/>
  <c r="W142" i="78"/>
  <c r="L142" i="78"/>
  <c r="A142" i="78"/>
  <c r="Z130" i="78"/>
  <c r="AA128" i="78"/>
  <c r="M123" i="78"/>
  <c r="O121" i="78"/>
  <c r="AA116" i="78"/>
  <c r="X116" i="78"/>
  <c r="Z114" i="78"/>
  <c r="E114" i="78"/>
  <c r="W106" i="78"/>
  <c r="L106" i="78"/>
  <c r="A106" i="78"/>
  <c r="Z94" i="78"/>
  <c r="O85" i="78"/>
  <c r="Z82" i="78"/>
  <c r="E78" i="78"/>
  <c r="W70" i="78"/>
  <c r="L70" i="78"/>
  <c r="A70" i="78"/>
  <c r="AA42" i="78"/>
  <c r="Z42" i="78"/>
  <c r="U42" i="78"/>
  <c r="U78" i="78" s="1"/>
  <c r="T42" i="78"/>
  <c r="T78" i="78" s="1"/>
  <c r="S42" i="78"/>
  <c r="S78" i="78" s="1"/>
  <c r="P42" i="78"/>
  <c r="O42" i="78"/>
  <c r="J42" i="78"/>
  <c r="J78" i="78" s="1"/>
  <c r="I42" i="78"/>
  <c r="I78" i="78" s="1"/>
  <c r="H42" i="78"/>
  <c r="H78" i="78" s="1"/>
  <c r="F42" i="78"/>
  <c r="E42" i="78"/>
  <c r="D42" i="78"/>
  <c r="U41" i="78"/>
  <c r="U77" i="78" s="1"/>
  <c r="T41" i="78"/>
  <c r="T77" i="78" s="1"/>
  <c r="S41" i="78"/>
  <c r="S77" i="78" s="1"/>
  <c r="J41" i="78"/>
  <c r="J77" i="78" s="1"/>
  <c r="I41" i="78"/>
  <c r="I77" i="78" s="1"/>
  <c r="H41" i="78"/>
  <c r="H77" i="78" s="1"/>
  <c r="H76" i="78"/>
  <c r="Z78" i="78" l="1"/>
  <c r="X85" i="78"/>
  <c r="AB42" i="78"/>
  <c r="AA94" i="78"/>
  <c r="AA114" i="78"/>
  <c r="P80" i="78"/>
  <c r="Q42" i="78"/>
  <c r="W73" i="78"/>
  <c r="AA92" i="78"/>
  <c r="AA78" i="78"/>
  <c r="AA93" i="78"/>
  <c r="P114" i="78"/>
  <c r="X42" i="78"/>
  <c r="M42" i="78"/>
  <c r="M114" i="78"/>
  <c r="X80" i="78"/>
  <c r="X114" i="78"/>
  <c r="X78" i="78"/>
  <c r="AA84" i="78"/>
  <c r="A125" i="78"/>
  <c r="L125" i="78" s="1"/>
  <c r="AH125" i="78" s="1"/>
  <c r="BD125" i="78" s="1"/>
  <c r="BZ125" i="78" s="1"/>
  <c r="A133" i="78"/>
  <c r="L133" i="78" s="1"/>
  <c r="AH133" i="78" s="1"/>
  <c r="BD133" i="78" s="1"/>
  <c r="BZ133" i="78" s="1"/>
  <c r="W116" i="78"/>
  <c r="AS116" i="78" s="1"/>
  <c r="BO116" i="78" s="1"/>
  <c r="CK116" i="78" s="1"/>
  <c r="A124" i="78"/>
  <c r="W124" i="78" s="1"/>
  <c r="AS124" i="78" s="1"/>
  <c r="BO124" i="78" s="1"/>
  <c r="CK124" i="78" s="1"/>
  <c r="A132" i="78"/>
  <c r="W132" i="78" s="1"/>
  <c r="AS132" i="78" s="1"/>
  <c r="BO132" i="78" s="1"/>
  <c r="CK132" i="78" s="1"/>
  <c r="W81" i="78"/>
  <c r="AS81" i="78" s="1"/>
  <c r="BO81" i="78" s="1"/>
  <c r="CK81" i="78" s="1"/>
  <c r="L85" i="78"/>
  <c r="AH85" i="78" s="1"/>
  <c r="BD85" i="78" s="1"/>
  <c r="BZ85" i="78" s="1"/>
  <c r="W96" i="78"/>
  <c r="AS96" i="78" s="1"/>
  <c r="BO96" i="78" s="1"/>
  <c r="CK96" i="78" s="1"/>
  <c r="A117" i="78"/>
  <c r="L117" i="78" s="1"/>
  <c r="AH117" i="78" s="1"/>
  <c r="BD117" i="78" s="1"/>
  <c r="BZ117" i="78" s="1"/>
  <c r="W104" i="78"/>
  <c r="AS104" i="78" s="1"/>
  <c r="BO104" i="78" s="1"/>
  <c r="CK104" i="78" s="1"/>
  <c r="A83" i="78"/>
  <c r="L83" i="78" s="1"/>
  <c r="AH83" i="78" s="1"/>
  <c r="BD83" i="78" s="1"/>
  <c r="BZ83" i="78" s="1"/>
  <c r="L93" i="78"/>
  <c r="AH93" i="78" s="1"/>
  <c r="BD93" i="78" s="1"/>
  <c r="BZ93" i="78" s="1"/>
  <c r="A90" i="78"/>
  <c r="L90" i="78" s="1"/>
  <c r="AH90" i="78" s="1"/>
  <c r="BD90" i="78" s="1"/>
  <c r="BZ90" i="78" s="1"/>
  <c r="A127" i="78"/>
  <c r="L101" i="78"/>
  <c r="AH101" i="78" s="1"/>
  <c r="BD101" i="78" s="1"/>
  <c r="BZ101" i="78" s="1"/>
  <c r="W88" i="78"/>
  <c r="AS88" i="78" s="1"/>
  <c r="BO88" i="78" s="1"/>
  <c r="CK88" i="78" s="1"/>
  <c r="A135" i="78"/>
  <c r="A82" i="78"/>
  <c r="L82" i="78" s="1"/>
  <c r="AH82" i="78" s="1"/>
  <c r="BD82" i="78" s="1"/>
  <c r="BZ82" i="78" s="1"/>
  <c r="W46" i="78"/>
  <c r="AS46" i="78" s="1"/>
  <c r="BO46" i="78" s="1"/>
  <c r="CK46" i="78" s="1"/>
  <c r="W54" i="78"/>
  <c r="AS54" i="78" s="1"/>
  <c r="BO54" i="78" s="1"/>
  <c r="CK54" i="78" s="1"/>
  <c r="A119" i="78"/>
  <c r="W62" i="78"/>
  <c r="AS62" i="78" s="1"/>
  <c r="BO62" i="78" s="1"/>
  <c r="CK62" i="78" s="1"/>
  <c r="A55" i="78"/>
  <c r="A140" i="78"/>
  <c r="L140" i="78" s="1"/>
  <c r="AH140" i="78" s="1"/>
  <c r="BD140" i="78" s="1"/>
  <c r="BZ140" i="78" s="1"/>
  <c r="A102" i="78"/>
  <c r="A138" i="78"/>
  <c r="A51" i="78"/>
  <c r="A59" i="78"/>
  <c r="A67" i="78"/>
  <c r="W139" i="78"/>
  <c r="AS139" i="78" s="1"/>
  <c r="BO139" i="78" s="1"/>
  <c r="CK139" i="78" s="1"/>
  <c r="A122" i="78"/>
  <c r="A94" i="78"/>
  <c r="A130" i="78"/>
  <c r="A131" i="78"/>
  <c r="W123" i="78"/>
  <c r="AS123" i="78" s="1"/>
  <c r="BO123" i="78" s="1"/>
  <c r="CK123" i="78" s="1"/>
  <c r="A47" i="78"/>
  <c r="A91" i="78"/>
  <c r="A118" i="78"/>
  <c r="A126" i="78"/>
  <c r="A134" i="78"/>
  <c r="A63" i="78"/>
  <c r="A99" i="78"/>
  <c r="A120" i="78"/>
  <c r="A128" i="78"/>
  <c r="A136" i="78"/>
  <c r="A98" i="78"/>
  <c r="A121" i="78"/>
  <c r="A129" i="78"/>
  <c r="A137" i="78"/>
  <c r="F45" i="80"/>
  <c r="F56" i="80"/>
  <c r="F60" i="80"/>
  <c r="F44" i="80"/>
  <c r="F46" i="80"/>
  <c r="F48" i="80"/>
  <c r="K60" i="80"/>
  <c r="K47" i="80"/>
  <c r="L47" i="80" s="1"/>
  <c r="K52" i="80"/>
  <c r="C58" i="80"/>
  <c r="K58" i="80"/>
  <c r="K67" i="80"/>
  <c r="K65" i="80"/>
  <c r="C44" i="80"/>
  <c r="K61" i="80"/>
  <c r="K64" i="80"/>
  <c r="C66" i="80"/>
  <c r="K55" i="80"/>
  <c r="L55" i="80" s="1"/>
  <c r="K57" i="80"/>
  <c r="N57" i="80" s="1"/>
  <c r="O57" i="80" s="1"/>
  <c r="K48" i="80"/>
  <c r="C48" i="80"/>
  <c r="K53" i="80"/>
  <c r="K54" i="80"/>
  <c r="N54" i="80" s="1"/>
  <c r="O54" i="80" s="1"/>
  <c r="K62" i="80"/>
  <c r="L62" i="80" s="1"/>
  <c r="K66" i="80"/>
  <c r="C61" i="80"/>
  <c r="K49" i="80"/>
  <c r="H69" i="80"/>
  <c r="K50" i="80"/>
  <c r="C54" i="80"/>
  <c r="C53" i="80"/>
  <c r="C62" i="80"/>
  <c r="C51" i="80"/>
  <c r="K44" i="80"/>
  <c r="K46" i="80"/>
  <c r="K56" i="80"/>
  <c r="K59" i="80"/>
  <c r="N59" i="80" s="1"/>
  <c r="O59" i="80" s="1"/>
  <c r="C67" i="80"/>
  <c r="X13" i="79"/>
  <c r="AA123" i="78"/>
  <c r="AA121" i="78"/>
  <c r="AA118" i="78"/>
  <c r="Z81" i="78"/>
  <c r="Z123" i="78"/>
  <c r="X122" i="78"/>
  <c r="X92" i="78"/>
  <c r="O93" i="78"/>
  <c r="P116" i="78"/>
  <c r="O116" i="78"/>
  <c r="M128" i="78"/>
  <c r="E128" i="78"/>
  <c r="E121" i="78"/>
  <c r="E118" i="78"/>
  <c r="E117" i="78"/>
  <c r="E129" i="78"/>
  <c r="D121" i="78"/>
  <c r="B130" i="78"/>
  <c r="B117" i="78"/>
  <c r="B128" i="78"/>
  <c r="D78" i="78"/>
  <c r="B42" i="78"/>
  <c r="B81" i="78"/>
  <c r="P94" i="78"/>
  <c r="P78" i="78"/>
  <c r="O78" i="78"/>
  <c r="O80" i="78"/>
  <c r="O114" i="78"/>
  <c r="P86" i="78"/>
  <c r="L37" i="78"/>
  <c r="M82" i="78"/>
  <c r="X22" i="79"/>
  <c r="AA129" i="78"/>
  <c r="AA82" i="78"/>
  <c r="AA117" i="78"/>
  <c r="AA81" i="78"/>
  <c r="Z118" i="78"/>
  <c r="Z86" i="78"/>
  <c r="Z122" i="78"/>
  <c r="X128" i="78"/>
  <c r="X87" i="78"/>
  <c r="X123" i="78"/>
  <c r="X81" i="78"/>
  <c r="P89" i="78"/>
  <c r="P128" i="78"/>
  <c r="O129" i="78"/>
  <c r="O128" i="78"/>
  <c r="M121" i="78"/>
  <c r="E130" i="78"/>
  <c r="E123" i="78"/>
  <c r="E122" i="78"/>
  <c r="E116" i="78"/>
  <c r="D130" i="78"/>
  <c r="E92" i="78"/>
  <c r="D122" i="78"/>
  <c r="D117" i="78"/>
  <c r="E81" i="78"/>
  <c r="D129" i="78"/>
  <c r="D128" i="78"/>
  <c r="D123" i="78"/>
  <c r="B129" i="78"/>
  <c r="B122" i="78"/>
  <c r="B85" i="78"/>
  <c r="B118" i="78"/>
  <c r="E87" i="78"/>
  <c r="D85" i="78"/>
  <c r="E93" i="78"/>
  <c r="E85" i="78"/>
  <c r="E86" i="78"/>
  <c r="E94" i="78"/>
  <c r="D87" i="78"/>
  <c r="D81" i="78"/>
  <c r="D94" i="78"/>
  <c r="D92" i="78"/>
  <c r="D82" i="78"/>
  <c r="D86" i="78"/>
  <c r="B114" i="78"/>
  <c r="B93" i="78"/>
  <c r="C42" i="78"/>
  <c r="B86" i="78"/>
  <c r="B92" i="78"/>
  <c r="B94" i="78"/>
  <c r="B87" i="78"/>
  <c r="B82" i="78"/>
  <c r="K45" i="80"/>
  <c r="K63" i="80"/>
  <c r="N63" i="80" s="1"/>
  <c r="O63" i="80" s="1"/>
  <c r="C59" i="80"/>
  <c r="F47" i="80"/>
  <c r="C65" i="80"/>
  <c r="C45" i="80"/>
  <c r="C52" i="80"/>
  <c r="F50" i="80"/>
  <c r="C69" i="80"/>
  <c r="I69" i="80"/>
  <c r="C64" i="80"/>
  <c r="C49" i="80"/>
  <c r="C57" i="80"/>
  <c r="C63" i="80"/>
  <c r="C46" i="80"/>
  <c r="K51" i="80"/>
  <c r="F65" i="80"/>
  <c r="F64" i="80"/>
  <c r="F62" i="80"/>
  <c r="F58" i="80"/>
  <c r="F67" i="80"/>
  <c r="F61" i="80"/>
  <c r="F53" i="80"/>
  <c r="F52" i="80"/>
  <c r="F69" i="80"/>
  <c r="F57" i="80"/>
  <c r="F59" i="80"/>
  <c r="F54" i="80"/>
  <c r="F66" i="80"/>
  <c r="F51" i="80"/>
  <c r="C55" i="80"/>
  <c r="F49" i="80"/>
  <c r="C50" i="80"/>
  <c r="F55" i="80"/>
  <c r="C56" i="80"/>
  <c r="C47" i="80"/>
  <c r="K5" i="80"/>
  <c r="N5" i="80" s="1"/>
  <c r="Q5" i="80" s="1"/>
  <c r="Q40" i="80" s="1"/>
  <c r="D91" i="78"/>
  <c r="M138" i="78"/>
  <c r="M131" i="78"/>
  <c r="P132" i="78"/>
  <c r="AA133" i="78"/>
  <c r="O124" i="78"/>
  <c r="M139" i="78"/>
  <c r="P127" i="78"/>
  <c r="O100" i="78"/>
  <c r="P83" i="78"/>
  <c r="O140" i="78"/>
  <c r="K40" i="80"/>
  <c r="N40" i="80" s="1"/>
  <c r="X124" i="78"/>
  <c r="X100" i="78"/>
  <c r="B100" i="78"/>
  <c r="X88" i="78"/>
  <c r="AA89" i="78"/>
  <c r="X136" i="78"/>
  <c r="O134" i="78"/>
  <c r="AA127" i="78"/>
  <c r="Z136" i="78"/>
  <c r="D126" i="78"/>
  <c r="O137" i="78"/>
  <c r="X139" i="78"/>
  <c r="D104" i="78"/>
  <c r="P119" i="78"/>
  <c r="O104" i="78"/>
  <c r="X133" i="78"/>
  <c r="AA137" i="78"/>
  <c r="X99" i="78"/>
  <c r="P120" i="78"/>
  <c r="O101" i="78"/>
  <c r="B120" i="78"/>
  <c r="B124" i="78"/>
  <c r="B132" i="78"/>
  <c r="B136" i="78"/>
  <c r="E127" i="78"/>
  <c r="E131" i="78"/>
  <c r="E139" i="78"/>
  <c r="M136" i="78"/>
  <c r="B89" i="78"/>
  <c r="F54" i="78"/>
  <c r="X125" i="78"/>
  <c r="D88" i="78"/>
  <c r="B90" i="78"/>
  <c r="B98" i="78"/>
  <c r="E89" i="78"/>
  <c r="E101" i="78"/>
  <c r="M137" i="78"/>
  <c r="O84" i="78"/>
  <c r="P135" i="78"/>
  <c r="AA97" i="78"/>
  <c r="X104" i="78"/>
  <c r="Z95" i="78"/>
  <c r="B95" i="78"/>
  <c r="B135" i="78"/>
  <c r="E138" i="78"/>
  <c r="B84" i="78"/>
  <c r="B88" i="78"/>
  <c r="B96" i="78"/>
  <c r="E91" i="78"/>
  <c r="E99" i="78"/>
  <c r="E103" i="78"/>
  <c r="X28" i="79"/>
  <c r="D89" i="78"/>
  <c r="E137" i="78"/>
  <c r="P104" i="78"/>
  <c r="P140" i="78"/>
  <c r="D125" i="78"/>
  <c r="E125" i="78"/>
  <c r="X96" i="78"/>
  <c r="X132" i="78"/>
  <c r="Z100" i="78"/>
  <c r="X103" i="78"/>
  <c r="AA140" i="78"/>
  <c r="O88" i="78"/>
  <c r="O127" i="78"/>
  <c r="P91" i="78"/>
  <c r="Z101" i="78"/>
  <c r="B126" i="78"/>
  <c r="B134" i="78"/>
  <c r="B102" i="78"/>
  <c r="X84" i="78"/>
  <c r="AA124" i="78"/>
  <c r="X135" i="78"/>
  <c r="AA136" i="78"/>
  <c r="B83" i="78"/>
  <c r="B99" i="78"/>
  <c r="E90" i="78"/>
  <c r="D138" i="78"/>
  <c r="O135" i="78"/>
  <c r="M102" i="78"/>
  <c r="M119" i="78"/>
  <c r="O131" i="78"/>
  <c r="M134" i="78"/>
  <c r="D133" i="78"/>
  <c r="E119" i="78"/>
  <c r="B138" i="78"/>
  <c r="Z97" i="78"/>
  <c r="AA139" i="78"/>
  <c r="B101" i="78"/>
  <c r="E88" i="78"/>
  <c r="X18" i="79"/>
  <c r="O28" i="79"/>
  <c r="D83" i="78"/>
  <c r="D136" i="78"/>
  <c r="E100" i="78"/>
  <c r="D98" i="78"/>
  <c r="P99" i="78"/>
  <c r="X83" i="78"/>
  <c r="X119" i="78"/>
  <c r="D84" i="78"/>
  <c r="D99" i="78"/>
  <c r="B125" i="78"/>
  <c r="B133" i="78"/>
  <c r="E120" i="78"/>
  <c r="E124" i="78"/>
  <c r="E136" i="78"/>
  <c r="E140" i="78"/>
  <c r="D102" i="78"/>
  <c r="D124" i="78"/>
  <c r="O83" i="78"/>
  <c r="D120" i="78"/>
  <c r="D132" i="78"/>
  <c r="E96" i="78"/>
  <c r="E104" i="78"/>
  <c r="D140" i="78"/>
  <c r="E102" i="78"/>
  <c r="D96" i="78"/>
  <c r="D90" i="78"/>
  <c r="D103" i="78"/>
  <c r="M126" i="78"/>
  <c r="M90" i="78"/>
  <c r="Z137" i="78"/>
  <c r="AA101" i="78"/>
  <c r="E132" i="78"/>
  <c r="B137" i="78"/>
  <c r="B103" i="78"/>
  <c r="E98" i="78"/>
  <c r="D134" i="78"/>
  <c r="M98" i="78"/>
  <c r="Z102" i="78"/>
  <c r="B127" i="78"/>
  <c r="B131" i="78"/>
  <c r="B139" i="78"/>
  <c r="E126" i="78"/>
  <c r="E134" i="78"/>
  <c r="E84" i="78"/>
  <c r="B91" i="78"/>
  <c r="B97" i="78"/>
  <c r="D100" i="78"/>
  <c r="B119" i="78"/>
  <c r="M120" i="78"/>
  <c r="P124" i="78"/>
  <c r="O132" i="78"/>
  <c r="M29" i="79"/>
  <c r="D139" i="78"/>
  <c r="D119" i="78"/>
  <c r="D127" i="78"/>
  <c r="D131" i="78"/>
  <c r="D95" i="78"/>
  <c r="D97" i="78"/>
  <c r="B104" i="78"/>
  <c r="D135" i="78"/>
  <c r="O139" i="78"/>
  <c r="P100" i="78"/>
  <c r="Z133" i="78"/>
  <c r="D59" i="78"/>
  <c r="D137" i="78"/>
  <c r="C65" i="78"/>
  <c r="B140" i="78"/>
  <c r="E135" i="78"/>
  <c r="E83" i="78"/>
  <c r="E95" i="78"/>
  <c r="E97" i="78"/>
  <c r="E133" i="78"/>
  <c r="AA120" i="78"/>
  <c r="AA126" i="78"/>
  <c r="Z89" i="78"/>
  <c r="X91" i="78"/>
  <c r="Z138" i="78"/>
  <c r="X140" i="78"/>
  <c r="N49" i="78"/>
  <c r="AA131" i="78"/>
  <c r="AA134" i="78"/>
  <c r="M133" i="78"/>
  <c r="P97" i="78"/>
  <c r="P102" i="78"/>
  <c r="AA90" i="78"/>
  <c r="X131" i="78"/>
  <c r="AA103" i="78"/>
  <c r="D101" i="78"/>
  <c r="Z126" i="78"/>
  <c r="Z90" i="78"/>
  <c r="X89" i="78"/>
  <c r="Z125" i="78"/>
  <c r="X127" i="78"/>
  <c r="Z120" i="78"/>
  <c r="X120" i="78"/>
  <c r="AA125" i="78"/>
  <c r="Z134" i="78"/>
  <c r="AA100" i="78"/>
  <c r="Z80" i="78"/>
  <c r="Z56" i="78"/>
  <c r="X118" i="78"/>
  <c r="X82" i="78"/>
  <c r="AA83" i="78"/>
  <c r="Z83" i="78"/>
  <c r="Z119" i="78"/>
  <c r="X121" i="78"/>
  <c r="AA86" i="78"/>
  <c r="AA122" i="78"/>
  <c r="Z88" i="78"/>
  <c r="X90" i="78"/>
  <c r="Z127" i="78"/>
  <c r="AA91" i="78"/>
  <c r="Z91" i="78"/>
  <c r="X93" i="78"/>
  <c r="X129" i="78"/>
  <c r="AA130" i="78"/>
  <c r="Z96" i="78"/>
  <c r="X98" i="78"/>
  <c r="Z135" i="78"/>
  <c r="AA99" i="78"/>
  <c r="Z99" i="78"/>
  <c r="X137" i="78"/>
  <c r="X101" i="78"/>
  <c r="AA138" i="78"/>
  <c r="AA102" i="78"/>
  <c r="Z104" i="78"/>
  <c r="Z116" i="78"/>
  <c r="Z124" i="78"/>
  <c r="X126" i="78"/>
  <c r="Z132" i="78"/>
  <c r="Z85" i="78"/>
  <c r="X95" i="78"/>
  <c r="AA119" i="78"/>
  <c r="Z84" i="78"/>
  <c r="AA85" i="78"/>
  <c r="Z92" i="78"/>
  <c r="AA96" i="78"/>
  <c r="X102" i="78"/>
  <c r="Z103" i="78"/>
  <c r="X138" i="78"/>
  <c r="Z139" i="78"/>
  <c r="Z140" i="78"/>
  <c r="AA104" i="78"/>
  <c r="Z121" i="78"/>
  <c r="X134" i="78"/>
  <c r="AA80" i="78"/>
  <c r="X94" i="78"/>
  <c r="AA95" i="78"/>
  <c r="X97" i="78"/>
  <c r="Z128" i="78"/>
  <c r="Z131" i="78"/>
  <c r="AA132" i="78"/>
  <c r="AA135" i="78"/>
  <c r="X86" i="78"/>
  <c r="Z87" i="78"/>
  <c r="AA88" i="78"/>
  <c r="Z98" i="78"/>
  <c r="X130" i="78"/>
  <c r="AA87" i="78"/>
  <c r="AA98" i="78"/>
  <c r="O99" i="78"/>
  <c r="O119" i="78"/>
  <c r="O96" i="78"/>
  <c r="P88" i="78"/>
  <c r="P96" i="78"/>
  <c r="P136" i="78"/>
  <c r="Q61" i="78"/>
  <c r="M132" i="78"/>
  <c r="O117" i="78"/>
  <c r="M99" i="78"/>
  <c r="O89" i="78"/>
  <c r="O102" i="78"/>
  <c r="P84" i="78"/>
  <c r="P82" i="78"/>
  <c r="M86" i="78"/>
  <c r="P90" i="78"/>
  <c r="M68" i="78"/>
  <c r="M80" i="78"/>
  <c r="M127" i="78"/>
  <c r="O86" i="78"/>
  <c r="M116" i="78"/>
  <c r="O81" i="78"/>
  <c r="M122" i="78"/>
  <c r="P123" i="78"/>
  <c r="P92" i="78"/>
  <c r="P131" i="78"/>
  <c r="O97" i="78"/>
  <c r="P139" i="78"/>
  <c r="O122" i="78"/>
  <c r="O130" i="78"/>
  <c r="O138" i="78"/>
  <c r="O91" i="78"/>
  <c r="P122" i="78"/>
  <c r="P130" i="78"/>
  <c r="P138" i="78"/>
  <c r="D114" i="78"/>
  <c r="S76" i="78"/>
  <c r="H40" i="78"/>
  <c r="B78" i="78"/>
  <c r="S40" i="78"/>
  <c r="D80" i="78"/>
  <c r="E80" i="78"/>
  <c r="D116" i="78"/>
  <c r="M81" i="78"/>
  <c r="O87" i="78"/>
  <c r="P93" i="78"/>
  <c r="M97" i="78"/>
  <c r="O103" i="78"/>
  <c r="M135" i="78"/>
  <c r="O82" i="78"/>
  <c r="P87" i="78"/>
  <c r="O92" i="78"/>
  <c r="M96" i="78"/>
  <c r="O98" i="78"/>
  <c r="P103" i="78"/>
  <c r="O120" i="78"/>
  <c r="P121" i="78"/>
  <c r="P129" i="78"/>
  <c r="O136" i="78"/>
  <c r="P137" i="78"/>
  <c r="M117" i="78"/>
  <c r="P81" i="78"/>
  <c r="O118" i="78"/>
  <c r="P85" i="78"/>
  <c r="M89" i="78"/>
  <c r="M94" i="78"/>
  <c r="O95" i="78"/>
  <c r="P101" i="78"/>
  <c r="P118" i="78"/>
  <c r="O125" i="78"/>
  <c r="P126" i="78"/>
  <c r="O133" i="78"/>
  <c r="P134" i="78"/>
  <c r="M125" i="78"/>
  <c r="O126" i="78"/>
  <c r="M140" i="78"/>
  <c r="M88" i="78"/>
  <c r="O90" i="78"/>
  <c r="P95" i="78"/>
  <c r="M104" i="78"/>
  <c r="P117" i="78"/>
  <c r="P125" i="78"/>
  <c r="M130" i="78"/>
  <c r="P133" i="78"/>
  <c r="P98" i="78"/>
  <c r="M124" i="78"/>
  <c r="O94" i="78"/>
  <c r="M78" i="78"/>
  <c r="M87" i="78"/>
  <c r="M95" i="78"/>
  <c r="M103" i="78"/>
  <c r="N42" i="78"/>
  <c r="M85" i="78"/>
  <c r="M93" i="78"/>
  <c r="M101" i="78"/>
  <c r="M84" i="78"/>
  <c r="M92" i="78"/>
  <c r="M100" i="78"/>
  <c r="M83" i="78"/>
  <c r="M91" i="78"/>
  <c r="A48" i="78"/>
  <c r="A64" i="78"/>
  <c r="A49" i="78"/>
  <c r="A57" i="78"/>
  <c r="A65" i="78"/>
  <c r="A84" i="78"/>
  <c r="A92" i="78"/>
  <c r="A100" i="78"/>
  <c r="A44" i="78"/>
  <c r="A52" i="78"/>
  <c r="A60" i="78"/>
  <c r="A68" i="78"/>
  <c r="A87" i="78"/>
  <c r="A95" i="78"/>
  <c r="A103" i="78"/>
  <c r="A45" i="78"/>
  <c r="A53" i="78"/>
  <c r="A61" i="78"/>
  <c r="A80" i="78"/>
  <c r="A56" i="78"/>
  <c r="A50" i="78"/>
  <c r="A58" i="78"/>
  <c r="A66" i="78"/>
  <c r="A86" i="78"/>
  <c r="A89" i="78"/>
  <c r="A97" i="78"/>
  <c r="A73" i="78"/>
  <c r="A37" i="78"/>
  <c r="L124" i="78" l="1"/>
  <c r="AH124" i="78" s="1"/>
  <c r="BD124" i="78" s="1"/>
  <c r="BZ124" i="78" s="1"/>
  <c r="W83" i="78"/>
  <c r="AS83" i="78" s="1"/>
  <c r="BO83" i="78" s="1"/>
  <c r="CK83" i="78" s="1"/>
  <c r="W109" i="78"/>
  <c r="W37" i="78"/>
  <c r="W133" i="78"/>
  <c r="AS133" i="78" s="1"/>
  <c r="BO133" i="78" s="1"/>
  <c r="CK133" i="78" s="1"/>
  <c r="W125" i="78"/>
  <c r="AS125" i="78" s="1"/>
  <c r="BO125" i="78" s="1"/>
  <c r="CK125" i="78" s="1"/>
  <c r="W117" i="78"/>
  <c r="AS117" i="78" s="1"/>
  <c r="BO117" i="78" s="1"/>
  <c r="CK117" i="78" s="1"/>
  <c r="W82" i="78"/>
  <c r="AS82" i="78" s="1"/>
  <c r="BO82" i="78" s="1"/>
  <c r="CK82" i="78" s="1"/>
  <c r="L132" i="78"/>
  <c r="AH132" i="78" s="1"/>
  <c r="BD132" i="78" s="1"/>
  <c r="BZ132" i="78" s="1"/>
  <c r="W140" i="78"/>
  <c r="AS140" i="78" s="1"/>
  <c r="BO140" i="78" s="1"/>
  <c r="CK140" i="78" s="1"/>
  <c r="W135" i="78"/>
  <c r="AS135" i="78" s="1"/>
  <c r="BO135" i="78" s="1"/>
  <c r="CK135" i="78" s="1"/>
  <c r="L135" i="78"/>
  <c r="AH135" i="78" s="1"/>
  <c r="BD135" i="78" s="1"/>
  <c r="BZ135" i="78" s="1"/>
  <c r="W119" i="78"/>
  <c r="AS119" i="78" s="1"/>
  <c r="BO119" i="78" s="1"/>
  <c r="CK119" i="78" s="1"/>
  <c r="L119" i="78"/>
  <c r="AH119" i="78" s="1"/>
  <c r="BD119" i="78" s="1"/>
  <c r="BZ119" i="78" s="1"/>
  <c r="W90" i="78"/>
  <c r="AS90" i="78" s="1"/>
  <c r="BO90" i="78" s="1"/>
  <c r="CK90" i="78" s="1"/>
  <c r="W127" i="78"/>
  <c r="AS127" i="78" s="1"/>
  <c r="BO127" i="78" s="1"/>
  <c r="CK127" i="78" s="1"/>
  <c r="L127" i="78"/>
  <c r="AH127" i="78" s="1"/>
  <c r="BD127" i="78" s="1"/>
  <c r="BZ127" i="78" s="1"/>
  <c r="L55" i="78"/>
  <c r="AH55" i="78" s="1"/>
  <c r="BD55" i="78" s="1"/>
  <c r="BZ55" i="78" s="1"/>
  <c r="W55" i="78"/>
  <c r="AS55" i="78" s="1"/>
  <c r="BO55" i="78" s="1"/>
  <c r="CK55" i="78" s="1"/>
  <c r="L80" i="78"/>
  <c r="AH80" i="78" s="1"/>
  <c r="BD80" i="78" s="1"/>
  <c r="BZ80" i="78" s="1"/>
  <c r="W80" i="78"/>
  <c r="AS80" i="78" s="1"/>
  <c r="BO80" i="78" s="1"/>
  <c r="CK80" i="78" s="1"/>
  <c r="W49" i="78"/>
  <c r="AS49" i="78" s="1"/>
  <c r="BO49" i="78" s="1"/>
  <c r="CK49" i="78" s="1"/>
  <c r="L49" i="78"/>
  <c r="AH49" i="78" s="1"/>
  <c r="BD49" i="78" s="1"/>
  <c r="BZ49" i="78" s="1"/>
  <c r="L63" i="78"/>
  <c r="AH63" i="78" s="1"/>
  <c r="BD63" i="78" s="1"/>
  <c r="BZ63" i="78" s="1"/>
  <c r="W63" i="78"/>
  <c r="AS63" i="78" s="1"/>
  <c r="BO63" i="78" s="1"/>
  <c r="CK63" i="78" s="1"/>
  <c r="L126" i="78"/>
  <c r="AH126" i="78" s="1"/>
  <c r="BD126" i="78" s="1"/>
  <c r="BZ126" i="78" s="1"/>
  <c r="W126" i="78"/>
  <c r="AS126" i="78" s="1"/>
  <c r="BO126" i="78" s="1"/>
  <c r="CK126" i="78" s="1"/>
  <c r="L51" i="78"/>
  <c r="AH51" i="78" s="1"/>
  <c r="BD51" i="78" s="1"/>
  <c r="BZ51" i="78" s="1"/>
  <c r="W51" i="78"/>
  <c r="AS51" i="78" s="1"/>
  <c r="BO51" i="78" s="1"/>
  <c r="CK51" i="78" s="1"/>
  <c r="L86" i="78"/>
  <c r="AH86" i="78" s="1"/>
  <c r="BD86" i="78" s="1"/>
  <c r="BZ86" i="78" s="1"/>
  <c r="W86" i="78"/>
  <c r="AS86" i="78" s="1"/>
  <c r="BO86" i="78" s="1"/>
  <c r="CK86" i="78" s="1"/>
  <c r="W87" i="78"/>
  <c r="AS87" i="78" s="1"/>
  <c r="BO87" i="78" s="1"/>
  <c r="CK87" i="78" s="1"/>
  <c r="L87" i="78"/>
  <c r="AH87" i="78" s="1"/>
  <c r="BD87" i="78" s="1"/>
  <c r="BZ87" i="78" s="1"/>
  <c r="W100" i="78"/>
  <c r="AS100" i="78" s="1"/>
  <c r="BO100" i="78" s="1"/>
  <c r="CK100" i="78" s="1"/>
  <c r="L100" i="78"/>
  <c r="AH100" i="78" s="1"/>
  <c r="BD100" i="78" s="1"/>
  <c r="BZ100" i="78" s="1"/>
  <c r="L118" i="78"/>
  <c r="AH118" i="78" s="1"/>
  <c r="BD118" i="78" s="1"/>
  <c r="BZ118" i="78" s="1"/>
  <c r="W118" i="78"/>
  <c r="AS118" i="78" s="1"/>
  <c r="BO118" i="78" s="1"/>
  <c r="CK118" i="78" s="1"/>
  <c r="W122" i="78"/>
  <c r="AS122" i="78" s="1"/>
  <c r="BO122" i="78" s="1"/>
  <c r="CK122" i="78" s="1"/>
  <c r="L122" i="78"/>
  <c r="AH122" i="78" s="1"/>
  <c r="BD122" i="78" s="1"/>
  <c r="BZ122" i="78" s="1"/>
  <c r="L56" i="78"/>
  <c r="AH56" i="78" s="1"/>
  <c r="BD56" i="78" s="1"/>
  <c r="BZ56" i="78" s="1"/>
  <c r="W56" i="78"/>
  <c r="AS56" i="78" s="1"/>
  <c r="BO56" i="78" s="1"/>
  <c r="CK56" i="78" s="1"/>
  <c r="W129" i="78"/>
  <c r="AS129" i="78" s="1"/>
  <c r="BO129" i="78" s="1"/>
  <c r="CK129" i="78" s="1"/>
  <c r="L129" i="78"/>
  <c r="AH129" i="78" s="1"/>
  <c r="BD129" i="78" s="1"/>
  <c r="BZ129" i="78" s="1"/>
  <c r="L97" i="78"/>
  <c r="AH97" i="78" s="1"/>
  <c r="BD97" i="78" s="1"/>
  <c r="BZ97" i="78" s="1"/>
  <c r="W97" i="78"/>
  <c r="AS97" i="78" s="1"/>
  <c r="BO97" i="78" s="1"/>
  <c r="CK97" i="78" s="1"/>
  <c r="W57" i="78"/>
  <c r="AS57" i="78" s="1"/>
  <c r="BO57" i="78" s="1"/>
  <c r="CK57" i="78" s="1"/>
  <c r="L57" i="78"/>
  <c r="AH57" i="78" s="1"/>
  <c r="BD57" i="78" s="1"/>
  <c r="BZ57" i="78" s="1"/>
  <c r="L99" i="78"/>
  <c r="AH99" i="78" s="1"/>
  <c r="BD99" i="78" s="1"/>
  <c r="BZ99" i="78" s="1"/>
  <c r="W99" i="78"/>
  <c r="AS99" i="78" s="1"/>
  <c r="BO99" i="78" s="1"/>
  <c r="CK99" i="78" s="1"/>
  <c r="L89" i="78"/>
  <c r="AH89" i="78" s="1"/>
  <c r="BD89" i="78" s="1"/>
  <c r="BZ89" i="78" s="1"/>
  <c r="W89" i="78"/>
  <c r="AS89" i="78" s="1"/>
  <c r="BO89" i="78" s="1"/>
  <c r="CK89" i="78" s="1"/>
  <c r="L61" i="78"/>
  <c r="AH61" i="78" s="1"/>
  <c r="BD61" i="78" s="1"/>
  <c r="BZ61" i="78" s="1"/>
  <c r="W61" i="78"/>
  <c r="AS61" i="78" s="1"/>
  <c r="BO61" i="78" s="1"/>
  <c r="CK61" i="78" s="1"/>
  <c r="W92" i="78"/>
  <c r="AS92" i="78" s="1"/>
  <c r="BO92" i="78" s="1"/>
  <c r="CK92" i="78" s="1"/>
  <c r="L92" i="78"/>
  <c r="AH92" i="78" s="1"/>
  <c r="BD92" i="78" s="1"/>
  <c r="BZ92" i="78" s="1"/>
  <c r="L91" i="78"/>
  <c r="AH91" i="78" s="1"/>
  <c r="BD91" i="78" s="1"/>
  <c r="BZ91" i="78" s="1"/>
  <c r="W91" i="78"/>
  <c r="AS91" i="78" s="1"/>
  <c r="BO91" i="78" s="1"/>
  <c r="CK91" i="78" s="1"/>
  <c r="L66" i="78"/>
  <c r="AH66" i="78" s="1"/>
  <c r="BD66" i="78" s="1"/>
  <c r="BZ66" i="78" s="1"/>
  <c r="W66" i="78"/>
  <c r="AS66" i="78" s="1"/>
  <c r="BO66" i="78" s="1"/>
  <c r="CK66" i="78" s="1"/>
  <c r="L53" i="78"/>
  <c r="AH53" i="78" s="1"/>
  <c r="BD53" i="78" s="1"/>
  <c r="BZ53" i="78" s="1"/>
  <c r="W53" i="78"/>
  <c r="AS53" i="78" s="1"/>
  <c r="BO53" i="78" s="1"/>
  <c r="CK53" i="78" s="1"/>
  <c r="W84" i="78"/>
  <c r="AS84" i="78" s="1"/>
  <c r="BO84" i="78" s="1"/>
  <c r="CK84" i="78" s="1"/>
  <c r="L84" i="78"/>
  <c r="AH84" i="78" s="1"/>
  <c r="BD84" i="78" s="1"/>
  <c r="BZ84" i="78" s="1"/>
  <c r="L64" i="78"/>
  <c r="AH64" i="78" s="1"/>
  <c r="BD64" i="78" s="1"/>
  <c r="BZ64" i="78" s="1"/>
  <c r="W64" i="78"/>
  <c r="AS64" i="78" s="1"/>
  <c r="BO64" i="78" s="1"/>
  <c r="CK64" i="78" s="1"/>
  <c r="L47" i="78"/>
  <c r="AH47" i="78" s="1"/>
  <c r="BD47" i="78" s="1"/>
  <c r="BZ47" i="78" s="1"/>
  <c r="W47" i="78"/>
  <c r="AS47" i="78" s="1"/>
  <c r="BO47" i="78" s="1"/>
  <c r="CK47" i="78" s="1"/>
  <c r="W94" i="78"/>
  <c r="AS94" i="78" s="1"/>
  <c r="BO94" i="78" s="1"/>
  <c r="CK94" i="78" s="1"/>
  <c r="L94" i="78"/>
  <c r="AH94" i="78" s="1"/>
  <c r="BD94" i="78" s="1"/>
  <c r="BZ94" i="78" s="1"/>
  <c r="W65" i="78"/>
  <c r="AS65" i="78" s="1"/>
  <c r="BO65" i="78" s="1"/>
  <c r="CK65" i="78" s="1"/>
  <c r="L65" i="78"/>
  <c r="AH65" i="78" s="1"/>
  <c r="BD65" i="78" s="1"/>
  <c r="BZ65" i="78" s="1"/>
  <c r="L120" i="78"/>
  <c r="AH120" i="78" s="1"/>
  <c r="BD120" i="78" s="1"/>
  <c r="BZ120" i="78" s="1"/>
  <c r="W120" i="78"/>
  <c r="AS120" i="78" s="1"/>
  <c r="BO120" i="78" s="1"/>
  <c r="CK120" i="78" s="1"/>
  <c r="W59" i="78"/>
  <c r="AS59" i="78" s="1"/>
  <c r="BO59" i="78" s="1"/>
  <c r="CK59" i="78" s="1"/>
  <c r="L59" i="78"/>
  <c r="AH59" i="78" s="1"/>
  <c r="BD59" i="78" s="1"/>
  <c r="BZ59" i="78" s="1"/>
  <c r="W103" i="78"/>
  <c r="AS103" i="78" s="1"/>
  <c r="BO103" i="78" s="1"/>
  <c r="CK103" i="78" s="1"/>
  <c r="L103" i="78"/>
  <c r="AH103" i="78" s="1"/>
  <c r="BD103" i="78" s="1"/>
  <c r="BZ103" i="78" s="1"/>
  <c r="L134" i="78"/>
  <c r="AH134" i="78" s="1"/>
  <c r="BD134" i="78" s="1"/>
  <c r="BZ134" i="78" s="1"/>
  <c r="W134" i="78"/>
  <c r="AS134" i="78" s="1"/>
  <c r="BO134" i="78" s="1"/>
  <c r="CK134" i="78" s="1"/>
  <c r="W95" i="78"/>
  <c r="AS95" i="78" s="1"/>
  <c r="BO95" i="78" s="1"/>
  <c r="CK95" i="78" s="1"/>
  <c r="L95" i="78"/>
  <c r="AH95" i="78" s="1"/>
  <c r="BD95" i="78" s="1"/>
  <c r="BZ95" i="78" s="1"/>
  <c r="W130" i="78"/>
  <c r="AS130" i="78" s="1"/>
  <c r="BO130" i="78" s="1"/>
  <c r="CK130" i="78" s="1"/>
  <c r="L130" i="78"/>
  <c r="AH130" i="78" s="1"/>
  <c r="BD130" i="78" s="1"/>
  <c r="BZ130" i="78" s="1"/>
  <c r="W58" i="78"/>
  <c r="AS58" i="78" s="1"/>
  <c r="BO58" i="78" s="1"/>
  <c r="CK58" i="78" s="1"/>
  <c r="L58" i="78"/>
  <c r="AH58" i="78" s="1"/>
  <c r="BD58" i="78" s="1"/>
  <c r="BZ58" i="78" s="1"/>
  <c r="L45" i="78"/>
  <c r="AH45" i="78" s="1"/>
  <c r="BD45" i="78" s="1"/>
  <c r="BZ45" i="78" s="1"/>
  <c r="W45" i="78"/>
  <c r="AS45" i="78" s="1"/>
  <c r="BO45" i="78" s="1"/>
  <c r="CK45" i="78" s="1"/>
  <c r="W68" i="78"/>
  <c r="AS68" i="78" s="1"/>
  <c r="BO68" i="78" s="1"/>
  <c r="CK68" i="78" s="1"/>
  <c r="L68" i="78"/>
  <c r="AH68" i="78" s="1"/>
  <c r="BD68" i="78" s="1"/>
  <c r="BZ68" i="78" s="1"/>
  <c r="L48" i="78"/>
  <c r="AH48" i="78" s="1"/>
  <c r="BD48" i="78" s="1"/>
  <c r="BZ48" i="78" s="1"/>
  <c r="W48" i="78"/>
  <c r="AS48" i="78" s="1"/>
  <c r="BO48" i="78" s="1"/>
  <c r="CK48" i="78" s="1"/>
  <c r="L98" i="78"/>
  <c r="AH98" i="78" s="1"/>
  <c r="BD98" i="78" s="1"/>
  <c r="BZ98" i="78" s="1"/>
  <c r="W98" i="78"/>
  <c r="AS98" i="78" s="1"/>
  <c r="BO98" i="78" s="1"/>
  <c r="CK98" i="78" s="1"/>
  <c r="W136" i="78"/>
  <c r="AS136" i="78" s="1"/>
  <c r="BO136" i="78" s="1"/>
  <c r="CK136" i="78" s="1"/>
  <c r="L136" i="78"/>
  <c r="AH136" i="78" s="1"/>
  <c r="BD136" i="78" s="1"/>
  <c r="BZ136" i="78" s="1"/>
  <c r="L67" i="78"/>
  <c r="AH67" i="78" s="1"/>
  <c r="BD67" i="78" s="1"/>
  <c r="BZ67" i="78" s="1"/>
  <c r="W67" i="78"/>
  <c r="AS67" i="78" s="1"/>
  <c r="BO67" i="78" s="1"/>
  <c r="CK67" i="78" s="1"/>
  <c r="W138" i="78"/>
  <c r="AS138" i="78" s="1"/>
  <c r="BO138" i="78" s="1"/>
  <c r="CK138" i="78" s="1"/>
  <c r="L138" i="78"/>
  <c r="AH138" i="78" s="1"/>
  <c r="BD138" i="78" s="1"/>
  <c r="BZ138" i="78" s="1"/>
  <c r="W52" i="78"/>
  <c r="AS52" i="78" s="1"/>
  <c r="BO52" i="78" s="1"/>
  <c r="CK52" i="78" s="1"/>
  <c r="L52" i="78"/>
  <c r="AH52" i="78" s="1"/>
  <c r="BD52" i="78" s="1"/>
  <c r="BZ52" i="78" s="1"/>
  <c r="L131" i="78"/>
  <c r="AH131" i="78" s="1"/>
  <c r="BD131" i="78" s="1"/>
  <c r="BZ131" i="78" s="1"/>
  <c r="W131" i="78"/>
  <c r="AS131" i="78" s="1"/>
  <c r="BO131" i="78" s="1"/>
  <c r="CK131" i="78" s="1"/>
  <c r="W44" i="78"/>
  <c r="AS44" i="78" s="1"/>
  <c r="BO44" i="78" s="1"/>
  <c r="CK44" i="78" s="1"/>
  <c r="L44" i="78"/>
  <c r="AH44" i="78" s="1"/>
  <c r="BD44" i="78" s="1"/>
  <c r="BZ44" i="78" s="1"/>
  <c r="L121" i="78"/>
  <c r="AH121" i="78" s="1"/>
  <c r="BD121" i="78" s="1"/>
  <c r="BZ121" i="78" s="1"/>
  <c r="W121" i="78"/>
  <c r="AS121" i="78" s="1"/>
  <c r="BO121" i="78" s="1"/>
  <c r="CK121" i="78" s="1"/>
  <c r="W50" i="78"/>
  <c r="AS50" i="78" s="1"/>
  <c r="BO50" i="78" s="1"/>
  <c r="CK50" i="78" s="1"/>
  <c r="L50" i="78"/>
  <c r="AH50" i="78" s="1"/>
  <c r="BD50" i="78" s="1"/>
  <c r="BZ50" i="78" s="1"/>
  <c r="W60" i="78"/>
  <c r="AS60" i="78" s="1"/>
  <c r="BO60" i="78" s="1"/>
  <c r="CK60" i="78" s="1"/>
  <c r="L60" i="78"/>
  <c r="AH60" i="78" s="1"/>
  <c r="BD60" i="78" s="1"/>
  <c r="BZ60" i="78" s="1"/>
  <c r="L137" i="78"/>
  <c r="AH137" i="78" s="1"/>
  <c r="BD137" i="78" s="1"/>
  <c r="BZ137" i="78" s="1"/>
  <c r="W137" i="78"/>
  <c r="AS137" i="78" s="1"/>
  <c r="BO137" i="78" s="1"/>
  <c r="CK137" i="78" s="1"/>
  <c r="W128" i="78"/>
  <c r="AS128" i="78" s="1"/>
  <c r="BO128" i="78" s="1"/>
  <c r="CK128" i="78" s="1"/>
  <c r="L128" i="78"/>
  <c r="AH128" i="78" s="1"/>
  <c r="BD128" i="78" s="1"/>
  <c r="BZ128" i="78" s="1"/>
  <c r="L102" i="78"/>
  <c r="AH102" i="78" s="1"/>
  <c r="BD102" i="78" s="1"/>
  <c r="BZ102" i="78" s="1"/>
  <c r="W102" i="78"/>
  <c r="AS102" i="78" s="1"/>
  <c r="BO102" i="78" s="1"/>
  <c r="CK102" i="78" s="1"/>
  <c r="L65" i="80"/>
  <c r="N61" i="80"/>
  <c r="O61" i="80" s="1"/>
  <c r="L60" i="80"/>
  <c r="N60" i="80"/>
  <c r="O60" i="80" s="1"/>
  <c r="N65" i="80"/>
  <c r="O65" i="80" s="1"/>
  <c r="N47" i="80"/>
  <c r="O47" i="80" s="1"/>
  <c r="N52" i="80"/>
  <c r="O52" i="80" s="1"/>
  <c r="L52" i="80"/>
  <c r="L46" i="80"/>
  <c r="N67" i="80"/>
  <c r="O67" i="80" s="1"/>
  <c r="N53" i="80"/>
  <c r="O53" i="80" s="1"/>
  <c r="N58" i="80"/>
  <c r="O58" i="80" s="1"/>
  <c r="L50" i="80"/>
  <c r="L44" i="80"/>
  <c r="L58" i="80"/>
  <c r="N55" i="80"/>
  <c r="O55" i="80" s="1"/>
  <c r="L67" i="80"/>
  <c r="L48" i="80"/>
  <c r="L49" i="80"/>
  <c r="N64" i="80"/>
  <c r="O64" i="80" s="1"/>
  <c r="N62" i="80"/>
  <c r="O62" i="80" s="1"/>
  <c r="N44" i="80"/>
  <c r="O44" i="80" s="1"/>
  <c r="N49" i="80"/>
  <c r="O49" i="80" s="1"/>
  <c r="N48" i="80"/>
  <c r="O48" i="80" s="1"/>
  <c r="L61" i="80"/>
  <c r="N50" i="80"/>
  <c r="O50" i="80" s="1"/>
  <c r="L53" i="80"/>
  <c r="L57" i="80"/>
  <c r="L64" i="80"/>
  <c r="L54" i="80"/>
  <c r="N46" i="80"/>
  <c r="O46" i="80" s="1"/>
  <c r="N66" i="80"/>
  <c r="O66" i="80" s="1"/>
  <c r="L66" i="80"/>
  <c r="L63" i="80"/>
  <c r="L59" i="80"/>
  <c r="L56" i="80"/>
  <c r="N45" i="80"/>
  <c r="O45" i="80" s="1"/>
  <c r="N56" i="80"/>
  <c r="O56" i="80" s="1"/>
  <c r="X21" i="79"/>
  <c r="X14" i="79"/>
  <c r="X15" i="79"/>
  <c r="N9" i="79"/>
  <c r="X10" i="79"/>
  <c r="X20" i="79"/>
  <c r="C70" i="78"/>
  <c r="L73" i="78"/>
  <c r="L109" i="78"/>
  <c r="X9" i="79"/>
  <c r="Z54" i="78"/>
  <c r="F57" i="78"/>
  <c r="L45" i="80"/>
  <c r="L51" i="80"/>
  <c r="N51" i="80"/>
  <c r="O51" i="80" s="1"/>
  <c r="F53" i="78"/>
  <c r="N19" i="79"/>
  <c r="O16" i="79"/>
  <c r="M53" i="78"/>
  <c r="N16" i="79"/>
  <c r="P60" i="78"/>
  <c r="D64" i="78"/>
  <c r="O12" i="79"/>
  <c r="N31" i="79"/>
  <c r="F70" i="78"/>
  <c r="F65" i="78"/>
  <c r="F50" i="78"/>
  <c r="N15" i="79"/>
  <c r="F48" i="78"/>
  <c r="N25" i="79"/>
  <c r="F49" i="78"/>
  <c r="N8" i="79"/>
  <c r="N29" i="79"/>
  <c r="N26" i="79"/>
  <c r="N66" i="78"/>
  <c r="N34" i="79"/>
  <c r="O60" i="78"/>
  <c r="F61" i="78"/>
  <c r="F51" i="78"/>
  <c r="O63" i="78"/>
  <c r="O64" i="78"/>
  <c r="P56" i="78"/>
  <c r="O55" i="78"/>
  <c r="D70" i="78"/>
  <c r="F59" i="78"/>
  <c r="F56" i="78"/>
  <c r="B70" i="78"/>
  <c r="D45" i="78"/>
  <c r="F55" i="78"/>
  <c r="F66" i="78"/>
  <c r="D68" i="78"/>
  <c r="D106" i="78"/>
  <c r="F47" i="78"/>
  <c r="F64" i="78"/>
  <c r="Q56" i="78"/>
  <c r="N62" i="78"/>
  <c r="Q46" i="78"/>
  <c r="D55" i="78"/>
  <c r="N13" i="79"/>
  <c r="F46" i="78"/>
  <c r="N14" i="79"/>
  <c r="F44" i="78"/>
  <c r="N53" i="78"/>
  <c r="F67" i="78"/>
  <c r="N22" i="79"/>
  <c r="N32" i="79"/>
  <c r="N21" i="79"/>
  <c r="F62" i="78"/>
  <c r="N56" i="78"/>
  <c r="Q54" i="78"/>
  <c r="N18" i="79"/>
  <c r="N17" i="79"/>
  <c r="D67" i="78"/>
  <c r="X30" i="79"/>
  <c r="F63" i="78"/>
  <c r="N24" i="79"/>
  <c r="F58" i="78"/>
  <c r="N30" i="79"/>
  <c r="N10" i="79"/>
  <c r="N20" i="79"/>
  <c r="Z57" i="78"/>
  <c r="D63" i="78"/>
  <c r="N28" i="79"/>
  <c r="X27" i="79"/>
  <c r="N12" i="79"/>
  <c r="N27" i="79"/>
  <c r="F60" i="78"/>
  <c r="F45" i="78"/>
  <c r="N11" i="79"/>
  <c r="N23" i="79"/>
  <c r="B63" i="78"/>
  <c r="O44" i="78"/>
  <c r="M27" i="79"/>
  <c r="B68" i="78"/>
  <c r="M44" i="78"/>
  <c r="P57" i="78"/>
  <c r="O54" i="78"/>
  <c r="O68" i="78"/>
  <c r="D65" i="78"/>
  <c r="C54" i="78"/>
  <c r="F68" i="78"/>
  <c r="F52" i="78"/>
  <c r="O47" i="78"/>
  <c r="O59" i="78"/>
  <c r="O57" i="78"/>
  <c r="O51" i="78"/>
  <c r="O58" i="78"/>
  <c r="O46" i="78"/>
  <c r="N51" i="78"/>
  <c r="Z60" i="78"/>
  <c r="O50" i="78"/>
  <c r="O49" i="78"/>
  <c r="B52" i="78"/>
  <c r="N63" i="78"/>
  <c r="O45" i="78"/>
  <c r="O48" i="78"/>
  <c r="O61" i="78"/>
  <c r="O67" i="78"/>
  <c r="O62" i="78"/>
  <c r="O52" i="78"/>
  <c r="AA68" i="78"/>
  <c r="Z65" i="78"/>
  <c r="Z68" i="78"/>
  <c r="X31" i="79"/>
  <c r="O65" i="78"/>
  <c r="O66" i="78"/>
  <c r="N68" i="78"/>
  <c r="B142" i="78"/>
  <c r="O56" i="78"/>
  <c r="O70" i="78"/>
  <c r="M25" i="79"/>
  <c r="P63" i="78"/>
  <c r="P53" i="78"/>
  <c r="C44" i="78"/>
  <c r="P58" i="78"/>
  <c r="O142" i="78"/>
  <c r="P65" i="78"/>
  <c r="P47" i="78"/>
  <c r="O24" i="79"/>
  <c r="C55" i="78"/>
  <c r="P48" i="78"/>
  <c r="P66" i="78"/>
  <c r="P44" i="78"/>
  <c r="P68" i="78"/>
  <c r="P51" i="78"/>
  <c r="P55" i="78"/>
  <c r="P67" i="78"/>
  <c r="O30" i="79"/>
  <c r="C53" i="78"/>
  <c r="P70" i="78"/>
  <c r="P54" i="78"/>
  <c r="P45" i="78"/>
  <c r="P59" i="78"/>
  <c r="P49" i="78"/>
  <c r="P64" i="78"/>
  <c r="P50" i="78"/>
  <c r="P52" i="78"/>
  <c r="P62" i="78"/>
  <c r="P61" i="78"/>
  <c r="P46" i="78"/>
  <c r="AA47" i="78"/>
  <c r="AA63" i="78"/>
  <c r="AA57" i="78"/>
  <c r="X29" i="79"/>
  <c r="X23" i="79"/>
  <c r="N65" i="78"/>
  <c r="D57" i="78"/>
  <c r="D56" i="78"/>
  <c r="D51" i="78"/>
  <c r="D47" i="78"/>
  <c r="D53" i="78"/>
  <c r="D49" i="78"/>
  <c r="D48" i="78"/>
  <c r="D44" i="78"/>
  <c r="D60" i="78"/>
  <c r="D58" i="78"/>
  <c r="D66" i="78"/>
  <c r="D62" i="78"/>
  <c r="D50" i="78"/>
  <c r="D54" i="78"/>
  <c r="D52" i="78"/>
  <c r="D61" i="78"/>
  <c r="D46" i="78"/>
  <c r="X26" i="79"/>
  <c r="X46" i="78"/>
  <c r="N64" i="78"/>
  <c r="N46" i="78"/>
  <c r="N67" i="78"/>
  <c r="N44" i="78"/>
  <c r="N50" i="78"/>
  <c r="N61" i="78"/>
  <c r="N45" i="78"/>
  <c r="N52" i="78"/>
  <c r="N55" i="78"/>
  <c r="N58" i="78"/>
  <c r="N54" i="78"/>
  <c r="N70" i="78"/>
  <c r="N57" i="78"/>
  <c r="N47" i="78"/>
  <c r="V23" i="79"/>
  <c r="X11" i="79"/>
  <c r="N48" i="78"/>
  <c r="X12" i="79"/>
  <c r="E65" i="78"/>
  <c r="E56" i="78"/>
  <c r="E49" i="78"/>
  <c r="E58" i="78"/>
  <c r="E51" i="78"/>
  <c r="E57" i="78"/>
  <c r="E106" i="78"/>
  <c r="E50" i="78"/>
  <c r="E66" i="78"/>
  <c r="E55" i="78"/>
  <c r="E47" i="78"/>
  <c r="E61" i="78"/>
  <c r="E54" i="78"/>
  <c r="E53" i="78"/>
  <c r="E46" i="78"/>
  <c r="E59" i="78"/>
  <c r="E45" i="78"/>
  <c r="E63" i="78"/>
  <c r="E52" i="78"/>
  <c r="E60" i="78"/>
  <c r="E62" i="78"/>
  <c r="E67" i="78"/>
  <c r="E68" i="78"/>
  <c r="E64" i="78"/>
  <c r="N60" i="78"/>
  <c r="M47" i="78"/>
  <c r="M45" i="78"/>
  <c r="N59" i="78"/>
  <c r="X25" i="79"/>
  <c r="E48" i="78"/>
  <c r="M21" i="79"/>
  <c r="M15" i="79"/>
  <c r="M13" i="79"/>
  <c r="M9" i="79"/>
  <c r="M20" i="79"/>
  <c r="M14" i="79"/>
  <c r="M32" i="79"/>
  <c r="M30" i="79"/>
  <c r="M16" i="79"/>
  <c r="M24" i="79"/>
  <c r="M22" i="79"/>
  <c r="M10" i="79"/>
  <c r="M28" i="79"/>
  <c r="M18" i="79"/>
  <c r="M12" i="79"/>
  <c r="M34" i="79"/>
  <c r="M23" i="79"/>
  <c r="Z44" i="78"/>
  <c r="O18" i="79"/>
  <c r="M31" i="79"/>
  <c r="M11" i="79"/>
  <c r="C47" i="78"/>
  <c r="B47" i="78"/>
  <c r="X19" i="79"/>
  <c r="B106" i="78"/>
  <c r="B54" i="78"/>
  <c r="B48" i="78"/>
  <c r="B58" i="78"/>
  <c r="B66" i="78"/>
  <c r="B62" i="78"/>
  <c r="B51" i="78"/>
  <c r="B56" i="78"/>
  <c r="B67" i="78"/>
  <c r="B57" i="78"/>
  <c r="B50" i="78"/>
  <c r="B46" i="78"/>
  <c r="B64" i="78"/>
  <c r="B49" i="78"/>
  <c r="X17" i="79"/>
  <c r="X32" i="79"/>
  <c r="O26" i="79"/>
  <c r="C56" i="78"/>
  <c r="C49" i="78"/>
  <c r="C46" i="78"/>
  <c r="C66" i="78"/>
  <c r="C51" i="78"/>
  <c r="C48" i="78"/>
  <c r="C58" i="78"/>
  <c r="C61" i="78"/>
  <c r="C57" i="78"/>
  <c r="C50" i="78"/>
  <c r="C60" i="78"/>
  <c r="C45" i="78"/>
  <c r="C52" i="78"/>
  <c r="C68" i="78"/>
  <c r="C64" i="78"/>
  <c r="C67" i="78"/>
  <c r="C59" i="78"/>
  <c r="B61" i="78"/>
  <c r="O19" i="79"/>
  <c r="M19" i="79"/>
  <c r="O11" i="79"/>
  <c r="C62" i="78"/>
  <c r="B65" i="78"/>
  <c r="B53" i="78"/>
  <c r="B59" i="78"/>
  <c r="X16" i="79"/>
  <c r="O8" i="79"/>
  <c r="O22" i="79"/>
  <c r="O20" i="79"/>
  <c r="O14" i="79"/>
  <c r="O10" i="79"/>
  <c r="O34" i="79"/>
  <c r="O31" i="79"/>
  <c r="O27" i="79"/>
  <c r="O23" i="79"/>
  <c r="O15" i="79"/>
  <c r="O13" i="79"/>
  <c r="O17" i="79"/>
  <c r="O25" i="79"/>
  <c r="O21" i="79"/>
  <c r="O29" i="79"/>
  <c r="O9" i="79"/>
  <c r="B44" i="78"/>
  <c r="Y59" i="78"/>
  <c r="M17" i="79"/>
  <c r="B60" i="78"/>
  <c r="M26" i="79"/>
  <c r="B55" i="78"/>
  <c r="C63" i="78"/>
  <c r="O32" i="79"/>
  <c r="X24" i="79"/>
  <c r="X56" i="78"/>
  <c r="X64" i="78"/>
  <c r="Z48" i="78"/>
  <c r="X67" i="78"/>
  <c r="X59" i="78"/>
  <c r="X50" i="78"/>
  <c r="X62" i="78"/>
  <c r="Z62" i="78"/>
  <c r="X66" i="78"/>
  <c r="X58" i="78"/>
  <c r="AB56" i="78"/>
  <c r="AB53" i="78"/>
  <c r="AB65" i="78"/>
  <c r="AB59" i="78"/>
  <c r="AB45" i="78"/>
  <c r="AB60" i="78"/>
  <c r="AB51" i="78"/>
  <c r="AB52" i="78"/>
  <c r="AB48" i="78"/>
  <c r="AB57" i="78"/>
  <c r="AB70" i="78"/>
  <c r="AB49" i="78"/>
  <c r="AB44" i="78"/>
  <c r="AB58" i="78"/>
  <c r="AA142" i="78"/>
  <c r="AB67" i="78"/>
  <c r="AB61" i="78"/>
  <c r="AB64" i="78"/>
  <c r="AB47" i="78"/>
  <c r="AB66" i="78"/>
  <c r="AB50" i="78"/>
  <c r="Y70" i="78"/>
  <c r="Y55" i="78"/>
  <c r="Y52" i="78"/>
  <c r="Y50" i="78"/>
  <c r="Y64" i="78"/>
  <c r="Y58" i="78"/>
  <c r="Y44" i="78"/>
  <c r="Y56" i="78"/>
  <c r="Y48" i="78"/>
  <c r="X142" i="78"/>
  <c r="Y47" i="78"/>
  <c r="Y53" i="78"/>
  <c r="Y68" i="78"/>
  <c r="Y57" i="78"/>
  <c r="Y51" i="78"/>
  <c r="Y46" i="78"/>
  <c r="Y66" i="78"/>
  <c r="Y60" i="78"/>
  <c r="Y63" i="78"/>
  <c r="Y49" i="78"/>
  <c r="AA59" i="78"/>
  <c r="AA51" i="78"/>
  <c r="AB68" i="78"/>
  <c r="Y62" i="78"/>
  <c r="X70" i="78"/>
  <c r="X55" i="78"/>
  <c r="X52" i="78"/>
  <c r="X49" i="78"/>
  <c r="X47" i="78"/>
  <c r="X65" i="78"/>
  <c r="X106" i="78"/>
  <c r="X61" i="78"/>
  <c r="X44" i="78"/>
  <c r="X68" i="78"/>
  <c r="X45" i="78"/>
  <c r="X53" i="78"/>
  <c r="X63" i="78"/>
  <c r="X57" i="78"/>
  <c r="X51" i="78"/>
  <c r="X54" i="78"/>
  <c r="X48" i="78"/>
  <c r="X60" i="78"/>
  <c r="AB63" i="78"/>
  <c r="Y67" i="78"/>
  <c r="AA67" i="78"/>
  <c r="AA65" i="78"/>
  <c r="Y65" i="78"/>
  <c r="Z106" i="78"/>
  <c r="Z61" i="78"/>
  <c r="Z58" i="78"/>
  <c r="Z59" i="78"/>
  <c r="Z45" i="78"/>
  <c r="Z67" i="78"/>
  <c r="Z47" i="78"/>
  <c r="Z53" i="78"/>
  <c r="Z50" i="78"/>
  <c r="Z63" i="78"/>
  <c r="Z51" i="78"/>
  <c r="Z66" i="78"/>
  <c r="Z49" i="78"/>
  <c r="Z46" i="78"/>
  <c r="Z52" i="78"/>
  <c r="Z70" i="78"/>
  <c r="Z55" i="78"/>
  <c r="Z142" i="78"/>
  <c r="AA54" i="78"/>
  <c r="AA62" i="78"/>
  <c r="AA56" i="78"/>
  <c r="AA53" i="78"/>
  <c r="AA50" i="78"/>
  <c r="AA66" i="78"/>
  <c r="AA70" i="78"/>
  <c r="AA45" i="78"/>
  <c r="AA48" i="78"/>
  <c r="AA46" i="78"/>
  <c r="AA58" i="78"/>
  <c r="AA44" i="78"/>
  <c r="AA64" i="78"/>
  <c r="AA55" i="78"/>
  <c r="AA49" i="78"/>
  <c r="AA61" i="78"/>
  <c r="AA52" i="78"/>
  <c r="AA106" i="78"/>
  <c r="AB62" i="78"/>
  <c r="AB55" i="78"/>
  <c r="AB46" i="78"/>
  <c r="Z64" i="78"/>
  <c r="Y61" i="78"/>
  <c r="Y54" i="78"/>
  <c r="AA60" i="78"/>
  <c r="Y45" i="78"/>
  <c r="AB54" i="78"/>
  <c r="Q45" i="78"/>
  <c r="M66" i="78"/>
  <c r="M55" i="78"/>
  <c r="O53" i="78"/>
  <c r="O106" i="78"/>
  <c r="Q64" i="78"/>
  <c r="Q48" i="78"/>
  <c r="M60" i="78"/>
  <c r="M142" i="78"/>
  <c r="M61" i="78"/>
  <c r="Q49" i="78"/>
  <c r="M52" i="78"/>
  <c r="Q47" i="78"/>
  <c r="Q44" i="78"/>
  <c r="Q50" i="78"/>
  <c r="Q68" i="78"/>
  <c r="Q63" i="78"/>
  <c r="Q60" i="78"/>
  <c r="Q52" i="78"/>
  <c r="P142" i="78"/>
  <c r="Q66" i="78"/>
  <c r="Q70" i="78"/>
  <c r="Q59" i="78"/>
  <c r="Q55" i="78"/>
  <c r="Q58" i="78"/>
  <c r="P106" i="78"/>
  <c r="Q53" i="78"/>
  <c r="Q57" i="78"/>
  <c r="Q62" i="78"/>
  <c r="Q51" i="78"/>
  <c r="M50" i="78"/>
  <c r="Q67" i="78"/>
  <c r="M59" i="78"/>
  <c r="M54" i="78"/>
  <c r="M106" i="78"/>
  <c r="M70" i="78"/>
  <c r="M48" i="78"/>
  <c r="M51" i="78"/>
  <c r="M63" i="78"/>
  <c r="M64" i="78"/>
  <c r="M62" i="78"/>
  <c r="M65" i="78"/>
  <c r="M46" i="78"/>
  <c r="M56" i="78"/>
  <c r="M67" i="78"/>
  <c r="M58" i="78"/>
  <c r="M57" i="78"/>
  <c r="M49" i="78"/>
  <c r="Q65" i="78"/>
  <c r="E70" i="78"/>
  <c r="E44" i="78"/>
  <c r="D142" i="78"/>
  <c r="E142" i="78"/>
  <c r="V32" i="79" l="1"/>
  <c r="V29" i="79"/>
  <c r="V12" i="79"/>
  <c r="V26" i="79"/>
  <c r="V11" i="79"/>
  <c r="V22" i="79"/>
  <c r="V20" i="79"/>
  <c r="V14" i="79"/>
  <c r="V10" i="79"/>
  <c r="X34" i="79"/>
  <c r="V21" i="79"/>
  <c r="V15" i="79"/>
  <c r="V13" i="79"/>
  <c r="V9" i="79"/>
  <c r="V34" i="79"/>
  <c r="V27" i="79"/>
  <c r="V28" i="79"/>
  <c r="V30" i="79"/>
  <c r="V18" i="79"/>
  <c r="V31" i="79"/>
  <c r="V25" i="79"/>
  <c r="V24" i="79"/>
  <c r="V16" i="79"/>
  <c r="V17" i="79"/>
  <c r="V19" i="79"/>
  <c r="O2" i="76"/>
  <c r="A116" i="76" l="1"/>
  <c r="A58" i="76"/>
  <c r="A442" i="76"/>
  <c r="A407" i="76"/>
  <c r="A372" i="76"/>
  <c r="A267" i="76"/>
  <c r="A337" i="76"/>
  <c r="A302" i="76"/>
  <c r="A232" i="76"/>
  <c r="A197" i="76"/>
  <c r="A162" i="76"/>
  <c r="A1" i="76"/>
  <c r="J12" i="78"/>
  <c r="J48" i="78" s="1"/>
  <c r="J84" i="78" s="1"/>
  <c r="U18" i="78"/>
  <c r="U54" i="78" s="1"/>
  <c r="U90" i="78" s="1"/>
  <c r="J18" i="78"/>
  <c r="J54" i="78" s="1"/>
  <c r="J90" i="78" s="1"/>
  <c r="J17" i="78"/>
  <c r="J53" i="78" s="1"/>
  <c r="J89" i="78" s="1"/>
  <c r="J31" i="78"/>
  <c r="J67" i="78" s="1"/>
  <c r="J103" i="78" s="1"/>
  <c r="J23" i="78"/>
  <c r="J59" i="78" s="1"/>
  <c r="J95" i="78" s="1"/>
  <c r="L42" i="75"/>
  <c r="L43" i="75"/>
  <c r="L44" i="75"/>
  <c r="L45" i="75"/>
  <c r="L35" i="75"/>
  <c r="L36" i="75"/>
  <c r="L37" i="75"/>
  <c r="L38" i="75"/>
  <c r="L31" i="75"/>
  <c r="L25" i="75"/>
  <c r="L26" i="75"/>
  <c r="L27" i="75"/>
  <c r="L21" i="75"/>
  <c r="L13" i="75"/>
  <c r="L9" i="75"/>
  <c r="J26" i="78" l="1"/>
  <c r="J62" i="78" s="1"/>
  <c r="J98" i="78" s="1"/>
  <c r="U26" i="78"/>
  <c r="U62" i="78" s="1"/>
  <c r="U98" i="78" s="1"/>
  <c r="J30" i="78"/>
  <c r="J66" i="78" s="1"/>
  <c r="J102" i="78" s="1"/>
  <c r="J27" i="78"/>
  <c r="J63" i="78" s="1"/>
  <c r="J99" i="78" s="1"/>
  <c r="U31" i="78"/>
  <c r="U67" i="78" s="1"/>
  <c r="U103" i="78" s="1"/>
  <c r="U12" i="78"/>
  <c r="U48" i="78" s="1"/>
  <c r="U84" i="78" s="1"/>
  <c r="A99" i="18"/>
  <c r="A95" i="18"/>
  <c r="A87" i="18"/>
  <c r="A83" i="18"/>
  <c r="A82" i="18"/>
  <c r="A81" i="18"/>
  <c r="A77" i="18"/>
  <c r="F26" i="18"/>
  <c r="E26" i="18"/>
  <c r="C26" i="18"/>
  <c r="F25" i="18"/>
  <c r="E25" i="18"/>
  <c r="C25" i="18"/>
  <c r="B25" i="18"/>
  <c r="B26" i="18"/>
  <c r="I47" i="18" l="1"/>
  <c r="I13" i="18"/>
  <c r="I48" i="18"/>
  <c r="I20" i="18"/>
  <c r="D26" i="18"/>
  <c r="I26" i="18" s="1"/>
  <c r="I19" i="18"/>
  <c r="I18" i="18"/>
  <c r="I12" i="18"/>
  <c r="U23" i="78"/>
  <c r="U59" i="78" s="1"/>
  <c r="U95" i="78" s="1"/>
  <c r="I35" i="18"/>
  <c r="I22" i="18"/>
  <c r="I32" i="18"/>
  <c r="U30" i="78"/>
  <c r="U66" i="78" s="1"/>
  <c r="U102" i="78" s="1"/>
  <c r="I21" i="18"/>
  <c r="U27" i="78"/>
  <c r="U63" i="78" s="1"/>
  <c r="U99" i="78" s="1"/>
  <c r="I15" i="18"/>
  <c r="I31" i="18"/>
  <c r="D25" i="18"/>
  <c r="I25" i="18" s="1"/>
  <c r="I30" i="18"/>
  <c r="I36" i="18"/>
  <c r="I29" i="18"/>
  <c r="H22" i="18"/>
  <c r="K31" i="18"/>
  <c r="H15" i="18"/>
  <c r="H31" i="18"/>
  <c r="K32" i="18"/>
  <c r="K15" i="18"/>
  <c r="H32" i="18"/>
  <c r="K22" i="18"/>
  <c r="E140" i="71"/>
  <c r="D140" i="71"/>
  <c r="B140" i="71"/>
  <c r="E139" i="71"/>
  <c r="D139" i="71"/>
  <c r="B139" i="71"/>
  <c r="E138" i="71"/>
  <c r="D138" i="71"/>
  <c r="B138" i="71"/>
  <c r="E137" i="71"/>
  <c r="D137" i="71"/>
  <c r="B137" i="71"/>
  <c r="E136" i="71"/>
  <c r="D136" i="71"/>
  <c r="B136" i="71"/>
  <c r="E135" i="71"/>
  <c r="D135" i="71"/>
  <c r="B135" i="71"/>
  <c r="E134" i="71"/>
  <c r="D134" i="71"/>
  <c r="B134" i="71"/>
  <c r="E133" i="71"/>
  <c r="D133" i="71"/>
  <c r="B133" i="71"/>
  <c r="E132" i="71"/>
  <c r="D132" i="71"/>
  <c r="B132" i="71"/>
  <c r="E131" i="71"/>
  <c r="D131" i="71"/>
  <c r="B131" i="71"/>
  <c r="E130" i="71"/>
  <c r="D130" i="71"/>
  <c r="B130" i="71"/>
  <c r="E129" i="71"/>
  <c r="D129" i="71"/>
  <c r="B129" i="71"/>
  <c r="E128" i="71"/>
  <c r="D128" i="71"/>
  <c r="B128" i="71"/>
  <c r="E127" i="71"/>
  <c r="D127" i="71"/>
  <c r="B127" i="71"/>
  <c r="E126" i="71"/>
  <c r="D126" i="71"/>
  <c r="B126" i="71"/>
  <c r="E125" i="71"/>
  <c r="D125" i="71"/>
  <c r="B125" i="71"/>
  <c r="E124" i="71"/>
  <c r="D124" i="71"/>
  <c r="B124" i="71"/>
  <c r="E123" i="71"/>
  <c r="D123" i="71"/>
  <c r="B123" i="71"/>
  <c r="E122" i="71"/>
  <c r="D122" i="71"/>
  <c r="B122" i="71"/>
  <c r="E121" i="71"/>
  <c r="D121" i="71"/>
  <c r="B121" i="71"/>
  <c r="E120" i="71"/>
  <c r="D120" i="71"/>
  <c r="B120" i="71"/>
  <c r="E119" i="71"/>
  <c r="D119" i="71"/>
  <c r="B119" i="71"/>
  <c r="E118" i="71"/>
  <c r="D118" i="71"/>
  <c r="B118" i="71"/>
  <c r="E117" i="71"/>
  <c r="D117" i="71"/>
  <c r="B117" i="71"/>
  <c r="E116" i="71"/>
  <c r="D116" i="71"/>
  <c r="B116" i="71"/>
  <c r="E114" i="71"/>
  <c r="D114" i="71"/>
  <c r="B114" i="71"/>
  <c r="E104" i="71"/>
  <c r="D104" i="71"/>
  <c r="E103" i="71"/>
  <c r="D103" i="71"/>
  <c r="B103" i="71"/>
  <c r="E102" i="71"/>
  <c r="D102" i="71"/>
  <c r="B102" i="71"/>
  <c r="E101" i="71"/>
  <c r="D101" i="71"/>
  <c r="B101" i="71"/>
  <c r="E100" i="71"/>
  <c r="D100" i="71"/>
  <c r="B100" i="71"/>
  <c r="E99" i="71"/>
  <c r="D99" i="71"/>
  <c r="B99" i="71"/>
  <c r="E98" i="71"/>
  <c r="D98" i="71"/>
  <c r="B98" i="71"/>
  <c r="E97" i="71"/>
  <c r="D97" i="71"/>
  <c r="B97" i="71"/>
  <c r="E96" i="71"/>
  <c r="D96" i="71"/>
  <c r="B96" i="71"/>
  <c r="E95" i="71"/>
  <c r="D95" i="71"/>
  <c r="B95" i="71"/>
  <c r="E94" i="71"/>
  <c r="D94" i="71"/>
  <c r="B94" i="71"/>
  <c r="E93" i="71"/>
  <c r="D93" i="71"/>
  <c r="B93" i="71"/>
  <c r="E92" i="71"/>
  <c r="D92" i="71"/>
  <c r="B92" i="71"/>
  <c r="E91" i="71"/>
  <c r="D91" i="71"/>
  <c r="B91" i="71"/>
  <c r="E90" i="71"/>
  <c r="D90" i="71"/>
  <c r="B90" i="71"/>
  <c r="E89" i="71"/>
  <c r="D89" i="71"/>
  <c r="B89" i="71"/>
  <c r="E88" i="71"/>
  <c r="D88" i="71"/>
  <c r="B88" i="71"/>
  <c r="E87" i="71"/>
  <c r="D87" i="71"/>
  <c r="B87" i="71"/>
  <c r="E86" i="71"/>
  <c r="D86" i="71"/>
  <c r="B86" i="71"/>
  <c r="E85" i="71"/>
  <c r="D85" i="71"/>
  <c r="B85" i="71"/>
  <c r="E84" i="71"/>
  <c r="D84" i="71"/>
  <c r="B84" i="71"/>
  <c r="E83" i="71"/>
  <c r="D83" i="71"/>
  <c r="B83" i="71"/>
  <c r="E82" i="71"/>
  <c r="D82" i="71"/>
  <c r="B82" i="71"/>
  <c r="E81" i="71"/>
  <c r="D81" i="71"/>
  <c r="B81" i="71"/>
  <c r="E80" i="71"/>
  <c r="D80" i="71"/>
  <c r="B80" i="71"/>
  <c r="E78" i="71"/>
  <c r="D78" i="71"/>
  <c r="B78" i="71"/>
  <c r="D70" i="71"/>
  <c r="D68" i="71"/>
  <c r="D67" i="71"/>
  <c r="D66" i="71"/>
  <c r="D65" i="71"/>
  <c r="D64" i="71"/>
  <c r="E63" i="71"/>
  <c r="D63" i="71"/>
  <c r="D62" i="71"/>
  <c r="D61" i="71"/>
  <c r="D60" i="71"/>
  <c r="D59" i="71"/>
  <c r="D58" i="71"/>
  <c r="D57" i="71"/>
  <c r="D56" i="71"/>
  <c r="D55" i="71"/>
  <c r="D54" i="71"/>
  <c r="E53" i="71"/>
  <c r="D53" i="71"/>
  <c r="D52" i="71"/>
  <c r="D51" i="71"/>
  <c r="D50" i="71"/>
  <c r="D49" i="71"/>
  <c r="B49" i="71"/>
  <c r="D48" i="71"/>
  <c r="D47" i="71"/>
  <c r="D46" i="71"/>
  <c r="D45" i="71"/>
  <c r="D44" i="71"/>
  <c r="J42" i="71"/>
  <c r="J78" i="71" s="1"/>
  <c r="I42" i="71"/>
  <c r="I78" i="71" s="1"/>
  <c r="H42" i="71"/>
  <c r="H78" i="71" s="1"/>
  <c r="F42" i="71"/>
  <c r="E42" i="71"/>
  <c r="D42" i="71"/>
  <c r="C42" i="71"/>
  <c r="B42" i="71"/>
  <c r="J41" i="71"/>
  <c r="J77" i="71" s="1"/>
  <c r="I41" i="71"/>
  <c r="I77" i="71" s="1"/>
  <c r="H41" i="71"/>
  <c r="H77" i="71" s="1"/>
  <c r="H40" i="71"/>
  <c r="A109" i="71"/>
  <c r="L25" i="18" l="1"/>
  <c r="L26" i="18"/>
  <c r="I44" i="18"/>
  <c r="I43" i="18"/>
  <c r="I14" i="18"/>
  <c r="H76" i="71"/>
  <c r="C51" i="71"/>
  <c r="B57" i="71"/>
  <c r="E49" i="71"/>
  <c r="C67" i="71"/>
  <c r="E66" i="71"/>
  <c r="E44" i="71"/>
  <c r="E62" i="71"/>
  <c r="E50" i="71"/>
  <c r="C55" i="71"/>
  <c r="E58" i="71"/>
  <c r="E70" i="71"/>
  <c r="E55" i="71"/>
  <c r="E48" i="71"/>
  <c r="E59" i="71"/>
  <c r="E68" i="71"/>
  <c r="E52" i="71"/>
  <c r="E56" i="71"/>
  <c r="E60" i="71"/>
  <c r="E65" i="71"/>
  <c r="C46" i="71"/>
  <c r="C49" i="71"/>
  <c r="C65" i="71"/>
  <c r="C45" i="71"/>
  <c r="C47" i="71"/>
  <c r="C44" i="71"/>
  <c r="C70" i="71"/>
  <c r="C53" i="71"/>
  <c r="C48" i="71"/>
  <c r="E47" i="71"/>
  <c r="E45" i="71"/>
  <c r="F53" i="71"/>
  <c r="F56" i="71"/>
  <c r="F63" i="71"/>
  <c r="D142" i="71"/>
  <c r="E51" i="71"/>
  <c r="E54" i="71"/>
  <c r="E64" i="71"/>
  <c r="E67" i="71"/>
  <c r="E46" i="71"/>
  <c r="E57" i="71"/>
  <c r="E61" i="71"/>
  <c r="D106" i="71"/>
  <c r="F60" i="71"/>
  <c r="F66" i="71"/>
  <c r="F65" i="71"/>
  <c r="F49" i="71"/>
  <c r="F55" i="71"/>
  <c r="F61" i="71"/>
  <c r="F45" i="71"/>
  <c r="F47" i="71"/>
  <c r="F51" i="71"/>
  <c r="F58" i="71"/>
  <c r="F68" i="71"/>
  <c r="F54" i="71"/>
  <c r="F52" i="71"/>
  <c r="F59" i="71"/>
  <c r="F70" i="71"/>
  <c r="E106" i="71"/>
  <c r="F64" i="71"/>
  <c r="E142" i="71"/>
  <c r="F44" i="71"/>
  <c r="F46" i="71"/>
  <c r="F48" i="71"/>
  <c r="F50" i="71"/>
  <c r="F62" i="71"/>
  <c r="F57" i="71"/>
  <c r="F67" i="71"/>
  <c r="C57" i="71"/>
  <c r="C59" i="71"/>
  <c r="C61" i="71"/>
  <c r="C63" i="71"/>
  <c r="B65" i="71"/>
  <c r="C50" i="71"/>
  <c r="C52" i="71"/>
  <c r="C54" i="71"/>
  <c r="C56" i="71"/>
  <c r="C58" i="71"/>
  <c r="C60" i="71"/>
  <c r="C62" i="71"/>
  <c r="C64" i="71"/>
  <c r="C66" i="71"/>
  <c r="C68" i="71"/>
  <c r="B51" i="71"/>
  <c r="B59" i="71"/>
  <c r="B67" i="71"/>
  <c r="B48" i="71"/>
  <c r="B56" i="71"/>
  <c r="B64" i="71"/>
  <c r="B54" i="71"/>
  <c r="B62" i="71"/>
  <c r="B50" i="71"/>
  <c r="B58" i="71"/>
  <c r="B66" i="71"/>
  <c r="B46" i="71"/>
  <c r="B45" i="71"/>
  <c r="B53" i="71"/>
  <c r="B61" i="71"/>
  <c r="B47" i="71"/>
  <c r="B55" i="71"/>
  <c r="B63" i="71"/>
  <c r="B70" i="71"/>
  <c r="B44" i="71"/>
  <c r="B52" i="71"/>
  <c r="B60" i="71"/>
  <c r="B68" i="71"/>
  <c r="J15" i="18"/>
  <c r="J31" i="18"/>
  <c r="J32" i="18"/>
  <c r="J27" i="71"/>
  <c r="J17" i="71"/>
  <c r="J26" i="71"/>
  <c r="J18" i="71"/>
  <c r="J12" i="71"/>
  <c r="J30" i="71"/>
  <c r="J22" i="18"/>
  <c r="J23" i="71"/>
  <c r="J31" i="71"/>
  <c r="A73" i="71"/>
  <c r="A37" i="71"/>
  <c r="J54" i="71" l="1"/>
  <c r="J90" i="71" s="1"/>
  <c r="Q47" i="31"/>
  <c r="J62" i="71"/>
  <c r="J98" i="71" s="1"/>
  <c r="Q55" i="31"/>
  <c r="J53" i="71"/>
  <c r="J89" i="71" s="1"/>
  <c r="Q46" i="31"/>
  <c r="J63" i="71"/>
  <c r="J99" i="71" s="1"/>
  <c r="Q56" i="31"/>
  <c r="J67" i="71"/>
  <c r="J103" i="71" s="1"/>
  <c r="Q60" i="31"/>
  <c r="J59" i="71"/>
  <c r="J95" i="71" s="1"/>
  <c r="Q52" i="31"/>
  <c r="J66" i="71"/>
  <c r="J102" i="71" s="1"/>
  <c r="Q59" i="31"/>
  <c r="J48" i="71"/>
  <c r="J84" i="71" s="1"/>
  <c r="Q41" i="31"/>
  <c r="C3" i="83" l="1"/>
  <c r="I3" i="83" s="1"/>
  <c r="A1" i="83" s="1"/>
  <c r="A20" i="62" l="1"/>
  <c r="A18" i="62"/>
  <c r="A17" i="62"/>
  <c r="A16" i="62"/>
  <c r="A14" i="62"/>
  <c r="A13" i="62"/>
  <c r="A12" i="62"/>
  <c r="A10" i="62"/>
  <c r="A9" i="62"/>
  <c r="A8" i="62"/>
  <c r="A7" i="62"/>
  <c r="A23" i="62"/>
  <c r="K20" i="62" l="1"/>
  <c r="J20" i="62"/>
  <c r="I20" i="62"/>
  <c r="H20" i="62"/>
  <c r="L18" i="62"/>
  <c r="K18" i="62"/>
  <c r="J18" i="62"/>
  <c r="I18" i="62"/>
  <c r="H18" i="62"/>
  <c r="L17" i="62"/>
  <c r="K17" i="62"/>
  <c r="J17" i="62"/>
  <c r="I17" i="62"/>
  <c r="H17" i="62"/>
  <c r="L16" i="62"/>
  <c r="J16" i="62"/>
  <c r="I16" i="62"/>
  <c r="H16" i="62"/>
  <c r="L14" i="62"/>
  <c r="K14" i="62"/>
  <c r="J14" i="62"/>
  <c r="I14" i="62"/>
  <c r="H14" i="62"/>
  <c r="L13" i="62"/>
  <c r="K13" i="62"/>
  <c r="J13" i="62"/>
  <c r="I13" i="62"/>
  <c r="H13" i="62"/>
  <c r="L12" i="62"/>
  <c r="K12" i="62"/>
  <c r="J12" i="62"/>
  <c r="I12" i="62"/>
  <c r="H12" i="62"/>
  <c r="L10" i="62"/>
  <c r="K10" i="62"/>
  <c r="J10" i="62"/>
  <c r="I10" i="62"/>
  <c r="H10" i="62"/>
  <c r="L9" i="62"/>
  <c r="K9" i="62"/>
  <c r="J9" i="62"/>
  <c r="I9" i="62"/>
  <c r="H9" i="62"/>
  <c r="L8" i="62"/>
  <c r="K8" i="62"/>
  <c r="J8" i="62"/>
  <c r="I8" i="62"/>
  <c r="H8" i="62"/>
  <c r="L7" i="62"/>
  <c r="J7" i="62"/>
  <c r="I7" i="62"/>
  <c r="H7" i="62"/>
  <c r="L5" i="62"/>
  <c r="K5" i="62"/>
  <c r="J5" i="62"/>
  <c r="I5" i="62"/>
  <c r="H5" i="62"/>
  <c r="A1" i="62"/>
  <c r="K7" i="62" l="1"/>
  <c r="K16" i="62"/>
  <c r="L20" i="62"/>
  <c r="DP82" i="60" l="1"/>
  <c r="CR82" i="60"/>
  <c r="BT82" i="60"/>
  <c r="AV82" i="60"/>
  <c r="X82" i="60"/>
  <c r="DP55" i="60"/>
  <c r="CR55" i="60"/>
  <c r="BT55" i="60"/>
  <c r="AV55" i="60"/>
  <c r="X55" i="60"/>
  <c r="DP3" i="60"/>
  <c r="CR3" i="60"/>
  <c r="BT3" i="60"/>
  <c r="AV3" i="60"/>
  <c r="L9" i="60"/>
  <c r="L10" i="60"/>
  <c r="L11" i="60"/>
  <c r="L12" i="60"/>
  <c r="L13" i="60"/>
  <c r="L14" i="60"/>
  <c r="L15" i="60"/>
  <c r="L16" i="60"/>
  <c r="L17" i="60"/>
  <c r="L18" i="60"/>
  <c r="L19" i="60"/>
  <c r="L20" i="60"/>
  <c r="L21" i="60"/>
  <c r="L22" i="60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39" i="60"/>
  <c r="L40" i="60"/>
  <c r="L41" i="60"/>
  <c r="L42" i="60"/>
  <c r="L43" i="60"/>
  <c r="L44" i="60"/>
  <c r="L45" i="60"/>
  <c r="L46" i="60"/>
  <c r="L47" i="60"/>
  <c r="L48" i="60"/>
  <c r="DP50" i="60"/>
  <c r="DP77" i="60" s="1"/>
  <c r="DJ50" i="60"/>
  <c r="DJ94" i="60" s="1"/>
  <c r="DD50" i="60"/>
  <c r="CX50" i="60"/>
  <c r="CR50" i="60"/>
  <c r="CR94" i="60" s="1"/>
  <c r="CL50" i="60"/>
  <c r="CL77" i="60" s="1"/>
  <c r="CF50" i="60"/>
  <c r="CF94" i="60" s="1"/>
  <c r="BZ50" i="60"/>
  <c r="BZ94" i="60" s="1"/>
  <c r="BT50" i="60"/>
  <c r="BT94" i="60" s="1"/>
  <c r="BN50" i="60"/>
  <c r="BN77" i="60" s="1"/>
  <c r="BH50" i="60"/>
  <c r="BB50" i="60"/>
  <c r="AV50" i="60"/>
  <c r="AV94" i="60" s="1"/>
  <c r="AP50" i="60"/>
  <c r="AP94" i="60" s="1"/>
  <c r="AJ50" i="60"/>
  <c r="AJ77" i="60" s="1"/>
  <c r="AD50" i="60"/>
  <c r="AD94" i="60" s="1"/>
  <c r="X50" i="60"/>
  <c r="X94" i="60" s="1"/>
  <c r="R50" i="60"/>
  <c r="R94" i="60" s="1"/>
  <c r="L50" i="60"/>
  <c r="F50" i="60"/>
  <c r="DP48" i="60"/>
  <c r="DP47" i="60"/>
  <c r="DP46" i="60"/>
  <c r="DP45" i="60"/>
  <c r="DP44" i="60"/>
  <c r="DP43" i="60"/>
  <c r="DP42" i="60"/>
  <c r="DP41" i="60"/>
  <c r="DP40" i="60"/>
  <c r="DP39" i="60"/>
  <c r="DP38" i="60"/>
  <c r="DP37" i="60"/>
  <c r="DP36" i="60"/>
  <c r="DP35" i="60"/>
  <c r="DP34" i="60"/>
  <c r="DP33" i="60"/>
  <c r="DP32" i="60"/>
  <c r="DP31" i="60"/>
  <c r="DP30" i="60"/>
  <c r="DP29" i="60"/>
  <c r="DP28" i="60"/>
  <c r="DP27" i="60"/>
  <c r="DP26" i="60"/>
  <c r="DP25" i="60"/>
  <c r="DP24" i="60"/>
  <c r="DP23" i="60"/>
  <c r="DP22" i="60"/>
  <c r="DP21" i="60"/>
  <c r="DP20" i="60"/>
  <c r="DP19" i="60"/>
  <c r="DP18" i="60"/>
  <c r="DP17" i="60"/>
  <c r="DP16" i="60"/>
  <c r="DP15" i="60"/>
  <c r="DP14" i="60"/>
  <c r="DP13" i="60"/>
  <c r="DP12" i="60"/>
  <c r="DP11" i="60"/>
  <c r="DP10" i="60"/>
  <c r="DP9" i="60"/>
  <c r="DP8" i="60"/>
  <c r="DJ48" i="60"/>
  <c r="DJ47" i="60"/>
  <c r="DJ46" i="60"/>
  <c r="DJ45" i="60"/>
  <c r="DJ44" i="60"/>
  <c r="DJ43" i="60"/>
  <c r="DJ42" i="60"/>
  <c r="DJ41" i="60"/>
  <c r="DJ40" i="60"/>
  <c r="DJ39" i="60"/>
  <c r="DJ38" i="60"/>
  <c r="DJ37" i="60"/>
  <c r="DJ36" i="60"/>
  <c r="DJ35" i="60"/>
  <c r="DJ34" i="60"/>
  <c r="DJ33" i="60"/>
  <c r="DJ32" i="60"/>
  <c r="DJ31" i="60"/>
  <c r="DJ30" i="60"/>
  <c r="DJ29" i="60"/>
  <c r="DJ28" i="60"/>
  <c r="DJ27" i="60"/>
  <c r="DJ26" i="60"/>
  <c r="DJ25" i="60"/>
  <c r="DJ24" i="60"/>
  <c r="DJ23" i="60"/>
  <c r="DJ22" i="60"/>
  <c r="DJ21" i="60"/>
  <c r="DJ20" i="60"/>
  <c r="DJ19" i="60"/>
  <c r="DJ18" i="60"/>
  <c r="DJ17" i="60"/>
  <c r="DJ16" i="60"/>
  <c r="DJ15" i="60"/>
  <c r="DJ14" i="60"/>
  <c r="DJ13" i="60"/>
  <c r="DJ12" i="60"/>
  <c r="DJ11" i="60"/>
  <c r="DJ10" i="60"/>
  <c r="DJ9" i="60"/>
  <c r="DJ8" i="60"/>
  <c r="DD48" i="60"/>
  <c r="DD47" i="60"/>
  <c r="DD46" i="60"/>
  <c r="DD45" i="60"/>
  <c r="DD44" i="60"/>
  <c r="DD43" i="60"/>
  <c r="DD42" i="60"/>
  <c r="DD41" i="60"/>
  <c r="DD40" i="60"/>
  <c r="DD39" i="60"/>
  <c r="DD38" i="60"/>
  <c r="DD37" i="60"/>
  <c r="DD36" i="60"/>
  <c r="DD35" i="60"/>
  <c r="DD34" i="60"/>
  <c r="DD33" i="60"/>
  <c r="DD32" i="60"/>
  <c r="DD31" i="60"/>
  <c r="DD30" i="60"/>
  <c r="DD29" i="60"/>
  <c r="DD28" i="60"/>
  <c r="DD27" i="60"/>
  <c r="DD26" i="60"/>
  <c r="DD25" i="60"/>
  <c r="DD24" i="60"/>
  <c r="DD23" i="60"/>
  <c r="DD22" i="60"/>
  <c r="DD21" i="60"/>
  <c r="DD20" i="60"/>
  <c r="DD19" i="60"/>
  <c r="DD18" i="60"/>
  <c r="DD17" i="60"/>
  <c r="DD16" i="60"/>
  <c r="DD15" i="60"/>
  <c r="DD14" i="60"/>
  <c r="DD13" i="60"/>
  <c r="DD12" i="60"/>
  <c r="DD11" i="60"/>
  <c r="DD10" i="60"/>
  <c r="DD9" i="60"/>
  <c r="DD8" i="60"/>
  <c r="CX48" i="60"/>
  <c r="CX47" i="60"/>
  <c r="CX46" i="60"/>
  <c r="CX45" i="60"/>
  <c r="CX44" i="60"/>
  <c r="CX43" i="60"/>
  <c r="CX42" i="60"/>
  <c r="CX41" i="60"/>
  <c r="CX40" i="60"/>
  <c r="CX39" i="60"/>
  <c r="CX38" i="60"/>
  <c r="CX37" i="60"/>
  <c r="CX36" i="60"/>
  <c r="CX35" i="60"/>
  <c r="CX34" i="60"/>
  <c r="CX33" i="60"/>
  <c r="CX32" i="60"/>
  <c r="CX31" i="60"/>
  <c r="CX30" i="60"/>
  <c r="CX29" i="60"/>
  <c r="CX28" i="60"/>
  <c r="CX27" i="60"/>
  <c r="CX26" i="60"/>
  <c r="CX25" i="60"/>
  <c r="CX24" i="60"/>
  <c r="CX23" i="60"/>
  <c r="CX22" i="60"/>
  <c r="CX21" i="60"/>
  <c r="CX20" i="60"/>
  <c r="CX19" i="60"/>
  <c r="CX18" i="60"/>
  <c r="CX17" i="60"/>
  <c r="CX16" i="60"/>
  <c r="CX15" i="60"/>
  <c r="CX14" i="60"/>
  <c r="CX13" i="60"/>
  <c r="CX12" i="60"/>
  <c r="CX11" i="60"/>
  <c r="CX10" i="60"/>
  <c r="CX9" i="60"/>
  <c r="CX8" i="60"/>
  <c r="CR48" i="60"/>
  <c r="CR47" i="60"/>
  <c r="CR46" i="60"/>
  <c r="CR45" i="60"/>
  <c r="CR44" i="60"/>
  <c r="CR43" i="60"/>
  <c r="CR42" i="60"/>
  <c r="CR41" i="60"/>
  <c r="CR40" i="60"/>
  <c r="CR39" i="60"/>
  <c r="CR38" i="60"/>
  <c r="CR37" i="60"/>
  <c r="CR36" i="60"/>
  <c r="CR35" i="60"/>
  <c r="CR34" i="60"/>
  <c r="CR33" i="60"/>
  <c r="CR32" i="60"/>
  <c r="CR31" i="60"/>
  <c r="CR30" i="60"/>
  <c r="CR29" i="60"/>
  <c r="CR28" i="60"/>
  <c r="CR27" i="60"/>
  <c r="CR26" i="60"/>
  <c r="CR25" i="60"/>
  <c r="CR24" i="60"/>
  <c r="CR23" i="60"/>
  <c r="CR22" i="60"/>
  <c r="CR21" i="60"/>
  <c r="CR20" i="60"/>
  <c r="CR19" i="60"/>
  <c r="CR18" i="60"/>
  <c r="CR17" i="60"/>
  <c r="CR16" i="60"/>
  <c r="CR15" i="60"/>
  <c r="CR14" i="60"/>
  <c r="CR13" i="60"/>
  <c r="CR12" i="60"/>
  <c r="CR11" i="60"/>
  <c r="CR10" i="60"/>
  <c r="CR9" i="60"/>
  <c r="CR8" i="60"/>
  <c r="CL48" i="60"/>
  <c r="CL47" i="60"/>
  <c r="CL46" i="60"/>
  <c r="CL45" i="60"/>
  <c r="CL44" i="60"/>
  <c r="CL43" i="60"/>
  <c r="CL42" i="60"/>
  <c r="CL41" i="60"/>
  <c r="CL40" i="60"/>
  <c r="CL39" i="60"/>
  <c r="CL38" i="60"/>
  <c r="CL37" i="60"/>
  <c r="CL36" i="60"/>
  <c r="CL35" i="60"/>
  <c r="CL34" i="60"/>
  <c r="CL33" i="60"/>
  <c r="CL32" i="60"/>
  <c r="CL31" i="60"/>
  <c r="CL30" i="60"/>
  <c r="CL29" i="60"/>
  <c r="CL28" i="60"/>
  <c r="CL27" i="60"/>
  <c r="CL26" i="60"/>
  <c r="CL25" i="60"/>
  <c r="CL24" i="60"/>
  <c r="CL23" i="60"/>
  <c r="CL22" i="60"/>
  <c r="CL21" i="60"/>
  <c r="CL20" i="60"/>
  <c r="CL19" i="60"/>
  <c r="CL18" i="60"/>
  <c r="CL17" i="60"/>
  <c r="CL16" i="60"/>
  <c r="CL15" i="60"/>
  <c r="CL14" i="60"/>
  <c r="CL13" i="60"/>
  <c r="CL12" i="60"/>
  <c r="CL11" i="60"/>
  <c r="CL10" i="60"/>
  <c r="CL9" i="60"/>
  <c r="CL8" i="60"/>
  <c r="CF48" i="60"/>
  <c r="CF47" i="60"/>
  <c r="CF46" i="60"/>
  <c r="CF45" i="60"/>
  <c r="CF44" i="60"/>
  <c r="CF43" i="60"/>
  <c r="CF42" i="60"/>
  <c r="CF41" i="60"/>
  <c r="CF40" i="60"/>
  <c r="CF39" i="60"/>
  <c r="CF38" i="60"/>
  <c r="CF37" i="60"/>
  <c r="CF36" i="60"/>
  <c r="CF35" i="60"/>
  <c r="CF34" i="60"/>
  <c r="CF33" i="60"/>
  <c r="CF32" i="60"/>
  <c r="CF31" i="60"/>
  <c r="CF30" i="60"/>
  <c r="CF29" i="60"/>
  <c r="CF28" i="60"/>
  <c r="CF27" i="60"/>
  <c r="CF26" i="60"/>
  <c r="CF25" i="60"/>
  <c r="CF24" i="60"/>
  <c r="CF23" i="60"/>
  <c r="CF22" i="60"/>
  <c r="CF21" i="60"/>
  <c r="CF20" i="60"/>
  <c r="CF19" i="60"/>
  <c r="CF18" i="60"/>
  <c r="CF17" i="60"/>
  <c r="CF16" i="60"/>
  <c r="CF15" i="60"/>
  <c r="CF14" i="60"/>
  <c r="CF13" i="60"/>
  <c r="CF12" i="60"/>
  <c r="CF11" i="60"/>
  <c r="CF10" i="60"/>
  <c r="CF9" i="60"/>
  <c r="CF8" i="60"/>
  <c r="BZ48" i="60"/>
  <c r="BZ47" i="60"/>
  <c r="BZ46" i="60"/>
  <c r="BZ45" i="60"/>
  <c r="BZ44" i="60"/>
  <c r="BZ43" i="60"/>
  <c r="BZ42" i="60"/>
  <c r="BZ41" i="60"/>
  <c r="BZ40" i="60"/>
  <c r="BZ39" i="60"/>
  <c r="BZ38" i="60"/>
  <c r="BZ37" i="60"/>
  <c r="BZ36" i="60"/>
  <c r="BZ35" i="60"/>
  <c r="BZ34" i="60"/>
  <c r="BZ33" i="60"/>
  <c r="BZ32" i="60"/>
  <c r="BZ31" i="60"/>
  <c r="BZ30" i="60"/>
  <c r="BZ29" i="60"/>
  <c r="BZ28" i="60"/>
  <c r="BZ27" i="60"/>
  <c r="BZ26" i="60"/>
  <c r="BZ25" i="60"/>
  <c r="BZ24" i="60"/>
  <c r="BZ23" i="60"/>
  <c r="BZ22" i="60"/>
  <c r="BZ21" i="60"/>
  <c r="BZ20" i="60"/>
  <c r="BZ19" i="60"/>
  <c r="BZ18" i="60"/>
  <c r="BZ17" i="60"/>
  <c r="BZ16" i="60"/>
  <c r="BZ15" i="60"/>
  <c r="BZ14" i="60"/>
  <c r="BZ13" i="60"/>
  <c r="BZ12" i="60"/>
  <c r="BZ11" i="60"/>
  <c r="BZ10" i="60"/>
  <c r="BZ9" i="60"/>
  <c r="BZ8" i="60"/>
  <c r="BT48" i="60"/>
  <c r="BT47" i="60"/>
  <c r="BT46" i="60"/>
  <c r="BT45" i="60"/>
  <c r="BT44" i="60"/>
  <c r="BT43" i="60"/>
  <c r="BT42" i="60"/>
  <c r="BT41" i="60"/>
  <c r="BT40" i="60"/>
  <c r="BT39" i="60"/>
  <c r="BT38" i="60"/>
  <c r="BT37" i="60"/>
  <c r="BT36" i="60"/>
  <c r="BT35" i="60"/>
  <c r="BT34" i="60"/>
  <c r="BT33" i="60"/>
  <c r="BT32" i="60"/>
  <c r="BT31" i="60"/>
  <c r="BT30" i="60"/>
  <c r="BT29" i="60"/>
  <c r="BT28" i="60"/>
  <c r="BT27" i="60"/>
  <c r="BT26" i="60"/>
  <c r="BT25" i="60"/>
  <c r="BT24" i="60"/>
  <c r="BT23" i="60"/>
  <c r="BT22" i="60"/>
  <c r="BT21" i="60"/>
  <c r="BT20" i="60"/>
  <c r="BT19" i="60"/>
  <c r="BT18" i="60"/>
  <c r="BT17" i="60"/>
  <c r="BT16" i="60"/>
  <c r="BT15" i="60"/>
  <c r="BT14" i="60"/>
  <c r="BT13" i="60"/>
  <c r="BT12" i="60"/>
  <c r="BT11" i="60"/>
  <c r="BT10" i="60"/>
  <c r="BT9" i="60"/>
  <c r="BT8" i="60"/>
  <c r="BN48" i="60"/>
  <c r="BN47" i="60"/>
  <c r="BN46" i="60"/>
  <c r="BN45" i="60"/>
  <c r="BN44" i="60"/>
  <c r="BN43" i="60"/>
  <c r="BN42" i="60"/>
  <c r="BN41" i="60"/>
  <c r="BN40" i="60"/>
  <c r="BN39" i="60"/>
  <c r="BN38" i="60"/>
  <c r="BN37" i="60"/>
  <c r="BN36" i="60"/>
  <c r="BN35" i="60"/>
  <c r="BN34" i="60"/>
  <c r="BN33" i="60"/>
  <c r="BN32" i="60"/>
  <c r="BN31" i="60"/>
  <c r="BN30" i="60"/>
  <c r="BN29" i="60"/>
  <c r="BN28" i="60"/>
  <c r="BN27" i="60"/>
  <c r="BN26" i="60"/>
  <c r="BN25" i="60"/>
  <c r="BN24" i="60"/>
  <c r="BN23" i="60"/>
  <c r="BN22" i="60"/>
  <c r="BN21" i="60"/>
  <c r="BN20" i="60"/>
  <c r="BN19" i="60"/>
  <c r="BN18" i="60"/>
  <c r="BN17" i="60"/>
  <c r="BN16" i="60"/>
  <c r="BN15" i="60"/>
  <c r="BN14" i="60"/>
  <c r="BN13" i="60"/>
  <c r="BN12" i="60"/>
  <c r="BN11" i="60"/>
  <c r="BN10" i="60"/>
  <c r="BN9" i="60"/>
  <c r="BN8" i="60"/>
  <c r="BH48" i="60"/>
  <c r="BH47" i="60"/>
  <c r="BH46" i="60"/>
  <c r="BH45" i="60"/>
  <c r="BH44" i="60"/>
  <c r="BH43" i="60"/>
  <c r="BH42" i="60"/>
  <c r="BH41" i="60"/>
  <c r="BH40" i="60"/>
  <c r="BH39" i="60"/>
  <c r="BH38" i="60"/>
  <c r="BH37" i="60"/>
  <c r="BH36" i="60"/>
  <c r="BH35" i="60"/>
  <c r="BH34" i="60"/>
  <c r="BH33" i="60"/>
  <c r="BH32" i="60"/>
  <c r="BH31" i="60"/>
  <c r="BH30" i="60"/>
  <c r="BH29" i="60"/>
  <c r="BH28" i="60"/>
  <c r="BH27" i="60"/>
  <c r="BH26" i="60"/>
  <c r="BH25" i="60"/>
  <c r="BH24" i="60"/>
  <c r="BH23" i="60"/>
  <c r="BH22" i="60"/>
  <c r="BH21" i="60"/>
  <c r="BH20" i="60"/>
  <c r="BH19" i="60"/>
  <c r="BH18" i="60"/>
  <c r="BH17" i="60"/>
  <c r="BH16" i="60"/>
  <c r="BH15" i="60"/>
  <c r="BH14" i="60"/>
  <c r="BH13" i="60"/>
  <c r="BH12" i="60"/>
  <c r="BH11" i="60"/>
  <c r="BH10" i="60"/>
  <c r="BH9" i="60"/>
  <c r="BH8" i="60"/>
  <c r="BB48" i="60"/>
  <c r="BB47" i="60"/>
  <c r="BB46" i="60"/>
  <c r="BB45" i="60"/>
  <c r="BB44" i="60"/>
  <c r="BB43" i="60"/>
  <c r="BB42" i="60"/>
  <c r="BB41" i="60"/>
  <c r="BB40" i="60"/>
  <c r="BB39" i="60"/>
  <c r="BB38" i="60"/>
  <c r="BB37" i="60"/>
  <c r="BB36" i="60"/>
  <c r="BB35" i="60"/>
  <c r="BB34" i="60"/>
  <c r="BB33" i="60"/>
  <c r="BB32" i="60"/>
  <c r="BB31" i="60"/>
  <c r="BB30" i="60"/>
  <c r="BB29" i="60"/>
  <c r="BB28" i="60"/>
  <c r="BB27" i="60"/>
  <c r="BB26" i="60"/>
  <c r="BB25" i="60"/>
  <c r="BB24" i="60"/>
  <c r="BB23" i="60"/>
  <c r="BB22" i="60"/>
  <c r="BB21" i="60"/>
  <c r="BB20" i="60"/>
  <c r="BB19" i="60"/>
  <c r="BB18" i="60"/>
  <c r="BB17" i="60"/>
  <c r="BB16" i="60"/>
  <c r="BB15" i="60"/>
  <c r="BB14" i="60"/>
  <c r="BB13" i="60"/>
  <c r="BB12" i="60"/>
  <c r="BB11" i="60"/>
  <c r="BB10" i="60"/>
  <c r="BB9" i="60"/>
  <c r="BB8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AV15" i="60"/>
  <c r="AV14" i="60"/>
  <c r="AV13" i="60"/>
  <c r="AV12" i="60"/>
  <c r="AV11" i="60"/>
  <c r="AV10" i="60"/>
  <c r="AV9" i="60"/>
  <c r="AV8" i="60"/>
  <c r="AP48" i="60"/>
  <c r="AP47" i="60"/>
  <c r="AP46" i="60"/>
  <c r="AP45" i="60"/>
  <c r="AP44" i="60"/>
  <c r="AP43" i="60"/>
  <c r="AP42" i="60"/>
  <c r="AP41" i="60"/>
  <c r="AP40" i="60"/>
  <c r="AP39" i="60"/>
  <c r="AP38" i="60"/>
  <c r="AP37" i="60"/>
  <c r="AP36" i="60"/>
  <c r="AP35" i="60"/>
  <c r="AP34" i="60"/>
  <c r="AP33" i="60"/>
  <c r="AP32" i="60"/>
  <c r="AP31" i="60"/>
  <c r="AP30" i="60"/>
  <c r="AP29" i="60"/>
  <c r="AP28" i="60"/>
  <c r="AP27" i="60"/>
  <c r="AP26" i="60"/>
  <c r="AP25" i="60"/>
  <c r="AP24" i="60"/>
  <c r="AP23" i="60"/>
  <c r="AP22" i="60"/>
  <c r="AP21" i="60"/>
  <c r="AP20" i="60"/>
  <c r="AP19" i="60"/>
  <c r="AP18" i="60"/>
  <c r="AP17" i="60"/>
  <c r="AP16" i="60"/>
  <c r="AP15" i="60"/>
  <c r="AP14" i="60"/>
  <c r="AP13" i="60"/>
  <c r="AP12" i="60"/>
  <c r="AP11" i="60"/>
  <c r="AP10" i="60"/>
  <c r="AP9" i="60"/>
  <c r="AP8" i="60"/>
  <c r="AJ48" i="60"/>
  <c r="AJ47" i="60"/>
  <c r="AJ46" i="60"/>
  <c r="AJ45" i="60"/>
  <c r="AJ44" i="60"/>
  <c r="AJ43" i="60"/>
  <c r="AJ42" i="60"/>
  <c r="AJ41" i="60"/>
  <c r="AJ40" i="60"/>
  <c r="AJ39" i="60"/>
  <c r="AJ38" i="60"/>
  <c r="AJ37" i="60"/>
  <c r="AJ36" i="60"/>
  <c r="AJ35" i="60"/>
  <c r="AJ34" i="60"/>
  <c r="AJ33" i="60"/>
  <c r="AJ32" i="60"/>
  <c r="AJ31" i="60"/>
  <c r="AJ30" i="60"/>
  <c r="AJ29" i="60"/>
  <c r="AJ28" i="60"/>
  <c r="AJ27" i="60"/>
  <c r="AJ26" i="60"/>
  <c r="AJ25" i="60"/>
  <c r="AJ24" i="60"/>
  <c r="AJ23" i="60"/>
  <c r="AJ22" i="60"/>
  <c r="AJ21" i="60"/>
  <c r="AJ20" i="60"/>
  <c r="AJ19" i="60"/>
  <c r="AJ18" i="60"/>
  <c r="AJ17" i="60"/>
  <c r="AJ16" i="60"/>
  <c r="AJ15" i="60"/>
  <c r="AJ14" i="60"/>
  <c r="AJ13" i="60"/>
  <c r="AJ12" i="60"/>
  <c r="AJ11" i="60"/>
  <c r="AJ10" i="60"/>
  <c r="AJ9" i="60"/>
  <c r="AJ8" i="60"/>
  <c r="AD48" i="60"/>
  <c r="AD47" i="60"/>
  <c r="AD46" i="60"/>
  <c r="AD45" i="60"/>
  <c r="AD44" i="60"/>
  <c r="AD43" i="60"/>
  <c r="AD42" i="60"/>
  <c r="AD41" i="60"/>
  <c r="AD40" i="60"/>
  <c r="AD39" i="60"/>
  <c r="AD38" i="60"/>
  <c r="AD37" i="60"/>
  <c r="AD36" i="60"/>
  <c r="AD35" i="60"/>
  <c r="AD34" i="60"/>
  <c r="AD33" i="60"/>
  <c r="AD32" i="60"/>
  <c r="AD31" i="60"/>
  <c r="AD30" i="60"/>
  <c r="AD29" i="60"/>
  <c r="AD28" i="60"/>
  <c r="AD27" i="60"/>
  <c r="AD26" i="60"/>
  <c r="AD25" i="60"/>
  <c r="AD24" i="60"/>
  <c r="AD23" i="60"/>
  <c r="AD22" i="60"/>
  <c r="AD21" i="60"/>
  <c r="AD20" i="60"/>
  <c r="AD19" i="60"/>
  <c r="AD18" i="60"/>
  <c r="AD17" i="60"/>
  <c r="AD16" i="60"/>
  <c r="AD15" i="60"/>
  <c r="AD14" i="60"/>
  <c r="AD13" i="60"/>
  <c r="AD12" i="60"/>
  <c r="AD11" i="60"/>
  <c r="AD10" i="60"/>
  <c r="AD9" i="60"/>
  <c r="AD8" i="60"/>
  <c r="X48" i="60"/>
  <c r="X47" i="60"/>
  <c r="X46" i="60"/>
  <c r="X45" i="60"/>
  <c r="X44" i="60"/>
  <c r="X43" i="60"/>
  <c r="X42" i="60"/>
  <c r="X41" i="60"/>
  <c r="X40" i="60"/>
  <c r="X39" i="60"/>
  <c r="X38" i="60"/>
  <c r="X37" i="60"/>
  <c r="X36" i="60"/>
  <c r="X35" i="60"/>
  <c r="X34" i="60"/>
  <c r="X33" i="60"/>
  <c r="X32" i="60"/>
  <c r="X31" i="60"/>
  <c r="X30" i="60"/>
  <c r="X29" i="60"/>
  <c r="X28" i="60"/>
  <c r="X27" i="60"/>
  <c r="X26" i="60"/>
  <c r="X25" i="60"/>
  <c r="X24" i="60"/>
  <c r="X23" i="60"/>
  <c r="X22" i="60"/>
  <c r="X21" i="60"/>
  <c r="X20" i="60"/>
  <c r="X19" i="60"/>
  <c r="X18" i="60"/>
  <c r="X17" i="60"/>
  <c r="X16" i="60"/>
  <c r="X15" i="60"/>
  <c r="X14" i="60"/>
  <c r="X13" i="60"/>
  <c r="X12" i="60"/>
  <c r="X11" i="60"/>
  <c r="X10" i="60"/>
  <c r="X9" i="60"/>
  <c r="X8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R11" i="60"/>
  <c r="R10" i="60"/>
  <c r="R9" i="60"/>
  <c r="R8" i="60"/>
  <c r="L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8" i="60"/>
  <c r="DP94" i="60"/>
  <c r="DO94" i="60"/>
  <c r="DN94" i="60"/>
  <c r="DM94" i="60"/>
  <c r="DI94" i="60"/>
  <c r="DH94" i="60"/>
  <c r="DG94" i="60"/>
  <c r="DD94" i="60"/>
  <c r="DC94" i="60"/>
  <c r="DB94" i="60"/>
  <c r="DA94" i="60"/>
  <c r="CX94" i="60"/>
  <c r="CW94" i="60"/>
  <c r="CV94" i="60"/>
  <c r="CU94" i="60"/>
  <c r="DO87" i="60" a="1"/>
  <c r="DO92" i="60" s="1"/>
  <c r="DN87" i="60" a="1"/>
  <c r="DN91" i="60" s="1"/>
  <c r="DM87" i="60" a="1"/>
  <c r="DM92" i="60" s="1"/>
  <c r="DI87" i="60" a="1"/>
  <c r="DI91" i="60" s="1"/>
  <c r="DH87" i="60" a="1"/>
  <c r="DH92" i="60" s="1"/>
  <c r="DG87" i="60" a="1"/>
  <c r="DG91" i="60" s="1"/>
  <c r="DC87" i="60" a="1"/>
  <c r="DC92" i="60" s="1"/>
  <c r="DB87" i="60" a="1"/>
  <c r="DB91" i="60" s="1"/>
  <c r="DA87" i="60" a="1"/>
  <c r="DA92" i="60" s="1"/>
  <c r="CW87" i="60" a="1"/>
  <c r="CW91" i="60" s="1"/>
  <c r="CV87" i="60" a="1"/>
  <c r="CV92" i="60" s="1"/>
  <c r="CU87" i="60" a="1"/>
  <c r="CU91" i="60" s="1"/>
  <c r="CX85" i="60"/>
  <c r="DD85" i="60" s="1"/>
  <c r="DJ85" i="60" s="1"/>
  <c r="DP85" i="60" s="1"/>
  <c r="CW85" i="60"/>
  <c r="DC85" i="60" s="1"/>
  <c r="DI85" i="60" s="1"/>
  <c r="DO85" i="60" s="1"/>
  <c r="CV85" i="60"/>
  <c r="DB85" i="60" s="1"/>
  <c r="DH85" i="60" s="1"/>
  <c r="DN85" i="60" s="1"/>
  <c r="CT85" i="60"/>
  <c r="CZ85" i="60" s="1"/>
  <c r="DF85" i="60" s="1"/>
  <c r="DL85" i="60" s="1"/>
  <c r="DO77" i="60"/>
  <c r="DN77" i="60"/>
  <c r="DM77" i="60"/>
  <c r="DI77" i="60"/>
  <c r="DH77" i="60"/>
  <c r="DG77" i="60"/>
  <c r="DD77" i="60"/>
  <c r="DC77" i="60"/>
  <c r="DB77" i="60"/>
  <c r="DA77" i="60"/>
  <c r="CX77" i="60"/>
  <c r="CW77" i="60"/>
  <c r="CV77" i="60"/>
  <c r="CU77" i="60"/>
  <c r="DO60" i="60" a="1"/>
  <c r="DO75" i="60" s="1"/>
  <c r="DN60" i="60" a="1"/>
  <c r="DN74" i="60" s="1"/>
  <c r="DM60" i="60" a="1"/>
  <c r="DM75" i="60" s="1"/>
  <c r="DI60" i="60" a="1"/>
  <c r="DI74" i="60" s="1"/>
  <c r="DH60" i="60" a="1"/>
  <c r="DH75" i="60" s="1"/>
  <c r="DG60" i="60" a="1"/>
  <c r="DG74" i="60" s="1"/>
  <c r="DC60" i="60" a="1"/>
  <c r="DC75" i="60" s="1"/>
  <c r="DB60" i="60" a="1"/>
  <c r="DB74" i="60" s="1"/>
  <c r="DA60" i="60" a="1"/>
  <c r="DA75" i="60" s="1"/>
  <c r="CW60" i="60" a="1"/>
  <c r="CW74" i="60" s="1"/>
  <c r="CV60" i="60" a="1"/>
  <c r="CV75" i="60" s="1"/>
  <c r="CU60" i="60" a="1"/>
  <c r="CU74" i="60" s="1"/>
  <c r="DD58" i="60"/>
  <c r="DJ58" i="60" s="1"/>
  <c r="DP58" i="60" s="1"/>
  <c r="CX58" i="60"/>
  <c r="CW58" i="60"/>
  <c r="DC58" i="60" s="1"/>
  <c r="DI58" i="60" s="1"/>
  <c r="DO58" i="60" s="1"/>
  <c r="CV58" i="60"/>
  <c r="DB58" i="60" s="1"/>
  <c r="DH58" i="60" s="1"/>
  <c r="DN58" i="60" s="1"/>
  <c r="CT58" i="60"/>
  <c r="CZ58" i="60" s="1"/>
  <c r="DF58" i="60" s="1"/>
  <c r="DL58" i="60" s="1"/>
  <c r="DD6" i="60"/>
  <c r="DJ6" i="60" s="1"/>
  <c r="DP6" i="60" s="1"/>
  <c r="DC6" i="60"/>
  <c r="DI6" i="60" s="1"/>
  <c r="DO6" i="60" s="1"/>
  <c r="DB6" i="60"/>
  <c r="DH6" i="60" s="1"/>
  <c r="DN6" i="60" s="1"/>
  <c r="CZ6" i="60"/>
  <c r="DF6" i="60" s="1"/>
  <c r="DL6" i="60" s="1"/>
  <c r="CQ94" i="60"/>
  <c r="CP94" i="60"/>
  <c r="CO94" i="60"/>
  <c r="CK94" i="60"/>
  <c r="CJ94" i="60"/>
  <c r="CI94" i="60"/>
  <c r="CE94" i="60"/>
  <c r="CD94" i="60"/>
  <c r="CC94" i="60"/>
  <c r="BY94" i="60"/>
  <c r="BX94" i="60"/>
  <c r="BW94" i="60"/>
  <c r="CQ87" i="60" a="1"/>
  <c r="CQ92" i="60" s="1"/>
  <c r="CP87" i="60" a="1"/>
  <c r="CP91" i="60" s="1"/>
  <c r="CO87" i="60" a="1"/>
  <c r="CO92" i="60" s="1"/>
  <c r="CK87" i="60" a="1"/>
  <c r="CK91" i="60" s="1"/>
  <c r="CJ87" i="60" a="1"/>
  <c r="CJ92" i="60" s="1"/>
  <c r="CI87" i="60" a="1"/>
  <c r="CI92" i="60" s="1"/>
  <c r="CE87" i="60" a="1"/>
  <c r="CE92" i="60" s="1"/>
  <c r="CD87" i="60" a="1"/>
  <c r="CD91" i="60" s="1"/>
  <c r="CC87" i="60" a="1"/>
  <c r="CC92" i="60" s="1"/>
  <c r="BY87" i="60" a="1"/>
  <c r="BY92" i="60" s="1"/>
  <c r="BX87" i="60" a="1"/>
  <c r="BX92" i="60" s="1"/>
  <c r="BW87" i="60" a="1"/>
  <c r="BW92" i="60" s="1"/>
  <c r="BZ85" i="60"/>
  <c r="CF85" i="60" s="1"/>
  <c r="CL85" i="60" s="1"/>
  <c r="CR85" i="60" s="1"/>
  <c r="BY85" i="60"/>
  <c r="CE85" i="60" s="1"/>
  <c r="CK85" i="60" s="1"/>
  <c r="CQ85" i="60" s="1"/>
  <c r="BX85" i="60"/>
  <c r="CD85" i="60" s="1"/>
  <c r="CJ85" i="60" s="1"/>
  <c r="CP85" i="60" s="1"/>
  <c r="BV85" i="60"/>
  <c r="CB85" i="60" s="1"/>
  <c r="CH85" i="60" s="1"/>
  <c r="CN85" i="60" s="1"/>
  <c r="CQ77" i="60"/>
  <c r="CP77" i="60"/>
  <c r="CO77" i="60"/>
  <c r="CK77" i="60"/>
  <c r="CJ77" i="60"/>
  <c r="CI77" i="60"/>
  <c r="CE77" i="60"/>
  <c r="CD77" i="60"/>
  <c r="CC77" i="60"/>
  <c r="BY77" i="60"/>
  <c r="BX77" i="60"/>
  <c r="BW77" i="60"/>
  <c r="CQ60" i="60" a="1"/>
  <c r="CQ75" i="60" s="1"/>
  <c r="CP60" i="60" a="1"/>
  <c r="CP74" i="60" s="1"/>
  <c r="CO60" i="60" a="1"/>
  <c r="CO75" i="60" s="1"/>
  <c r="CK60" i="60" a="1"/>
  <c r="CK75" i="60" s="1"/>
  <c r="CJ60" i="60" a="1"/>
  <c r="CJ75" i="60" s="1"/>
  <c r="CI60" i="60" a="1"/>
  <c r="CI75" i="60" s="1"/>
  <c r="CE60" i="60" a="1"/>
  <c r="CE75" i="60" s="1"/>
  <c r="CD60" i="60" a="1"/>
  <c r="CD74" i="60" s="1"/>
  <c r="CC60" i="60" a="1"/>
  <c r="CC75" i="60" s="1"/>
  <c r="BY60" i="60" a="1"/>
  <c r="BY75" i="60" s="1"/>
  <c r="BX60" i="60" a="1"/>
  <c r="BX75" i="60" s="1"/>
  <c r="BW60" i="60" a="1"/>
  <c r="BW75" i="60" s="1"/>
  <c r="BZ58" i="60"/>
  <c r="CF58" i="60" s="1"/>
  <c r="CL58" i="60" s="1"/>
  <c r="CR58" i="60" s="1"/>
  <c r="BY58" i="60"/>
  <c r="CE58" i="60" s="1"/>
  <c r="CK58" i="60" s="1"/>
  <c r="CQ58" i="60" s="1"/>
  <c r="BX58" i="60"/>
  <c r="CD58" i="60" s="1"/>
  <c r="CJ58" i="60" s="1"/>
  <c r="CP58" i="60" s="1"/>
  <c r="BV58" i="60"/>
  <c r="CB58" i="60" s="1"/>
  <c r="CH58" i="60" s="1"/>
  <c r="CN58" i="60" s="1"/>
  <c r="CF6" i="60"/>
  <c r="CL6" i="60" s="1"/>
  <c r="CR6" i="60" s="1"/>
  <c r="CE6" i="60"/>
  <c r="CK6" i="60" s="1"/>
  <c r="CQ6" i="60" s="1"/>
  <c r="CD6" i="60"/>
  <c r="CJ6" i="60" s="1"/>
  <c r="CP6" i="60" s="1"/>
  <c r="CB6" i="60"/>
  <c r="CH6" i="60" s="1"/>
  <c r="CN6" i="60" s="1"/>
  <c r="BS94" i="60"/>
  <c r="BR94" i="60"/>
  <c r="BQ94" i="60"/>
  <c r="BM94" i="60"/>
  <c r="BL94" i="60"/>
  <c r="BK94" i="60"/>
  <c r="BH94" i="60"/>
  <c r="BG94" i="60"/>
  <c r="BF94" i="60"/>
  <c r="BE94" i="60"/>
  <c r="BB94" i="60"/>
  <c r="BA94" i="60"/>
  <c r="AZ94" i="60"/>
  <c r="AY94" i="60"/>
  <c r="BS87" i="60" a="1"/>
  <c r="BS92" i="60" s="1"/>
  <c r="BR87" i="60" a="1"/>
  <c r="BR91" i="60" s="1"/>
  <c r="BQ87" i="60" a="1"/>
  <c r="BQ92" i="60" s="1"/>
  <c r="BM87" i="60" a="1"/>
  <c r="BM91" i="60" s="1"/>
  <c r="BL87" i="60" a="1"/>
  <c r="BL92" i="60" s="1"/>
  <c r="BK87" i="60" a="1"/>
  <c r="BK92" i="60" s="1"/>
  <c r="BG87" i="60" a="1"/>
  <c r="BG92" i="60" s="1"/>
  <c r="BF87" i="60" a="1"/>
  <c r="BF91" i="60" s="1"/>
  <c r="BE87" i="60" a="1"/>
  <c r="BE92" i="60" s="1"/>
  <c r="BA87" i="60" a="1"/>
  <c r="BA92" i="60" s="1"/>
  <c r="AZ87" i="60" a="1"/>
  <c r="AZ92" i="60" s="1"/>
  <c r="AY87" i="60" a="1"/>
  <c r="AY91" i="60" s="1"/>
  <c r="BB85" i="60"/>
  <c r="BH85" i="60" s="1"/>
  <c r="BN85" i="60" s="1"/>
  <c r="BT85" i="60" s="1"/>
  <c r="BA85" i="60"/>
  <c r="BG85" i="60" s="1"/>
  <c r="BM85" i="60" s="1"/>
  <c r="BS85" i="60" s="1"/>
  <c r="AZ85" i="60"/>
  <c r="BF85" i="60" s="1"/>
  <c r="BL85" i="60" s="1"/>
  <c r="BR85" i="60" s="1"/>
  <c r="AX85" i="60"/>
  <c r="BD85" i="60" s="1"/>
  <c r="BJ85" i="60" s="1"/>
  <c r="BP85" i="60" s="1"/>
  <c r="BS77" i="60"/>
  <c r="BR77" i="60"/>
  <c r="BQ77" i="60"/>
  <c r="BM77" i="60"/>
  <c r="BL77" i="60"/>
  <c r="BK77" i="60"/>
  <c r="BH77" i="60"/>
  <c r="BG77" i="60"/>
  <c r="BF77" i="60"/>
  <c r="BE77" i="60"/>
  <c r="BB77" i="60"/>
  <c r="BA77" i="60"/>
  <c r="AZ77" i="60"/>
  <c r="AY77" i="60"/>
  <c r="BS60" i="60" a="1"/>
  <c r="BS75" i="60" s="1"/>
  <c r="BR60" i="60" a="1"/>
  <c r="BR74" i="60" s="1"/>
  <c r="BQ60" i="60" a="1"/>
  <c r="BQ75" i="60" s="1"/>
  <c r="BM60" i="60" a="1"/>
  <c r="BM74" i="60" s="1"/>
  <c r="BL60" i="60" a="1"/>
  <c r="BL75" i="60" s="1"/>
  <c r="BK60" i="60" a="1"/>
  <c r="BK74" i="60" s="1"/>
  <c r="BG60" i="60" a="1"/>
  <c r="BG75" i="60" s="1"/>
  <c r="BF60" i="60" a="1"/>
  <c r="BF74" i="60" s="1"/>
  <c r="BE60" i="60" a="1"/>
  <c r="BE75" i="60" s="1"/>
  <c r="BA60" i="60" a="1"/>
  <c r="BA74" i="60" s="1"/>
  <c r="AZ60" i="60" a="1"/>
  <c r="AZ75" i="60" s="1"/>
  <c r="AY60" i="60" a="1"/>
  <c r="AY74" i="60" s="1"/>
  <c r="BB58" i="60"/>
  <c r="BH58" i="60" s="1"/>
  <c r="BN58" i="60" s="1"/>
  <c r="BT58" i="60" s="1"/>
  <c r="BA58" i="60"/>
  <c r="BG58" i="60" s="1"/>
  <c r="BM58" i="60" s="1"/>
  <c r="BS58" i="60" s="1"/>
  <c r="AZ58" i="60"/>
  <c r="BF58" i="60" s="1"/>
  <c r="BL58" i="60" s="1"/>
  <c r="BR58" i="60" s="1"/>
  <c r="AX58" i="60"/>
  <c r="BD58" i="60" s="1"/>
  <c r="BJ58" i="60" s="1"/>
  <c r="BP58" i="60" s="1"/>
  <c r="BH6" i="60"/>
  <c r="BN6" i="60" s="1"/>
  <c r="BT6" i="60" s="1"/>
  <c r="BG6" i="60"/>
  <c r="BM6" i="60" s="1"/>
  <c r="BS6" i="60" s="1"/>
  <c r="BF6" i="60"/>
  <c r="BL6" i="60" s="1"/>
  <c r="BR6" i="60" s="1"/>
  <c r="BD6" i="60"/>
  <c r="BJ6" i="60" s="1"/>
  <c r="BP6" i="60" s="1"/>
  <c r="CS52" i="60"/>
  <c r="CS79" i="60"/>
  <c r="CS96" i="60"/>
  <c r="AU94" i="60"/>
  <c r="AT94" i="60"/>
  <c r="AS94" i="60"/>
  <c r="AO94" i="60"/>
  <c r="AN94" i="60"/>
  <c r="AM94" i="60"/>
  <c r="AI94" i="60"/>
  <c r="AH94" i="60"/>
  <c r="AG94" i="60"/>
  <c r="AC94" i="60"/>
  <c r="AB94" i="60"/>
  <c r="AA94" i="60"/>
  <c r="AU87" i="60" a="1"/>
  <c r="AU92" i="60" s="1"/>
  <c r="AT87" i="60" a="1"/>
  <c r="AT91" i="60" s="1"/>
  <c r="AS87" i="60" a="1"/>
  <c r="AS92" i="60" s="1"/>
  <c r="AO87" i="60" a="1"/>
  <c r="AO91" i="60" s="1"/>
  <c r="AN87" i="60" a="1"/>
  <c r="AN92" i="60" s="1"/>
  <c r="AM87" i="60" a="1"/>
  <c r="AM91" i="60" s="1"/>
  <c r="AI87" i="60" a="1"/>
  <c r="AI92" i="60" s="1"/>
  <c r="AH87" i="60" a="1"/>
  <c r="AH91" i="60" s="1"/>
  <c r="AG87" i="60" a="1"/>
  <c r="AG92" i="60" s="1"/>
  <c r="AC87" i="60" a="1"/>
  <c r="AC91" i="60" s="1"/>
  <c r="AB87" i="60" a="1"/>
  <c r="AB92" i="60" s="1"/>
  <c r="AA87" i="60" a="1"/>
  <c r="AA91" i="60" s="1"/>
  <c r="AD85" i="60"/>
  <c r="AJ85" i="60" s="1"/>
  <c r="AP85" i="60" s="1"/>
  <c r="AV85" i="60" s="1"/>
  <c r="AC85" i="60"/>
  <c r="AI85" i="60" s="1"/>
  <c r="AO85" i="60" s="1"/>
  <c r="AU85" i="60" s="1"/>
  <c r="AB85" i="60"/>
  <c r="AH85" i="60" s="1"/>
  <c r="AN85" i="60" s="1"/>
  <c r="AT85" i="60" s="1"/>
  <c r="Z85" i="60"/>
  <c r="AF85" i="60" s="1"/>
  <c r="AL85" i="60" s="1"/>
  <c r="AR85" i="60" s="1"/>
  <c r="AV77" i="60"/>
  <c r="AU77" i="60"/>
  <c r="AT77" i="60"/>
  <c r="AS77" i="60"/>
  <c r="AO77" i="60"/>
  <c r="AN77" i="60"/>
  <c r="AM77" i="60"/>
  <c r="AI77" i="60"/>
  <c r="AH77" i="60"/>
  <c r="AG77" i="60"/>
  <c r="AC77" i="60"/>
  <c r="AB77" i="60"/>
  <c r="AA77" i="60"/>
  <c r="AU60" i="60" a="1"/>
  <c r="AU75" i="60" s="1"/>
  <c r="AT60" i="60" a="1"/>
  <c r="AT74" i="60" s="1"/>
  <c r="AS60" i="60" a="1"/>
  <c r="AS75" i="60" s="1"/>
  <c r="AO60" i="60" a="1"/>
  <c r="AO74" i="60" s="1"/>
  <c r="AN60" i="60" a="1"/>
  <c r="AN75" i="60" s="1"/>
  <c r="AM60" i="60" a="1"/>
  <c r="AM74" i="60" s="1"/>
  <c r="AI60" i="60" a="1"/>
  <c r="AI75" i="60" s="1"/>
  <c r="AH60" i="60" a="1"/>
  <c r="AH74" i="60" s="1"/>
  <c r="AG60" i="60" a="1"/>
  <c r="AG75" i="60" s="1"/>
  <c r="AC60" i="60" a="1"/>
  <c r="AC74" i="60" s="1"/>
  <c r="AB60" i="60" a="1"/>
  <c r="AB75" i="60" s="1"/>
  <c r="AA60" i="60" a="1"/>
  <c r="AA74" i="60" s="1"/>
  <c r="AD58" i="60"/>
  <c r="AJ58" i="60" s="1"/>
  <c r="AP58" i="60" s="1"/>
  <c r="AV58" i="60" s="1"/>
  <c r="AC58" i="60"/>
  <c r="AI58" i="60" s="1"/>
  <c r="AO58" i="60" s="1"/>
  <c r="AU58" i="60" s="1"/>
  <c r="AB58" i="60"/>
  <c r="AH58" i="60" s="1"/>
  <c r="AN58" i="60" s="1"/>
  <c r="AT58" i="60" s="1"/>
  <c r="Z58" i="60"/>
  <c r="AF58" i="60" s="1"/>
  <c r="AL58" i="60" s="1"/>
  <c r="AR58" i="60" s="1"/>
  <c r="AJ6" i="60"/>
  <c r="AP6" i="60" s="1"/>
  <c r="AV6" i="60" s="1"/>
  <c r="AI6" i="60"/>
  <c r="AO6" i="60" s="1"/>
  <c r="AU6" i="60" s="1"/>
  <c r="AH6" i="60"/>
  <c r="AN6" i="60" s="1"/>
  <c r="AT6" i="60" s="1"/>
  <c r="AF6" i="60"/>
  <c r="AL6" i="60" s="1"/>
  <c r="AR6" i="60" s="1"/>
  <c r="AW52" i="60"/>
  <c r="BU52" i="60"/>
  <c r="AW79" i="60"/>
  <c r="BU79" i="60"/>
  <c r="AW96" i="60"/>
  <c r="BU96" i="60"/>
  <c r="CU6" i="60"/>
  <c r="DA6" i="60" s="1"/>
  <c r="DG6" i="60" s="1"/>
  <c r="DM6" i="60" s="1"/>
  <c r="U87" i="60" a="1"/>
  <c r="U87" i="60" s="1"/>
  <c r="V87" i="60" a="1"/>
  <c r="V87" i="60" s="1"/>
  <c r="U94" i="60"/>
  <c r="V94" i="60"/>
  <c r="O87" i="60" a="1"/>
  <c r="O87" i="60" s="1"/>
  <c r="P87" i="60" a="1"/>
  <c r="P87" i="60" s="1"/>
  <c r="O94" i="60"/>
  <c r="P94" i="60"/>
  <c r="I87" i="60" a="1"/>
  <c r="I87" i="60" s="1"/>
  <c r="J87" i="60" a="1"/>
  <c r="J87" i="60" s="1"/>
  <c r="I94" i="60"/>
  <c r="J94" i="60"/>
  <c r="D85" i="60"/>
  <c r="J85" i="60" s="1"/>
  <c r="P85" i="60" s="1"/>
  <c r="V85" i="60" s="1"/>
  <c r="E85" i="60"/>
  <c r="K85" i="60" s="1"/>
  <c r="Q85" i="60" s="1"/>
  <c r="W85" i="60" s="1"/>
  <c r="F85" i="60"/>
  <c r="L85" i="60" s="1"/>
  <c r="R85" i="60" s="1"/>
  <c r="X85" i="60" s="1"/>
  <c r="B85" i="60"/>
  <c r="H85" i="60" s="1"/>
  <c r="N85" i="60" s="1"/>
  <c r="T85" i="60" s="1"/>
  <c r="C87" i="60" a="1"/>
  <c r="C87" i="60" s="1"/>
  <c r="D87" i="60" a="1"/>
  <c r="D87" i="60" s="1"/>
  <c r="C94" i="60"/>
  <c r="D94" i="60"/>
  <c r="V60" i="60" a="1"/>
  <c r="V60" i="60" s="1"/>
  <c r="V77" i="60"/>
  <c r="O60" i="60" a="1"/>
  <c r="O60" i="60" s="1"/>
  <c r="P60" i="60" a="1"/>
  <c r="P60" i="60" s="1"/>
  <c r="O77" i="60"/>
  <c r="P77" i="60"/>
  <c r="I60" i="60" a="1"/>
  <c r="I60" i="60" s="1"/>
  <c r="J60" i="60" a="1"/>
  <c r="J60" i="60" s="1"/>
  <c r="I77" i="60"/>
  <c r="J77" i="60"/>
  <c r="C77" i="60"/>
  <c r="D77" i="60"/>
  <c r="C60" i="60" a="1"/>
  <c r="C60" i="60" s="1"/>
  <c r="D60" i="60" a="1"/>
  <c r="D60" i="60" s="1"/>
  <c r="D58" i="60"/>
  <c r="J58" i="60" s="1"/>
  <c r="P58" i="60" s="1"/>
  <c r="V58" i="60" s="1"/>
  <c r="E58" i="60"/>
  <c r="K58" i="60" s="1"/>
  <c r="Q58" i="60" s="1"/>
  <c r="F58" i="60"/>
  <c r="L58" i="60" s="1"/>
  <c r="R58" i="60" s="1"/>
  <c r="B58" i="60"/>
  <c r="H58" i="60" s="1"/>
  <c r="N58" i="60" s="1"/>
  <c r="T58" i="60" s="1"/>
  <c r="J6" i="60"/>
  <c r="P6" i="60" s="1"/>
  <c r="V6" i="60" s="1"/>
  <c r="K6" i="60"/>
  <c r="Q6" i="60" s="1"/>
  <c r="W6" i="60" s="1"/>
  <c r="L6" i="60"/>
  <c r="R6" i="60" s="1"/>
  <c r="X6" i="60" s="1"/>
  <c r="H6" i="60"/>
  <c r="N6" i="60" s="1"/>
  <c r="T6" i="60" s="1"/>
  <c r="Y96" i="60"/>
  <c r="Y79" i="60"/>
  <c r="Y52" i="60"/>
  <c r="Y8" i="60"/>
  <c r="AW8" i="60" s="1"/>
  <c r="BU8" i="60" s="1"/>
  <c r="CS8" i="60" s="1"/>
  <c r="Y9" i="60"/>
  <c r="AW9" i="60" s="1"/>
  <c r="BU9" i="60" s="1"/>
  <c r="CS9" i="60" s="1"/>
  <c r="Y10" i="60"/>
  <c r="AW10" i="60" s="1"/>
  <c r="BU10" i="60" s="1"/>
  <c r="CS10" i="60" s="1"/>
  <c r="Y11" i="60"/>
  <c r="AW11" i="60" s="1"/>
  <c r="BU11" i="60" s="1"/>
  <c r="CS11" i="60" s="1"/>
  <c r="Y12" i="60"/>
  <c r="AW12" i="60" s="1"/>
  <c r="BU12" i="60" s="1"/>
  <c r="CS12" i="60" s="1"/>
  <c r="Y13" i="60"/>
  <c r="AW13" i="60" s="1"/>
  <c r="BU13" i="60" s="1"/>
  <c r="CS13" i="60" s="1"/>
  <c r="Y14" i="60"/>
  <c r="AW14" i="60" s="1"/>
  <c r="BU14" i="60" s="1"/>
  <c r="CS14" i="60" s="1"/>
  <c r="Y15" i="60"/>
  <c r="AW15" i="60" s="1"/>
  <c r="BU15" i="60" s="1"/>
  <c r="CS15" i="60" s="1"/>
  <c r="Y16" i="60"/>
  <c r="AW16" i="60" s="1"/>
  <c r="BU16" i="60" s="1"/>
  <c r="CS16" i="60" s="1"/>
  <c r="Y17" i="60"/>
  <c r="AW17" i="60" s="1"/>
  <c r="BU17" i="60" s="1"/>
  <c r="CS17" i="60" s="1"/>
  <c r="Y18" i="60"/>
  <c r="AW18" i="60" s="1"/>
  <c r="BU18" i="60" s="1"/>
  <c r="CS18" i="60" s="1"/>
  <c r="Y19" i="60"/>
  <c r="AW19" i="60" s="1"/>
  <c r="BU19" i="60" s="1"/>
  <c r="CS19" i="60" s="1"/>
  <c r="Y20" i="60"/>
  <c r="AW20" i="60" s="1"/>
  <c r="BU20" i="60" s="1"/>
  <c r="CS20" i="60" s="1"/>
  <c r="Y21" i="60"/>
  <c r="AW21" i="60" s="1"/>
  <c r="BU21" i="60" s="1"/>
  <c r="CS21" i="60" s="1"/>
  <c r="Y22" i="60"/>
  <c r="AW22" i="60" s="1"/>
  <c r="BU22" i="60" s="1"/>
  <c r="CS22" i="60" s="1"/>
  <c r="Y23" i="60"/>
  <c r="AW23" i="60" s="1"/>
  <c r="BU23" i="60" s="1"/>
  <c r="CS23" i="60" s="1"/>
  <c r="Y24" i="60"/>
  <c r="AW24" i="60" s="1"/>
  <c r="BU24" i="60" s="1"/>
  <c r="CS24" i="60" s="1"/>
  <c r="Y25" i="60"/>
  <c r="AW25" i="60" s="1"/>
  <c r="BU25" i="60" s="1"/>
  <c r="CS25" i="60" s="1"/>
  <c r="Y26" i="60"/>
  <c r="AW26" i="60" s="1"/>
  <c r="BU26" i="60" s="1"/>
  <c r="CS26" i="60" s="1"/>
  <c r="Y27" i="60"/>
  <c r="AW27" i="60" s="1"/>
  <c r="BU27" i="60" s="1"/>
  <c r="CS27" i="60" s="1"/>
  <c r="Y28" i="60"/>
  <c r="AW28" i="60" s="1"/>
  <c r="BU28" i="60" s="1"/>
  <c r="CS28" i="60" s="1"/>
  <c r="Y29" i="60"/>
  <c r="AW29" i="60" s="1"/>
  <c r="BU29" i="60" s="1"/>
  <c r="CS29" i="60" s="1"/>
  <c r="Y30" i="60"/>
  <c r="AW30" i="60" s="1"/>
  <c r="BU30" i="60" s="1"/>
  <c r="CS30" i="60" s="1"/>
  <c r="Y31" i="60"/>
  <c r="AW31" i="60" s="1"/>
  <c r="BU31" i="60" s="1"/>
  <c r="CS31" i="60" s="1"/>
  <c r="Y32" i="60"/>
  <c r="AW32" i="60" s="1"/>
  <c r="BU32" i="60" s="1"/>
  <c r="CS32" i="60" s="1"/>
  <c r="Y33" i="60"/>
  <c r="AW33" i="60" s="1"/>
  <c r="BU33" i="60" s="1"/>
  <c r="CS33" i="60" s="1"/>
  <c r="Y34" i="60"/>
  <c r="AW34" i="60" s="1"/>
  <c r="BU34" i="60" s="1"/>
  <c r="CS34" i="60" s="1"/>
  <c r="Y35" i="60"/>
  <c r="AW35" i="60" s="1"/>
  <c r="BU35" i="60" s="1"/>
  <c r="CS35" i="60" s="1"/>
  <c r="Y36" i="60"/>
  <c r="AW36" i="60" s="1"/>
  <c r="BU36" i="60" s="1"/>
  <c r="CS36" i="60" s="1"/>
  <c r="Y37" i="60"/>
  <c r="AW37" i="60" s="1"/>
  <c r="BU37" i="60" s="1"/>
  <c r="CS37" i="60" s="1"/>
  <c r="Y38" i="60"/>
  <c r="AW38" i="60" s="1"/>
  <c r="BU38" i="60" s="1"/>
  <c r="CS38" i="60" s="1"/>
  <c r="Y39" i="60"/>
  <c r="AW39" i="60" s="1"/>
  <c r="BU39" i="60" s="1"/>
  <c r="CS39" i="60" s="1"/>
  <c r="Y40" i="60"/>
  <c r="AW40" i="60" s="1"/>
  <c r="BU40" i="60" s="1"/>
  <c r="CS40" i="60" s="1"/>
  <c r="A96" i="60"/>
  <c r="A79" i="60"/>
  <c r="W94" i="60"/>
  <c r="Q94" i="60"/>
  <c r="L94" i="60"/>
  <c r="K94" i="60"/>
  <c r="F94" i="60"/>
  <c r="E94" i="60"/>
  <c r="W77" i="60"/>
  <c r="U77" i="60"/>
  <c r="Q77" i="60"/>
  <c r="L77" i="60"/>
  <c r="K77" i="60"/>
  <c r="E77" i="60"/>
  <c r="F77" i="60"/>
  <c r="W87" i="60" a="1"/>
  <c r="W92" i="60" s="1"/>
  <c r="Q87" i="60" a="1"/>
  <c r="Q92" i="60" s="1"/>
  <c r="K87" i="60" a="1"/>
  <c r="K92" i="60" s="1"/>
  <c r="E87" i="60" a="1"/>
  <c r="E87" i="60" s="1"/>
  <c r="Y94" i="60"/>
  <c r="AW94" i="60" s="1"/>
  <c r="BU94" i="60" s="1"/>
  <c r="CS94" i="60" s="1"/>
  <c r="Y88" i="60"/>
  <c r="AW88" i="60" s="1"/>
  <c r="BU88" i="60" s="1"/>
  <c r="CS88" i="60" s="1"/>
  <c r="Y89" i="60"/>
  <c r="AW89" i="60" s="1"/>
  <c r="BU89" i="60" s="1"/>
  <c r="CS89" i="60" s="1"/>
  <c r="Y90" i="60"/>
  <c r="AW90" i="60" s="1"/>
  <c r="BU90" i="60" s="1"/>
  <c r="CS90" i="60" s="1"/>
  <c r="Y91" i="60"/>
  <c r="AW91" i="60" s="1"/>
  <c r="BU91" i="60" s="1"/>
  <c r="CS91" i="60" s="1"/>
  <c r="Y92" i="60"/>
  <c r="AW92" i="60" s="1"/>
  <c r="BU92" i="60" s="1"/>
  <c r="CS92" i="60" s="1"/>
  <c r="Y87" i="60"/>
  <c r="AW87" i="60" s="1"/>
  <c r="BU87" i="60" s="1"/>
  <c r="CS87" i="60" s="1"/>
  <c r="H4" i="60"/>
  <c r="H56" i="60" s="1"/>
  <c r="N4" i="60"/>
  <c r="N56" i="60" s="1"/>
  <c r="T4" i="60"/>
  <c r="T56" i="60" s="1"/>
  <c r="W60" i="60" a="1"/>
  <c r="W75" i="60" s="1"/>
  <c r="U60" i="60" a="1"/>
  <c r="U74" i="60" s="1"/>
  <c r="Q60" i="60" a="1"/>
  <c r="Q75" i="60" s="1"/>
  <c r="K60" i="60" a="1"/>
  <c r="K75" i="60" s="1"/>
  <c r="E60" i="60" a="1"/>
  <c r="E60" i="60" s="1"/>
  <c r="Y77" i="60"/>
  <c r="AW77" i="60" s="1"/>
  <c r="BU77" i="60" s="1"/>
  <c r="CS77" i="60" s="1"/>
  <c r="Y61" i="60"/>
  <c r="AW61" i="60" s="1"/>
  <c r="BU61" i="60" s="1"/>
  <c r="CS61" i="60" s="1"/>
  <c r="Y62" i="60"/>
  <c r="AW62" i="60" s="1"/>
  <c r="BU62" i="60" s="1"/>
  <c r="CS62" i="60" s="1"/>
  <c r="Y63" i="60"/>
  <c r="AW63" i="60" s="1"/>
  <c r="BU63" i="60" s="1"/>
  <c r="CS63" i="60" s="1"/>
  <c r="Y64" i="60"/>
  <c r="AW64" i="60" s="1"/>
  <c r="BU64" i="60" s="1"/>
  <c r="CS64" i="60" s="1"/>
  <c r="Y65" i="60"/>
  <c r="AW65" i="60" s="1"/>
  <c r="BU65" i="60" s="1"/>
  <c r="CS65" i="60" s="1"/>
  <c r="Y66" i="60"/>
  <c r="AW66" i="60" s="1"/>
  <c r="BU66" i="60" s="1"/>
  <c r="CS66" i="60" s="1"/>
  <c r="Y67" i="60"/>
  <c r="AW67" i="60" s="1"/>
  <c r="BU67" i="60" s="1"/>
  <c r="CS67" i="60" s="1"/>
  <c r="Y68" i="60"/>
  <c r="AW68" i="60" s="1"/>
  <c r="BU68" i="60" s="1"/>
  <c r="CS68" i="60" s="1"/>
  <c r="Y69" i="60"/>
  <c r="AW69" i="60" s="1"/>
  <c r="BU69" i="60" s="1"/>
  <c r="CS69" i="60" s="1"/>
  <c r="Y70" i="60"/>
  <c r="AW70" i="60" s="1"/>
  <c r="BU70" i="60" s="1"/>
  <c r="CS70" i="60" s="1"/>
  <c r="Y71" i="60"/>
  <c r="AW71" i="60" s="1"/>
  <c r="BU71" i="60" s="1"/>
  <c r="CS71" i="60" s="1"/>
  <c r="Y72" i="60"/>
  <c r="AW72" i="60" s="1"/>
  <c r="BU72" i="60" s="1"/>
  <c r="CS72" i="60" s="1"/>
  <c r="Y73" i="60"/>
  <c r="AW73" i="60" s="1"/>
  <c r="BU73" i="60" s="1"/>
  <c r="CS73" i="60" s="1"/>
  <c r="Y74" i="60"/>
  <c r="AW74" i="60" s="1"/>
  <c r="BU74" i="60" s="1"/>
  <c r="CS74" i="60" s="1"/>
  <c r="Y75" i="60"/>
  <c r="AW75" i="60" s="1"/>
  <c r="BU75" i="60" s="1"/>
  <c r="CS75" i="60" s="1"/>
  <c r="Y60" i="60"/>
  <c r="AW60" i="60" s="1"/>
  <c r="BU60" i="60" s="1"/>
  <c r="CS60" i="60" s="1"/>
  <c r="A52" i="60"/>
  <c r="B4" i="60"/>
  <c r="B56" i="60" s="1"/>
  <c r="Y50" i="60"/>
  <c r="AW50" i="60" s="1"/>
  <c r="BU50" i="60" s="1"/>
  <c r="CS50" i="60" s="1"/>
  <c r="Y41" i="60"/>
  <c r="AW41" i="60" s="1"/>
  <c r="BU41" i="60" s="1"/>
  <c r="CS41" i="60" s="1"/>
  <c r="Y42" i="60"/>
  <c r="AW42" i="60" s="1"/>
  <c r="BU42" i="60" s="1"/>
  <c r="CS42" i="60" s="1"/>
  <c r="Y43" i="60"/>
  <c r="AW43" i="60" s="1"/>
  <c r="BU43" i="60" s="1"/>
  <c r="CS43" i="60" s="1"/>
  <c r="Y44" i="60"/>
  <c r="AW44" i="60" s="1"/>
  <c r="BU44" i="60" s="1"/>
  <c r="CS44" i="60" s="1"/>
  <c r="Y45" i="60"/>
  <c r="AW45" i="60" s="1"/>
  <c r="BU45" i="60" s="1"/>
  <c r="CS45" i="60" s="1"/>
  <c r="Y46" i="60"/>
  <c r="AW46" i="60" s="1"/>
  <c r="BU46" i="60" s="1"/>
  <c r="CS46" i="60" s="1"/>
  <c r="Y47" i="60"/>
  <c r="AW47" i="60" s="1"/>
  <c r="BU47" i="60" s="1"/>
  <c r="CS47" i="60" s="1"/>
  <c r="Y48" i="60"/>
  <c r="AW48" i="60" s="1"/>
  <c r="BU48" i="60" s="1"/>
  <c r="CS48" i="60" s="1"/>
  <c r="CR77" i="60" l="1"/>
  <c r="AP77" i="60"/>
  <c r="CL94" i="60"/>
  <c r="R60" i="60" a="1"/>
  <c r="R74" i="60" s="1"/>
  <c r="X87" i="60" a="1"/>
  <c r="X91" i="60" s="1"/>
  <c r="AD87" i="60" a="1"/>
  <c r="AD92" i="60" s="1"/>
  <c r="AJ60" i="60" a="1"/>
  <c r="AJ74" i="60" s="1"/>
  <c r="AP87" i="60" a="1"/>
  <c r="AP92" i="60" s="1"/>
  <c r="BB87" i="60" a="1"/>
  <c r="BB92" i="60" s="1"/>
  <c r="BH60" i="60" a="1"/>
  <c r="BH74" i="60" s="1"/>
  <c r="BN60" i="60" a="1"/>
  <c r="BN75" i="60" s="1"/>
  <c r="BT87" i="60" a="1"/>
  <c r="BT91" i="60" s="1"/>
  <c r="BZ60" i="60" a="1"/>
  <c r="BZ75" i="60" s="1"/>
  <c r="CF87" i="60" a="1"/>
  <c r="CF91" i="60" s="1"/>
  <c r="CL60" i="60" a="1"/>
  <c r="CL75" i="60" s="1"/>
  <c r="CX60" i="60" a="1"/>
  <c r="CX75" i="60" s="1"/>
  <c r="DJ87" i="60" a="1"/>
  <c r="DJ92" i="60" s="1"/>
  <c r="DP60" i="60" a="1"/>
  <c r="DP74" i="60" s="1"/>
  <c r="AJ94" i="60"/>
  <c r="AD60" i="60" a="1"/>
  <c r="AD75" i="60" s="1"/>
  <c r="BZ77" i="60"/>
  <c r="BT77" i="60"/>
  <c r="F87" i="60" a="1"/>
  <c r="F87" i="60" s="1"/>
  <c r="CR87" i="60" a="1"/>
  <c r="CR91" i="60" s="1"/>
  <c r="BB60" i="60" a="1"/>
  <c r="BB75" i="60" s="1"/>
  <c r="CX87" i="60" a="1"/>
  <c r="CX92" i="60" s="1"/>
  <c r="AJ87" i="60" a="1"/>
  <c r="AJ91" i="60" s="1"/>
  <c r="CL87" i="60" a="1"/>
  <c r="CL92" i="60" s="1"/>
  <c r="L60" i="60" a="1"/>
  <c r="L74" i="60" s="1"/>
  <c r="DD60" i="60" a="1"/>
  <c r="DD74" i="60" s="1"/>
  <c r="L87" i="60" a="1"/>
  <c r="L91" i="60" s="1"/>
  <c r="AD77" i="60"/>
  <c r="CR60" i="60" a="1"/>
  <c r="CR74" i="60" s="1"/>
  <c r="CF77" i="60"/>
  <c r="BZ87" i="60" a="1"/>
  <c r="BZ92" i="60" s="1"/>
  <c r="AV60" i="60" a="1"/>
  <c r="AV74" i="60" s="1"/>
  <c r="AV87" i="60" a="1"/>
  <c r="AV91" i="60" s="1"/>
  <c r="BH87" i="60" a="1"/>
  <c r="BH91" i="60" s="1"/>
  <c r="AP60" i="60" a="1"/>
  <c r="AP75" i="60" s="1"/>
  <c r="CF60" i="60" a="1"/>
  <c r="CF74" i="60" s="1"/>
  <c r="DJ60" i="60" a="1"/>
  <c r="DJ75" i="60" s="1"/>
  <c r="DJ77" i="60"/>
  <c r="DD87" i="60" a="1"/>
  <c r="DD91" i="60" s="1"/>
  <c r="DP87" i="60" a="1"/>
  <c r="DP91" i="60" s="1"/>
  <c r="F60" i="60" a="1"/>
  <c r="F60" i="60" s="1"/>
  <c r="X60" i="60" a="1"/>
  <c r="X74" i="60" s="1"/>
  <c r="R87" i="60" a="1"/>
  <c r="R91" i="60" s="1"/>
  <c r="R77" i="60"/>
  <c r="BN87" i="60" a="1"/>
  <c r="BN92" i="60" s="1"/>
  <c r="X77" i="60"/>
  <c r="BT60" i="60" a="1"/>
  <c r="BT74" i="60" s="1"/>
  <c r="BN94" i="60"/>
  <c r="AF4" i="60"/>
  <c r="AR4" i="60"/>
  <c r="BD4" i="60"/>
  <c r="BP4" i="60"/>
  <c r="CB4" i="60"/>
  <c r="CN4" i="60"/>
  <c r="CZ4" i="60"/>
  <c r="DL4" i="60"/>
  <c r="H83" i="60"/>
  <c r="T83" i="60"/>
  <c r="Z4" i="60"/>
  <c r="AL4" i="60"/>
  <c r="AX4" i="60"/>
  <c r="BJ4" i="60"/>
  <c r="BV4" i="60"/>
  <c r="CH4" i="60"/>
  <c r="CT4" i="60"/>
  <c r="DF4" i="60"/>
  <c r="B83" i="60"/>
  <c r="N83" i="60"/>
  <c r="DO62" i="60"/>
  <c r="DO66" i="60"/>
  <c r="DO70" i="60"/>
  <c r="DO87" i="60"/>
  <c r="DO91" i="60"/>
  <c r="DO60" i="60"/>
  <c r="DO64" i="60"/>
  <c r="DO68" i="60"/>
  <c r="DO72" i="60"/>
  <c r="DO89" i="60"/>
  <c r="DM66" i="60"/>
  <c r="DM89" i="60"/>
  <c r="DM62" i="60"/>
  <c r="DM60" i="60"/>
  <c r="DM64" i="60"/>
  <c r="DM68" i="60"/>
  <c r="DL68" i="60" s="1"/>
  <c r="DM87" i="60"/>
  <c r="DM91" i="60"/>
  <c r="DI60" i="60"/>
  <c r="DI64" i="60"/>
  <c r="DI62" i="60"/>
  <c r="DG60" i="60"/>
  <c r="DC60" i="60"/>
  <c r="DC64" i="60"/>
  <c r="DC68" i="60"/>
  <c r="DC72" i="60"/>
  <c r="DC87" i="60"/>
  <c r="DC91" i="60"/>
  <c r="DC62" i="60"/>
  <c r="DC66" i="60"/>
  <c r="DC70" i="60"/>
  <c r="DC74" i="60"/>
  <c r="DC89" i="60"/>
  <c r="DA62" i="60"/>
  <c r="DA66" i="60"/>
  <c r="DA70" i="60"/>
  <c r="DA74" i="60"/>
  <c r="DA89" i="60"/>
  <c r="DA60" i="60"/>
  <c r="DA64" i="60"/>
  <c r="DA68" i="60"/>
  <c r="DA72" i="60"/>
  <c r="CZ72" i="60" s="1"/>
  <c r="DA87" i="60"/>
  <c r="CZ87" i="60" s="1"/>
  <c r="DA91" i="60"/>
  <c r="CZ91" i="60" s="1"/>
  <c r="BY60" i="60"/>
  <c r="BY68" i="60"/>
  <c r="BW60" i="60"/>
  <c r="BW68" i="60"/>
  <c r="P75" i="60"/>
  <c r="BJ77" i="60"/>
  <c r="CZ8" i="60"/>
  <c r="DL8" i="60"/>
  <c r="CZ9" i="60"/>
  <c r="DL9" i="60"/>
  <c r="CZ10" i="60"/>
  <c r="DL10" i="60"/>
  <c r="CZ11" i="60"/>
  <c r="DL11" i="60"/>
  <c r="CZ12" i="60"/>
  <c r="DL12" i="60"/>
  <c r="CZ13" i="60"/>
  <c r="DL13" i="60"/>
  <c r="CZ14" i="60"/>
  <c r="DL14" i="60"/>
  <c r="CZ15" i="60"/>
  <c r="DL15" i="60"/>
  <c r="CZ16" i="60"/>
  <c r="DL16" i="60"/>
  <c r="CZ17" i="60"/>
  <c r="DL17" i="60"/>
  <c r="CZ18" i="60"/>
  <c r="DL18" i="60"/>
  <c r="CZ19" i="60"/>
  <c r="DL19" i="60"/>
  <c r="CZ20" i="60"/>
  <c r="DL20" i="60"/>
  <c r="CZ21" i="60"/>
  <c r="DL21" i="60"/>
  <c r="CZ22" i="60"/>
  <c r="DL22" i="60"/>
  <c r="CZ23" i="60"/>
  <c r="DL23" i="60"/>
  <c r="CZ24" i="60"/>
  <c r="DL24" i="60"/>
  <c r="CZ25" i="60"/>
  <c r="DL25" i="60"/>
  <c r="CZ26" i="60"/>
  <c r="DL26" i="60"/>
  <c r="CZ27" i="60"/>
  <c r="DL27" i="60"/>
  <c r="CZ28" i="60"/>
  <c r="DL28" i="60"/>
  <c r="CZ29" i="60"/>
  <c r="DL29" i="60"/>
  <c r="CZ30" i="60"/>
  <c r="DL30" i="60"/>
  <c r="CZ31" i="60"/>
  <c r="DL31" i="60"/>
  <c r="CZ32" i="60"/>
  <c r="DL32" i="60"/>
  <c r="CZ33" i="60"/>
  <c r="DL33" i="60"/>
  <c r="CZ34" i="60"/>
  <c r="DL34" i="60"/>
  <c r="CZ35" i="60"/>
  <c r="DL35" i="60"/>
  <c r="CZ36" i="60"/>
  <c r="DL36" i="60"/>
  <c r="CZ37" i="60"/>
  <c r="DL37" i="60"/>
  <c r="CZ38" i="60"/>
  <c r="DL38" i="60"/>
  <c r="CZ39" i="60"/>
  <c r="DL39" i="60"/>
  <c r="CZ40" i="60"/>
  <c r="DL40" i="60"/>
  <c r="CZ41" i="60"/>
  <c r="DL41" i="60"/>
  <c r="CZ42" i="60"/>
  <c r="DL42" i="60"/>
  <c r="CZ43" i="60"/>
  <c r="DL43" i="60"/>
  <c r="CZ44" i="60"/>
  <c r="DL44" i="60"/>
  <c r="CZ45" i="60"/>
  <c r="DL45" i="60"/>
  <c r="CZ46" i="60"/>
  <c r="DL46" i="60"/>
  <c r="CZ47" i="60"/>
  <c r="DL47" i="60"/>
  <c r="CZ48" i="60"/>
  <c r="DL48" i="60"/>
  <c r="CZ50" i="60"/>
  <c r="DL50" i="60"/>
  <c r="CT74" i="60"/>
  <c r="CZ77" i="60"/>
  <c r="DF77" i="60"/>
  <c r="DF91" i="60"/>
  <c r="DF94" i="60"/>
  <c r="DL94" i="60"/>
  <c r="AA6" i="60"/>
  <c r="AG6" i="60" s="1"/>
  <c r="AM6" i="60" s="1"/>
  <c r="AS6" i="60" s="1"/>
  <c r="BW6" i="60"/>
  <c r="CC6" i="60" s="1"/>
  <c r="CI6" i="60" s="1"/>
  <c r="CO6" i="60" s="1"/>
  <c r="CT8" i="60"/>
  <c r="DF8" i="60"/>
  <c r="CT9" i="60"/>
  <c r="DF9" i="60"/>
  <c r="CT10" i="60"/>
  <c r="DF10" i="60"/>
  <c r="CT11" i="60"/>
  <c r="DF11" i="60"/>
  <c r="CT12" i="60"/>
  <c r="DF12" i="60"/>
  <c r="CT13" i="60"/>
  <c r="DF13" i="60"/>
  <c r="CT14" i="60"/>
  <c r="DF14" i="60"/>
  <c r="CT15" i="60"/>
  <c r="DF15" i="60"/>
  <c r="CT16" i="60"/>
  <c r="DF16" i="60"/>
  <c r="CT17" i="60"/>
  <c r="DF17" i="60"/>
  <c r="CT18" i="60"/>
  <c r="DF18" i="60"/>
  <c r="CT19" i="60"/>
  <c r="DF19" i="60"/>
  <c r="CT20" i="60"/>
  <c r="DF20" i="60"/>
  <c r="CT21" i="60"/>
  <c r="DF21" i="60"/>
  <c r="CT22" i="60"/>
  <c r="DF22" i="60"/>
  <c r="CT23" i="60"/>
  <c r="DF23" i="60"/>
  <c r="CT24" i="60"/>
  <c r="DF24" i="60"/>
  <c r="CT25" i="60"/>
  <c r="DF25" i="60"/>
  <c r="CT26" i="60"/>
  <c r="DF26" i="60"/>
  <c r="CT27" i="60"/>
  <c r="DF27" i="60"/>
  <c r="CT28" i="60"/>
  <c r="DF28" i="60"/>
  <c r="CT29" i="60"/>
  <c r="DF29" i="60"/>
  <c r="CT30" i="60"/>
  <c r="DF30" i="60"/>
  <c r="CT31" i="60"/>
  <c r="DF31" i="60"/>
  <c r="CT32" i="60"/>
  <c r="DF32" i="60"/>
  <c r="CT33" i="60"/>
  <c r="DF33" i="60"/>
  <c r="CT34" i="60"/>
  <c r="DF34" i="60"/>
  <c r="CT35" i="60"/>
  <c r="DF35" i="60"/>
  <c r="CT36" i="60"/>
  <c r="DF36" i="60"/>
  <c r="CT37" i="60"/>
  <c r="DF37" i="60"/>
  <c r="CT38" i="60"/>
  <c r="DF38" i="60"/>
  <c r="CT39" i="60"/>
  <c r="DF39" i="60"/>
  <c r="CT40" i="60"/>
  <c r="DF40" i="60"/>
  <c r="CT41" i="60"/>
  <c r="DF41" i="60"/>
  <c r="CT42" i="60"/>
  <c r="DF42" i="60"/>
  <c r="CT43" i="60"/>
  <c r="DF43" i="60"/>
  <c r="CT44" i="60"/>
  <c r="DF44" i="60"/>
  <c r="CT45" i="60"/>
  <c r="DF45" i="60"/>
  <c r="CT46" i="60"/>
  <c r="DF46" i="60"/>
  <c r="CT47" i="60"/>
  <c r="DF47" i="60"/>
  <c r="CT48" i="60"/>
  <c r="DF48" i="60"/>
  <c r="CT50" i="60"/>
  <c r="DF50" i="60"/>
  <c r="CZ75" i="60"/>
  <c r="DL75" i="60"/>
  <c r="CT77" i="60"/>
  <c r="DL77" i="60"/>
  <c r="CT91" i="60"/>
  <c r="DL92" i="60"/>
  <c r="CT94" i="60"/>
  <c r="CZ94" i="60"/>
  <c r="C6" i="60"/>
  <c r="AY6" i="60"/>
  <c r="BE6" i="60" s="1"/>
  <c r="BK6" i="60" s="1"/>
  <c r="BQ6" i="60" s="1"/>
  <c r="DF74" i="60"/>
  <c r="CZ92" i="60"/>
  <c r="CU58" i="60"/>
  <c r="DA58" i="60" s="1"/>
  <c r="DG58" i="60" s="1"/>
  <c r="DM58" i="60" s="1"/>
  <c r="CU61" i="60"/>
  <c r="CU63" i="60"/>
  <c r="CU65" i="60"/>
  <c r="CU67" i="60"/>
  <c r="CU69" i="60"/>
  <c r="CU71" i="60"/>
  <c r="CU73" i="60"/>
  <c r="CU75" i="60"/>
  <c r="CV60" i="60"/>
  <c r="CV62" i="60"/>
  <c r="CV64" i="60"/>
  <c r="CV66" i="60"/>
  <c r="CV68" i="60"/>
  <c r="CV70" i="60"/>
  <c r="CV72" i="60"/>
  <c r="CV74" i="60"/>
  <c r="CW61" i="60"/>
  <c r="CW63" i="60"/>
  <c r="CW65" i="60"/>
  <c r="CW67" i="60"/>
  <c r="CW69" i="60"/>
  <c r="CW71" i="60"/>
  <c r="CW73" i="60"/>
  <c r="CW75" i="60"/>
  <c r="DB61" i="60"/>
  <c r="DB63" i="60"/>
  <c r="DB65" i="60"/>
  <c r="DB67" i="60"/>
  <c r="DB69" i="60"/>
  <c r="DB71" i="60"/>
  <c r="DB73" i="60"/>
  <c r="DB75" i="60"/>
  <c r="DG61" i="60"/>
  <c r="DG63" i="60"/>
  <c r="DG65" i="60"/>
  <c r="DG67" i="60"/>
  <c r="DG69" i="60"/>
  <c r="DG71" i="60"/>
  <c r="DG73" i="60"/>
  <c r="DG75" i="60"/>
  <c r="DH60" i="60"/>
  <c r="DH62" i="60"/>
  <c r="DH64" i="60"/>
  <c r="DH66" i="60"/>
  <c r="DH68" i="60"/>
  <c r="DH70" i="60"/>
  <c r="DH72" i="60"/>
  <c r="DH74" i="60"/>
  <c r="DI61" i="60"/>
  <c r="DI63" i="60"/>
  <c r="DI65" i="60"/>
  <c r="DI67" i="60"/>
  <c r="DI69" i="60"/>
  <c r="DI71" i="60"/>
  <c r="DI73" i="60"/>
  <c r="DI75" i="60"/>
  <c r="DM70" i="60"/>
  <c r="DM72" i="60"/>
  <c r="DM74" i="60"/>
  <c r="DN61" i="60"/>
  <c r="DN63" i="60"/>
  <c r="DN65" i="60"/>
  <c r="DN67" i="60"/>
  <c r="DN69" i="60"/>
  <c r="DN71" i="60"/>
  <c r="DN73" i="60"/>
  <c r="DN75" i="60"/>
  <c r="DO74" i="60"/>
  <c r="CU85" i="60"/>
  <c r="DA85" i="60" s="1"/>
  <c r="DG85" i="60" s="1"/>
  <c r="DM85" i="60" s="1"/>
  <c r="CU88" i="60"/>
  <c r="CU90" i="60"/>
  <c r="CU92" i="60"/>
  <c r="CV87" i="60"/>
  <c r="CV89" i="60"/>
  <c r="CV91" i="60"/>
  <c r="CW88" i="60"/>
  <c r="CW90" i="60"/>
  <c r="CW92" i="60"/>
  <c r="DB88" i="60"/>
  <c r="DB90" i="60"/>
  <c r="DB92" i="60"/>
  <c r="DG88" i="60"/>
  <c r="DG90" i="60"/>
  <c r="DG92" i="60"/>
  <c r="DH87" i="60"/>
  <c r="DH89" i="60"/>
  <c r="DH91" i="60"/>
  <c r="DI88" i="60"/>
  <c r="DI90" i="60"/>
  <c r="DI92" i="60"/>
  <c r="DN88" i="60"/>
  <c r="DN90" i="60"/>
  <c r="DN92" i="60"/>
  <c r="CU60" i="60"/>
  <c r="CU62" i="60"/>
  <c r="CU64" i="60"/>
  <c r="CU66" i="60"/>
  <c r="CU68" i="60"/>
  <c r="CU70" i="60"/>
  <c r="CU72" i="60"/>
  <c r="CV61" i="60"/>
  <c r="CV63" i="60"/>
  <c r="CV65" i="60"/>
  <c r="CV67" i="60"/>
  <c r="CV69" i="60"/>
  <c r="CV71" i="60"/>
  <c r="CV73" i="60"/>
  <c r="CW60" i="60"/>
  <c r="CW62" i="60"/>
  <c r="CW64" i="60"/>
  <c r="CW66" i="60"/>
  <c r="CW68" i="60"/>
  <c r="CW70" i="60"/>
  <c r="CW72" i="60"/>
  <c r="DA61" i="60"/>
  <c r="DA63" i="60"/>
  <c r="DA65" i="60"/>
  <c r="DA67" i="60"/>
  <c r="DA69" i="60"/>
  <c r="DA71" i="60"/>
  <c r="DA73" i="60"/>
  <c r="DB60" i="60"/>
  <c r="DB62" i="60"/>
  <c r="DB64" i="60"/>
  <c r="DB66" i="60"/>
  <c r="DB68" i="60"/>
  <c r="DB70" i="60"/>
  <c r="DB72" i="60"/>
  <c r="DC61" i="60"/>
  <c r="DC63" i="60"/>
  <c r="DC65" i="60"/>
  <c r="DC67" i="60"/>
  <c r="DC69" i="60"/>
  <c r="DC71" i="60"/>
  <c r="DC73" i="60"/>
  <c r="DG62" i="60"/>
  <c r="DG64" i="60"/>
  <c r="DG66" i="60"/>
  <c r="DG68" i="60"/>
  <c r="DG70" i="60"/>
  <c r="DG72" i="60"/>
  <c r="DH61" i="60"/>
  <c r="DH63" i="60"/>
  <c r="DH65" i="60"/>
  <c r="DH67" i="60"/>
  <c r="DH69" i="60"/>
  <c r="DH71" i="60"/>
  <c r="DH73" i="60"/>
  <c r="DI66" i="60"/>
  <c r="DI68" i="60"/>
  <c r="DI70" i="60"/>
  <c r="DI72" i="60"/>
  <c r="DM61" i="60"/>
  <c r="DM63" i="60"/>
  <c r="DM65" i="60"/>
  <c r="DM67" i="60"/>
  <c r="DM69" i="60"/>
  <c r="DM71" i="60"/>
  <c r="DM73" i="60"/>
  <c r="DN60" i="60"/>
  <c r="DN62" i="60"/>
  <c r="DN64" i="60"/>
  <c r="DN66" i="60"/>
  <c r="DN68" i="60"/>
  <c r="DN70" i="60"/>
  <c r="DN72" i="60"/>
  <c r="DO61" i="60"/>
  <c r="DO63" i="60"/>
  <c r="DO65" i="60"/>
  <c r="DO67" i="60"/>
  <c r="DO69" i="60"/>
  <c r="DO71" i="60"/>
  <c r="DO73" i="60"/>
  <c r="CU87" i="60"/>
  <c r="CU89" i="60"/>
  <c r="CV88" i="60"/>
  <c r="CV90" i="60"/>
  <c r="CW87" i="60"/>
  <c r="CW89" i="60"/>
  <c r="DA88" i="60"/>
  <c r="DA90" i="60"/>
  <c r="DB87" i="60"/>
  <c r="DB89" i="60"/>
  <c r="DC88" i="60"/>
  <c r="DC90" i="60"/>
  <c r="DG87" i="60"/>
  <c r="DG89" i="60"/>
  <c r="DH88" i="60"/>
  <c r="DH90" i="60"/>
  <c r="DI87" i="60"/>
  <c r="DI89" i="60"/>
  <c r="DM88" i="60"/>
  <c r="DM90" i="60"/>
  <c r="DN87" i="60"/>
  <c r="DN89" i="60"/>
  <c r="DO88" i="60"/>
  <c r="DO90" i="60"/>
  <c r="BG60" i="60"/>
  <c r="BE60" i="60"/>
  <c r="BW64" i="60"/>
  <c r="BW72" i="60"/>
  <c r="BY64" i="60"/>
  <c r="BY72" i="60"/>
  <c r="CO87" i="60"/>
  <c r="BE68" i="60"/>
  <c r="BG68" i="60"/>
  <c r="BV8" i="60"/>
  <c r="CH8" i="60"/>
  <c r="BV9" i="60"/>
  <c r="CH9" i="60"/>
  <c r="BV10" i="60"/>
  <c r="CH10" i="60"/>
  <c r="BV11" i="60"/>
  <c r="CH11" i="60"/>
  <c r="BV12" i="60"/>
  <c r="CH12" i="60"/>
  <c r="BV13" i="60"/>
  <c r="CH13" i="60"/>
  <c r="BV14" i="60"/>
  <c r="CH14" i="60"/>
  <c r="BV15" i="60"/>
  <c r="CH15" i="60"/>
  <c r="BV16" i="60"/>
  <c r="CH16" i="60"/>
  <c r="BV17" i="60"/>
  <c r="CH17" i="60"/>
  <c r="BV18" i="60"/>
  <c r="CH18" i="60"/>
  <c r="BV19" i="60"/>
  <c r="CH19" i="60"/>
  <c r="BV20" i="60"/>
  <c r="CH20" i="60"/>
  <c r="BV21" i="60"/>
  <c r="CH21" i="60"/>
  <c r="BV22" i="60"/>
  <c r="CH22" i="60"/>
  <c r="BV23" i="60"/>
  <c r="CH23" i="60"/>
  <c r="BV24" i="60"/>
  <c r="CH24" i="60"/>
  <c r="BV25" i="60"/>
  <c r="CH25" i="60"/>
  <c r="BV26" i="60"/>
  <c r="CH26" i="60"/>
  <c r="BV27" i="60"/>
  <c r="CH27" i="60"/>
  <c r="BV28" i="60"/>
  <c r="CH28" i="60"/>
  <c r="BV29" i="60"/>
  <c r="CH29" i="60"/>
  <c r="BV30" i="60"/>
  <c r="CH30" i="60"/>
  <c r="BV31" i="60"/>
  <c r="CH31" i="60"/>
  <c r="BV32" i="60"/>
  <c r="CH32" i="60"/>
  <c r="BV33" i="60"/>
  <c r="CH33" i="60"/>
  <c r="BV34" i="60"/>
  <c r="CH34" i="60"/>
  <c r="BV35" i="60"/>
  <c r="CH35" i="60"/>
  <c r="BV36" i="60"/>
  <c r="CH36" i="60"/>
  <c r="BV37" i="60"/>
  <c r="CH37" i="60"/>
  <c r="BV38" i="60"/>
  <c r="CH38" i="60"/>
  <c r="BV39" i="60"/>
  <c r="CH39" i="60"/>
  <c r="BV40" i="60"/>
  <c r="CH40" i="60"/>
  <c r="BV41" i="60"/>
  <c r="CH41" i="60"/>
  <c r="BV42" i="60"/>
  <c r="CH42" i="60"/>
  <c r="BV43" i="60"/>
  <c r="CH43" i="60"/>
  <c r="BV44" i="60"/>
  <c r="CH44" i="60"/>
  <c r="BV45" i="60"/>
  <c r="CH45" i="60"/>
  <c r="BV46" i="60"/>
  <c r="CH46" i="60"/>
  <c r="BV47" i="60"/>
  <c r="CH47" i="60"/>
  <c r="BV48" i="60"/>
  <c r="CH48" i="60"/>
  <c r="BV50" i="60"/>
  <c r="CH50" i="60"/>
  <c r="BV75" i="60"/>
  <c r="BW62" i="60"/>
  <c r="BW66" i="60"/>
  <c r="BW70" i="60"/>
  <c r="BW74" i="60"/>
  <c r="BY62" i="60"/>
  <c r="BY66" i="60"/>
  <c r="BY70" i="60"/>
  <c r="BY74" i="60"/>
  <c r="CB75" i="60"/>
  <c r="CI60" i="60"/>
  <c r="CI64" i="60"/>
  <c r="CI68" i="60"/>
  <c r="CI72" i="60"/>
  <c r="CK60" i="60"/>
  <c r="CK64" i="60"/>
  <c r="CK68" i="60"/>
  <c r="CK72" i="60"/>
  <c r="CB77" i="60"/>
  <c r="CH77" i="60"/>
  <c r="BW87" i="60"/>
  <c r="BW91" i="60"/>
  <c r="BY89" i="60"/>
  <c r="CI87" i="60"/>
  <c r="CI91" i="60"/>
  <c r="CH91" i="60" s="1"/>
  <c r="CO91" i="60"/>
  <c r="CQ89" i="60"/>
  <c r="CH94" i="60"/>
  <c r="CN94" i="60"/>
  <c r="CB8" i="60"/>
  <c r="CN8" i="60"/>
  <c r="CB9" i="60"/>
  <c r="CN9" i="60"/>
  <c r="CB10" i="60"/>
  <c r="CN10" i="60"/>
  <c r="CB11" i="60"/>
  <c r="CN11" i="60"/>
  <c r="CB12" i="60"/>
  <c r="CN12" i="60"/>
  <c r="CB13" i="60"/>
  <c r="CN13" i="60"/>
  <c r="CB14" i="60"/>
  <c r="CN14" i="60"/>
  <c r="CB15" i="60"/>
  <c r="CN15" i="60"/>
  <c r="CB16" i="60"/>
  <c r="CN16" i="60"/>
  <c r="CB17" i="60"/>
  <c r="CN17" i="60"/>
  <c r="CB18" i="60"/>
  <c r="CN18" i="60"/>
  <c r="CB19" i="60"/>
  <c r="CN19" i="60"/>
  <c r="CB20" i="60"/>
  <c r="CN20" i="60"/>
  <c r="CB21" i="60"/>
  <c r="CN21" i="60"/>
  <c r="CB22" i="60"/>
  <c r="CN22" i="60"/>
  <c r="CB23" i="60"/>
  <c r="CN23" i="60"/>
  <c r="CB24" i="60"/>
  <c r="CN24" i="60"/>
  <c r="CB25" i="60"/>
  <c r="CN25" i="60"/>
  <c r="CB26" i="60"/>
  <c r="CN26" i="60"/>
  <c r="CB27" i="60"/>
  <c r="CN27" i="60"/>
  <c r="CB28" i="60"/>
  <c r="CN28" i="60"/>
  <c r="CB29" i="60"/>
  <c r="CN29" i="60"/>
  <c r="CB30" i="60"/>
  <c r="CN30" i="60"/>
  <c r="CB31" i="60"/>
  <c r="CN31" i="60"/>
  <c r="CB32" i="60"/>
  <c r="CN32" i="60"/>
  <c r="CB33" i="60"/>
  <c r="CN33" i="60"/>
  <c r="CB34" i="60"/>
  <c r="CN34" i="60"/>
  <c r="CB35" i="60"/>
  <c r="CN35" i="60"/>
  <c r="CB36" i="60"/>
  <c r="CN36" i="60"/>
  <c r="CB37" i="60"/>
  <c r="CN37" i="60"/>
  <c r="CB38" i="60"/>
  <c r="CN38" i="60"/>
  <c r="CB39" i="60"/>
  <c r="CN39" i="60"/>
  <c r="CB40" i="60"/>
  <c r="CN40" i="60"/>
  <c r="CB41" i="60"/>
  <c r="CN41" i="60"/>
  <c r="CB42" i="60"/>
  <c r="CN42" i="60"/>
  <c r="CB43" i="60"/>
  <c r="CN43" i="60"/>
  <c r="CB44" i="60"/>
  <c r="CN44" i="60"/>
  <c r="CB45" i="60"/>
  <c r="CN45" i="60"/>
  <c r="CB46" i="60"/>
  <c r="CN46" i="60"/>
  <c r="CB47" i="60"/>
  <c r="CN47" i="60"/>
  <c r="CB48" i="60"/>
  <c r="CN48" i="60"/>
  <c r="CB50" i="60"/>
  <c r="CN50" i="60"/>
  <c r="CH75" i="60"/>
  <c r="CI62" i="60"/>
  <c r="CI66" i="60"/>
  <c r="CI70" i="60"/>
  <c r="CI74" i="60"/>
  <c r="CK62" i="60"/>
  <c r="CK66" i="60"/>
  <c r="CK70" i="60"/>
  <c r="CK74" i="60"/>
  <c r="CN75" i="60"/>
  <c r="BV77" i="60"/>
  <c r="CN77" i="60"/>
  <c r="BV92" i="60"/>
  <c r="BW89" i="60"/>
  <c r="BY87" i="60"/>
  <c r="BY91" i="60"/>
  <c r="CB92" i="60"/>
  <c r="CI89" i="60"/>
  <c r="CN92" i="60"/>
  <c r="CO89" i="60"/>
  <c r="CQ87" i="60"/>
  <c r="CQ91" i="60"/>
  <c r="BV94" i="60"/>
  <c r="CB94" i="60"/>
  <c r="BW61" i="60"/>
  <c r="BW63" i="60"/>
  <c r="BW65" i="60"/>
  <c r="BW67" i="60"/>
  <c r="BW69" i="60"/>
  <c r="BW71" i="60"/>
  <c r="BW73" i="60"/>
  <c r="BX60" i="60"/>
  <c r="BX62" i="60"/>
  <c r="BX64" i="60"/>
  <c r="BX66" i="60"/>
  <c r="BX68" i="60"/>
  <c r="BX70" i="60"/>
  <c r="BX72" i="60"/>
  <c r="BX74" i="60"/>
  <c r="BY61" i="60"/>
  <c r="BY63" i="60"/>
  <c r="BY65" i="60"/>
  <c r="BY67" i="60"/>
  <c r="BY69" i="60"/>
  <c r="BY71" i="60"/>
  <c r="BY73" i="60"/>
  <c r="CC60" i="60"/>
  <c r="CC62" i="60"/>
  <c r="CC64" i="60"/>
  <c r="CC66" i="60"/>
  <c r="CC68" i="60"/>
  <c r="CC70" i="60"/>
  <c r="CC72" i="60"/>
  <c r="CC74" i="60"/>
  <c r="CD61" i="60"/>
  <c r="CD63" i="60"/>
  <c r="CD65" i="60"/>
  <c r="CD67" i="60"/>
  <c r="CD69" i="60"/>
  <c r="CD71" i="60"/>
  <c r="CD73" i="60"/>
  <c r="CD75" i="60"/>
  <c r="CE60" i="60"/>
  <c r="CE62" i="60"/>
  <c r="CE64" i="60"/>
  <c r="CE66" i="60"/>
  <c r="CE68" i="60"/>
  <c r="CE70" i="60"/>
  <c r="CE72" i="60"/>
  <c r="CE74" i="60"/>
  <c r="CI61" i="60"/>
  <c r="CI63" i="60"/>
  <c r="CI65" i="60"/>
  <c r="CI67" i="60"/>
  <c r="CI69" i="60"/>
  <c r="CI71" i="60"/>
  <c r="CI73" i="60"/>
  <c r="CJ60" i="60"/>
  <c r="CJ62" i="60"/>
  <c r="CJ64" i="60"/>
  <c r="CJ66" i="60"/>
  <c r="CJ68" i="60"/>
  <c r="CJ70" i="60"/>
  <c r="CJ72" i="60"/>
  <c r="CJ74" i="60"/>
  <c r="CK61" i="60"/>
  <c r="CK63" i="60"/>
  <c r="CK65" i="60"/>
  <c r="CK67" i="60"/>
  <c r="CK69" i="60"/>
  <c r="CK71" i="60"/>
  <c r="CK73" i="60"/>
  <c r="CO60" i="60"/>
  <c r="CO62" i="60"/>
  <c r="CO64" i="60"/>
  <c r="CO66" i="60"/>
  <c r="CO68" i="60"/>
  <c r="CO70" i="60"/>
  <c r="CO72" i="60"/>
  <c r="CO74" i="60"/>
  <c r="CP61" i="60"/>
  <c r="CP63" i="60"/>
  <c r="CP65" i="60"/>
  <c r="CP67" i="60"/>
  <c r="CP69" i="60"/>
  <c r="CP71" i="60"/>
  <c r="CP73" i="60"/>
  <c r="CP75" i="60"/>
  <c r="CQ60" i="60"/>
  <c r="CQ62" i="60"/>
  <c r="CQ64" i="60"/>
  <c r="CQ66" i="60"/>
  <c r="CQ68" i="60"/>
  <c r="CQ70" i="60"/>
  <c r="CQ72" i="60"/>
  <c r="CQ74" i="60"/>
  <c r="BW88" i="60"/>
  <c r="BW90" i="60"/>
  <c r="BX87" i="60"/>
  <c r="BX89" i="60"/>
  <c r="BX91" i="60"/>
  <c r="BY88" i="60"/>
  <c r="BY90" i="60"/>
  <c r="CC87" i="60"/>
  <c r="CC89" i="60"/>
  <c r="CC91" i="60"/>
  <c r="CD88" i="60"/>
  <c r="CD90" i="60"/>
  <c r="CD92" i="60"/>
  <c r="CE87" i="60"/>
  <c r="CE89" i="60"/>
  <c r="CE91" i="60"/>
  <c r="CI88" i="60"/>
  <c r="CI90" i="60"/>
  <c r="CJ87" i="60"/>
  <c r="CJ89" i="60"/>
  <c r="CJ91" i="60"/>
  <c r="CK88" i="60"/>
  <c r="CK90" i="60"/>
  <c r="CK92" i="60"/>
  <c r="CH92" i="60" s="1"/>
  <c r="CP88" i="60"/>
  <c r="CP90" i="60"/>
  <c r="CP92" i="60"/>
  <c r="BX61" i="60"/>
  <c r="BX63" i="60"/>
  <c r="BX65" i="60"/>
  <c r="BX67" i="60"/>
  <c r="BX69" i="60"/>
  <c r="BX71" i="60"/>
  <c r="BX73" i="60"/>
  <c r="CC61" i="60"/>
  <c r="CC63" i="60"/>
  <c r="CC65" i="60"/>
  <c r="CC67" i="60"/>
  <c r="CC69" i="60"/>
  <c r="CC71" i="60"/>
  <c r="CC73" i="60"/>
  <c r="CD60" i="60"/>
  <c r="CD62" i="60"/>
  <c r="CD64" i="60"/>
  <c r="CD66" i="60"/>
  <c r="CD68" i="60"/>
  <c r="CD70" i="60"/>
  <c r="CD72" i="60"/>
  <c r="CE61" i="60"/>
  <c r="CE63" i="60"/>
  <c r="CE65" i="60"/>
  <c r="CE67" i="60"/>
  <c r="CE69" i="60"/>
  <c r="CE71" i="60"/>
  <c r="CE73" i="60"/>
  <c r="CJ61" i="60"/>
  <c r="CJ63" i="60"/>
  <c r="CJ65" i="60"/>
  <c r="CJ67" i="60"/>
  <c r="CJ69" i="60"/>
  <c r="CJ71" i="60"/>
  <c r="CJ73" i="60"/>
  <c r="CO61" i="60"/>
  <c r="CO63" i="60"/>
  <c r="CO65" i="60"/>
  <c r="CO67" i="60"/>
  <c r="CO69" i="60"/>
  <c r="CO71" i="60"/>
  <c r="CO73" i="60"/>
  <c r="CP60" i="60"/>
  <c r="CP62" i="60"/>
  <c r="CP64" i="60"/>
  <c r="CP66" i="60"/>
  <c r="CP68" i="60"/>
  <c r="CP70" i="60"/>
  <c r="CP72" i="60"/>
  <c r="CQ61" i="60"/>
  <c r="CQ63" i="60"/>
  <c r="CQ65" i="60"/>
  <c r="CQ67" i="60"/>
  <c r="CQ69" i="60"/>
  <c r="CQ71" i="60"/>
  <c r="CQ73" i="60"/>
  <c r="BX88" i="60"/>
  <c r="BX90" i="60"/>
  <c r="CC88" i="60"/>
  <c r="CC90" i="60"/>
  <c r="CD87" i="60"/>
  <c r="CD89" i="60"/>
  <c r="CE88" i="60"/>
  <c r="CE90" i="60"/>
  <c r="CJ88" i="60"/>
  <c r="CJ90" i="60"/>
  <c r="CK87" i="60"/>
  <c r="CK89" i="60"/>
  <c r="CO88" i="60"/>
  <c r="CO90" i="60"/>
  <c r="CP87" i="60"/>
  <c r="CP89" i="60"/>
  <c r="CQ88" i="60"/>
  <c r="CQ90" i="60"/>
  <c r="BQ87" i="60"/>
  <c r="BE64" i="60"/>
  <c r="BE72" i="60"/>
  <c r="BG64" i="60"/>
  <c r="BG72" i="60"/>
  <c r="BQ91" i="60"/>
  <c r="BD8" i="60"/>
  <c r="BP8" i="60"/>
  <c r="BD9" i="60"/>
  <c r="BP9" i="60"/>
  <c r="BD10" i="60"/>
  <c r="BP10" i="60"/>
  <c r="BD11" i="60"/>
  <c r="BP11" i="60"/>
  <c r="BD12" i="60"/>
  <c r="BP12" i="60"/>
  <c r="BD13" i="60"/>
  <c r="BP13" i="60"/>
  <c r="BD14" i="60"/>
  <c r="BP14" i="60"/>
  <c r="BD15" i="60"/>
  <c r="BP15" i="60"/>
  <c r="BD16" i="60"/>
  <c r="BP16" i="60"/>
  <c r="BD17" i="60"/>
  <c r="BP17" i="60"/>
  <c r="BD18" i="60"/>
  <c r="BP18" i="60"/>
  <c r="BD19" i="60"/>
  <c r="BP19" i="60"/>
  <c r="BD20" i="60"/>
  <c r="BP20" i="60"/>
  <c r="BD21" i="60"/>
  <c r="BP21" i="60"/>
  <c r="BD22" i="60"/>
  <c r="BP22" i="60"/>
  <c r="BD23" i="60"/>
  <c r="BP23" i="60"/>
  <c r="BD24" i="60"/>
  <c r="BP24" i="60"/>
  <c r="BD25" i="60"/>
  <c r="BP25" i="60"/>
  <c r="BD26" i="60"/>
  <c r="BP26" i="60"/>
  <c r="BD27" i="60"/>
  <c r="BP27" i="60"/>
  <c r="BD28" i="60"/>
  <c r="BP28" i="60"/>
  <c r="BD29" i="60"/>
  <c r="BP29" i="60"/>
  <c r="BD30" i="60"/>
  <c r="BP30" i="60"/>
  <c r="BD31" i="60"/>
  <c r="BP31" i="60"/>
  <c r="BD32" i="60"/>
  <c r="BP32" i="60"/>
  <c r="BD33" i="60"/>
  <c r="BP33" i="60"/>
  <c r="BD34" i="60"/>
  <c r="BP34" i="60"/>
  <c r="BD35" i="60"/>
  <c r="BP35" i="60"/>
  <c r="BD36" i="60"/>
  <c r="BP36" i="60"/>
  <c r="BD37" i="60"/>
  <c r="BP37" i="60"/>
  <c r="BD38" i="60"/>
  <c r="BP38" i="60"/>
  <c r="BD39" i="60"/>
  <c r="BP39" i="60"/>
  <c r="BD40" i="60"/>
  <c r="BP40" i="60"/>
  <c r="BD41" i="60"/>
  <c r="BP41" i="60"/>
  <c r="BD42" i="60"/>
  <c r="BP42" i="60"/>
  <c r="BD43" i="60"/>
  <c r="BP43" i="60"/>
  <c r="BD44" i="60"/>
  <c r="BP44" i="60"/>
  <c r="BD45" i="60"/>
  <c r="BP45" i="60"/>
  <c r="BD46" i="60"/>
  <c r="BP46" i="60"/>
  <c r="BD47" i="60"/>
  <c r="BP47" i="60"/>
  <c r="BD48" i="60"/>
  <c r="BP48" i="60"/>
  <c r="BD50" i="60"/>
  <c r="BP50" i="60"/>
  <c r="AY60" i="60"/>
  <c r="AY64" i="60"/>
  <c r="BP75" i="60"/>
  <c r="BQ62" i="60"/>
  <c r="BQ66" i="60"/>
  <c r="BQ70" i="60"/>
  <c r="BS60" i="60"/>
  <c r="BS64" i="60"/>
  <c r="BS68" i="60"/>
  <c r="AX77" i="60"/>
  <c r="BP77" i="60"/>
  <c r="BA89" i="60"/>
  <c r="BG87" i="60"/>
  <c r="BK89" i="60"/>
  <c r="BP92" i="60"/>
  <c r="BQ89" i="60"/>
  <c r="BS87" i="60"/>
  <c r="BS91" i="60"/>
  <c r="AX94" i="60"/>
  <c r="BD94" i="60"/>
  <c r="AX8" i="60"/>
  <c r="BJ8" i="60"/>
  <c r="AX9" i="60"/>
  <c r="BJ9" i="60"/>
  <c r="AX10" i="60"/>
  <c r="BJ10" i="60"/>
  <c r="AX11" i="60"/>
  <c r="BJ11" i="60"/>
  <c r="AX12" i="60"/>
  <c r="BJ12" i="60"/>
  <c r="AX13" i="60"/>
  <c r="BJ13" i="60"/>
  <c r="AX14" i="60"/>
  <c r="BJ14" i="60"/>
  <c r="AX15" i="60"/>
  <c r="BJ15" i="60"/>
  <c r="AX16" i="60"/>
  <c r="BJ16" i="60"/>
  <c r="AX17" i="60"/>
  <c r="BJ17" i="60"/>
  <c r="AX18" i="60"/>
  <c r="BJ18" i="60"/>
  <c r="AX19" i="60"/>
  <c r="BJ19" i="60"/>
  <c r="AX20" i="60"/>
  <c r="BJ20" i="60"/>
  <c r="AX21" i="60"/>
  <c r="BJ21" i="60"/>
  <c r="AX22" i="60"/>
  <c r="BJ22" i="60"/>
  <c r="AX23" i="60"/>
  <c r="BJ23" i="60"/>
  <c r="AX24" i="60"/>
  <c r="BJ24" i="60"/>
  <c r="AX25" i="60"/>
  <c r="BJ25" i="60"/>
  <c r="AX26" i="60"/>
  <c r="BJ26" i="60"/>
  <c r="AX27" i="60"/>
  <c r="BJ27" i="60"/>
  <c r="AX28" i="60"/>
  <c r="BJ28" i="60"/>
  <c r="AX29" i="60"/>
  <c r="BJ29" i="60"/>
  <c r="AX30" i="60"/>
  <c r="BJ30" i="60"/>
  <c r="AX31" i="60"/>
  <c r="BJ31" i="60"/>
  <c r="AX32" i="60"/>
  <c r="BJ32" i="60"/>
  <c r="AX33" i="60"/>
  <c r="BJ33" i="60"/>
  <c r="AX34" i="60"/>
  <c r="BJ34" i="60"/>
  <c r="AX35" i="60"/>
  <c r="BJ35" i="60"/>
  <c r="AX36" i="60"/>
  <c r="BJ36" i="60"/>
  <c r="AX37" i="60"/>
  <c r="BJ37" i="60"/>
  <c r="AX38" i="60"/>
  <c r="BJ38" i="60"/>
  <c r="AX39" i="60"/>
  <c r="BJ39" i="60"/>
  <c r="AX40" i="60"/>
  <c r="BJ40" i="60"/>
  <c r="AX41" i="60"/>
  <c r="BJ41" i="60"/>
  <c r="AX42" i="60"/>
  <c r="BJ42" i="60"/>
  <c r="AX43" i="60"/>
  <c r="BJ43" i="60"/>
  <c r="AX44" i="60"/>
  <c r="BJ44" i="60"/>
  <c r="AX45" i="60"/>
  <c r="BJ45" i="60"/>
  <c r="AX46" i="60"/>
  <c r="BJ46" i="60"/>
  <c r="AX47" i="60"/>
  <c r="BJ47" i="60"/>
  <c r="AX48" i="60"/>
  <c r="BJ48" i="60"/>
  <c r="AX50" i="60"/>
  <c r="BJ50" i="60"/>
  <c r="AX74" i="60"/>
  <c r="AY62" i="60"/>
  <c r="BD75" i="60"/>
  <c r="BE62" i="60"/>
  <c r="BE66" i="60"/>
  <c r="BE70" i="60"/>
  <c r="BE74" i="60"/>
  <c r="BG62" i="60"/>
  <c r="BG66" i="60"/>
  <c r="BG70" i="60"/>
  <c r="BG74" i="60"/>
  <c r="BJ74" i="60"/>
  <c r="BQ60" i="60"/>
  <c r="BQ64" i="60"/>
  <c r="BQ68" i="60"/>
  <c r="BQ72" i="60"/>
  <c r="BS62" i="60"/>
  <c r="BS66" i="60"/>
  <c r="BD77" i="60"/>
  <c r="BA87" i="60"/>
  <c r="BA91" i="60"/>
  <c r="AX91" i="60" s="1"/>
  <c r="BD92" i="60"/>
  <c r="BK87" i="60"/>
  <c r="BK91" i="60"/>
  <c r="BJ91" i="60" s="1"/>
  <c r="BS89" i="60"/>
  <c r="BJ94" i="60"/>
  <c r="BP94" i="60"/>
  <c r="AY61" i="60"/>
  <c r="AY63" i="60"/>
  <c r="AY65" i="60"/>
  <c r="AY67" i="60"/>
  <c r="AY69" i="60"/>
  <c r="AY71" i="60"/>
  <c r="AY73" i="60"/>
  <c r="AY75" i="60"/>
  <c r="AZ60" i="60"/>
  <c r="AZ62" i="60"/>
  <c r="AZ64" i="60"/>
  <c r="AZ66" i="60"/>
  <c r="AZ68" i="60"/>
  <c r="AZ70" i="60"/>
  <c r="AZ72" i="60"/>
  <c r="AZ74" i="60"/>
  <c r="BA61" i="60"/>
  <c r="BA63" i="60"/>
  <c r="BA65" i="60"/>
  <c r="BA67" i="60"/>
  <c r="BA69" i="60"/>
  <c r="BA71" i="60"/>
  <c r="BA73" i="60"/>
  <c r="BA75" i="60"/>
  <c r="BF61" i="60"/>
  <c r="BF63" i="60"/>
  <c r="BF65" i="60"/>
  <c r="BF67" i="60"/>
  <c r="BF69" i="60"/>
  <c r="BF71" i="60"/>
  <c r="BF73" i="60"/>
  <c r="BF75" i="60"/>
  <c r="BK61" i="60"/>
  <c r="BK63" i="60"/>
  <c r="BK65" i="60"/>
  <c r="BK67" i="60"/>
  <c r="BK69" i="60"/>
  <c r="BK71" i="60"/>
  <c r="BK73" i="60"/>
  <c r="BK75" i="60"/>
  <c r="BL60" i="60"/>
  <c r="BL62" i="60"/>
  <c r="BL64" i="60"/>
  <c r="BL66" i="60"/>
  <c r="BL68" i="60"/>
  <c r="BL70" i="60"/>
  <c r="BL72" i="60"/>
  <c r="BL74" i="60"/>
  <c r="BM61" i="60"/>
  <c r="BM63" i="60"/>
  <c r="BM65" i="60"/>
  <c r="BM67" i="60"/>
  <c r="BM69" i="60"/>
  <c r="BM71" i="60"/>
  <c r="BM73" i="60"/>
  <c r="BM75" i="60"/>
  <c r="BQ74" i="60"/>
  <c r="BR61" i="60"/>
  <c r="BR63" i="60"/>
  <c r="BR65" i="60"/>
  <c r="BR67" i="60"/>
  <c r="BR69" i="60"/>
  <c r="BR71" i="60"/>
  <c r="BR73" i="60"/>
  <c r="BR75" i="60"/>
  <c r="BS70" i="60"/>
  <c r="BS72" i="60"/>
  <c r="BS74" i="60"/>
  <c r="AY88" i="60"/>
  <c r="AY90" i="60"/>
  <c r="AY92" i="60"/>
  <c r="AX92" i="60" s="1"/>
  <c r="AZ87" i="60"/>
  <c r="AZ89" i="60"/>
  <c r="AZ91" i="60"/>
  <c r="BA88" i="60"/>
  <c r="BA90" i="60"/>
  <c r="BE87" i="60"/>
  <c r="BE89" i="60"/>
  <c r="BE91" i="60"/>
  <c r="BF88" i="60"/>
  <c r="BF90" i="60"/>
  <c r="BF92" i="60"/>
  <c r="BG89" i="60"/>
  <c r="BG91" i="60"/>
  <c r="BK88" i="60"/>
  <c r="BK90" i="60"/>
  <c r="BL87" i="60"/>
  <c r="BL89" i="60"/>
  <c r="BL91" i="60"/>
  <c r="BM88" i="60"/>
  <c r="BM90" i="60"/>
  <c r="BM92" i="60"/>
  <c r="BJ92" i="60" s="1"/>
  <c r="BR88" i="60"/>
  <c r="BR90" i="60"/>
  <c r="BR92" i="60"/>
  <c r="AY66" i="60"/>
  <c r="AY68" i="60"/>
  <c r="AY70" i="60"/>
  <c r="AY72" i="60"/>
  <c r="AZ61" i="60"/>
  <c r="AZ63" i="60"/>
  <c r="AZ65" i="60"/>
  <c r="AZ67" i="60"/>
  <c r="AZ69" i="60"/>
  <c r="AZ71" i="60"/>
  <c r="AZ73" i="60"/>
  <c r="BA60" i="60"/>
  <c r="BA62" i="60"/>
  <c r="BA64" i="60"/>
  <c r="BA66" i="60"/>
  <c r="BA68" i="60"/>
  <c r="BA70" i="60"/>
  <c r="BA72" i="60"/>
  <c r="BE61" i="60"/>
  <c r="BE63" i="60"/>
  <c r="BE65" i="60"/>
  <c r="BE67" i="60"/>
  <c r="BE69" i="60"/>
  <c r="BE71" i="60"/>
  <c r="BE73" i="60"/>
  <c r="BF60" i="60"/>
  <c r="BF62" i="60"/>
  <c r="BF64" i="60"/>
  <c r="BF66" i="60"/>
  <c r="BF68" i="60"/>
  <c r="BF70" i="60"/>
  <c r="BF72" i="60"/>
  <c r="BG61" i="60"/>
  <c r="BG63" i="60"/>
  <c r="BG65" i="60"/>
  <c r="BG67" i="60"/>
  <c r="BG69" i="60"/>
  <c r="BG71" i="60"/>
  <c r="BG73" i="60"/>
  <c r="BK60" i="60"/>
  <c r="BK62" i="60"/>
  <c r="BK64" i="60"/>
  <c r="BK66" i="60"/>
  <c r="BK68" i="60"/>
  <c r="BK70" i="60"/>
  <c r="BK72" i="60"/>
  <c r="BL61" i="60"/>
  <c r="BL63" i="60"/>
  <c r="BL65" i="60"/>
  <c r="BL67" i="60"/>
  <c r="BL69" i="60"/>
  <c r="BL71" i="60"/>
  <c r="BL73" i="60"/>
  <c r="BM60" i="60"/>
  <c r="BM62" i="60"/>
  <c r="BM64" i="60"/>
  <c r="BM66" i="60"/>
  <c r="BM68" i="60"/>
  <c r="BM70" i="60"/>
  <c r="BM72" i="60"/>
  <c r="BQ61" i="60"/>
  <c r="BQ63" i="60"/>
  <c r="BQ65" i="60"/>
  <c r="BQ67" i="60"/>
  <c r="BQ69" i="60"/>
  <c r="BQ71" i="60"/>
  <c r="BQ73" i="60"/>
  <c r="BR60" i="60"/>
  <c r="BR62" i="60"/>
  <c r="BR64" i="60"/>
  <c r="BR66" i="60"/>
  <c r="BR68" i="60"/>
  <c r="BR70" i="60"/>
  <c r="BR72" i="60"/>
  <c r="BS61" i="60"/>
  <c r="BS63" i="60"/>
  <c r="BS65" i="60"/>
  <c r="BS67" i="60"/>
  <c r="BS69" i="60"/>
  <c r="BS71" i="60"/>
  <c r="BS73" i="60"/>
  <c r="AY87" i="60"/>
  <c r="AY89" i="60"/>
  <c r="AZ88" i="60"/>
  <c r="AZ90" i="60"/>
  <c r="BE88" i="60"/>
  <c r="BE90" i="60"/>
  <c r="BF87" i="60"/>
  <c r="BF89" i="60"/>
  <c r="BG88" i="60"/>
  <c r="BG90" i="60"/>
  <c r="BL88" i="60"/>
  <c r="BL90" i="60"/>
  <c r="BM87" i="60"/>
  <c r="BM89" i="60"/>
  <c r="BQ88" i="60"/>
  <c r="BQ90" i="60"/>
  <c r="BR87" i="60"/>
  <c r="BR89" i="60"/>
  <c r="BS88" i="60"/>
  <c r="BS90" i="60"/>
  <c r="CS53" i="60"/>
  <c r="CS1" i="60"/>
  <c r="CS80" i="60"/>
  <c r="J75" i="60"/>
  <c r="J67" i="60"/>
  <c r="V90" i="60"/>
  <c r="U90" i="60"/>
  <c r="D75" i="60"/>
  <c r="J71" i="60"/>
  <c r="J63" i="60"/>
  <c r="I75" i="60"/>
  <c r="P67" i="60"/>
  <c r="V75" i="60"/>
  <c r="AG64" i="60"/>
  <c r="AG72" i="60"/>
  <c r="AI64" i="60"/>
  <c r="AI72" i="60"/>
  <c r="AU64" i="60"/>
  <c r="AU72" i="60"/>
  <c r="D67" i="60"/>
  <c r="C75" i="60"/>
  <c r="P71" i="60"/>
  <c r="P63" i="60"/>
  <c r="O75" i="60"/>
  <c r="Z77" i="60"/>
  <c r="AG60" i="60"/>
  <c r="AG68" i="60"/>
  <c r="AI60" i="60"/>
  <c r="AI68" i="60"/>
  <c r="AU60" i="60"/>
  <c r="AU68" i="60"/>
  <c r="AS87" i="60"/>
  <c r="AF8" i="60"/>
  <c r="AR8" i="60"/>
  <c r="AF9" i="60"/>
  <c r="AR9" i="60"/>
  <c r="AF10" i="60"/>
  <c r="AR10" i="60"/>
  <c r="AF11" i="60"/>
  <c r="AR11" i="60"/>
  <c r="AF12" i="60"/>
  <c r="AR12" i="60"/>
  <c r="AF13" i="60"/>
  <c r="AR13" i="60"/>
  <c r="AF14" i="60"/>
  <c r="AR14" i="60"/>
  <c r="AF15" i="60"/>
  <c r="AR15" i="60"/>
  <c r="AF16" i="60"/>
  <c r="AR16" i="60"/>
  <c r="AF17" i="60"/>
  <c r="AR17" i="60"/>
  <c r="AF18" i="60"/>
  <c r="AR18" i="60"/>
  <c r="AF19" i="60"/>
  <c r="AR19" i="60"/>
  <c r="AF20" i="60"/>
  <c r="AR20" i="60"/>
  <c r="AF21" i="60"/>
  <c r="AR21" i="60"/>
  <c r="AF22" i="60"/>
  <c r="AR22" i="60"/>
  <c r="AF23" i="60"/>
  <c r="AR23" i="60"/>
  <c r="AF24" i="60"/>
  <c r="AR24" i="60"/>
  <c r="AF25" i="60"/>
  <c r="AR25" i="60"/>
  <c r="AF26" i="60"/>
  <c r="AR26" i="60"/>
  <c r="AF27" i="60"/>
  <c r="AR27" i="60"/>
  <c r="AF28" i="60"/>
  <c r="AR28" i="60"/>
  <c r="AF29" i="60"/>
  <c r="AR29" i="60"/>
  <c r="AF30" i="60"/>
  <c r="AR30" i="60"/>
  <c r="AF31" i="60"/>
  <c r="AR31" i="60"/>
  <c r="AF32" i="60"/>
  <c r="AR32" i="60"/>
  <c r="AF33" i="60"/>
  <c r="AR33" i="60"/>
  <c r="AF34" i="60"/>
  <c r="AR34" i="60"/>
  <c r="AF35" i="60"/>
  <c r="AR35" i="60"/>
  <c r="AF36" i="60"/>
  <c r="AR36" i="60"/>
  <c r="AF37" i="60"/>
  <c r="AR37" i="60"/>
  <c r="AF38" i="60"/>
  <c r="AR38" i="60"/>
  <c r="AF39" i="60"/>
  <c r="AR39" i="60"/>
  <c r="AF40" i="60"/>
  <c r="AR40" i="60"/>
  <c r="AF41" i="60"/>
  <c r="AR41" i="60"/>
  <c r="AF42" i="60"/>
  <c r="AR42" i="60"/>
  <c r="AF43" i="60"/>
  <c r="AR43" i="60"/>
  <c r="AF44" i="60"/>
  <c r="AR44" i="60"/>
  <c r="AF45" i="60"/>
  <c r="AR45" i="60"/>
  <c r="AF46" i="60"/>
  <c r="AR46" i="60"/>
  <c r="AF47" i="60"/>
  <c r="AR47" i="60"/>
  <c r="AF48" i="60"/>
  <c r="AR48" i="60"/>
  <c r="AF50" i="60"/>
  <c r="AR50" i="60"/>
  <c r="Z74" i="60"/>
  <c r="AS62" i="60"/>
  <c r="AS66" i="60"/>
  <c r="AS70" i="60"/>
  <c r="AF77" i="60"/>
  <c r="AL77" i="60"/>
  <c r="Z91" i="60"/>
  <c r="AA89" i="60"/>
  <c r="AF92" i="60"/>
  <c r="AG89" i="60"/>
  <c r="AI89" i="60"/>
  <c r="AS89" i="60"/>
  <c r="AU87" i="60"/>
  <c r="AU91" i="60"/>
  <c r="Z94" i="60"/>
  <c r="AF94" i="60"/>
  <c r="C67" i="60"/>
  <c r="I67" i="60"/>
  <c r="O67" i="60"/>
  <c r="V67" i="60"/>
  <c r="J90" i="60"/>
  <c r="Z8" i="60"/>
  <c r="AL8" i="60"/>
  <c r="Z9" i="60"/>
  <c r="AL9" i="60"/>
  <c r="Z10" i="60"/>
  <c r="AL10" i="60"/>
  <c r="Z11" i="60"/>
  <c r="AL11" i="60"/>
  <c r="Z12" i="60"/>
  <c r="AL12" i="60"/>
  <c r="Z13" i="60"/>
  <c r="AL13" i="60"/>
  <c r="Z14" i="60"/>
  <c r="AL14" i="60"/>
  <c r="Z15" i="60"/>
  <c r="AL15" i="60"/>
  <c r="Z16" i="60"/>
  <c r="AL16" i="60"/>
  <c r="Z17" i="60"/>
  <c r="AL17" i="60"/>
  <c r="Z18" i="60"/>
  <c r="AL18" i="60"/>
  <c r="Z19" i="60"/>
  <c r="AL19" i="60"/>
  <c r="Z20" i="60"/>
  <c r="AL20" i="60"/>
  <c r="Z21" i="60"/>
  <c r="AL21" i="60"/>
  <c r="Z22" i="60"/>
  <c r="AL22" i="60"/>
  <c r="Z23" i="60"/>
  <c r="AL23" i="60"/>
  <c r="Z24" i="60"/>
  <c r="AL24" i="60"/>
  <c r="Z25" i="60"/>
  <c r="AL25" i="60"/>
  <c r="Z26" i="60"/>
  <c r="AL26" i="60"/>
  <c r="Z27" i="60"/>
  <c r="AL27" i="60"/>
  <c r="Z28" i="60"/>
  <c r="AL28" i="60"/>
  <c r="Z29" i="60"/>
  <c r="AL29" i="60"/>
  <c r="Z30" i="60"/>
  <c r="AL30" i="60"/>
  <c r="Z31" i="60"/>
  <c r="AL31" i="60"/>
  <c r="Z32" i="60"/>
  <c r="AL32" i="60"/>
  <c r="Z33" i="60"/>
  <c r="AL33" i="60"/>
  <c r="Z34" i="60"/>
  <c r="AL34" i="60"/>
  <c r="Z35" i="60"/>
  <c r="AL35" i="60"/>
  <c r="Z36" i="60"/>
  <c r="AL36" i="60"/>
  <c r="Z37" i="60"/>
  <c r="AL37" i="60"/>
  <c r="Z38" i="60"/>
  <c r="AL38" i="60"/>
  <c r="Z39" i="60"/>
  <c r="AL39" i="60"/>
  <c r="Z40" i="60"/>
  <c r="AL40" i="60"/>
  <c r="Z41" i="60"/>
  <c r="AL41" i="60"/>
  <c r="Z42" i="60"/>
  <c r="AL42" i="60"/>
  <c r="Z43" i="60"/>
  <c r="AL43" i="60"/>
  <c r="Z44" i="60"/>
  <c r="AL44" i="60"/>
  <c r="Z45" i="60"/>
  <c r="AL45" i="60"/>
  <c r="Z46" i="60"/>
  <c r="AL46" i="60"/>
  <c r="Z47" i="60"/>
  <c r="AL47" i="60"/>
  <c r="Z48" i="60"/>
  <c r="AL48" i="60"/>
  <c r="Z50" i="60"/>
  <c r="AL50" i="60"/>
  <c r="AF75" i="60"/>
  <c r="AG62" i="60"/>
  <c r="AG66" i="60"/>
  <c r="AG70" i="60"/>
  <c r="AG74" i="60"/>
  <c r="AI62" i="60"/>
  <c r="AI66" i="60"/>
  <c r="AI70" i="60"/>
  <c r="AI74" i="60"/>
  <c r="AL74" i="60"/>
  <c r="AS60" i="60"/>
  <c r="AS64" i="60"/>
  <c r="AS68" i="60"/>
  <c r="AS72" i="60"/>
  <c r="AU62" i="60"/>
  <c r="AU66" i="60"/>
  <c r="AU70" i="60"/>
  <c r="AU74" i="60"/>
  <c r="AR77" i="60"/>
  <c r="AA87" i="60"/>
  <c r="AC87" i="60"/>
  <c r="AG87" i="60"/>
  <c r="AI87" i="60"/>
  <c r="AI91" i="60"/>
  <c r="AL91" i="60"/>
  <c r="AS91" i="60"/>
  <c r="AU89" i="60"/>
  <c r="AL94" i="60"/>
  <c r="AR94" i="60"/>
  <c r="AR75" i="60"/>
  <c r="AR92" i="60"/>
  <c r="AA61" i="60"/>
  <c r="AA63" i="60"/>
  <c r="AA65" i="60"/>
  <c r="AA67" i="60"/>
  <c r="AA69" i="60"/>
  <c r="AA71" i="60"/>
  <c r="AA73" i="60"/>
  <c r="AA75" i="60"/>
  <c r="AB60" i="60"/>
  <c r="AB62" i="60"/>
  <c r="AB64" i="60"/>
  <c r="AB66" i="60"/>
  <c r="AB68" i="60"/>
  <c r="AB70" i="60"/>
  <c r="AB72" i="60"/>
  <c r="AB74" i="60"/>
  <c r="AC61" i="60"/>
  <c r="AC63" i="60"/>
  <c r="AC65" i="60"/>
  <c r="AC67" i="60"/>
  <c r="AC69" i="60"/>
  <c r="AC71" i="60"/>
  <c r="AC73" i="60"/>
  <c r="AC75" i="60"/>
  <c r="AH61" i="60"/>
  <c r="AH63" i="60"/>
  <c r="AH65" i="60"/>
  <c r="AH67" i="60"/>
  <c r="AH69" i="60"/>
  <c r="AH71" i="60"/>
  <c r="AH73" i="60"/>
  <c r="AH75" i="60"/>
  <c r="AM61" i="60"/>
  <c r="AM63" i="60"/>
  <c r="AM65" i="60"/>
  <c r="AM67" i="60"/>
  <c r="AM69" i="60"/>
  <c r="AM71" i="60"/>
  <c r="AM73" i="60"/>
  <c r="AM75" i="60"/>
  <c r="AN60" i="60"/>
  <c r="AN62" i="60"/>
  <c r="AN64" i="60"/>
  <c r="AN66" i="60"/>
  <c r="AN68" i="60"/>
  <c r="AN70" i="60"/>
  <c r="AN72" i="60"/>
  <c r="AN74" i="60"/>
  <c r="AO61" i="60"/>
  <c r="AO63" i="60"/>
  <c r="AO65" i="60"/>
  <c r="AO67" i="60"/>
  <c r="AO69" i="60"/>
  <c r="AO71" i="60"/>
  <c r="AO73" i="60"/>
  <c r="AO75" i="60"/>
  <c r="AS74" i="60"/>
  <c r="AT61" i="60"/>
  <c r="AT63" i="60"/>
  <c r="AT65" i="60"/>
  <c r="AT67" i="60"/>
  <c r="AT69" i="60"/>
  <c r="AT71" i="60"/>
  <c r="AT73" i="60"/>
  <c r="AT75" i="60"/>
  <c r="AA88" i="60"/>
  <c r="AA90" i="60"/>
  <c r="AA92" i="60"/>
  <c r="AB87" i="60"/>
  <c r="AB89" i="60"/>
  <c r="AB91" i="60"/>
  <c r="AC88" i="60"/>
  <c r="AC90" i="60"/>
  <c r="AC92" i="60"/>
  <c r="AG91" i="60"/>
  <c r="AH88" i="60"/>
  <c r="AH90" i="60"/>
  <c r="AH92" i="60"/>
  <c r="AM88" i="60"/>
  <c r="AM90" i="60"/>
  <c r="AM92" i="60"/>
  <c r="AN87" i="60"/>
  <c r="AN89" i="60"/>
  <c r="AN91" i="60"/>
  <c r="AO88" i="60"/>
  <c r="AO90" i="60"/>
  <c r="AO92" i="60"/>
  <c r="AT88" i="60"/>
  <c r="AT90" i="60"/>
  <c r="AT92" i="60"/>
  <c r="AA60" i="60"/>
  <c r="AA62" i="60"/>
  <c r="AA64" i="60"/>
  <c r="AA66" i="60"/>
  <c r="AA68" i="60"/>
  <c r="AA70" i="60"/>
  <c r="AA72" i="60"/>
  <c r="AB61" i="60"/>
  <c r="AB63" i="60"/>
  <c r="AB65" i="60"/>
  <c r="AB67" i="60"/>
  <c r="AB69" i="60"/>
  <c r="AB71" i="60"/>
  <c r="AB73" i="60"/>
  <c r="AC60" i="60"/>
  <c r="AC62" i="60"/>
  <c r="AC64" i="60"/>
  <c r="AC66" i="60"/>
  <c r="AC68" i="60"/>
  <c r="AC70" i="60"/>
  <c r="AC72" i="60"/>
  <c r="AG61" i="60"/>
  <c r="AG63" i="60"/>
  <c r="AG65" i="60"/>
  <c r="AG67" i="60"/>
  <c r="AG69" i="60"/>
  <c r="AG71" i="60"/>
  <c r="AG73" i="60"/>
  <c r="AH60" i="60"/>
  <c r="AH62" i="60"/>
  <c r="AH64" i="60"/>
  <c r="AH66" i="60"/>
  <c r="AH68" i="60"/>
  <c r="AH70" i="60"/>
  <c r="AH72" i="60"/>
  <c r="AI61" i="60"/>
  <c r="AI63" i="60"/>
  <c r="AI65" i="60"/>
  <c r="AI67" i="60"/>
  <c r="AI69" i="60"/>
  <c r="AI71" i="60"/>
  <c r="AI73" i="60"/>
  <c r="AM60" i="60"/>
  <c r="AM62" i="60"/>
  <c r="AM64" i="60"/>
  <c r="AM66" i="60"/>
  <c r="AM68" i="60"/>
  <c r="AM70" i="60"/>
  <c r="AM72" i="60"/>
  <c r="AN61" i="60"/>
  <c r="AN63" i="60"/>
  <c r="AN65" i="60"/>
  <c r="AN67" i="60"/>
  <c r="AN69" i="60"/>
  <c r="AN71" i="60"/>
  <c r="AN73" i="60"/>
  <c r="AO60" i="60"/>
  <c r="AO62" i="60"/>
  <c r="AO64" i="60"/>
  <c r="AO66" i="60"/>
  <c r="AO68" i="60"/>
  <c r="AO70" i="60"/>
  <c r="AO72" i="60"/>
  <c r="AS61" i="60"/>
  <c r="AS63" i="60"/>
  <c r="AS65" i="60"/>
  <c r="AS67" i="60"/>
  <c r="AS69" i="60"/>
  <c r="AS71" i="60"/>
  <c r="AS73" i="60"/>
  <c r="AT60" i="60"/>
  <c r="AT62" i="60"/>
  <c r="AT64" i="60"/>
  <c r="AT66" i="60"/>
  <c r="AT68" i="60"/>
  <c r="AT70" i="60"/>
  <c r="AT72" i="60"/>
  <c r="AU61" i="60"/>
  <c r="AU63" i="60"/>
  <c r="AU65" i="60"/>
  <c r="AU67" i="60"/>
  <c r="AU69" i="60"/>
  <c r="AU71" i="60"/>
  <c r="AU73" i="60"/>
  <c r="AB88" i="60"/>
  <c r="AB90" i="60"/>
  <c r="AC89" i="60"/>
  <c r="AG88" i="60"/>
  <c r="AG90" i="60"/>
  <c r="AH87" i="60"/>
  <c r="AH89" i="60"/>
  <c r="AI88" i="60"/>
  <c r="AI90" i="60"/>
  <c r="AM87" i="60"/>
  <c r="AM89" i="60"/>
  <c r="AN88" i="60"/>
  <c r="AN90" i="60"/>
  <c r="AO87" i="60"/>
  <c r="AO89" i="60"/>
  <c r="AS88" i="60"/>
  <c r="AS90" i="60"/>
  <c r="AT87" i="60"/>
  <c r="AT89" i="60"/>
  <c r="AU88" i="60"/>
  <c r="AU90" i="60"/>
  <c r="C71" i="60"/>
  <c r="C63" i="60"/>
  <c r="I71" i="60"/>
  <c r="I63" i="60"/>
  <c r="O71" i="60"/>
  <c r="O63" i="60"/>
  <c r="V71" i="60"/>
  <c r="V63" i="60"/>
  <c r="D90" i="60"/>
  <c r="V92" i="60"/>
  <c r="V88" i="60"/>
  <c r="C73" i="60"/>
  <c r="C69" i="60"/>
  <c r="C65" i="60"/>
  <c r="C61" i="60"/>
  <c r="I73" i="60"/>
  <c r="I69" i="60"/>
  <c r="I65" i="60"/>
  <c r="I61" i="60"/>
  <c r="O73" i="60"/>
  <c r="O69" i="60"/>
  <c r="O65" i="60"/>
  <c r="O61" i="60"/>
  <c r="V73" i="60"/>
  <c r="V69" i="60"/>
  <c r="V65" i="60"/>
  <c r="V61" i="60"/>
  <c r="D92" i="60"/>
  <c r="D88" i="60"/>
  <c r="C90" i="60"/>
  <c r="J92" i="60"/>
  <c r="J88" i="60"/>
  <c r="I90" i="60"/>
  <c r="P90" i="60"/>
  <c r="V91" i="60"/>
  <c r="V89" i="60"/>
  <c r="U92" i="60"/>
  <c r="U88" i="60"/>
  <c r="BU1" i="60"/>
  <c r="AW80" i="60"/>
  <c r="BU53" i="60"/>
  <c r="AW1" i="60"/>
  <c r="D71" i="60"/>
  <c r="D63" i="60"/>
  <c r="J73" i="60"/>
  <c r="J69" i="60"/>
  <c r="J65" i="60"/>
  <c r="J61" i="60"/>
  <c r="P73" i="60"/>
  <c r="P69" i="60"/>
  <c r="P65" i="60"/>
  <c r="P61" i="60"/>
  <c r="J91" i="60"/>
  <c r="J89" i="60"/>
  <c r="I92" i="60"/>
  <c r="I88" i="60"/>
  <c r="P92" i="60"/>
  <c r="P88" i="60"/>
  <c r="O90" i="60"/>
  <c r="BU80" i="60"/>
  <c r="AW53" i="60"/>
  <c r="D73" i="60"/>
  <c r="D69" i="60"/>
  <c r="D65" i="60"/>
  <c r="D61" i="60"/>
  <c r="J74" i="60"/>
  <c r="J72" i="60"/>
  <c r="J70" i="60"/>
  <c r="J68" i="60"/>
  <c r="J66" i="60"/>
  <c r="J64" i="60"/>
  <c r="J62" i="60"/>
  <c r="P74" i="60"/>
  <c r="P72" i="60"/>
  <c r="P70" i="60"/>
  <c r="P68" i="60"/>
  <c r="P66" i="60"/>
  <c r="P64" i="60"/>
  <c r="P62" i="60"/>
  <c r="D91" i="60"/>
  <c r="D89" i="60"/>
  <c r="C92" i="60"/>
  <c r="C88" i="60"/>
  <c r="P91" i="60"/>
  <c r="P89" i="60"/>
  <c r="O92" i="60"/>
  <c r="O88" i="60"/>
  <c r="U91" i="60"/>
  <c r="U89" i="60"/>
  <c r="O91" i="60"/>
  <c r="O89" i="60"/>
  <c r="I91" i="60"/>
  <c r="I89" i="60"/>
  <c r="C91" i="60"/>
  <c r="C89" i="60"/>
  <c r="V74" i="60"/>
  <c r="V72" i="60"/>
  <c r="V70" i="60"/>
  <c r="V68" i="60"/>
  <c r="V66" i="60"/>
  <c r="V64" i="60"/>
  <c r="V62" i="60"/>
  <c r="O74" i="60"/>
  <c r="O72" i="60"/>
  <c r="O70" i="60"/>
  <c r="O68" i="60"/>
  <c r="O66" i="60"/>
  <c r="O64" i="60"/>
  <c r="O62" i="60"/>
  <c r="I74" i="60"/>
  <c r="I72" i="60"/>
  <c r="I70" i="60"/>
  <c r="I68" i="60"/>
  <c r="I66" i="60"/>
  <c r="I64" i="60"/>
  <c r="I62" i="60"/>
  <c r="C74" i="60"/>
  <c r="C72" i="60"/>
  <c r="C70" i="60"/>
  <c r="C68" i="60"/>
  <c r="C66" i="60"/>
  <c r="C64" i="60"/>
  <c r="C62" i="60"/>
  <c r="D74" i="60"/>
  <c r="D72" i="60"/>
  <c r="D70" i="60"/>
  <c r="D68" i="60"/>
  <c r="D66" i="60"/>
  <c r="D64" i="60"/>
  <c r="D62" i="60"/>
  <c r="X58" i="60"/>
  <c r="W58" i="60"/>
  <c r="E67" i="60"/>
  <c r="E75" i="60"/>
  <c r="E63" i="60"/>
  <c r="E71" i="60"/>
  <c r="E73" i="60"/>
  <c r="E69" i="60"/>
  <c r="E65" i="60"/>
  <c r="E61" i="60"/>
  <c r="K60" i="60"/>
  <c r="W60" i="60"/>
  <c r="K68" i="60"/>
  <c r="W68" i="60"/>
  <c r="E90" i="60"/>
  <c r="K64" i="60"/>
  <c r="K72" i="60"/>
  <c r="W64" i="60"/>
  <c r="W72" i="60"/>
  <c r="E92" i="60"/>
  <c r="E88" i="60"/>
  <c r="K87" i="60"/>
  <c r="K91" i="60"/>
  <c r="Q87" i="60"/>
  <c r="Q91" i="60"/>
  <c r="W87" i="60"/>
  <c r="W91" i="60"/>
  <c r="K89" i="60"/>
  <c r="Q89" i="60"/>
  <c r="W89" i="60"/>
  <c r="W88" i="60"/>
  <c r="W90" i="60"/>
  <c r="Q88" i="60"/>
  <c r="Q90" i="60"/>
  <c r="K88" i="60"/>
  <c r="K90" i="60"/>
  <c r="E91" i="60"/>
  <c r="E89" i="60"/>
  <c r="K62" i="60"/>
  <c r="K66" i="60"/>
  <c r="K70" i="60"/>
  <c r="K74" i="60"/>
  <c r="Q60" i="60"/>
  <c r="Q64" i="60"/>
  <c r="Q68" i="60"/>
  <c r="Q72" i="60"/>
  <c r="W62" i="60"/>
  <c r="W66" i="60"/>
  <c r="W70" i="60"/>
  <c r="W74" i="60"/>
  <c r="Q62" i="60"/>
  <c r="Q66" i="60"/>
  <c r="Q70" i="60"/>
  <c r="Q74" i="60"/>
  <c r="U61" i="60"/>
  <c r="U63" i="60"/>
  <c r="U65" i="60"/>
  <c r="U67" i="60"/>
  <c r="U69" i="60"/>
  <c r="U71" i="60"/>
  <c r="U73" i="60"/>
  <c r="U75" i="60"/>
  <c r="U60" i="60"/>
  <c r="U62" i="60"/>
  <c r="U64" i="60"/>
  <c r="U66" i="60"/>
  <c r="U68" i="60"/>
  <c r="U70" i="60"/>
  <c r="U72" i="60"/>
  <c r="W61" i="60"/>
  <c r="W63" i="60"/>
  <c r="W65" i="60"/>
  <c r="W67" i="60"/>
  <c r="W69" i="60"/>
  <c r="W71" i="60"/>
  <c r="W73" i="60"/>
  <c r="Q61" i="60"/>
  <c r="Q63" i="60"/>
  <c r="Q65" i="60"/>
  <c r="Q67" i="60"/>
  <c r="Q69" i="60"/>
  <c r="Q71" i="60"/>
  <c r="Q73" i="60"/>
  <c r="K61" i="60"/>
  <c r="K63" i="60"/>
  <c r="K65" i="60"/>
  <c r="K67" i="60"/>
  <c r="K69" i="60"/>
  <c r="K71" i="60"/>
  <c r="K73" i="60"/>
  <c r="E74" i="60"/>
  <c r="E72" i="60"/>
  <c r="E70" i="60"/>
  <c r="E68" i="60"/>
  <c r="E66" i="60"/>
  <c r="E64" i="60"/>
  <c r="E62" i="60"/>
  <c r="CZ64" i="60" l="1"/>
  <c r="CZ68" i="60"/>
  <c r="AR72" i="60"/>
  <c r="DL64" i="60"/>
  <c r="R60" i="60"/>
  <c r="R75" i="60"/>
  <c r="R72" i="60"/>
  <c r="R73" i="60"/>
  <c r="R71" i="60"/>
  <c r="BT90" i="60"/>
  <c r="R66" i="60"/>
  <c r="BT89" i="60"/>
  <c r="R64" i="60"/>
  <c r="R63" i="60"/>
  <c r="BT87" i="60"/>
  <c r="BT88" i="60"/>
  <c r="R65" i="60"/>
  <c r="R62" i="60"/>
  <c r="R61" i="60"/>
  <c r="R70" i="60"/>
  <c r="R69" i="60"/>
  <c r="R68" i="60"/>
  <c r="R67" i="60"/>
  <c r="BT92" i="60"/>
  <c r="BZ60" i="60"/>
  <c r="X90" i="60"/>
  <c r="X88" i="60"/>
  <c r="CZ60" i="60"/>
  <c r="DL60" i="60"/>
  <c r="CF88" i="60"/>
  <c r="AD89" i="60"/>
  <c r="BZ71" i="60"/>
  <c r="CF89" i="60"/>
  <c r="AD87" i="60"/>
  <c r="CF87" i="60"/>
  <c r="CL72" i="60"/>
  <c r="AD90" i="60"/>
  <c r="CF92" i="60"/>
  <c r="AD88" i="60"/>
  <c r="AD91" i="60"/>
  <c r="CF90" i="60"/>
  <c r="AJ64" i="60"/>
  <c r="AJ61" i="60"/>
  <c r="BZ63" i="60"/>
  <c r="CL70" i="60"/>
  <c r="BZ74" i="60"/>
  <c r="BZ61" i="60"/>
  <c r="CL62" i="60"/>
  <c r="BZ72" i="60"/>
  <c r="X87" i="60"/>
  <c r="CL73" i="60"/>
  <c r="BZ68" i="60"/>
  <c r="X89" i="60"/>
  <c r="AJ72" i="60"/>
  <c r="BZ73" i="60"/>
  <c r="BZ70" i="60"/>
  <c r="AJ69" i="60"/>
  <c r="CL71" i="60"/>
  <c r="BZ69" i="60"/>
  <c r="BZ66" i="60"/>
  <c r="AJ60" i="60"/>
  <c r="CL63" i="60"/>
  <c r="BZ67" i="60"/>
  <c r="BZ64" i="60"/>
  <c r="AJ65" i="60"/>
  <c r="X92" i="60"/>
  <c r="AJ63" i="60"/>
  <c r="BZ65" i="60"/>
  <c r="CL74" i="60"/>
  <c r="BZ62" i="60"/>
  <c r="BH67" i="60"/>
  <c r="DP62" i="60"/>
  <c r="BH65" i="60"/>
  <c r="BH61" i="60"/>
  <c r="BH72" i="60"/>
  <c r="DP64" i="60"/>
  <c r="BH70" i="60"/>
  <c r="DP71" i="60"/>
  <c r="BH66" i="60"/>
  <c r="DP69" i="60"/>
  <c r="DJ90" i="60"/>
  <c r="BN65" i="60"/>
  <c r="AP91" i="60"/>
  <c r="AP87" i="60"/>
  <c r="BN68" i="60"/>
  <c r="BN64" i="60"/>
  <c r="BN61" i="60"/>
  <c r="BH68" i="60"/>
  <c r="BN62" i="60"/>
  <c r="BH63" i="60"/>
  <c r="DP60" i="60"/>
  <c r="DP67" i="60"/>
  <c r="CX62" i="60"/>
  <c r="AP88" i="60"/>
  <c r="BH75" i="60"/>
  <c r="DP72" i="60"/>
  <c r="DP63" i="60"/>
  <c r="BN60" i="60"/>
  <c r="DP65" i="60"/>
  <c r="CX60" i="60"/>
  <c r="DP70" i="60"/>
  <c r="DP61" i="60"/>
  <c r="BN63" i="60"/>
  <c r="BH62" i="60"/>
  <c r="BH73" i="60"/>
  <c r="BH60" i="60"/>
  <c r="BH71" i="60"/>
  <c r="DP68" i="60"/>
  <c r="CX69" i="60"/>
  <c r="DP75" i="60"/>
  <c r="BH64" i="60"/>
  <c r="BN69" i="60"/>
  <c r="BH69" i="60"/>
  <c r="DP66" i="60"/>
  <c r="CX67" i="60"/>
  <c r="DP73" i="60"/>
  <c r="BB87" i="60"/>
  <c r="CX73" i="60"/>
  <c r="DJ89" i="60"/>
  <c r="CX66" i="60"/>
  <c r="AJ62" i="60"/>
  <c r="AP89" i="60"/>
  <c r="AJ67" i="60"/>
  <c r="BN67" i="60"/>
  <c r="BN66" i="60"/>
  <c r="CL61" i="60"/>
  <c r="CL60" i="60"/>
  <c r="CX71" i="60"/>
  <c r="DJ87" i="60"/>
  <c r="CX64" i="60"/>
  <c r="BB90" i="60"/>
  <c r="BB88" i="60"/>
  <c r="AJ70" i="60"/>
  <c r="AJ75" i="60"/>
  <c r="BN74" i="60"/>
  <c r="CL69" i="60"/>
  <c r="CL68" i="60"/>
  <c r="CX63" i="60"/>
  <c r="CX72" i="60"/>
  <c r="CX65" i="60"/>
  <c r="AJ68" i="60"/>
  <c r="AJ73" i="60"/>
  <c r="BN73" i="60"/>
  <c r="BB91" i="60"/>
  <c r="BN72" i="60"/>
  <c r="CL67" i="60"/>
  <c r="CL66" i="60"/>
  <c r="CX61" i="60"/>
  <c r="CX70" i="60"/>
  <c r="DJ88" i="60"/>
  <c r="CX74" i="60"/>
  <c r="AP90" i="60"/>
  <c r="AJ66" i="60"/>
  <c r="AJ71" i="60"/>
  <c r="BN71" i="60"/>
  <c r="BB89" i="60"/>
  <c r="BN70" i="60"/>
  <c r="CL65" i="60"/>
  <c r="CL64" i="60"/>
  <c r="DJ91" i="60"/>
  <c r="CX68" i="60"/>
  <c r="L88" i="60"/>
  <c r="AV72" i="60"/>
  <c r="AD73" i="60"/>
  <c r="AD68" i="60"/>
  <c r="AD67" i="60"/>
  <c r="AV73" i="60"/>
  <c r="AD60" i="60"/>
  <c r="AD65" i="60"/>
  <c r="AD63" i="60"/>
  <c r="AD74" i="60"/>
  <c r="AV60" i="60"/>
  <c r="AD71" i="60"/>
  <c r="AD69" i="60"/>
  <c r="AD62" i="60"/>
  <c r="AD61" i="60"/>
  <c r="AD72" i="60"/>
  <c r="CL89" i="60"/>
  <c r="AD64" i="60"/>
  <c r="AD70" i="60"/>
  <c r="CL87" i="60"/>
  <c r="L90" i="60"/>
  <c r="F88" i="60"/>
  <c r="F91" i="60"/>
  <c r="L92" i="60"/>
  <c r="F90" i="60"/>
  <c r="CR90" i="60"/>
  <c r="F89" i="60"/>
  <c r="F92" i="60"/>
  <c r="CR88" i="60"/>
  <c r="L89" i="60"/>
  <c r="L87" i="60"/>
  <c r="CR92" i="60"/>
  <c r="L68" i="60"/>
  <c r="L65" i="60"/>
  <c r="F66" i="60"/>
  <c r="L66" i="60"/>
  <c r="L67" i="60"/>
  <c r="BB72" i="60"/>
  <c r="AP67" i="60"/>
  <c r="CR67" i="60"/>
  <c r="AV75" i="60"/>
  <c r="AD66" i="60"/>
  <c r="CR65" i="60"/>
  <c r="AP71" i="60"/>
  <c r="AV71" i="60"/>
  <c r="BB70" i="60"/>
  <c r="CR64" i="60"/>
  <c r="CR62" i="60"/>
  <c r="AP72" i="60"/>
  <c r="AP70" i="60"/>
  <c r="CR66" i="60"/>
  <c r="AP66" i="60"/>
  <c r="BB73" i="60"/>
  <c r="AP73" i="60"/>
  <c r="BB61" i="60"/>
  <c r="BB74" i="60"/>
  <c r="CR69" i="60"/>
  <c r="AP69" i="60"/>
  <c r="AP68" i="60"/>
  <c r="AP65" i="60"/>
  <c r="AP63" i="60"/>
  <c r="AP62" i="60"/>
  <c r="CF66" i="60"/>
  <c r="CF65" i="60"/>
  <c r="AP61" i="60"/>
  <c r="AP60" i="60"/>
  <c r="CF63" i="60"/>
  <c r="CF70" i="60"/>
  <c r="AP64" i="60"/>
  <c r="CF68" i="60"/>
  <c r="AP74" i="60"/>
  <c r="CF61" i="60"/>
  <c r="AJ89" i="60"/>
  <c r="AJ88" i="60"/>
  <c r="BB69" i="60"/>
  <c r="BB66" i="60"/>
  <c r="CF62" i="60"/>
  <c r="CR61" i="60"/>
  <c r="CF73" i="60"/>
  <c r="CX88" i="60"/>
  <c r="CX89" i="60"/>
  <c r="BZ88" i="60"/>
  <c r="AJ87" i="60"/>
  <c r="BB67" i="60"/>
  <c r="BB64" i="60"/>
  <c r="CR89" i="60"/>
  <c r="CR72" i="60"/>
  <c r="CF60" i="60"/>
  <c r="BZ87" i="60"/>
  <c r="CR75" i="60"/>
  <c r="CF71" i="60"/>
  <c r="CX87" i="60"/>
  <c r="BZ90" i="60"/>
  <c r="BB71" i="60"/>
  <c r="BB68" i="60"/>
  <c r="CR60" i="60"/>
  <c r="CF64" i="60"/>
  <c r="CR63" i="60"/>
  <c r="CF75" i="60"/>
  <c r="CX90" i="60"/>
  <c r="BB65" i="60"/>
  <c r="BB62" i="60"/>
  <c r="CR87" i="60"/>
  <c r="CR70" i="60"/>
  <c r="CR73" i="60"/>
  <c r="CF69" i="60"/>
  <c r="AJ90" i="60"/>
  <c r="CX91" i="60"/>
  <c r="BB63" i="60"/>
  <c r="BB60" i="60"/>
  <c r="CR68" i="60"/>
  <c r="CF72" i="60"/>
  <c r="CR71" i="60"/>
  <c r="CF67" i="60"/>
  <c r="AA85" i="60"/>
  <c r="AG85" i="60" s="1"/>
  <c r="AM85" i="60" s="1"/>
  <c r="AS85" i="60" s="1"/>
  <c r="AA58" i="60"/>
  <c r="AG58" i="60" s="1"/>
  <c r="AM58" i="60" s="1"/>
  <c r="AS58" i="60" s="1"/>
  <c r="BW85" i="60"/>
  <c r="CC85" i="60" s="1"/>
  <c r="CI85" i="60" s="1"/>
  <c r="CO85" i="60" s="1"/>
  <c r="DD64" i="60"/>
  <c r="DD73" i="60"/>
  <c r="DD62" i="60"/>
  <c r="DD71" i="60"/>
  <c r="BH89" i="60"/>
  <c r="DD60" i="60"/>
  <c r="DD69" i="60"/>
  <c r="X62" i="60"/>
  <c r="L60" i="60"/>
  <c r="L75" i="60"/>
  <c r="X60" i="60"/>
  <c r="X73" i="60"/>
  <c r="F69" i="60"/>
  <c r="F75" i="60"/>
  <c r="AV68" i="60"/>
  <c r="AV88" i="60"/>
  <c r="AJ92" i="60"/>
  <c r="AV67" i="60"/>
  <c r="BH92" i="60"/>
  <c r="CL88" i="60"/>
  <c r="DD72" i="60"/>
  <c r="DD65" i="60"/>
  <c r="L64" i="60"/>
  <c r="L63" i="60"/>
  <c r="X68" i="60"/>
  <c r="L61" i="60"/>
  <c r="AV69" i="60"/>
  <c r="DD67" i="60"/>
  <c r="AV89" i="60"/>
  <c r="DD70" i="60"/>
  <c r="DD63" i="60"/>
  <c r="AV66" i="60"/>
  <c r="AV65" i="60"/>
  <c r="BH90" i="60"/>
  <c r="L72" i="60"/>
  <c r="L71" i="60"/>
  <c r="X65" i="60"/>
  <c r="F67" i="60"/>
  <c r="AV87" i="60"/>
  <c r="AV64" i="60"/>
  <c r="AV63" i="60"/>
  <c r="BH88" i="60"/>
  <c r="BZ91" i="60"/>
  <c r="DD68" i="60"/>
  <c r="DD61" i="60"/>
  <c r="AV92" i="60"/>
  <c r="L62" i="60"/>
  <c r="X75" i="60"/>
  <c r="F71" i="60"/>
  <c r="AV70" i="60"/>
  <c r="AV90" i="60"/>
  <c r="BH87" i="60"/>
  <c r="CL90" i="60"/>
  <c r="L73" i="60"/>
  <c r="X71" i="60"/>
  <c r="F73" i="60"/>
  <c r="L70" i="60"/>
  <c r="L69" i="60"/>
  <c r="F64" i="60"/>
  <c r="AV62" i="60"/>
  <c r="AV61" i="60"/>
  <c r="CL91" i="60"/>
  <c r="BZ89" i="60"/>
  <c r="DD66" i="60"/>
  <c r="DD75" i="60"/>
  <c r="BV60" i="60"/>
  <c r="BW58" i="60"/>
  <c r="CC58" i="60" s="1"/>
  <c r="CI58" i="60" s="1"/>
  <c r="CO58" i="60" s="1"/>
  <c r="X72" i="60"/>
  <c r="X69" i="60"/>
  <c r="X70" i="60"/>
  <c r="X67" i="60"/>
  <c r="X66" i="60"/>
  <c r="X63" i="60"/>
  <c r="X64" i="60"/>
  <c r="X61" i="60"/>
  <c r="BN89" i="60"/>
  <c r="F70" i="60"/>
  <c r="DJ67" i="60"/>
  <c r="DJ74" i="60"/>
  <c r="DJ61" i="60"/>
  <c r="BN90" i="60"/>
  <c r="DJ69" i="60"/>
  <c r="DJ70" i="60"/>
  <c r="DJ63" i="60"/>
  <c r="DJ68" i="60"/>
  <c r="DL89" i="60"/>
  <c r="DJ65" i="60"/>
  <c r="DJ72" i="60"/>
  <c r="AX87" i="60"/>
  <c r="R92" i="60"/>
  <c r="DJ66" i="60"/>
  <c r="AR60" i="60"/>
  <c r="BN88" i="60"/>
  <c r="BN87" i="60"/>
  <c r="DJ64" i="60"/>
  <c r="BT69" i="60"/>
  <c r="BD64" i="60"/>
  <c r="BP64" i="60"/>
  <c r="BP70" i="60"/>
  <c r="DJ71" i="60"/>
  <c r="DL72" i="60"/>
  <c r="DJ62" i="60"/>
  <c r="AX60" i="60"/>
  <c r="BD72" i="60"/>
  <c r="DL62" i="60"/>
  <c r="AF68" i="60"/>
  <c r="BD60" i="60"/>
  <c r="BT65" i="60"/>
  <c r="DF64" i="60"/>
  <c r="BT66" i="60"/>
  <c r="BN91" i="60"/>
  <c r="BT61" i="60"/>
  <c r="DJ73" i="60"/>
  <c r="DP92" i="60"/>
  <c r="DJ60" i="60"/>
  <c r="BV68" i="60"/>
  <c r="BT72" i="60"/>
  <c r="DP87" i="60"/>
  <c r="DD87" i="60"/>
  <c r="BT64" i="60"/>
  <c r="BT75" i="60"/>
  <c r="DP90" i="60"/>
  <c r="BT62" i="60"/>
  <c r="BT73" i="60"/>
  <c r="CN89" i="60"/>
  <c r="DP88" i="60"/>
  <c r="DD92" i="60"/>
  <c r="DD88" i="60"/>
  <c r="R87" i="60"/>
  <c r="BT60" i="60"/>
  <c r="BT71" i="60"/>
  <c r="BP60" i="60"/>
  <c r="BD68" i="60"/>
  <c r="DD90" i="60"/>
  <c r="DP89" i="60"/>
  <c r="DD89" i="60"/>
  <c r="BT67" i="60"/>
  <c r="BT70" i="60"/>
  <c r="AF60" i="60"/>
  <c r="BT68" i="60"/>
  <c r="BT63" i="60"/>
  <c r="F68" i="60"/>
  <c r="F72" i="60"/>
  <c r="R90" i="60"/>
  <c r="AF64" i="60"/>
  <c r="BP68" i="60"/>
  <c r="F74" i="60"/>
  <c r="R88" i="60"/>
  <c r="F61" i="60"/>
  <c r="BV72" i="60"/>
  <c r="F62" i="60"/>
  <c r="R89" i="60"/>
  <c r="F65" i="60"/>
  <c r="F63" i="60"/>
  <c r="BV64" i="60"/>
  <c r="DF62" i="60"/>
  <c r="AY58" i="60"/>
  <c r="BE58" i="60" s="1"/>
  <c r="BK58" i="60" s="1"/>
  <c r="BQ58" i="60" s="1"/>
  <c r="AY85" i="60"/>
  <c r="BE85" i="60" s="1"/>
  <c r="BK85" i="60" s="1"/>
  <c r="BQ85" i="60" s="1"/>
  <c r="CT83" i="60"/>
  <c r="CT56" i="60"/>
  <c r="BV83" i="60"/>
  <c r="BV56" i="60"/>
  <c r="AX83" i="60"/>
  <c r="AX56" i="60"/>
  <c r="Z83" i="60"/>
  <c r="Z56" i="60"/>
  <c r="CZ83" i="60"/>
  <c r="CZ56" i="60"/>
  <c r="CB83" i="60"/>
  <c r="CB56" i="60"/>
  <c r="BD83" i="60"/>
  <c r="BD56" i="60"/>
  <c r="AF83" i="60"/>
  <c r="AF56" i="60"/>
  <c r="DF83" i="60"/>
  <c r="DF56" i="60"/>
  <c r="CH83" i="60"/>
  <c r="CH56" i="60"/>
  <c r="BJ83" i="60"/>
  <c r="BJ56" i="60"/>
  <c r="AL83" i="60"/>
  <c r="AL56" i="60"/>
  <c r="DL83" i="60"/>
  <c r="DL56" i="60"/>
  <c r="CN83" i="60"/>
  <c r="CN56" i="60"/>
  <c r="BP83" i="60"/>
  <c r="BP56" i="60"/>
  <c r="AR83" i="60"/>
  <c r="AR56" i="60"/>
  <c r="CZ89" i="60"/>
  <c r="CZ70" i="60"/>
  <c r="DF60" i="60"/>
  <c r="BJ89" i="60"/>
  <c r="DL70" i="60"/>
  <c r="CZ62" i="60"/>
  <c r="AX89" i="60"/>
  <c r="Z89" i="60"/>
  <c r="BJ87" i="60"/>
  <c r="CH87" i="60"/>
  <c r="BP72" i="60"/>
  <c r="BP87" i="60"/>
  <c r="DL91" i="60"/>
  <c r="AX64" i="60"/>
  <c r="BV89" i="60"/>
  <c r="AX62" i="60"/>
  <c r="CN87" i="60"/>
  <c r="BP91" i="60"/>
  <c r="AR64" i="60"/>
  <c r="DL87" i="60"/>
  <c r="CZ74" i="60"/>
  <c r="CZ66" i="60"/>
  <c r="DL66" i="60"/>
  <c r="CH89" i="60"/>
  <c r="AR87" i="60"/>
  <c r="DL74" i="60"/>
  <c r="DF72" i="60"/>
  <c r="DF68" i="60"/>
  <c r="AR68" i="60"/>
  <c r="AF72" i="60"/>
  <c r="BD87" i="60"/>
  <c r="DL88" i="60"/>
  <c r="DF87" i="60"/>
  <c r="CZ88" i="60"/>
  <c r="CT87" i="60"/>
  <c r="DL73" i="60"/>
  <c r="DL69" i="60"/>
  <c r="DL65" i="60"/>
  <c r="DL61" i="60"/>
  <c r="DF70" i="60"/>
  <c r="DF66" i="60"/>
  <c r="CZ73" i="60"/>
  <c r="CZ69" i="60"/>
  <c r="CZ65" i="60"/>
  <c r="CZ61" i="60"/>
  <c r="CT72" i="60"/>
  <c r="CT68" i="60"/>
  <c r="CT64" i="60"/>
  <c r="CT60" i="60"/>
  <c r="DF92" i="60"/>
  <c r="DF88" i="60"/>
  <c r="CT92" i="60"/>
  <c r="CT88" i="60"/>
  <c r="DF75" i="60"/>
  <c r="DF71" i="60"/>
  <c r="DF67" i="60"/>
  <c r="DF63" i="60"/>
  <c r="CT75" i="60"/>
  <c r="CT71" i="60"/>
  <c r="CT67" i="60"/>
  <c r="CT63" i="60"/>
  <c r="DL90" i="60"/>
  <c r="DF89" i="60"/>
  <c r="CZ90" i="60"/>
  <c r="CT89" i="60"/>
  <c r="DL71" i="60"/>
  <c r="DL67" i="60"/>
  <c r="DL63" i="60"/>
  <c r="CZ71" i="60"/>
  <c r="CZ67" i="60"/>
  <c r="CZ63" i="60"/>
  <c r="CT70" i="60"/>
  <c r="CT66" i="60"/>
  <c r="CT62" i="60"/>
  <c r="DF90" i="60"/>
  <c r="CT90" i="60"/>
  <c r="DF73" i="60"/>
  <c r="DF69" i="60"/>
  <c r="DF65" i="60"/>
  <c r="DF61" i="60"/>
  <c r="CT73" i="60"/>
  <c r="CT69" i="60"/>
  <c r="CT65" i="60"/>
  <c r="CT61" i="60"/>
  <c r="CH88" i="60"/>
  <c r="BV88" i="60"/>
  <c r="CH71" i="60"/>
  <c r="CH67" i="60"/>
  <c r="CH63" i="60"/>
  <c r="BV71" i="60"/>
  <c r="BV67" i="60"/>
  <c r="CH70" i="60"/>
  <c r="CH62" i="60"/>
  <c r="BV87" i="60"/>
  <c r="CH68" i="60"/>
  <c r="CH60" i="60"/>
  <c r="BV74" i="60"/>
  <c r="BV66" i="60"/>
  <c r="CH74" i="60"/>
  <c r="CH66" i="60"/>
  <c r="CN91" i="60"/>
  <c r="BV91" i="60"/>
  <c r="CH72" i="60"/>
  <c r="CH64" i="60"/>
  <c r="BV70" i="60"/>
  <c r="BV62" i="60"/>
  <c r="CN90" i="60"/>
  <c r="CB90" i="60"/>
  <c r="CN71" i="60"/>
  <c r="CN67" i="60"/>
  <c r="CN63" i="60"/>
  <c r="CB71" i="60"/>
  <c r="CB67" i="60"/>
  <c r="CB63" i="60"/>
  <c r="CB91" i="60"/>
  <c r="CB87" i="60"/>
  <c r="CN74" i="60"/>
  <c r="CN70" i="60"/>
  <c r="CN66" i="60"/>
  <c r="CN62" i="60"/>
  <c r="CB74" i="60"/>
  <c r="CB70" i="60"/>
  <c r="CB66" i="60"/>
  <c r="CB62" i="60"/>
  <c r="BV63" i="60"/>
  <c r="CN88" i="60"/>
  <c r="CB88" i="60"/>
  <c r="CN73" i="60"/>
  <c r="CN69" i="60"/>
  <c r="CN65" i="60"/>
  <c r="CN61" i="60"/>
  <c r="CB73" i="60"/>
  <c r="CB69" i="60"/>
  <c r="CB65" i="60"/>
  <c r="CB61" i="60"/>
  <c r="CH90" i="60"/>
  <c r="CB89" i="60"/>
  <c r="BV90" i="60"/>
  <c r="CN72" i="60"/>
  <c r="CN68" i="60"/>
  <c r="CN64" i="60"/>
  <c r="CN60" i="60"/>
  <c r="CH73" i="60"/>
  <c r="CH69" i="60"/>
  <c r="CH65" i="60"/>
  <c r="CH61" i="60"/>
  <c r="CB72" i="60"/>
  <c r="CB68" i="60"/>
  <c r="CB64" i="60"/>
  <c r="CB60" i="60"/>
  <c r="BV73" i="60"/>
  <c r="BV69" i="60"/>
  <c r="BV65" i="60"/>
  <c r="BV61" i="60"/>
  <c r="AF91" i="60"/>
  <c r="BD70" i="60"/>
  <c r="BD62" i="60"/>
  <c r="BP89" i="60"/>
  <c r="BP66" i="60"/>
  <c r="BD74" i="60"/>
  <c r="BD66" i="60"/>
  <c r="BP62" i="60"/>
  <c r="BP88" i="60"/>
  <c r="BD88" i="60"/>
  <c r="BP73" i="60"/>
  <c r="BP69" i="60"/>
  <c r="BP65" i="60"/>
  <c r="BP61" i="60"/>
  <c r="BJ72" i="60"/>
  <c r="BJ68" i="60"/>
  <c r="BJ64" i="60"/>
  <c r="BJ60" i="60"/>
  <c r="BD73" i="60"/>
  <c r="BD69" i="60"/>
  <c r="BD65" i="60"/>
  <c r="BD61" i="60"/>
  <c r="AX72" i="60"/>
  <c r="AX68" i="60"/>
  <c r="BJ88" i="60"/>
  <c r="BD89" i="60"/>
  <c r="AX88" i="60"/>
  <c r="BJ75" i="60"/>
  <c r="BJ71" i="60"/>
  <c r="BJ67" i="60"/>
  <c r="BJ63" i="60"/>
  <c r="AX75" i="60"/>
  <c r="AX71" i="60"/>
  <c r="AX67" i="60"/>
  <c r="AX63" i="60"/>
  <c r="BP90" i="60"/>
  <c r="BD90" i="60"/>
  <c r="BP71" i="60"/>
  <c r="BP67" i="60"/>
  <c r="BP63" i="60"/>
  <c r="BJ70" i="60"/>
  <c r="BJ66" i="60"/>
  <c r="BJ62" i="60"/>
  <c r="BD71" i="60"/>
  <c r="BD67" i="60"/>
  <c r="BD63" i="60"/>
  <c r="AX70" i="60"/>
  <c r="AX66" i="60"/>
  <c r="BJ90" i="60"/>
  <c r="BD91" i="60"/>
  <c r="AX90" i="60"/>
  <c r="BP74" i="60"/>
  <c r="BJ73" i="60"/>
  <c r="BJ69" i="60"/>
  <c r="BJ65" i="60"/>
  <c r="BJ61" i="60"/>
  <c r="AX73" i="60"/>
  <c r="AX69" i="60"/>
  <c r="AX65" i="60"/>
  <c r="AX61" i="60"/>
  <c r="AR74" i="60"/>
  <c r="AF89" i="60"/>
  <c r="AR91" i="60"/>
  <c r="AF87" i="60"/>
  <c r="Z87" i="60"/>
  <c r="AF70" i="60"/>
  <c r="AF62" i="60"/>
  <c r="AR66" i="60"/>
  <c r="AF74" i="60"/>
  <c r="AF66" i="60"/>
  <c r="AR89" i="60"/>
  <c r="AR70" i="60"/>
  <c r="AR62" i="60"/>
  <c r="AR88" i="60"/>
  <c r="AL87" i="60"/>
  <c r="AF88" i="60"/>
  <c r="AR71" i="60"/>
  <c r="AR67" i="60"/>
  <c r="AR63" i="60"/>
  <c r="AL70" i="60"/>
  <c r="AL66" i="60"/>
  <c r="AL62" i="60"/>
  <c r="AF71" i="60"/>
  <c r="AF67" i="60"/>
  <c r="AF63" i="60"/>
  <c r="Z70" i="60"/>
  <c r="Z66" i="60"/>
  <c r="Z62" i="60"/>
  <c r="AL90" i="60"/>
  <c r="Z92" i="60"/>
  <c r="Z88" i="60"/>
  <c r="AL73" i="60"/>
  <c r="AL69" i="60"/>
  <c r="AL65" i="60"/>
  <c r="AL61" i="60"/>
  <c r="Z73" i="60"/>
  <c r="Z69" i="60"/>
  <c r="Z65" i="60"/>
  <c r="Z61" i="60"/>
  <c r="AR90" i="60"/>
  <c r="AL89" i="60"/>
  <c r="AF90" i="60"/>
  <c r="AR73" i="60"/>
  <c r="AR69" i="60"/>
  <c r="AR65" i="60"/>
  <c r="AR61" i="60"/>
  <c r="AL72" i="60"/>
  <c r="AL68" i="60"/>
  <c r="AL64" i="60"/>
  <c r="AL60" i="60"/>
  <c r="AF73" i="60"/>
  <c r="AF69" i="60"/>
  <c r="AF65" i="60"/>
  <c r="AF61" i="60"/>
  <c r="Z72" i="60"/>
  <c r="Z68" i="60"/>
  <c r="Z64" i="60"/>
  <c r="Z60" i="60"/>
  <c r="AL92" i="60"/>
  <c r="AL88" i="60"/>
  <c r="Z90" i="60"/>
  <c r="AL75" i="60"/>
  <c r="AL71" i="60"/>
  <c r="AL67" i="60"/>
  <c r="AL63" i="60"/>
  <c r="Z75" i="60"/>
  <c r="Z71" i="60"/>
  <c r="Z67" i="60"/>
  <c r="Z63" i="60"/>
  <c r="A85" i="52" l="1"/>
  <c r="A43" i="52" l="1"/>
  <c r="I40" i="49" l="1"/>
  <c r="I29" i="49"/>
  <c r="I18" i="49"/>
  <c r="I23" i="49"/>
  <c r="I34" i="49" s="1"/>
  <c r="I45" i="49" s="1"/>
  <c r="I56" i="49" s="1"/>
  <c r="I67" i="49" s="1"/>
  <c r="I78" i="49" s="1"/>
  <c r="I89" i="49" s="1"/>
  <c r="I100" i="49" s="1"/>
  <c r="I111" i="49" s="1"/>
  <c r="I20" i="49"/>
  <c r="I31" i="49" s="1"/>
  <c r="I42" i="49" s="1"/>
  <c r="I53" i="49" s="1"/>
  <c r="I64" i="49" s="1"/>
  <c r="I75" i="49" s="1"/>
  <c r="I86" i="49" s="1"/>
  <c r="I97" i="49" s="1"/>
  <c r="I108" i="49" s="1"/>
  <c r="I21" i="49"/>
  <c r="I32" i="49" s="1"/>
  <c r="I43" i="49" s="1"/>
  <c r="I54" i="49" s="1"/>
  <c r="I65" i="49" s="1"/>
  <c r="I76" i="49" s="1"/>
  <c r="I87" i="49" s="1"/>
  <c r="I98" i="49" s="1"/>
  <c r="I109" i="49" s="1"/>
  <c r="I22" i="49"/>
  <c r="I33" i="49" s="1"/>
  <c r="I44" i="49" s="1"/>
  <c r="I55" i="49" s="1"/>
  <c r="I66" i="49" s="1"/>
  <c r="I77" i="49" s="1"/>
  <c r="I88" i="49" s="1"/>
  <c r="I99" i="49" s="1"/>
  <c r="I110" i="49" s="1"/>
  <c r="I19" i="49"/>
  <c r="I30" i="49" s="1"/>
  <c r="I41" i="49" s="1"/>
  <c r="I52" i="49" s="1"/>
  <c r="I63" i="49" s="1"/>
  <c r="I74" i="49" s="1"/>
  <c r="I85" i="49" s="1"/>
  <c r="I96" i="49" s="1"/>
  <c r="I107" i="49" s="1"/>
  <c r="K6" i="49"/>
  <c r="Z6" i="49" s="1"/>
  <c r="L6" i="49"/>
  <c r="M6" i="49"/>
  <c r="N6" i="49"/>
  <c r="J6" i="49"/>
  <c r="Y6" i="49" s="1"/>
  <c r="D92" i="49" l="1"/>
  <c r="D93" i="49"/>
  <c r="D94" i="49"/>
  <c r="D96" i="49"/>
  <c r="D97" i="49"/>
  <c r="D98" i="49"/>
  <c r="D99" i="49"/>
  <c r="D102" i="49"/>
  <c r="D103" i="49"/>
  <c r="D104" i="49"/>
  <c r="D105" i="49"/>
  <c r="D107" i="49"/>
  <c r="D108" i="49"/>
  <c r="D111" i="49"/>
  <c r="D112" i="49"/>
  <c r="D115" i="49"/>
  <c r="D91" i="49"/>
  <c r="D64" i="49"/>
  <c r="D65" i="49"/>
  <c r="D66" i="49"/>
  <c r="D68" i="49"/>
  <c r="D69" i="49"/>
  <c r="D70" i="49"/>
  <c r="D71" i="49"/>
  <c r="D74" i="49"/>
  <c r="D75" i="49"/>
  <c r="D76" i="49"/>
  <c r="D77" i="49"/>
  <c r="D79" i="49"/>
  <c r="D80" i="49"/>
  <c r="D83" i="49"/>
  <c r="D84" i="49"/>
  <c r="D87" i="49"/>
  <c r="D63" i="49"/>
  <c r="D7" i="49" s="1"/>
  <c r="D36" i="49"/>
  <c r="D37" i="49"/>
  <c r="D38" i="49"/>
  <c r="D40" i="49"/>
  <c r="D41" i="49"/>
  <c r="D42" i="49"/>
  <c r="D43" i="49"/>
  <c r="D46" i="49"/>
  <c r="D47" i="49"/>
  <c r="D48" i="49"/>
  <c r="D49" i="49"/>
  <c r="D51" i="49"/>
  <c r="D52" i="49"/>
  <c r="D55" i="49"/>
  <c r="D56" i="49"/>
  <c r="D59" i="49"/>
  <c r="C90" i="49"/>
  <c r="C174" i="49" s="1"/>
  <c r="C258" i="49" s="1"/>
  <c r="D90" i="49"/>
  <c r="D174" i="49" s="1"/>
  <c r="D258" i="49" s="1"/>
  <c r="E90" i="49"/>
  <c r="E174" i="49" s="1"/>
  <c r="E258" i="49" s="1"/>
  <c r="F90" i="49"/>
  <c r="F174" i="49" s="1"/>
  <c r="F258" i="49" s="1"/>
  <c r="B90" i="49"/>
  <c r="B174" i="49" s="1"/>
  <c r="B258" i="49" s="1"/>
  <c r="C62" i="49"/>
  <c r="C146" i="49" s="1"/>
  <c r="C230" i="49" s="1"/>
  <c r="D62" i="49"/>
  <c r="D146" i="49" s="1"/>
  <c r="D230" i="49" s="1"/>
  <c r="E62" i="49"/>
  <c r="E146" i="49" s="1"/>
  <c r="E230" i="49" s="1"/>
  <c r="F62" i="49"/>
  <c r="F146" i="49" s="1"/>
  <c r="F230" i="49" s="1"/>
  <c r="B62" i="49"/>
  <c r="B146" i="49" s="1"/>
  <c r="B230" i="49" s="1"/>
  <c r="C34" i="49"/>
  <c r="D34" i="49"/>
  <c r="D118" i="49" s="1"/>
  <c r="D202" i="49" s="1"/>
  <c r="E34" i="49"/>
  <c r="E118" i="49" s="1"/>
  <c r="E202" i="49" s="1"/>
  <c r="F34" i="49"/>
  <c r="F118" i="49" s="1"/>
  <c r="F202" i="49" s="1"/>
  <c r="B34" i="49"/>
  <c r="A32" i="49"/>
  <c r="D13" i="49" l="1"/>
  <c r="D12" i="49"/>
  <c r="D31" i="49"/>
  <c r="C118" i="49"/>
  <c r="C202" i="49" s="1"/>
  <c r="R34" i="49"/>
  <c r="B118" i="49"/>
  <c r="B202" i="49" s="1"/>
  <c r="Q34" i="49"/>
  <c r="D27" i="49"/>
  <c r="D8" i="49"/>
  <c r="D24" i="49"/>
  <c r="D9" i="49"/>
  <c r="D21" i="49"/>
  <c r="D23" i="49"/>
  <c r="D10" i="49"/>
  <c r="D28" i="49"/>
  <c r="D18" i="49"/>
  <c r="D20" i="49"/>
  <c r="D19" i="49"/>
  <c r="D15" i="49"/>
  <c r="D14" i="49"/>
  <c r="L41" i="49" a="1"/>
  <c r="L30" i="49" a="1"/>
  <c r="L19" i="49" a="1"/>
  <c r="D116" i="49"/>
  <c r="D60" i="49"/>
  <c r="D88" i="49"/>
  <c r="G32" i="49"/>
  <c r="F98" i="49"/>
  <c r="A116" i="49"/>
  <c r="A200" i="49" s="1"/>
  <c r="A284" i="49" s="1"/>
  <c r="F80" i="49"/>
  <c r="F77" i="49"/>
  <c r="F74" i="49"/>
  <c r="F93" i="49"/>
  <c r="F84" i="49"/>
  <c r="F40" i="49"/>
  <c r="F56" i="49"/>
  <c r="F55" i="49"/>
  <c r="F51" i="49"/>
  <c r="F48" i="49"/>
  <c r="F49" i="49"/>
  <c r="F47" i="49"/>
  <c r="F43" i="49"/>
  <c r="F37" i="49"/>
  <c r="F70" i="49"/>
  <c r="F68" i="49"/>
  <c r="F65" i="49"/>
  <c r="F112" i="49"/>
  <c r="F108" i="49"/>
  <c r="F105" i="49"/>
  <c r="F103" i="49"/>
  <c r="F96" i="49"/>
  <c r="F42" i="49"/>
  <c r="F41" i="49"/>
  <c r="F87" i="49"/>
  <c r="F83" i="49"/>
  <c r="F79" i="49"/>
  <c r="F76" i="49"/>
  <c r="F75" i="49"/>
  <c r="F92" i="49"/>
  <c r="F102" i="49"/>
  <c r="F99" i="49"/>
  <c r="F94" i="49"/>
  <c r="F59" i="49"/>
  <c r="F52" i="49"/>
  <c r="F46" i="49"/>
  <c r="F38" i="49"/>
  <c r="F71" i="49"/>
  <c r="F69" i="49"/>
  <c r="F66" i="49"/>
  <c r="F64" i="49"/>
  <c r="F115" i="49"/>
  <c r="F111" i="49"/>
  <c r="F107" i="49"/>
  <c r="F104" i="49"/>
  <c r="F97" i="49"/>
  <c r="A35" i="49"/>
  <c r="A119" i="49" s="1"/>
  <c r="A203" i="49" s="1"/>
  <c r="A91" i="49"/>
  <c r="A175" i="49" s="1"/>
  <c r="A259" i="49" s="1"/>
  <c r="A88" i="49"/>
  <c r="A172" i="49" s="1"/>
  <c r="A256" i="49" s="1"/>
  <c r="A63" i="49"/>
  <c r="A147" i="49" s="1"/>
  <c r="A231" i="49" s="1"/>
  <c r="A60" i="49"/>
  <c r="A144" i="49" s="1"/>
  <c r="A228" i="49" s="1"/>
  <c r="F36" i="49"/>
  <c r="F91" i="49"/>
  <c r="F63" i="49"/>
  <c r="F35" i="49"/>
  <c r="D32" i="49" l="1"/>
  <c r="F9" i="49"/>
  <c r="F10" i="49"/>
  <c r="F18" i="49"/>
  <c r="F13" i="49"/>
  <c r="F19" i="49"/>
  <c r="F24" i="49"/>
  <c r="F14" i="49"/>
  <c r="F21" i="49"/>
  <c r="F31" i="49"/>
  <c r="F20" i="49"/>
  <c r="F8" i="49"/>
  <c r="F23" i="49"/>
  <c r="F27" i="49"/>
  <c r="F15" i="49"/>
  <c r="F7" i="49"/>
  <c r="F28" i="49"/>
  <c r="F12" i="49"/>
  <c r="N30" i="49" a="1"/>
  <c r="N34" i="49" s="1"/>
  <c r="N41" i="49" a="1"/>
  <c r="L47" i="49"/>
  <c r="L43" i="49"/>
  <c r="L44" i="49"/>
  <c r="L49" i="49"/>
  <c r="L41" i="49"/>
  <c r="L46" i="49"/>
  <c r="L42" i="49"/>
  <c r="L45" i="49"/>
  <c r="L48" i="49"/>
  <c r="L36" i="49"/>
  <c r="L34" i="49"/>
  <c r="L33" i="49"/>
  <c r="L35" i="49"/>
  <c r="L32" i="49"/>
  <c r="L31" i="49"/>
  <c r="L37" i="49"/>
  <c r="L30" i="49"/>
  <c r="L38" i="49"/>
  <c r="N19" i="49" a="1"/>
  <c r="L26" i="49"/>
  <c r="L25" i="49"/>
  <c r="L24" i="49"/>
  <c r="L27" i="49"/>
  <c r="L19" i="49"/>
  <c r="L23" i="49"/>
  <c r="L22" i="49"/>
  <c r="L21" i="49"/>
  <c r="L20" i="49"/>
  <c r="L8" i="49" a="1"/>
  <c r="F116" i="49"/>
  <c r="F60" i="49"/>
  <c r="F88" i="49"/>
  <c r="N38" i="49" l="1"/>
  <c r="N33" i="49"/>
  <c r="N32" i="49"/>
  <c r="F32" i="49"/>
  <c r="N36" i="49"/>
  <c r="N37" i="49"/>
  <c r="N30" i="49"/>
  <c r="N31" i="49"/>
  <c r="N35" i="49"/>
  <c r="N42" i="49"/>
  <c r="N41" i="49"/>
  <c r="N48" i="49"/>
  <c r="N47" i="49"/>
  <c r="N46" i="49"/>
  <c r="N44" i="49"/>
  <c r="N49" i="49"/>
  <c r="N45" i="49"/>
  <c r="N43" i="49"/>
  <c r="N8" i="49" a="1"/>
  <c r="N12" i="49" s="1"/>
  <c r="N26" i="49"/>
  <c r="N25" i="49"/>
  <c r="N24" i="49"/>
  <c r="N20" i="49"/>
  <c r="N27" i="49"/>
  <c r="N23" i="49"/>
  <c r="N22" i="49"/>
  <c r="N21" i="49"/>
  <c r="N19" i="49"/>
  <c r="L14" i="49"/>
  <c r="L11" i="49"/>
  <c r="L12" i="49"/>
  <c r="L10" i="49"/>
  <c r="L13" i="49"/>
  <c r="L15" i="49"/>
  <c r="L16" i="49"/>
  <c r="L8" i="49"/>
  <c r="L9" i="49"/>
  <c r="N8" i="49" l="1"/>
  <c r="N10" i="49"/>
  <c r="N15" i="49"/>
  <c r="N11" i="49"/>
  <c r="N13" i="49"/>
  <c r="N9" i="49"/>
  <c r="N16" i="49"/>
  <c r="N14" i="49"/>
  <c r="A17" i="52" l="1"/>
  <c r="A83" i="52" s="1"/>
  <c r="A16" i="52"/>
  <c r="A70" i="52" s="1"/>
  <c r="A15" i="52"/>
  <c r="A81" i="52" s="1"/>
  <c r="A14" i="52"/>
  <c r="A26" i="52" s="1"/>
  <c r="A13" i="52"/>
  <c r="A79" i="52" s="1"/>
  <c r="A12" i="52"/>
  <c r="A54" i="52" s="1"/>
  <c r="A11" i="52"/>
  <c r="A77" i="52" s="1"/>
  <c r="A10" i="52"/>
  <c r="A52" i="52" s="1"/>
  <c r="A9" i="52"/>
  <c r="A75" i="52" s="1"/>
  <c r="A8" i="52"/>
  <c r="A62" i="52" s="1"/>
  <c r="N88" i="52"/>
  <c r="K88" i="52"/>
  <c r="G88" i="52"/>
  <c r="B4" i="52"/>
  <c r="C88" i="52" s="1"/>
  <c r="D89" i="52"/>
  <c r="P89" i="52" s="1"/>
  <c r="AB89" i="52" s="1"/>
  <c r="AN89" i="52" s="1"/>
  <c r="C89" i="52"/>
  <c r="O89" i="52" s="1"/>
  <c r="AA89" i="52" s="1"/>
  <c r="AM89" i="52" s="1"/>
  <c r="B89" i="52"/>
  <c r="N89" i="52" s="1"/>
  <c r="Z89" i="52" s="1"/>
  <c r="AL89" i="52" s="1"/>
  <c r="D47" i="52"/>
  <c r="P47" i="52" s="1"/>
  <c r="AB47" i="52" s="1"/>
  <c r="AN47" i="52" s="1"/>
  <c r="C47" i="52"/>
  <c r="O47" i="52" s="1"/>
  <c r="AA47" i="52" s="1"/>
  <c r="AM47" i="52" s="1"/>
  <c r="B47" i="52"/>
  <c r="N47" i="52" s="1"/>
  <c r="Z47" i="52" s="1"/>
  <c r="AL47" i="52" s="1"/>
  <c r="P5" i="52"/>
  <c r="AB5" i="52" s="1"/>
  <c r="AN5" i="52" s="1"/>
  <c r="O5" i="52"/>
  <c r="AA5" i="52" s="1"/>
  <c r="AM5" i="52" s="1"/>
  <c r="L5" i="52"/>
  <c r="X5" i="52" s="1"/>
  <c r="AJ5" i="52" s="1"/>
  <c r="K5" i="52"/>
  <c r="W5" i="52" s="1"/>
  <c r="AI5" i="52" s="1"/>
  <c r="J5" i="52"/>
  <c r="V5" i="52" s="1"/>
  <c r="AH5" i="52" s="1"/>
  <c r="H5" i="52"/>
  <c r="T5" i="52" s="1"/>
  <c r="AF5" i="52" s="1"/>
  <c r="G5" i="52"/>
  <c r="S5" i="52" s="1"/>
  <c r="AE5" i="52" s="1"/>
  <c r="F5" i="52"/>
  <c r="R5" i="52" s="1"/>
  <c r="AD5" i="52" s="1"/>
  <c r="R38" i="21"/>
  <c r="S38" i="21"/>
  <c r="T38" i="21"/>
  <c r="U38" i="21"/>
  <c r="V38" i="21"/>
  <c r="W38" i="21"/>
  <c r="X38" i="21"/>
  <c r="Y38" i="21"/>
  <c r="Z38" i="21"/>
  <c r="AA38" i="21"/>
  <c r="AB38" i="21"/>
  <c r="AC38" i="21"/>
  <c r="AE38" i="21"/>
  <c r="AF38" i="21"/>
  <c r="AG38" i="21"/>
  <c r="A39" i="16"/>
  <c r="F90" i="16"/>
  <c r="E90" i="16"/>
  <c r="D90" i="16"/>
  <c r="C90" i="16"/>
  <c r="B90" i="16"/>
  <c r="F88" i="16"/>
  <c r="E88" i="16"/>
  <c r="D88" i="16"/>
  <c r="C88" i="16"/>
  <c r="B88" i="16"/>
  <c r="F87" i="16"/>
  <c r="E87" i="16"/>
  <c r="D87" i="16"/>
  <c r="C87" i="16"/>
  <c r="B87" i="16"/>
  <c r="F86" i="16"/>
  <c r="E86" i="16"/>
  <c r="D86" i="16"/>
  <c r="C86" i="16"/>
  <c r="F85" i="16"/>
  <c r="E85" i="16"/>
  <c r="D85" i="16"/>
  <c r="C85" i="16"/>
  <c r="B85" i="16"/>
  <c r="F84" i="16"/>
  <c r="E84" i="16"/>
  <c r="D84" i="16"/>
  <c r="C84" i="16"/>
  <c r="B84" i="16"/>
  <c r="F83" i="16"/>
  <c r="E83" i="16"/>
  <c r="D83" i="16"/>
  <c r="C83" i="16"/>
  <c r="B83" i="16"/>
  <c r="F82" i="16"/>
  <c r="E82" i="16"/>
  <c r="C82" i="16"/>
  <c r="B82" i="16"/>
  <c r="F81" i="16"/>
  <c r="E81" i="16"/>
  <c r="D81" i="16"/>
  <c r="C81" i="16"/>
  <c r="B81" i="16"/>
  <c r="F80" i="16"/>
  <c r="E80" i="16"/>
  <c r="D80" i="16"/>
  <c r="C80" i="16"/>
  <c r="A90" i="16"/>
  <c r="A81" i="16"/>
  <c r="A82" i="16"/>
  <c r="A83" i="16"/>
  <c r="A84" i="16"/>
  <c r="A85" i="16"/>
  <c r="A86" i="16"/>
  <c r="A87" i="16"/>
  <c r="A88" i="16"/>
  <c r="A80" i="16"/>
  <c r="C79" i="16"/>
  <c r="D79" i="16"/>
  <c r="E79" i="16"/>
  <c r="F79" i="16"/>
  <c r="B79" i="16"/>
  <c r="Q12" i="11"/>
  <c r="P12" i="11"/>
  <c r="O12" i="11"/>
  <c r="N12" i="11"/>
  <c r="Q10" i="11"/>
  <c r="P10" i="11"/>
  <c r="O10" i="11"/>
  <c r="N10" i="11"/>
  <c r="Q9" i="11"/>
  <c r="P9" i="11"/>
  <c r="O9" i="11"/>
  <c r="N9" i="11"/>
  <c r="Q8" i="11"/>
  <c r="P8" i="11"/>
  <c r="O8" i="11"/>
  <c r="N8" i="11"/>
  <c r="Q7" i="11"/>
  <c r="P7" i="11"/>
  <c r="O7" i="11"/>
  <c r="N7" i="11"/>
  <c r="Q6" i="11"/>
  <c r="P6" i="11"/>
  <c r="O6" i="11"/>
  <c r="N6" i="11"/>
  <c r="Q5" i="11"/>
  <c r="P5" i="11"/>
  <c r="O5" i="11"/>
  <c r="N5" i="11"/>
  <c r="L12" i="11"/>
  <c r="L6" i="11"/>
  <c r="L7" i="11"/>
  <c r="L8" i="11"/>
  <c r="L9" i="11"/>
  <c r="L10" i="11"/>
  <c r="L5" i="11"/>
  <c r="N4" i="11"/>
  <c r="O4" i="11"/>
  <c r="P4" i="11"/>
  <c r="Q4" i="11"/>
  <c r="F5" i="15"/>
  <c r="F5" i="18"/>
  <c r="F3" i="44" s="1"/>
  <c r="D5" i="18"/>
  <c r="F11" i="18"/>
  <c r="D11" i="18"/>
  <c r="F17" i="18"/>
  <c r="D17" i="18"/>
  <c r="F24" i="18"/>
  <c r="D24" i="18"/>
  <c r="F28" i="18"/>
  <c r="D28" i="18"/>
  <c r="F34" i="18"/>
  <c r="D34" i="18"/>
  <c r="F38" i="18"/>
  <c r="D38" i="18"/>
  <c r="F42" i="18"/>
  <c r="D42" i="18"/>
  <c r="F46" i="18"/>
  <c r="D46" i="18"/>
  <c r="D5" i="15"/>
  <c r="D7" i="15"/>
  <c r="J54" i="15" s="1"/>
  <c r="F7" i="15"/>
  <c r="D8" i="15"/>
  <c r="F8" i="15"/>
  <c r="D9" i="15"/>
  <c r="F9" i="15"/>
  <c r="D10" i="15"/>
  <c r="F10" i="15"/>
  <c r="D13" i="15"/>
  <c r="F13" i="15"/>
  <c r="D14" i="15"/>
  <c r="F14" i="15"/>
  <c r="D15" i="15"/>
  <c r="F15" i="15"/>
  <c r="D16" i="15"/>
  <c r="F16" i="15"/>
  <c r="D18" i="15"/>
  <c r="F18" i="15"/>
  <c r="D20" i="15"/>
  <c r="F20" i="15"/>
  <c r="D25" i="15"/>
  <c r="F25" i="15"/>
  <c r="D35" i="15"/>
  <c r="F35" i="15"/>
  <c r="D40" i="15"/>
  <c r="F40" i="15"/>
  <c r="M2" i="51"/>
  <c r="O2" i="51"/>
  <c r="Q5" i="31"/>
  <c r="A29" i="44"/>
  <c r="A43" i="44" s="1"/>
  <c r="A57" i="44" s="1"/>
  <c r="A21" i="44"/>
  <c r="A35" i="44" s="1"/>
  <c r="A49" i="44" s="1"/>
  <c r="A20" i="44"/>
  <c r="A34" i="44" s="1"/>
  <c r="A48" i="44" s="1"/>
  <c r="A19" i="44"/>
  <c r="A33" i="44" s="1"/>
  <c r="A47" i="44" s="1"/>
  <c r="D44" i="11"/>
  <c r="O15" i="31"/>
  <c r="O14" i="31"/>
  <c r="O13" i="31"/>
  <c r="O12" i="31"/>
  <c r="O11" i="31"/>
  <c r="O10" i="31"/>
  <c r="O9" i="31"/>
  <c r="O8" i="31"/>
  <c r="O7" i="31"/>
  <c r="P8" i="31"/>
  <c r="P9" i="31"/>
  <c r="P10" i="31"/>
  <c r="P11" i="31"/>
  <c r="P13" i="31"/>
  <c r="I43" i="16"/>
  <c r="J43" i="16"/>
  <c r="I44" i="16"/>
  <c r="J44" i="16"/>
  <c r="B5" i="18"/>
  <c r="I23" i="16"/>
  <c r="J23" i="16"/>
  <c r="I24" i="16"/>
  <c r="J24" i="16"/>
  <c r="D44" i="16"/>
  <c r="E5" i="18"/>
  <c r="E3" i="44" s="1"/>
  <c r="E18" i="44" s="1"/>
  <c r="E11" i="18"/>
  <c r="C5" i="18"/>
  <c r="C11" i="18"/>
  <c r="E17" i="18"/>
  <c r="C17" i="18"/>
  <c r="E24" i="18"/>
  <c r="C24" i="18"/>
  <c r="E28" i="18"/>
  <c r="C28" i="18"/>
  <c r="E34" i="18"/>
  <c r="C34" i="18"/>
  <c r="E38" i="18"/>
  <c r="C38" i="18"/>
  <c r="E42" i="18"/>
  <c r="C42" i="18"/>
  <c r="E46" i="18"/>
  <c r="C46" i="18"/>
  <c r="J26" i="18"/>
  <c r="A11" i="18"/>
  <c r="L9" i="76" s="1"/>
  <c r="A17" i="18"/>
  <c r="L15" i="76" s="1"/>
  <c r="A24" i="18"/>
  <c r="L22" i="76" s="1"/>
  <c r="A28" i="18"/>
  <c r="L26" i="76" s="1"/>
  <c r="A34" i="18"/>
  <c r="L32" i="76" s="1"/>
  <c r="A38" i="18"/>
  <c r="L36" i="76" s="1"/>
  <c r="A42" i="18"/>
  <c r="L40" i="76" s="1"/>
  <c r="A46" i="18"/>
  <c r="L44" i="76" s="1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86" i="12"/>
  <c r="E86" i="12"/>
  <c r="D63" i="12"/>
  <c r="E63" i="12"/>
  <c r="E5" i="15"/>
  <c r="E40" i="15"/>
  <c r="K83" i="15" s="1"/>
  <c r="C5" i="15"/>
  <c r="C40" i="15"/>
  <c r="I83" i="15" s="1"/>
  <c r="E35" i="15"/>
  <c r="C35" i="15"/>
  <c r="E25" i="15"/>
  <c r="C25" i="15"/>
  <c r="E20" i="15"/>
  <c r="C20" i="15"/>
  <c r="E18" i="15"/>
  <c r="C18" i="15"/>
  <c r="E16" i="15"/>
  <c r="C16" i="15"/>
  <c r="E15" i="15"/>
  <c r="C15" i="15"/>
  <c r="E14" i="15"/>
  <c r="C14" i="15"/>
  <c r="E13" i="15"/>
  <c r="C13" i="15"/>
  <c r="E10" i="15"/>
  <c r="C10" i="15"/>
  <c r="E9" i="15"/>
  <c r="C9" i="15"/>
  <c r="E8" i="15"/>
  <c r="C8" i="15"/>
  <c r="C7" i="15"/>
  <c r="I54" i="15" s="1"/>
  <c r="E7" i="15"/>
  <c r="K54" i="15" s="1"/>
  <c r="D7" i="18"/>
  <c r="F7" i="18"/>
  <c r="C7" i="18"/>
  <c r="E7" i="18"/>
  <c r="B46" i="18"/>
  <c r="B42" i="18"/>
  <c r="B38" i="18"/>
  <c r="B34" i="18"/>
  <c r="B28" i="18"/>
  <c r="B24" i="18"/>
  <c r="B17" i="18"/>
  <c r="B11" i="18"/>
  <c r="B7" i="18"/>
  <c r="E44" i="16"/>
  <c r="B44" i="16"/>
  <c r="L41" i="21"/>
  <c r="A7" i="15"/>
  <c r="A89" i="15" s="1"/>
  <c r="A13" i="15"/>
  <c r="A95" i="15" s="1"/>
  <c r="A18" i="15"/>
  <c r="A100" i="15" s="1"/>
  <c r="A20" i="15"/>
  <c r="A102" i="15" s="1"/>
  <c r="A25" i="15"/>
  <c r="A107" i="15" s="1"/>
  <c r="A35" i="15"/>
  <c r="A117" i="15" s="1"/>
  <c r="L43" i="19"/>
  <c r="A8" i="15"/>
  <c r="A9" i="15"/>
  <c r="A10" i="15"/>
  <c r="A14" i="15"/>
  <c r="A15" i="15"/>
  <c r="A16" i="15"/>
  <c r="A40" i="15"/>
  <c r="A122" i="15" s="1"/>
  <c r="A7" i="18"/>
  <c r="E44" i="11"/>
  <c r="B65" i="16"/>
  <c r="D65" i="16"/>
  <c r="B66" i="16"/>
  <c r="D66" i="16"/>
  <c r="E66" i="16"/>
  <c r="B67" i="16"/>
  <c r="D67" i="16"/>
  <c r="E67" i="16"/>
  <c r="B68" i="16"/>
  <c r="D68" i="16"/>
  <c r="E68" i="16"/>
  <c r="B69" i="16"/>
  <c r="D69" i="16"/>
  <c r="E69" i="16"/>
  <c r="B70" i="16"/>
  <c r="D70" i="16"/>
  <c r="E70" i="16"/>
  <c r="B71" i="16"/>
  <c r="D71" i="16"/>
  <c r="E71" i="16"/>
  <c r="B72" i="16"/>
  <c r="D72" i="16"/>
  <c r="E72" i="16"/>
  <c r="B74" i="16"/>
  <c r="D74" i="16"/>
  <c r="E74" i="16"/>
  <c r="I82" i="16"/>
  <c r="N40" i="75" s="1"/>
  <c r="I83" i="16"/>
  <c r="N33" i="75" s="1"/>
  <c r="I84" i="16"/>
  <c r="N29" i="75" s="1"/>
  <c r="I85" i="16"/>
  <c r="N23" i="75" s="1"/>
  <c r="I86" i="16"/>
  <c r="N19" i="75" s="1"/>
  <c r="I87" i="16"/>
  <c r="N15" i="75" s="1"/>
  <c r="I88" i="16"/>
  <c r="N11" i="75" s="1"/>
  <c r="I90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6" i="16"/>
  <c r="E56" i="16"/>
  <c r="B47" i="16"/>
  <c r="B48" i="16"/>
  <c r="B49" i="16"/>
  <c r="B50" i="16"/>
  <c r="B51" i="16"/>
  <c r="B52" i="16"/>
  <c r="B53" i="16"/>
  <c r="B54" i="16"/>
  <c r="B56" i="16"/>
  <c r="C26" i="16"/>
  <c r="D26" i="16"/>
  <c r="E26" i="16"/>
  <c r="F26" i="16"/>
  <c r="C27" i="16"/>
  <c r="D27" i="16"/>
  <c r="E27" i="16"/>
  <c r="F27" i="16"/>
  <c r="C28" i="16"/>
  <c r="D28" i="16"/>
  <c r="E28" i="16"/>
  <c r="F28" i="16"/>
  <c r="C29" i="16"/>
  <c r="D29" i="16"/>
  <c r="E29" i="16"/>
  <c r="F29" i="16"/>
  <c r="C30" i="16"/>
  <c r="D30" i="16"/>
  <c r="E30" i="16"/>
  <c r="F30" i="16"/>
  <c r="C31" i="16"/>
  <c r="D31" i="16"/>
  <c r="E31" i="16"/>
  <c r="F31" i="16"/>
  <c r="C32" i="16"/>
  <c r="D32" i="16"/>
  <c r="E32" i="16"/>
  <c r="F32" i="16"/>
  <c r="C33" i="16"/>
  <c r="E33" i="16"/>
  <c r="F33" i="16"/>
  <c r="C34" i="16"/>
  <c r="D34" i="16"/>
  <c r="E34" i="16"/>
  <c r="F34" i="16"/>
  <c r="C36" i="16"/>
  <c r="D36" i="16"/>
  <c r="E36" i="16"/>
  <c r="F36" i="16"/>
  <c r="B27" i="16"/>
  <c r="B28" i="16"/>
  <c r="B29" i="16"/>
  <c r="B30" i="16"/>
  <c r="B31" i="16"/>
  <c r="B32" i="16"/>
  <c r="B33" i="16"/>
  <c r="B34" i="16"/>
  <c r="B36" i="16"/>
  <c r="B26" i="16"/>
  <c r="A74" i="16"/>
  <c r="A72" i="16"/>
  <c r="A71" i="16"/>
  <c r="A70" i="16"/>
  <c r="A69" i="16"/>
  <c r="A68" i="16"/>
  <c r="A67" i="16"/>
  <c r="A66" i="16"/>
  <c r="A65" i="16"/>
  <c r="A64" i="16"/>
  <c r="A56" i="16"/>
  <c r="A54" i="16"/>
  <c r="A53" i="16"/>
  <c r="A52" i="16"/>
  <c r="A51" i="16"/>
  <c r="A50" i="16"/>
  <c r="A49" i="16"/>
  <c r="A48" i="16"/>
  <c r="A47" i="16"/>
  <c r="A46" i="16"/>
  <c r="A36" i="16"/>
  <c r="A34" i="16"/>
  <c r="A33" i="16"/>
  <c r="A32" i="16"/>
  <c r="B24" i="16"/>
  <c r="C24" i="16"/>
  <c r="D24" i="16"/>
  <c r="E24" i="16"/>
  <c r="F24" i="16"/>
  <c r="A26" i="16"/>
  <c r="A27" i="16"/>
  <c r="A28" i="16"/>
  <c r="A29" i="16"/>
  <c r="A30" i="16"/>
  <c r="A31" i="16"/>
  <c r="B62" i="16"/>
  <c r="D62" i="16"/>
  <c r="E62" i="16"/>
  <c r="B64" i="16"/>
  <c r="D64" i="16"/>
  <c r="E64" i="16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13" i="12"/>
  <c r="E113" i="12"/>
  <c r="A113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E89" i="12"/>
  <c r="D89" i="12"/>
  <c r="A86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E61" i="12"/>
  <c r="D61" i="12"/>
  <c r="C55" i="12"/>
  <c r="D55" i="12"/>
  <c r="E55" i="12"/>
  <c r="F55" i="12"/>
  <c r="A55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F31" i="12"/>
  <c r="E31" i="12"/>
  <c r="D31" i="12"/>
  <c r="C31" i="12"/>
  <c r="S6" i="11"/>
  <c r="S7" i="11"/>
  <c r="S8" i="11"/>
  <c r="S9" i="11"/>
  <c r="S10" i="11"/>
  <c r="S12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1" i="11"/>
  <c r="E41" i="11"/>
  <c r="O265" i="21"/>
  <c r="O264" i="21"/>
  <c r="O263" i="21"/>
  <c r="O262" i="21"/>
  <c r="O261" i="21"/>
  <c r="O266" i="21"/>
  <c r="D45" i="11"/>
  <c r="E45" i="11"/>
  <c r="D46" i="11"/>
  <c r="E46" i="11"/>
  <c r="D47" i="11"/>
  <c r="E47" i="11"/>
  <c r="D48" i="11"/>
  <c r="E48" i="11"/>
  <c r="D49" i="11"/>
  <c r="E49" i="11"/>
  <c r="D50" i="11"/>
  <c r="E50" i="11"/>
  <c r="D52" i="11"/>
  <c r="E52" i="11"/>
  <c r="A52" i="11"/>
  <c r="A50" i="11"/>
  <c r="A49" i="11"/>
  <c r="A48" i="11"/>
  <c r="A47" i="11"/>
  <c r="A46" i="11"/>
  <c r="A45" i="11"/>
  <c r="A41" i="11"/>
  <c r="A39" i="11"/>
  <c r="A38" i="11"/>
  <c r="A37" i="11"/>
  <c r="A36" i="11"/>
  <c r="A35" i="11"/>
  <c r="A34" i="11"/>
  <c r="A27" i="11"/>
  <c r="A25" i="11"/>
  <c r="A24" i="11"/>
  <c r="A23" i="11"/>
  <c r="A22" i="11"/>
  <c r="A21" i="11"/>
  <c r="A20" i="11"/>
  <c r="D33" i="11"/>
  <c r="E33" i="11"/>
  <c r="C19" i="11"/>
  <c r="D19" i="11"/>
  <c r="E19" i="11"/>
  <c r="F19" i="11"/>
  <c r="O230" i="21" s="1"/>
  <c r="C20" i="11"/>
  <c r="D20" i="11"/>
  <c r="N236" i="21" s="1"/>
  <c r="E20" i="11"/>
  <c r="F20" i="11"/>
  <c r="O236" i="21" s="1"/>
  <c r="C21" i="11"/>
  <c r="D21" i="11"/>
  <c r="N235" i="21" s="1"/>
  <c r="E21" i="11"/>
  <c r="F21" i="11"/>
  <c r="O235" i="21" s="1"/>
  <c r="C22" i="11"/>
  <c r="D22" i="11"/>
  <c r="N234" i="21" s="1"/>
  <c r="E22" i="11"/>
  <c r="F22" i="11"/>
  <c r="O234" i="21" s="1"/>
  <c r="C23" i="11"/>
  <c r="D23" i="11"/>
  <c r="N233" i="21" s="1"/>
  <c r="E23" i="11"/>
  <c r="F23" i="11"/>
  <c r="O233" i="21" s="1"/>
  <c r="C24" i="11"/>
  <c r="D24" i="11"/>
  <c r="N232" i="21" s="1"/>
  <c r="E24" i="11"/>
  <c r="F24" i="11"/>
  <c r="O232" i="21" s="1"/>
  <c r="C25" i="11"/>
  <c r="D25" i="11"/>
  <c r="N231" i="21" s="1"/>
  <c r="E25" i="11"/>
  <c r="F25" i="11"/>
  <c r="O231" i="21" s="1"/>
  <c r="C27" i="11"/>
  <c r="D27" i="11"/>
  <c r="E27" i="11"/>
  <c r="F27" i="11"/>
  <c r="A39" i="5"/>
  <c r="A40" i="5"/>
  <c r="A41" i="5"/>
  <c r="A42" i="5"/>
  <c r="A43" i="5"/>
  <c r="A44" i="5"/>
  <c r="A45" i="5"/>
  <c r="A46" i="5"/>
  <c r="A38" i="5"/>
  <c r="L9" i="15" l="1"/>
  <c r="N230" i="21"/>
  <c r="H17" i="11"/>
  <c r="A505" i="76"/>
  <c r="C118" i="15"/>
  <c r="N11" i="19" s="1"/>
  <c r="C113" i="15"/>
  <c r="N16" i="19" s="1"/>
  <c r="C109" i="15"/>
  <c r="N20" i="19" s="1"/>
  <c r="C104" i="15"/>
  <c r="N25" i="19" s="1"/>
  <c r="C98" i="15"/>
  <c r="N31" i="19" s="1"/>
  <c r="C93" i="15"/>
  <c r="N36" i="19" s="1"/>
  <c r="C89" i="15"/>
  <c r="N40" i="19" s="1"/>
  <c r="C122" i="15"/>
  <c r="N7" i="19" s="1"/>
  <c r="C117" i="15"/>
  <c r="N12" i="19" s="1"/>
  <c r="C112" i="15"/>
  <c r="N17" i="19" s="1"/>
  <c r="C108" i="15"/>
  <c r="N21" i="19" s="1"/>
  <c r="C103" i="15"/>
  <c r="N26" i="19" s="1"/>
  <c r="C97" i="15"/>
  <c r="N32" i="19" s="1"/>
  <c r="C92" i="15"/>
  <c r="N37" i="19" s="1"/>
  <c r="C114" i="15"/>
  <c r="N15" i="19" s="1"/>
  <c r="C105" i="15"/>
  <c r="N24" i="19" s="1"/>
  <c r="C95" i="15"/>
  <c r="N34" i="19" s="1"/>
  <c r="C120" i="15"/>
  <c r="N9" i="19" s="1"/>
  <c r="C115" i="15"/>
  <c r="N14" i="19" s="1"/>
  <c r="C111" i="15"/>
  <c r="N18" i="19" s="1"/>
  <c r="C107" i="15"/>
  <c r="N22" i="19" s="1"/>
  <c r="C102" i="15"/>
  <c r="N27" i="19" s="1"/>
  <c r="C96" i="15"/>
  <c r="N33" i="19" s="1"/>
  <c r="C91" i="15"/>
  <c r="N38" i="19" s="1"/>
  <c r="C119" i="15"/>
  <c r="N10" i="19" s="1"/>
  <c r="C110" i="15"/>
  <c r="N19" i="19" s="1"/>
  <c r="C100" i="15"/>
  <c r="N29" i="19" s="1"/>
  <c r="C90" i="15"/>
  <c r="N39" i="19" s="1"/>
  <c r="C3" i="44"/>
  <c r="C18" i="44" s="1"/>
  <c r="B58" i="18"/>
  <c r="L15" i="15"/>
  <c r="B3" i="44"/>
  <c r="A1" i="44" s="1"/>
  <c r="A1" i="18"/>
  <c r="F13" i="44"/>
  <c r="F12" i="44"/>
  <c r="F11" i="44"/>
  <c r="F10" i="44"/>
  <c r="F9" i="44"/>
  <c r="F8" i="44"/>
  <c r="F7" i="44"/>
  <c r="F6" i="44"/>
  <c r="F5" i="44"/>
  <c r="A58" i="18"/>
  <c r="L50" i="75"/>
  <c r="L5" i="76"/>
  <c r="F18" i="44"/>
  <c r="L5" i="15"/>
  <c r="F48" i="15" s="1"/>
  <c r="C87" i="15" s="1"/>
  <c r="N6" i="19" s="1"/>
  <c r="L40" i="15"/>
  <c r="L18" i="15"/>
  <c r="L13" i="15"/>
  <c r="L7" i="18"/>
  <c r="B18" i="44"/>
  <c r="E46" i="44"/>
  <c r="E32" i="44"/>
  <c r="C12" i="44"/>
  <c r="B11" i="44"/>
  <c r="B8" i="44"/>
  <c r="B10" i="44"/>
  <c r="B6" i="44"/>
  <c r="B13" i="44"/>
  <c r="B5" i="44"/>
  <c r="B12" i="44"/>
  <c r="L5" i="18"/>
  <c r="F56" i="18" s="1"/>
  <c r="D3" i="44"/>
  <c r="C32" i="44" s="1"/>
  <c r="E6" i="44"/>
  <c r="E8" i="44"/>
  <c r="E10" i="44"/>
  <c r="E12" i="44"/>
  <c r="E9" i="44"/>
  <c r="E13" i="44"/>
  <c r="E41" i="44" s="1"/>
  <c r="E7" i="44"/>
  <c r="E11" i="44"/>
  <c r="E5" i="44"/>
  <c r="L38" i="18"/>
  <c r="L17" i="18"/>
  <c r="L20" i="15"/>
  <c r="L14" i="15"/>
  <c r="L8" i="15"/>
  <c r="L7" i="15"/>
  <c r="L54" i="15"/>
  <c r="L35" i="15"/>
  <c r="L16" i="15"/>
  <c r="L10" i="15"/>
  <c r="L34" i="18"/>
  <c r="L11" i="18"/>
  <c r="L25" i="15"/>
  <c r="L73" i="15"/>
  <c r="L72" i="15"/>
  <c r="L74" i="15"/>
  <c r="L76" i="15"/>
  <c r="L75" i="15"/>
  <c r="L28" i="18"/>
  <c r="J72" i="15"/>
  <c r="J74" i="15"/>
  <c r="J75" i="15"/>
  <c r="J73" i="15"/>
  <c r="J76" i="15"/>
  <c r="F53" i="15"/>
  <c r="F64" i="15"/>
  <c r="F73" i="15"/>
  <c r="F81" i="15"/>
  <c r="F76" i="15"/>
  <c r="F69" i="15"/>
  <c r="F52" i="15"/>
  <c r="F80" i="15"/>
  <c r="F54" i="15"/>
  <c r="F65" i="15"/>
  <c r="F74" i="15"/>
  <c r="F83" i="15"/>
  <c r="F68" i="15"/>
  <c r="F58" i="15"/>
  <c r="F63" i="15"/>
  <c r="F56" i="15"/>
  <c r="F66" i="15"/>
  <c r="F75" i="15"/>
  <c r="F50" i="15"/>
  <c r="F57" i="15"/>
  <c r="F77" i="15"/>
  <c r="F72" i="15"/>
  <c r="F59" i="15"/>
  <c r="F70" i="15"/>
  <c r="F78" i="15"/>
  <c r="F51" i="15"/>
  <c r="F61" i="15"/>
  <c r="F71" i="15"/>
  <c r="F79" i="15"/>
  <c r="L46" i="18"/>
  <c r="I74" i="15"/>
  <c r="I76" i="15"/>
  <c r="I73" i="15"/>
  <c r="I72" i="15"/>
  <c r="I75" i="15"/>
  <c r="L42" i="18"/>
  <c r="L24" i="18"/>
  <c r="F62" i="18"/>
  <c r="F71" i="18"/>
  <c r="F81" i="18"/>
  <c r="F91" i="18"/>
  <c r="F58" i="18"/>
  <c r="F63" i="18"/>
  <c r="F72" i="18"/>
  <c r="F82" i="18"/>
  <c r="F93" i="18"/>
  <c r="F64" i="18"/>
  <c r="F73" i="18"/>
  <c r="F83" i="18"/>
  <c r="F94" i="18"/>
  <c r="F65" i="18"/>
  <c r="F75" i="18"/>
  <c r="F85" i="18"/>
  <c r="F95" i="18"/>
  <c r="F66" i="18"/>
  <c r="F76" i="18"/>
  <c r="F86" i="18"/>
  <c r="F97" i="18"/>
  <c r="F68" i="18"/>
  <c r="F77" i="18"/>
  <c r="F87" i="18"/>
  <c r="F98" i="18"/>
  <c r="F59" i="18"/>
  <c r="F69" i="18"/>
  <c r="F79" i="18"/>
  <c r="F89" i="18"/>
  <c r="F99" i="18"/>
  <c r="F60" i="18"/>
  <c r="F70" i="18"/>
  <c r="F80" i="18"/>
  <c r="F90" i="18"/>
  <c r="F101" i="18"/>
  <c r="K75" i="15"/>
  <c r="K73" i="15"/>
  <c r="K72" i="15"/>
  <c r="K74" i="15"/>
  <c r="K76" i="15"/>
  <c r="A52" i="18"/>
  <c r="B99" i="18"/>
  <c r="B59" i="18"/>
  <c r="B60" i="18"/>
  <c r="D60" i="18"/>
  <c r="D59" i="18"/>
  <c r="C60" i="18"/>
  <c r="C59" i="18"/>
  <c r="E59" i="18"/>
  <c r="E60" i="18"/>
  <c r="K48" i="15"/>
  <c r="E54" i="15"/>
  <c r="E73" i="15"/>
  <c r="E75" i="15"/>
  <c r="E76" i="15"/>
  <c r="E72" i="15"/>
  <c r="E74" i="15"/>
  <c r="D74" i="15"/>
  <c r="D75" i="15"/>
  <c r="D73" i="15"/>
  <c r="D72" i="15"/>
  <c r="D54" i="15"/>
  <c r="D76" i="15"/>
  <c r="C74" i="15"/>
  <c r="C75" i="15"/>
  <c r="C72" i="15"/>
  <c r="C76" i="15"/>
  <c r="C54" i="15"/>
  <c r="C73" i="15"/>
  <c r="I37" i="15"/>
  <c r="I27" i="15"/>
  <c r="I22" i="15"/>
  <c r="I16" i="15"/>
  <c r="I10" i="15"/>
  <c r="I36" i="15"/>
  <c r="I26" i="15"/>
  <c r="I21" i="15"/>
  <c r="I15" i="15"/>
  <c r="I9" i="15"/>
  <c r="I35" i="15"/>
  <c r="I25" i="15"/>
  <c r="I20" i="15"/>
  <c r="I14" i="15"/>
  <c r="I8" i="15"/>
  <c r="A70" i="15"/>
  <c r="L20" i="19" s="1"/>
  <c r="L25" i="21"/>
  <c r="A50" i="15"/>
  <c r="L40" i="19" s="1"/>
  <c r="L5" i="21"/>
  <c r="A51" i="15"/>
  <c r="L39" i="19" s="1"/>
  <c r="L6" i="21"/>
  <c r="A83" i="15"/>
  <c r="L7" i="19" s="1"/>
  <c r="L38" i="21"/>
  <c r="L268" i="21" s="1"/>
  <c r="A65" i="15"/>
  <c r="L25" i="19" s="1"/>
  <c r="L20" i="21"/>
  <c r="A52" i="15"/>
  <c r="L38" i="19" s="1"/>
  <c r="L7" i="21"/>
  <c r="A80" i="15"/>
  <c r="L10" i="19" s="1"/>
  <c r="L35" i="21"/>
  <c r="A59" i="15"/>
  <c r="L31" i="19" s="1"/>
  <c r="L14" i="21"/>
  <c r="A68" i="15"/>
  <c r="L22" i="19" s="1"/>
  <c r="L23" i="21"/>
  <c r="A53" i="15"/>
  <c r="L37" i="19" s="1"/>
  <c r="L8" i="21"/>
  <c r="A66" i="15"/>
  <c r="L24" i="19" s="1"/>
  <c r="L21" i="21"/>
  <c r="A78" i="15"/>
  <c r="L12" i="19" s="1"/>
  <c r="L33" i="21"/>
  <c r="A79" i="15"/>
  <c r="L11" i="19" s="1"/>
  <c r="L34" i="21"/>
  <c r="A58" i="15"/>
  <c r="L32" i="19" s="1"/>
  <c r="L13" i="21"/>
  <c r="A63" i="15"/>
  <c r="L27" i="19" s="1"/>
  <c r="L18" i="21"/>
  <c r="A56" i="15"/>
  <c r="L34" i="19" s="1"/>
  <c r="L11" i="21"/>
  <c r="A69" i="15"/>
  <c r="L21" i="19" s="1"/>
  <c r="L24" i="21"/>
  <c r="A81" i="15"/>
  <c r="L9" i="19" s="1"/>
  <c r="L36" i="21"/>
  <c r="A64" i="15"/>
  <c r="L26" i="19" s="1"/>
  <c r="L19" i="21"/>
  <c r="A71" i="15"/>
  <c r="L19" i="19" s="1"/>
  <c r="L26" i="21"/>
  <c r="A57" i="15"/>
  <c r="L33" i="19" s="1"/>
  <c r="L12" i="21"/>
  <c r="A61" i="15"/>
  <c r="L29" i="19" s="1"/>
  <c r="L16" i="21"/>
  <c r="I38" i="18"/>
  <c r="L72" i="18"/>
  <c r="I34" i="18"/>
  <c r="I11" i="18"/>
  <c r="I56" i="18"/>
  <c r="I5" i="18"/>
  <c r="C56" i="18" s="1"/>
  <c r="L83" i="15"/>
  <c r="J101" i="18"/>
  <c r="I50" i="18"/>
  <c r="I7" i="18"/>
  <c r="C64" i="18"/>
  <c r="C73" i="18"/>
  <c r="C79" i="18"/>
  <c r="C95" i="18"/>
  <c r="C58" i="18"/>
  <c r="C65" i="18"/>
  <c r="C80" i="18"/>
  <c r="C66" i="18"/>
  <c r="C75" i="18"/>
  <c r="C81" i="18"/>
  <c r="C89" i="18"/>
  <c r="C62" i="18"/>
  <c r="C71" i="18"/>
  <c r="C86" i="18"/>
  <c r="C93" i="18"/>
  <c r="C99" i="18"/>
  <c r="C68" i="18"/>
  <c r="C82" i="18"/>
  <c r="C69" i="18"/>
  <c r="C83" i="18"/>
  <c r="C97" i="18"/>
  <c r="C70" i="18"/>
  <c r="C85" i="18"/>
  <c r="C98" i="18"/>
  <c r="C72" i="18"/>
  <c r="C76" i="18"/>
  <c r="C101" i="18"/>
  <c r="C77" i="18"/>
  <c r="C91" i="18"/>
  <c r="C63" i="18"/>
  <c r="C94" i="18"/>
  <c r="C90" i="18"/>
  <c r="C87" i="18"/>
  <c r="I28" i="18"/>
  <c r="I48" i="15"/>
  <c r="I5" i="15"/>
  <c r="C48" i="15" s="1"/>
  <c r="I38" i="15"/>
  <c r="I28" i="15"/>
  <c r="I23" i="15"/>
  <c r="I18" i="15"/>
  <c r="I13" i="15"/>
  <c r="I7" i="15"/>
  <c r="J94" i="18"/>
  <c r="I42" i="18"/>
  <c r="I24" i="18"/>
  <c r="L48" i="15"/>
  <c r="J70" i="18"/>
  <c r="I17" i="18"/>
  <c r="L101" i="18"/>
  <c r="J83" i="15"/>
  <c r="I40" i="15"/>
  <c r="I46" i="18"/>
  <c r="J48" i="15"/>
  <c r="C58" i="15"/>
  <c r="C59" i="15"/>
  <c r="C70" i="15"/>
  <c r="C61" i="15"/>
  <c r="C71" i="15"/>
  <c r="C63" i="15"/>
  <c r="C78" i="15"/>
  <c r="C56" i="15"/>
  <c r="C68" i="15"/>
  <c r="C83" i="15"/>
  <c r="C57" i="15"/>
  <c r="C50" i="15"/>
  <c r="C66" i="15"/>
  <c r="C64" i="15"/>
  <c r="C65" i="15"/>
  <c r="C52" i="15"/>
  <c r="C80" i="15"/>
  <c r="C53" i="15"/>
  <c r="C81" i="15"/>
  <c r="C69" i="15"/>
  <c r="C79" i="15"/>
  <c r="C51" i="15"/>
  <c r="L66" i="18"/>
  <c r="K11" i="18"/>
  <c r="K66" i="18"/>
  <c r="J11" i="18"/>
  <c r="J66" i="18"/>
  <c r="I66" i="18"/>
  <c r="H11" i="18"/>
  <c r="H66" i="18"/>
  <c r="H63" i="18"/>
  <c r="A71" i="52"/>
  <c r="A82" i="52"/>
  <c r="G89" i="52"/>
  <c r="S89" i="52" s="1"/>
  <c r="AE89" i="52" s="1"/>
  <c r="A101" i="52"/>
  <c r="A63" i="52"/>
  <c r="A33" i="52"/>
  <c r="G47" i="52"/>
  <c r="S47" i="52" s="1"/>
  <c r="AE47" i="52" s="1"/>
  <c r="A58" i="52"/>
  <c r="A100" i="52"/>
  <c r="L91" i="18"/>
  <c r="L90" i="18"/>
  <c r="K90" i="18"/>
  <c r="K91" i="18"/>
  <c r="J86" i="18"/>
  <c r="J91" i="18"/>
  <c r="J90" i="18"/>
  <c r="I91" i="18"/>
  <c r="I90" i="18"/>
  <c r="H90" i="18"/>
  <c r="H91" i="18"/>
  <c r="E91" i="18"/>
  <c r="E90" i="18"/>
  <c r="D91" i="18"/>
  <c r="D90" i="18"/>
  <c r="B90" i="18"/>
  <c r="B91" i="18"/>
  <c r="I68" i="15"/>
  <c r="K21" i="15"/>
  <c r="J36" i="15"/>
  <c r="J58" i="15"/>
  <c r="J79" i="15"/>
  <c r="J15" i="15"/>
  <c r="J38" i="18"/>
  <c r="J78" i="15"/>
  <c r="J68" i="15"/>
  <c r="J14" i="15"/>
  <c r="J28" i="15"/>
  <c r="J81" i="15"/>
  <c r="A35" i="52"/>
  <c r="A41" i="52"/>
  <c r="A93" i="52"/>
  <c r="A34" i="52"/>
  <c r="A76" i="52"/>
  <c r="A94" i="52"/>
  <c r="A21" i="52"/>
  <c r="A95" i="52"/>
  <c r="A64" i="52"/>
  <c r="A29" i="52"/>
  <c r="A78" i="52"/>
  <c r="G46" i="52"/>
  <c r="A96" i="52"/>
  <c r="A22" i="52"/>
  <c r="A36" i="52"/>
  <c r="A67" i="52"/>
  <c r="A97" i="52"/>
  <c r="A66" i="52"/>
  <c r="A24" i="52"/>
  <c r="A37" i="52"/>
  <c r="A25" i="52"/>
  <c r="A56" i="52"/>
  <c r="K80" i="15"/>
  <c r="J38" i="15"/>
  <c r="J65" i="15"/>
  <c r="J51" i="15"/>
  <c r="J8" i="15"/>
  <c r="K13" i="15"/>
  <c r="J18" i="15"/>
  <c r="K97" i="18"/>
  <c r="J25" i="15"/>
  <c r="J70" i="15"/>
  <c r="J71" i="15"/>
  <c r="J69" i="15"/>
  <c r="J66" i="15"/>
  <c r="L82" i="18"/>
  <c r="L83" i="18"/>
  <c r="L73" i="18"/>
  <c r="K85" i="18"/>
  <c r="K82" i="18"/>
  <c r="K83" i="18"/>
  <c r="J24" i="18"/>
  <c r="K73" i="18"/>
  <c r="J95" i="18"/>
  <c r="J82" i="18"/>
  <c r="J83" i="18"/>
  <c r="J76" i="18"/>
  <c r="J73" i="18"/>
  <c r="J64" i="18"/>
  <c r="I94" i="18"/>
  <c r="I82" i="18"/>
  <c r="I83" i="18"/>
  <c r="I79" i="18"/>
  <c r="I73" i="18"/>
  <c r="H82" i="18"/>
  <c r="H83" i="18"/>
  <c r="H73" i="18"/>
  <c r="L11" i="75"/>
  <c r="A97" i="18"/>
  <c r="L15" i="75"/>
  <c r="A93" i="18"/>
  <c r="L19" i="75"/>
  <c r="A89" i="18"/>
  <c r="L23" i="75"/>
  <c r="A85" i="18"/>
  <c r="L29" i="75"/>
  <c r="A79" i="18"/>
  <c r="L33" i="75"/>
  <c r="A75" i="18"/>
  <c r="L40" i="75"/>
  <c r="A68" i="18"/>
  <c r="L46" i="75"/>
  <c r="A62" i="18"/>
  <c r="K56" i="18"/>
  <c r="E82" i="18"/>
  <c r="E73" i="18"/>
  <c r="E83" i="18"/>
  <c r="E66" i="18"/>
  <c r="J56" i="18"/>
  <c r="D82" i="18"/>
  <c r="D73" i="18"/>
  <c r="D83" i="18"/>
  <c r="D66" i="18"/>
  <c r="B73" i="18"/>
  <c r="B66" i="18"/>
  <c r="B82" i="18"/>
  <c r="B83" i="18"/>
  <c r="K26" i="15"/>
  <c r="K38" i="15"/>
  <c r="J16" i="15"/>
  <c r="J23" i="15"/>
  <c r="J10" i="15"/>
  <c r="K68" i="15"/>
  <c r="J57" i="15"/>
  <c r="I63" i="15"/>
  <c r="I78" i="15"/>
  <c r="L7" i="75"/>
  <c r="A101" i="18"/>
  <c r="K5" i="15"/>
  <c r="E48" i="15" s="1"/>
  <c r="J72" i="18"/>
  <c r="K87" i="18"/>
  <c r="J71" i="18"/>
  <c r="I64" i="18"/>
  <c r="J34" i="18"/>
  <c r="J69" i="18"/>
  <c r="J63" i="18"/>
  <c r="K34" i="18"/>
  <c r="J87" i="18"/>
  <c r="J77" i="18"/>
  <c r="J62" i="18"/>
  <c r="K81" i="18"/>
  <c r="J99" i="18"/>
  <c r="J89" i="18"/>
  <c r="K12" i="18"/>
  <c r="J19" i="18"/>
  <c r="L76" i="18"/>
  <c r="J50" i="18"/>
  <c r="K101" i="18"/>
  <c r="J21" i="18"/>
  <c r="L99" i="18"/>
  <c r="L81" i="18"/>
  <c r="D89" i="18"/>
  <c r="J47" i="18"/>
  <c r="J65" i="18"/>
  <c r="J85" i="18"/>
  <c r="D68" i="18"/>
  <c r="J12" i="18"/>
  <c r="J46" i="18"/>
  <c r="L98" i="18"/>
  <c r="L77" i="18"/>
  <c r="A27" i="52"/>
  <c r="A69" i="52"/>
  <c r="A92" i="52"/>
  <c r="A38" i="52"/>
  <c r="A68" i="52"/>
  <c r="A99" i="52"/>
  <c r="A39" i="52"/>
  <c r="A23" i="52"/>
  <c r="A32" i="52"/>
  <c r="A40" i="52"/>
  <c r="A65" i="52"/>
  <c r="A74" i="52"/>
  <c r="A80" i="52"/>
  <c r="A50" i="52"/>
  <c r="N46" i="52"/>
  <c r="A98" i="52"/>
  <c r="A20" i="52"/>
  <c r="A28" i="52"/>
  <c r="K94" i="18"/>
  <c r="J43" i="18"/>
  <c r="J36" i="18"/>
  <c r="J80" i="18"/>
  <c r="J14" i="18"/>
  <c r="L70" i="18"/>
  <c r="L64" i="18"/>
  <c r="J42" i="18"/>
  <c r="K77" i="18"/>
  <c r="J98" i="18"/>
  <c r="J97" i="18"/>
  <c r="J81" i="18"/>
  <c r="P12" i="31"/>
  <c r="P15" i="31"/>
  <c r="K5" i="18"/>
  <c r="E56" i="18" s="1"/>
  <c r="D85" i="18"/>
  <c r="D97" i="18"/>
  <c r="D79" i="18"/>
  <c r="D93" i="18"/>
  <c r="D75" i="18"/>
  <c r="J26" i="15"/>
  <c r="J21" i="15"/>
  <c r="J9" i="15"/>
  <c r="J22" i="15"/>
  <c r="J64" i="15"/>
  <c r="I51" i="15"/>
  <c r="L66" i="15"/>
  <c r="L65" i="15"/>
  <c r="L56" i="15"/>
  <c r="K40" i="15"/>
  <c r="L50" i="15"/>
  <c r="K61" i="15"/>
  <c r="J80" i="15"/>
  <c r="J13" i="15"/>
  <c r="J59" i="15"/>
  <c r="I101" i="18"/>
  <c r="I58" i="18"/>
  <c r="A51" i="52"/>
  <c r="A53" i="52"/>
  <c r="A55" i="52"/>
  <c r="A57" i="52"/>
  <c r="A59" i="52"/>
  <c r="C46" i="52"/>
  <c r="K46" i="52"/>
  <c r="J53" i="15"/>
  <c r="J52" i="15"/>
  <c r="J50" i="15"/>
  <c r="I75" i="18"/>
  <c r="J61" i="15"/>
  <c r="I50" i="15"/>
  <c r="I56" i="15"/>
  <c r="I61" i="15"/>
  <c r="J56" i="15"/>
  <c r="J63" i="15"/>
  <c r="J68" i="18"/>
  <c r="J75" i="18"/>
  <c r="J79" i="18"/>
  <c r="J93" i="18"/>
  <c r="K30" i="18"/>
  <c r="E80" i="15"/>
  <c r="O268" i="21"/>
  <c r="H29" i="18"/>
  <c r="H20" i="18"/>
  <c r="H18" i="18"/>
  <c r="J5" i="18"/>
  <c r="D56" i="18" s="1"/>
  <c r="H56" i="18"/>
  <c r="H5" i="18"/>
  <c r="B56" i="18" s="1"/>
  <c r="A1" i="75" s="1"/>
  <c r="O260" i="21"/>
  <c r="J5" i="15"/>
  <c r="D48" i="15" s="1"/>
  <c r="H7" i="18"/>
  <c r="J40" i="15"/>
  <c r="K56" i="15"/>
  <c r="K43" i="18"/>
  <c r="K36" i="18"/>
  <c r="K76" i="18"/>
  <c r="K8" i="15"/>
  <c r="L75" i="18"/>
  <c r="K50" i="15"/>
  <c r="I89" i="18"/>
  <c r="J30" i="18"/>
  <c r="E63" i="18"/>
  <c r="K93" i="18"/>
  <c r="K38" i="18"/>
  <c r="K89" i="18"/>
  <c r="J28" i="18"/>
  <c r="K79" i="18"/>
  <c r="K75" i="18"/>
  <c r="J17" i="18"/>
  <c r="K68" i="18"/>
  <c r="K72" i="18"/>
  <c r="K70" i="18"/>
  <c r="D64" i="18"/>
  <c r="D69" i="18"/>
  <c r="D71" i="18"/>
  <c r="D76" i="18"/>
  <c r="D80" i="18"/>
  <c r="E95" i="18"/>
  <c r="E98" i="18"/>
  <c r="B63" i="18"/>
  <c r="B65" i="18"/>
  <c r="B70" i="18"/>
  <c r="B72" i="18"/>
  <c r="B77" i="18"/>
  <c r="B81" i="18"/>
  <c r="B87" i="18"/>
  <c r="B95" i="18"/>
  <c r="K22" i="15"/>
  <c r="K16" i="15"/>
  <c r="J7" i="18"/>
  <c r="I95" i="18"/>
  <c r="I80" i="18"/>
  <c r="I65" i="18"/>
  <c r="K46" i="18"/>
  <c r="K58" i="18"/>
  <c r="J7" i="15"/>
  <c r="I68" i="18"/>
  <c r="E77" i="18"/>
  <c r="L63" i="18"/>
  <c r="K98" i="18"/>
  <c r="K29" i="18"/>
  <c r="K71" i="18"/>
  <c r="J18" i="18"/>
  <c r="K24" i="18"/>
  <c r="E75" i="18"/>
  <c r="K17" i="18"/>
  <c r="I97" i="18"/>
  <c r="I99" i="18"/>
  <c r="B89" i="18"/>
  <c r="H28" i="18"/>
  <c r="I81" i="18"/>
  <c r="B79" i="18"/>
  <c r="H17" i="18"/>
  <c r="I62" i="18"/>
  <c r="I63" i="18"/>
  <c r="L69" i="15"/>
  <c r="L57" i="15"/>
  <c r="K14" i="15"/>
  <c r="I81" i="15"/>
  <c r="L71" i="15"/>
  <c r="L59" i="15"/>
  <c r="L58" i="15"/>
  <c r="K79" i="15"/>
  <c r="E56" i="15"/>
  <c r="L80" i="18"/>
  <c r="K21" i="18"/>
  <c r="L79" i="18"/>
  <c r="K7" i="18"/>
  <c r="J58" i="18"/>
  <c r="I98" i="18"/>
  <c r="I93" i="18"/>
  <c r="B62" i="18"/>
  <c r="B75" i="18"/>
  <c r="B85" i="18"/>
  <c r="B93" i="18"/>
  <c r="B64" i="18"/>
  <c r="B69" i="18"/>
  <c r="B71" i="18"/>
  <c r="B76" i="18"/>
  <c r="B80" i="18"/>
  <c r="B86" i="18"/>
  <c r="B94" i="18"/>
  <c r="B98" i="18"/>
  <c r="K37" i="15"/>
  <c r="L61" i="15"/>
  <c r="K59" i="15"/>
  <c r="K63" i="15"/>
  <c r="I71" i="15"/>
  <c r="I70" i="15"/>
  <c r="I53" i="15"/>
  <c r="K19" i="18"/>
  <c r="K14" i="18"/>
  <c r="K13" i="18"/>
  <c r="K99" i="18"/>
  <c r="K86" i="18"/>
  <c r="H42" i="18"/>
  <c r="E93" i="18"/>
  <c r="E85" i="18"/>
  <c r="L80" i="15"/>
  <c r="K23" i="15"/>
  <c r="E66" i="15"/>
  <c r="K9" i="15"/>
  <c r="L51" i="15"/>
  <c r="K36" i="15"/>
  <c r="K15" i="15"/>
  <c r="I65" i="15"/>
  <c r="K18" i="15"/>
  <c r="K7" i="15"/>
  <c r="L52" i="15"/>
  <c r="L68" i="15"/>
  <c r="K70" i="15"/>
  <c r="L86" i="18"/>
  <c r="K26" i="18"/>
  <c r="J44" i="18"/>
  <c r="K95" i="18"/>
  <c r="K35" i="18"/>
  <c r="J29" i="18"/>
  <c r="K80" i="18"/>
  <c r="E80" i="18"/>
  <c r="J25" i="18"/>
  <c r="K20" i="18"/>
  <c r="J20" i="18"/>
  <c r="E71" i="18"/>
  <c r="K18" i="18"/>
  <c r="K69" i="18"/>
  <c r="E69" i="18"/>
  <c r="J13" i="18"/>
  <c r="H44" i="18"/>
  <c r="K42" i="18"/>
  <c r="L95" i="18"/>
  <c r="L94" i="18"/>
  <c r="K28" i="18"/>
  <c r="E87" i="18"/>
  <c r="E65" i="18"/>
  <c r="K28" i="15"/>
  <c r="L79" i="15"/>
  <c r="L70" i="15"/>
  <c r="L64" i="15"/>
  <c r="E64" i="15"/>
  <c r="L53" i="15"/>
  <c r="K10" i="15"/>
  <c r="E52" i="15"/>
  <c r="J37" i="15"/>
  <c r="J27" i="15"/>
  <c r="I66" i="15"/>
  <c r="L78" i="15"/>
  <c r="L81" i="15"/>
  <c r="K25" i="15"/>
  <c r="K20" i="15"/>
  <c r="L63" i="15"/>
  <c r="K35" i="15"/>
  <c r="J20" i="15"/>
  <c r="I64" i="15"/>
  <c r="K48" i="18"/>
  <c r="L87" i="18"/>
  <c r="K25" i="18"/>
  <c r="L69" i="18"/>
  <c r="L65" i="18"/>
  <c r="J48" i="18"/>
  <c r="K47" i="18"/>
  <c r="K44" i="18"/>
  <c r="J35" i="18"/>
  <c r="K64" i="18"/>
  <c r="I86" i="18"/>
  <c r="I76" i="18"/>
  <c r="I69" i="18"/>
  <c r="H47" i="18"/>
  <c r="H43" i="18"/>
  <c r="H94" i="18"/>
  <c r="H35" i="18"/>
  <c r="H25" i="18"/>
  <c r="H13" i="18"/>
  <c r="L71" i="18"/>
  <c r="E62" i="18"/>
  <c r="K62" i="18"/>
  <c r="K63" i="18"/>
  <c r="K65" i="18"/>
  <c r="B97" i="18"/>
  <c r="I85" i="18"/>
  <c r="I87" i="18"/>
  <c r="H24" i="18"/>
  <c r="I77" i="18"/>
  <c r="I72" i="18"/>
  <c r="I71" i="18"/>
  <c r="I70" i="18"/>
  <c r="B68" i="18"/>
  <c r="H34" i="18"/>
  <c r="L56" i="18"/>
  <c r="E99" i="18"/>
  <c r="E97" i="18"/>
  <c r="E94" i="18"/>
  <c r="E89" i="18"/>
  <c r="E86" i="18"/>
  <c r="E81" i="18"/>
  <c r="E79" i="18"/>
  <c r="E76" i="18"/>
  <c r="E72" i="18"/>
  <c r="E70" i="18"/>
  <c r="E68" i="18"/>
  <c r="E64" i="18"/>
  <c r="K27" i="15"/>
  <c r="D70" i="15"/>
  <c r="J35" i="15"/>
  <c r="K78" i="15"/>
  <c r="K81" i="15"/>
  <c r="D50" i="15"/>
  <c r="D51" i="15"/>
  <c r="E57" i="15"/>
  <c r="E59" i="15"/>
  <c r="D63" i="15"/>
  <c r="E68" i="15"/>
  <c r="E71" i="15"/>
  <c r="E101" i="18"/>
  <c r="L58" i="18"/>
  <c r="K50" i="18"/>
  <c r="L62" i="18"/>
  <c r="L68" i="18"/>
  <c r="L85" i="18"/>
  <c r="L89" i="18"/>
  <c r="L93" i="18"/>
  <c r="L97" i="18"/>
  <c r="E79" i="15"/>
  <c r="H36" i="18"/>
  <c r="H21" i="18"/>
  <c r="H14" i="18"/>
  <c r="H12" i="18"/>
  <c r="H76" i="18"/>
  <c r="K69" i="15"/>
  <c r="K66" i="15"/>
  <c r="I79" i="15"/>
  <c r="H48" i="18"/>
  <c r="H26" i="18"/>
  <c r="H86" i="18"/>
  <c r="H64" i="18"/>
  <c r="D86" i="18"/>
  <c r="D94" i="18"/>
  <c r="D98" i="18"/>
  <c r="D101" i="18"/>
  <c r="K64" i="15"/>
  <c r="K65" i="15"/>
  <c r="J47" i="52"/>
  <c r="V47" i="52" s="1"/>
  <c r="AH47" i="52" s="1"/>
  <c r="J89" i="52"/>
  <c r="V89" i="52" s="1"/>
  <c r="AH89" i="52" s="1"/>
  <c r="H30" i="18"/>
  <c r="H19" i="18"/>
  <c r="P14" i="31"/>
  <c r="K71" i="15"/>
  <c r="D80" i="15"/>
  <c r="K57" i="15"/>
  <c r="I80" i="15"/>
  <c r="I52" i="15"/>
  <c r="K58" i="15"/>
  <c r="K53" i="15"/>
  <c r="K52" i="15"/>
  <c r="K51" i="15"/>
  <c r="I69" i="15"/>
  <c r="I59" i="15"/>
  <c r="I58" i="15"/>
  <c r="I57" i="15"/>
  <c r="E51" i="15"/>
  <c r="E53" i="15"/>
  <c r="D57" i="15"/>
  <c r="E58" i="15"/>
  <c r="E61" i="15"/>
  <c r="E63" i="15"/>
  <c r="E65" i="15"/>
  <c r="D68" i="15"/>
  <c r="E69" i="15"/>
  <c r="E70" i="15"/>
  <c r="E78" i="15"/>
  <c r="E81" i="15"/>
  <c r="E83" i="15"/>
  <c r="H38" i="18"/>
  <c r="H46" i="18"/>
  <c r="H81" i="18"/>
  <c r="H87" i="18"/>
  <c r="H95" i="18"/>
  <c r="H72" i="18"/>
  <c r="D58" i="18"/>
  <c r="E50" i="15"/>
  <c r="D52" i="15"/>
  <c r="D53" i="15"/>
  <c r="D58" i="15"/>
  <c r="D59" i="15"/>
  <c r="D64" i="15"/>
  <c r="D65" i="15"/>
  <c r="D71" i="15"/>
  <c r="D78" i="15"/>
  <c r="D63" i="18"/>
  <c r="D65" i="18"/>
  <c r="D70" i="18"/>
  <c r="D72" i="18"/>
  <c r="D77" i="18"/>
  <c r="D81" i="18"/>
  <c r="D87" i="18"/>
  <c r="D95" i="18"/>
  <c r="D99" i="18"/>
  <c r="D62" i="18"/>
  <c r="L47" i="52"/>
  <c r="X47" i="52" s="1"/>
  <c r="AJ47" i="52" s="1"/>
  <c r="L89" i="52"/>
  <c r="X89" i="52" s="1"/>
  <c r="AJ89" i="52" s="1"/>
  <c r="H65" i="18"/>
  <c r="H69" i="18"/>
  <c r="H80" i="18"/>
  <c r="H98" i="18"/>
  <c r="H99" i="18"/>
  <c r="H70" i="18"/>
  <c r="E58" i="18"/>
  <c r="D56" i="15"/>
  <c r="D61" i="15"/>
  <c r="D66" i="15"/>
  <c r="D81" i="15"/>
  <c r="H77" i="18"/>
  <c r="H71" i="18"/>
  <c r="D69" i="15"/>
  <c r="D79" i="15"/>
  <c r="D83" i="15"/>
  <c r="F47" i="52"/>
  <c r="R47" i="52" s="1"/>
  <c r="AD47" i="52" s="1"/>
  <c r="H47" i="52"/>
  <c r="T47" i="52" s="1"/>
  <c r="AF47" i="52" s="1"/>
  <c r="K47" i="52"/>
  <c r="W47" i="52" s="1"/>
  <c r="AI47" i="52" s="1"/>
  <c r="F89" i="52"/>
  <c r="R89" i="52" s="1"/>
  <c r="AD89" i="52" s="1"/>
  <c r="H89" i="52"/>
  <c r="T89" i="52" s="1"/>
  <c r="AF89" i="52" s="1"/>
  <c r="K89" i="52"/>
  <c r="W89" i="52" s="1"/>
  <c r="AI89" i="52" s="1"/>
  <c r="L234" i="21" l="1"/>
  <c r="L264" i="21" s="1"/>
  <c r="A107" i="21"/>
  <c r="L235" i="21"/>
  <c r="L265" i="21" s="1"/>
  <c r="A77" i="21"/>
  <c r="L233" i="21"/>
  <c r="L263" i="21" s="1"/>
  <c r="A137" i="21"/>
  <c r="L232" i="21"/>
  <c r="L262" i="21" s="1"/>
  <c r="A167" i="21"/>
  <c r="L236" i="21"/>
  <c r="L266" i="21" s="1"/>
  <c r="A47" i="21"/>
  <c r="L231" i="21"/>
  <c r="L261" i="21" s="1"/>
  <c r="A197" i="21"/>
  <c r="C10" i="44"/>
  <c r="B32" i="44"/>
  <c r="C8" i="44"/>
  <c r="C6" i="44"/>
  <c r="B48" i="44" s="1"/>
  <c r="C13" i="44"/>
  <c r="B41" i="44" s="1"/>
  <c r="B46" i="44"/>
  <c r="C11" i="44"/>
  <c r="B53" i="44" s="1"/>
  <c r="C9" i="44"/>
  <c r="B7" i="44"/>
  <c r="C7" i="44"/>
  <c r="B9" i="44"/>
  <c r="B15" i="44" s="1"/>
  <c r="B21" i="44" s="1"/>
  <c r="C5" i="44"/>
  <c r="B47" i="44" s="1"/>
  <c r="B40" i="44"/>
  <c r="E37" i="44"/>
  <c r="B36" i="44"/>
  <c r="B38" i="44"/>
  <c r="E35" i="44"/>
  <c r="F15" i="44"/>
  <c r="F19" i="44" s="1"/>
  <c r="E47" i="44"/>
  <c r="E52" i="44"/>
  <c r="E50" i="44"/>
  <c r="E39" i="44"/>
  <c r="E54" i="44"/>
  <c r="E40" i="44"/>
  <c r="E55" i="44"/>
  <c r="E48" i="44"/>
  <c r="E34" i="44"/>
  <c r="B54" i="44"/>
  <c r="E33" i="44"/>
  <c r="D5" i="44"/>
  <c r="F33" i="44" s="1"/>
  <c r="D11" i="44"/>
  <c r="D53" i="44" s="1"/>
  <c r="D13" i="44"/>
  <c r="C41" i="44" s="1"/>
  <c r="D7" i="44"/>
  <c r="F49" i="44" s="1"/>
  <c r="D9" i="44"/>
  <c r="D6" i="44"/>
  <c r="D48" i="44" s="1"/>
  <c r="D8" i="44"/>
  <c r="F50" i="44" s="1"/>
  <c r="D10" i="44"/>
  <c r="F52" i="44" s="1"/>
  <c r="D12" i="44"/>
  <c r="F40" i="44" s="1"/>
  <c r="F46" i="44"/>
  <c r="F32" i="44"/>
  <c r="D32" i="44"/>
  <c r="D46" i="44"/>
  <c r="D18" i="44"/>
  <c r="C46" i="44"/>
  <c r="E53" i="44"/>
  <c r="B52" i="44"/>
  <c r="E49" i="44"/>
  <c r="E15" i="44"/>
  <c r="E25" i="44" s="1"/>
  <c r="E36" i="44"/>
  <c r="B55" i="44"/>
  <c r="E38" i="44"/>
  <c r="E51" i="44"/>
  <c r="B34" i="44"/>
  <c r="B39" i="44"/>
  <c r="B50" i="44"/>
  <c r="J11" i="78"/>
  <c r="J47" i="78" s="1"/>
  <c r="J83" i="78" s="1"/>
  <c r="U28" i="78"/>
  <c r="U64" i="78" s="1"/>
  <c r="U100" i="78" s="1"/>
  <c r="U11" i="78"/>
  <c r="U47" i="78" s="1"/>
  <c r="U83" i="78" s="1"/>
  <c r="U32" i="78"/>
  <c r="U68" i="78" s="1"/>
  <c r="U104" i="78" s="1"/>
  <c r="J24" i="78"/>
  <c r="J60" i="78" s="1"/>
  <c r="J96" i="78" s="1"/>
  <c r="U24" i="78"/>
  <c r="U60" i="78" s="1"/>
  <c r="U96" i="78" s="1"/>
  <c r="J19" i="78"/>
  <c r="J55" i="78" s="1"/>
  <c r="J91" i="78" s="1"/>
  <c r="J16" i="78"/>
  <c r="J52" i="78" s="1"/>
  <c r="J88" i="78" s="1"/>
  <c r="U19" i="78"/>
  <c r="U55" i="78" s="1"/>
  <c r="U91" i="78" s="1"/>
  <c r="U16" i="78"/>
  <c r="U52" i="78" s="1"/>
  <c r="U88" i="78" s="1"/>
  <c r="J28" i="78"/>
  <c r="J64" i="78" s="1"/>
  <c r="J100" i="78" s="1"/>
  <c r="U17" i="78"/>
  <c r="U53" i="78" s="1"/>
  <c r="U89" i="78" s="1"/>
  <c r="B35" i="44" l="1"/>
  <c r="B37" i="44"/>
  <c r="B51" i="44"/>
  <c r="C15" i="44"/>
  <c r="C20" i="44" s="1"/>
  <c r="B49" i="44"/>
  <c r="B33" i="44"/>
  <c r="C37" i="44"/>
  <c r="F21" i="44"/>
  <c r="D34" i="44"/>
  <c r="D36" i="44"/>
  <c r="C39" i="44"/>
  <c r="D39" i="44"/>
  <c r="F26" i="44"/>
  <c r="F23" i="44"/>
  <c r="F20" i="44"/>
  <c r="F24" i="44"/>
  <c r="C24" i="44"/>
  <c r="C27" i="44"/>
  <c r="F53" i="44"/>
  <c r="D55" i="44"/>
  <c r="F38" i="44"/>
  <c r="C38" i="44"/>
  <c r="C19" i="44"/>
  <c r="F27" i="44"/>
  <c r="D54" i="44"/>
  <c r="C40" i="44"/>
  <c r="D47" i="44"/>
  <c r="D52" i="44"/>
  <c r="C33" i="44"/>
  <c r="F22" i="44"/>
  <c r="B23" i="44"/>
  <c r="F51" i="44"/>
  <c r="C26" i="44"/>
  <c r="C22" i="44"/>
  <c r="F55" i="44"/>
  <c r="D37" i="44"/>
  <c r="C35" i="44"/>
  <c r="F35" i="44"/>
  <c r="D38" i="44"/>
  <c r="E24" i="44"/>
  <c r="E29" i="44"/>
  <c r="E21" i="44"/>
  <c r="E20" i="44"/>
  <c r="B20" i="44"/>
  <c r="C51" i="44"/>
  <c r="F37" i="44"/>
  <c r="B26" i="44"/>
  <c r="D49" i="44"/>
  <c r="C36" i="44"/>
  <c r="D35" i="44"/>
  <c r="C53" i="44"/>
  <c r="D50" i="44"/>
  <c r="F25" i="44"/>
  <c r="E57" i="44"/>
  <c r="E43" i="44"/>
  <c r="F29" i="44"/>
  <c r="B27" i="44"/>
  <c r="B29" i="44"/>
  <c r="C48" i="44"/>
  <c r="F34" i="44"/>
  <c r="E22" i="44"/>
  <c r="E26" i="44"/>
  <c r="C54" i="44"/>
  <c r="D40" i="44"/>
  <c r="D15" i="44"/>
  <c r="D22" i="44" s="1"/>
  <c r="C47" i="44"/>
  <c r="E23" i="44"/>
  <c r="F54" i="44"/>
  <c r="F39" i="44"/>
  <c r="F47" i="44"/>
  <c r="C50" i="44"/>
  <c r="F36" i="44"/>
  <c r="B22" i="44"/>
  <c r="C49" i="44"/>
  <c r="B24" i="44"/>
  <c r="C55" i="44"/>
  <c r="D41" i="44"/>
  <c r="F41" i="44"/>
  <c r="E19" i="44"/>
  <c r="C34" i="44"/>
  <c r="C52" i="44"/>
  <c r="B19" i="44"/>
  <c r="C23" i="44"/>
  <c r="B57" i="44"/>
  <c r="C29" i="44"/>
  <c r="B43" i="44"/>
  <c r="F48" i="44"/>
  <c r="D51" i="44"/>
  <c r="C21" i="44"/>
  <c r="E27" i="44"/>
  <c r="B25" i="44"/>
  <c r="D33" i="44"/>
  <c r="J19" i="71"/>
  <c r="J16" i="71"/>
  <c r="J11" i="71"/>
  <c r="J32" i="78"/>
  <c r="J68" i="78" s="1"/>
  <c r="J104" i="78" s="1"/>
  <c r="J24" i="71"/>
  <c r="J28" i="71"/>
  <c r="J22" i="78"/>
  <c r="J58" i="78" s="1"/>
  <c r="J94" i="78" s="1"/>
  <c r="U29" i="78"/>
  <c r="U65" i="78" s="1"/>
  <c r="U101" i="78" s="1"/>
  <c r="U22" i="78"/>
  <c r="U58" i="78" s="1"/>
  <c r="U94" i="78" s="1"/>
  <c r="J9" i="78"/>
  <c r="J45" i="78" s="1"/>
  <c r="J81" i="78" s="1"/>
  <c r="U15" i="78"/>
  <c r="U51" i="78" s="1"/>
  <c r="U87" i="78" s="1"/>
  <c r="J10" i="78"/>
  <c r="J46" i="78" s="1"/>
  <c r="J82" i="78" s="1"/>
  <c r="U25" i="78"/>
  <c r="U61" i="78" s="1"/>
  <c r="U97" i="78" s="1"/>
  <c r="J14" i="78"/>
  <c r="J50" i="78" s="1"/>
  <c r="J86" i="78" s="1"/>
  <c r="U21" i="78"/>
  <c r="U57" i="78" s="1"/>
  <c r="U93" i="78" s="1"/>
  <c r="U13" i="78"/>
  <c r="U49" i="78" s="1"/>
  <c r="U85" i="78" s="1"/>
  <c r="J13" i="78"/>
  <c r="J49" i="78" s="1"/>
  <c r="J85" i="78" s="1"/>
  <c r="J21" i="78"/>
  <c r="J57" i="78" s="1"/>
  <c r="J93" i="78" s="1"/>
  <c r="J25" i="78"/>
  <c r="J61" i="78" s="1"/>
  <c r="J97" i="78" s="1"/>
  <c r="U14" i="78"/>
  <c r="U50" i="78" s="1"/>
  <c r="U86" i="78" s="1"/>
  <c r="U9" i="78"/>
  <c r="U45" i="78" s="1"/>
  <c r="U81" i="78" s="1"/>
  <c r="T34" i="78"/>
  <c r="J29" i="78"/>
  <c r="J65" i="78" s="1"/>
  <c r="J101" i="78" s="1"/>
  <c r="J15" i="78"/>
  <c r="J51" i="78" s="1"/>
  <c r="J87" i="78" s="1"/>
  <c r="U20" i="78"/>
  <c r="U56" i="78" s="1"/>
  <c r="U92" i="78" s="1"/>
  <c r="J20" i="78"/>
  <c r="J56" i="78" s="1"/>
  <c r="J92" i="78" s="1"/>
  <c r="U10" i="78"/>
  <c r="U46" i="78" s="1"/>
  <c r="U82" i="78" s="1"/>
  <c r="C25" i="44" l="1"/>
  <c r="J52" i="71"/>
  <c r="J88" i="71" s="1"/>
  <c r="Q45" i="31"/>
  <c r="J64" i="71"/>
  <c r="J100" i="71" s="1"/>
  <c r="Q57" i="31"/>
  <c r="J60" i="71"/>
  <c r="J96" i="71" s="1"/>
  <c r="Q53" i="31"/>
  <c r="J47" i="71"/>
  <c r="J83" i="71" s="1"/>
  <c r="Q40" i="31"/>
  <c r="J55" i="71"/>
  <c r="J91" i="71" s="1"/>
  <c r="Q48" i="31"/>
  <c r="D27" i="44"/>
  <c r="D26" i="44"/>
  <c r="D19" i="44"/>
  <c r="D43" i="44"/>
  <c r="D23" i="44"/>
  <c r="D21" i="44"/>
  <c r="D25" i="44"/>
  <c r="C57" i="44"/>
  <c r="D29" i="44"/>
  <c r="F43" i="44"/>
  <c r="C43" i="44"/>
  <c r="D24" i="44"/>
  <c r="D57" i="44"/>
  <c r="D20" i="44"/>
  <c r="F57" i="44"/>
  <c r="T70" i="78"/>
  <c r="T106" i="78"/>
  <c r="J32" i="71"/>
  <c r="U34" i="78"/>
  <c r="U70" i="78" s="1"/>
  <c r="U106" i="78" s="1"/>
  <c r="J21" i="71"/>
  <c r="J14" i="71"/>
  <c r="J29" i="71"/>
  <c r="J22" i="71"/>
  <c r="J20" i="71"/>
  <c r="J10" i="71"/>
  <c r="J25" i="71"/>
  <c r="J13" i="71"/>
  <c r="J15" i="71"/>
  <c r="J56" i="71" l="1"/>
  <c r="J92" i="71" s="1"/>
  <c r="Q49" i="31"/>
  <c r="J65" i="71"/>
  <c r="J101" i="71" s="1"/>
  <c r="Q58" i="31"/>
  <c r="J58" i="71"/>
  <c r="J94" i="71" s="1"/>
  <c r="Q51" i="31"/>
  <c r="J57" i="71"/>
  <c r="J93" i="71" s="1"/>
  <c r="Q50" i="31"/>
  <c r="J50" i="71"/>
  <c r="J86" i="71" s="1"/>
  <c r="Q43" i="31"/>
  <c r="J49" i="71"/>
  <c r="J85" i="71" s="1"/>
  <c r="Q42" i="31"/>
  <c r="J68" i="71"/>
  <c r="J104" i="71" s="1"/>
  <c r="Q61" i="31"/>
  <c r="J51" i="71"/>
  <c r="J87" i="71" s="1"/>
  <c r="Q44" i="31"/>
  <c r="J61" i="71"/>
  <c r="J97" i="71" s="1"/>
  <c r="Q54" i="31"/>
  <c r="J46" i="71"/>
  <c r="J82" i="71" s="1"/>
  <c r="Q39" i="31"/>
  <c r="J45" i="71"/>
  <c r="J81" i="71" s="1"/>
  <c r="J34" i="78"/>
  <c r="J70" i="78" s="1"/>
  <c r="J106" i="78" s="1"/>
  <c r="J34" i="71"/>
  <c r="J70" i="71" l="1"/>
  <c r="J106" i="71" s="1"/>
  <c r="Q63" i="31"/>
  <c r="I47" i="16" l="1"/>
  <c r="I50" i="16"/>
  <c r="I52" i="16"/>
  <c r="I49" i="16"/>
  <c r="I54" i="16"/>
  <c r="C85" i="60"/>
  <c r="I85" i="60" s="1"/>
  <c r="O85" i="60" s="1"/>
  <c r="U85" i="60" s="1"/>
  <c r="J8" i="16" l="1"/>
  <c r="I48" i="16"/>
  <c r="I51" i="16"/>
  <c r="J13" i="16"/>
  <c r="J31" i="16" s="1"/>
  <c r="J51" i="16" s="1"/>
  <c r="J10" i="16"/>
  <c r="J28" i="16" s="1"/>
  <c r="J48" i="16" s="1"/>
  <c r="J9" i="16"/>
  <c r="J27" i="16" s="1"/>
  <c r="J47" i="16" s="1"/>
  <c r="J11" i="16"/>
  <c r="J29" i="16" s="1"/>
  <c r="J49" i="16" s="1"/>
  <c r="J14" i="16"/>
  <c r="J32" i="16" s="1"/>
  <c r="J52" i="16" s="1"/>
  <c r="I18" i="16"/>
  <c r="I36" i="16" s="1"/>
  <c r="J12" i="16"/>
  <c r="J30" i="16" s="1"/>
  <c r="J50" i="16" s="1"/>
  <c r="J15" i="16"/>
  <c r="J33" i="16" s="1"/>
  <c r="J53" i="16" s="1"/>
  <c r="C58" i="60"/>
  <c r="I58" i="60" s="1"/>
  <c r="O58" i="60" s="1"/>
  <c r="U58" i="60" s="1"/>
  <c r="I6" i="60"/>
  <c r="O6" i="60" s="1"/>
  <c r="U6" i="60" s="1"/>
  <c r="A1" i="60"/>
  <c r="Y80" i="60"/>
  <c r="T89" i="60"/>
  <c r="H87" i="60"/>
  <c r="T61" i="60"/>
  <c r="N62" i="60"/>
  <c r="H63" i="60"/>
  <c r="T37" i="60"/>
  <c r="T21" i="60"/>
  <c r="N47" i="60"/>
  <c r="N31" i="60"/>
  <c r="N15" i="60"/>
  <c r="H41" i="60"/>
  <c r="H25" i="60"/>
  <c r="H9" i="60"/>
  <c r="B68" i="60"/>
  <c r="B15" i="60"/>
  <c r="B31" i="60"/>
  <c r="B47" i="60"/>
  <c r="N87" i="60"/>
  <c r="T68" i="60"/>
  <c r="N69" i="60"/>
  <c r="H70" i="60"/>
  <c r="T44" i="60"/>
  <c r="T28" i="60"/>
  <c r="T12" i="60"/>
  <c r="N38" i="60"/>
  <c r="N22" i="60"/>
  <c r="H48" i="60"/>
  <c r="H32" i="60"/>
  <c r="H16" i="60"/>
  <c r="B61" i="60"/>
  <c r="B60" i="60"/>
  <c r="B24" i="60"/>
  <c r="B40" i="60"/>
  <c r="N90" i="60"/>
  <c r="T71" i="60"/>
  <c r="N72" i="60"/>
  <c r="H73" i="60"/>
  <c r="T47" i="60"/>
  <c r="T31" i="60"/>
  <c r="T15" i="60"/>
  <c r="N41" i="60"/>
  <c r="N25" i="60"/>
  <c r="N9" i="60"/>
  <c r="H35" i="60"/>
  <c r="H19" i="60"/>
  <c r="B92" i="60"/>
  <c r="B74" i="60"/>
  <c r="B21" i="60"/>
  <c r="B37" i="60"/>
  <c r="T90" i="60"/>
  <c r="H88" i="60"/>
  <c r="T62" i="60"/>
  <c r="N63" i="60"/>
  <c r="H64" i="60"/>
  <c r="T38" i="60"/>
  <c r="T22" i="60"/>
  <c r="N48" i="60"/>
  <c r="N32" i="60"/>
  <c r="N16" i="60"/>
  <c r="H42" i="60"/>
  <c r="H26" i="60"/>
  <c r="H10" i="60"/>
  <c r="B67" i="60"/>
  <c r="B14" i="60"/>
  <c r="B30" i="60"/>
  <c r="B46" i="60"/>
  <c r="T94" i="60"/>
  <c r="H91" i="60"/>
  <c r="T65" i="60"/>
  <c r="N66" i="60"/>
  <c r="H67" i="60"/>
  <c r="T41" i="60"/>
  <c r="T25" i="60"/>
  <c r="T9" i="60"/>
  <c r="N35" i="60"/>
  <c r="N19" i="60"/>
  <c r="H45" i="60"/>
  <c r="H29" i="60"/>
  <c r="H13" i="60"/>
  <c r="B64" i="60"/>
  <c r="B11" i="60"/>
  <c r="B27" i="60"/>
  <c r="B43" i="60"/>
  <c r="N91" i="60"/>
  <c r="T72" i="60"/>
  <c r="N73" i="60"/>
  <c r="H74" i="60"/>
  <c r="T48" i="60"/>
  <c r="T32" i="60"/>
  <c r="T16" i="60"/>
  <c r="N42" i="60"/>
  <c r="N26" i="60"/>
  <c r="N10" i="60"/>
  <c r="H36" i="60"/>
  <c r="H20" i="60"/>
  <c r="B91" i="60"/>
  <c r="B73" i="60"/>
  <c r="B20" i="60"/>
  <c r="B36" i="60"/>
  <c r="T87" i="60"/>
  <c r="T75" i="60"/>
  <c r="N77" i="60"/>
  <c r="N60" i="60"/>
  <c r="H61" i="60"/>
  <c r="T35" i="60"/>
  <c r="T19" i="60"/>
  <c r="N45" i="60"/>
  <c r="N29" i="60"/>
  <c r="N13" i="60"/>
  <c r="H39" i="60"/>
  <c r="H23" i="60"/>
  <c r="B88" i="60"/>
  <c r="B70" i="60"/>
  <c r="B17" i="60"/>
  <c r="B33" i="60"/>
  <c r="B50" i="60"/>
  <c r="H92" i="60"/>
  <c r="T66" i="60"/>
  <c r="N67" i="60"/>
  <c r="H68" i="60"/>
  <c r="T42" i="60"/>
  <c r="T26" i="60"/>
  <c r="T10" i="60"/>
  <c r="N36" i="60"/>
  <c r="N20" i="60"/>
  <c r="H46" i="60"/>
  <c r="H30" i="60"/>
  <c r="H14" i="60"/>
  <c r="B63" i="60"/>
  <c r="B26" i="60"/>
  <c r="A80" i="60"/>
  <c r="Y53" i="60"/>
  <c r="A53" i="60"/>
  <c r="Y1" i="60"/>
  <c r="N88" i="60"/>
  <c r="T69" i="60"/>
  <c r="N70" i="60"/>
  <c r="H71" i="60"/>
  <c r="T45" i="60"/>
  <c r="T29" i="60"/>
  <c r="T13" i="60"/>
  <c r="N39" i="60"/>
  <c r="N23" i="60"/>
  <c r="H50" i="60"/>
  <c r="H33" i="60"/>
  <c r="H17" i="60"/>
  <c r="B87" i="60"/>
  <c r="B77" i="60"/>
  <c r="B23" i="60"/>
  <c r="B39" i="60"/>
  <c r="T88" i="60"/>
  <c r="T77" i="60"/>
  <c r="T60" i="60"/>
  <c r="N61" i="60"/>
  <c r="H62" i="60"/>
  <c r="T36" i="60"/>
  <c r="T20" i="60"/>
  <c r="N46" i="60"/>
  <c r="N30" i="60"/>
  <c r="N14" i="60"/>
  <c r="H40" i="60"/>
  <c r="H24" i="60"/>
  <c r="H8" i="60"/>
  <c r="B69" i="60"/>
  <c r="B16" i="60"/>
  <c r="B32" i="60"/>
  <c r="T91" i="60"/>
  <c r="H89" i="60"/>
  <c r="T63" i="60"/>
  <c r="N64" i="60"/>
  <c r="H65" i="60"/>
  <c r="T39" i="60"/>
  <c r="T23" i="60"/>
  <c r="N50" i="60"/>
  <c r="N33" i="60"/>
  <c r="N17" i="60"/>
  <c r="H43" i="60"/>
  <c r="H27" i="60"/>
  <c r="H11" i="60"/>
  <c r="B66" i="60"/>
  <c r="B13" i="60"/>
  <c r="B29" i="60"/>
  <c r="B45" i="60"/>
  <c r="N89" i="60"/>
  <c r="T70" i="60"/>
  <c r="N71" i="60"/>
  <c r="H72" i="60"/>
  <c r="T46" i="60"/>
  <c r="T30" i="60"/>
  <c r="T14" i="60"/>
  <c r="N40" i="60"/>
  <c r="N24" i="60"/>
  <c r="N8" i="60"/>
  <c r="H34" i="60"/>
  <c r="H18" i="60"/>
  <c r="B94" i="60"/>
  <c r="B75" i="60"/>
  <c r="B22" i="60"/>
  <c r="B38" i="60"/>
  <c r="B44" i="60"/>
  <c r="N92" i="60"/>
  <c r="T73" i="60"/>
  <c r="N74" i="60"/>
  <c r="H75" i="60"/>
  <c r="T50" i="60"/>
  <c r="T33" i="60"/>
  <c r="T17" i="60"/>
  <c r="N43" i="60"/>
  <c r="N27" i="60"/>
  <c r="N11" i="60"/>
  <c r="H37" i="60"/>
  <c r="H21" i="60"/>
  <c r="B90" i="60"/>
  <c r="B72" i="60"/>
  <c r="B19" i="60"/>
  <c r="B35" i="60"/>
  <c r="T92" i="60"/>
  <c r="H90" i="60"/>
  <c r="T64" i="60"/>
  <c r="N65" i="60"/>
  <c r="H66" i="60"/>
  <c r="T40" i="60"/>
  <c r="T24" i="60"/>
  <c r="T8" i="60"/>
  <c r="N34" i="60"/>
  <c r="N18" i="60"/>
  <c r="H44" i="60"/>
  <c r="H28" i="60"/>
  <c r="H12" i="60"/>
  <c r="B65" i="60"/>
  <c r="B12" i="60"/>
  <c r="B28" i="60"/>
  <c r="B48" i="60"/>
  <c r="H94" i="60"/>
  <c r="T67" i="60"/>
  <c r="N68" i="60"/>
  <c r="H69" i="60"/>
  <c r="T43" i="60"/>
  <c r="T27" i="60"/>
  <c r="T11" i="60"/>
  <c r="N37" i="60"/>
  <c r="N21" i="60"/>
  <c r="H47" i="60"/>
  <c r="H31" i="60"/>
  <c r="H15" i="60"/>
  <c r="B62" i="60"/>
  <c r="B9" i="60"/>
  <c r="B25" i="60"/>
  <c r="B41" i="60"/>
  <c r="N94" i="60"/>
  <c r="T74" i="60"/>
  <c r="N75" i="60"/>
  <c r="H77" i="60"/>
  <c r="H60" i="60"/>
  <c r="T34" i="60"/>
  <c r="T18" i="60"/>
  <c r="N44" i="60"/>
  <c r="N28" i="60"/>
  <c r="N12" i="60"/>
  <c r="H38" i="60"/>
  <c r="H22" i="60"/>
  <c r="B89" i="60"/>
  <c r="B71" i="60"/>
  <c r="B18" i="60"/>
  <c r="B34" i="60"/>
  <c r="B10" i="60"/>
  <c r="B42" i="60"/>
  <c r="B8" i="60"/>
  <c r="J26" i="16" l="1"/>
  <c r="J46" i="16" s="1"/>
  <c r="I56" i="16"/>
  <c r="J18" i="16"/>
  <c r="J36" i="16" s="1"/>
  <c r="J56" i="16" s="1"/>
  <c r="Q15" i="31"/>
  <c r="Q11" i="31"/>
  <c r="Q13" i="31"/>
  <c r="Q9" i="31"/>
  <c r="Q14" i="31"/>
  <c r="Q8" i="31"/>
  <c r="Q10" i="31"/>
  <c r="Q12" i="31"/>
  <c r="B61" i="12" l="1"/>
  <c r="B89" i="12"/>
  <c r="A31" i="11"/>
  <c r="B19" i="11"/>
  <c r="M230" i="21" s="1"/>
  <c r="B31" i="12"/>
  <c r="M4" i="11"/>
  <c r="B44" i="11"/>
  <c r="B5" i="15"/>
  <c r="A59" i="12"/>
  <c r="B87" i="15" l="1"/>
  <c r="M6" i="19" s="1"/>
  <c r="B119" i="15"/>
  <c r="M10" i="19" s="1"/>
  <c r="B93" i="15"/>
  <c r="M36" i="19" s="1"/>
  <c r="B114" i="15"/>
  <c r="M15" i="19" s="1"/>
  <c r="B110" i="15"/>
  <c r="M19" i="19" s="1"/>
  <c r="B105" i="15"/>
  <c r="M24" i="19" s="1"/>
  <c r="B112" i="15"/>
  <c r="M17" i="19" s="1"/>
  <c r="B108" i="15"/>
  <c r="M21" i="19" s="1"/>
  <c r="B103" i="15"/>
  <c r="M26" i="19" s="1"/>
  <c r="B113" i="15"/>
  <c r="M16" i="19" s="1"/>
  <c r="B118" i="15"/>
  <c r="M11" i="19" s="1"/>
  <c r="B109" i="15"/>
  <c r="M20" i="19" s="1"/>
  <c r="B120" i="15"/>
  <c r="M9" i="19" s="1"/>
  <c r="B104" i="15"/>
  <c r="M25" i="19" s="1"/>
  <c r="B115" i="15"/>
  <c r="M14" i="19" s="1"/>
  <c r="B111" i="15"/>
  <c r="M18" i="19" s="1"/>
  <c r="B65" i="15"/>
  <c r="A1" i="15"/>
  <c r="A44" i="15" s="1"/>
  <c r="A227" i="21"/>
  <c r="A257" i="21"/>
  <c r="B81" i="15"/>
  <c r="B71" i="15"/>
  <c r="B76" i="15"/>
  <c r="B74" i="15"/>
  <c r="B75" i="15"/>
  <c r="B72" i="15"/>
  <c r="B73" i="15"/>
  <c r="B54" i="15"/>
  <c r="H5" i="15"/>
  <c r="B48" i="15" s="1"/>
  <c r="A1" i="19" s="1"/>
  <c r="H48" i="15"/>
  <c r="B93" i="12" l="1"/>
  <c r="B66" i="12"/>
  <c r="B15" i="15"/>
  <c r="B97" i="15" s="1"/>
  <c r="M32" i="19" s="1"/>
  <c r="B47" i="11"/>
  <c r="M7" i="11"/>
  <c r="B18" i="15"/>
  <c r="B100" i="15" s="1"/>
  <c r="M29" i="19" s="1"/>
  <c r="B67" i="12"/>
  <c r="B16" i="15"/>
  <c r="B98" i="15" s="1"/>
  <c r="M31" i="19" s="1"/>
  <c r="B94" i="12"/>
  <c r="B50" i="11"/>
  <c r="B35" i="15"/>
  <c r="B117" i="15" s="1"/>
  <c r="M12" i="19" s="1"/>
  <c r="M10" i="11"/>
  <c r="B13" i="15"/>
  <c r="B95" i="15" s="1"/>
  <c r="M34" i="19" s="1"/>
  <c r="B46" i="11"/>
  <c r="M6" i="11"/>
  <c r="B77" i="12"/>
  <c r="B104" i="12"/>
  <c r="B100" i="12"/>
  <c r="B73" i="12"/>
  <c r="B97" i="12"/>
  <c r="B70" i="12"/>
  <c r="B95" i="12"/>
  <c r="B68" i="12"/>
  <c r="B10" i="15"/>
  <c r="B92" i="15" s="1"/>
  <c r="M37" i="19" s="1"/>
  <c r="B101" i="12"/>
  <c r="B74" i="12"/>
  <c r="B90" i="12"/>
  <c r="B8" i="15"/>
  <c r="B90" i="15" s="1"/>
  <c r="M39" i="19" s="1"/>
  <c r="B9" i="15"/>
  <c r="B91" i="15" s="1"/>
  <c r="M38" i="19" s="1"/>
  <c r="B91" i="12"/>
  <c r="B64" i="12"/>
  <c r="B20" i="15"/>
  <c r="B102" i="15" s="1"/>
  <c r="M27" i="19" s="1"/>
  <c r="M8" i="11"/>
  <c r="B48" i="11"/>
  <c r="B78" i="12"/>
  <c r="B105" i="12"/>
  <c r="M5" i="11"/>
  <c r="B45" i="11"/>
  <c r="B14" i="11"/>
  <c r="N268" i="21" s="1"/>
  <c r="B7" i="15"/>
  <c r="B99" i="12"/>
  <c r="B72" i="12"/>
  <c r="B49" i="11"/>
  <c r="B25" i="15"/>
  <c r="B107" i="15" s="1"/>
  <c r="M22" i="19" s="1"/>
  <c r="M9" i="11"/>
  <c r="B76" i="12"/>
  <c r="B103" i="12"/>
  <c r="B96" i="12"/>
  <c r="B69" i="12"/>
  <c r="B98" i="12"/>
  <c r="B71" i="12"/>
  <c r="B102" i="12"/>
  <c r="B75" i="12"/>
  <c r="B65" i="12"/>
  <c r="B92" i="12"/>
  <c r="B14" i="15"/>
  <c r="B96" i="15" s="1"/>
  <c r="M33" i="19" s="1"/>
  <c r="H54" i="15" l="1"/>
  <c r="B89" i="15"/>
  <c r="M40" i="19" s="1"/>
  <c r="H72" i="15"/>
  <c r="H73" i="15"/>
  <c r="H76" i="15"/>
  <c r="H74" i="15"/>
  <c r="H75" i="15"/>
  <c r="B40" i="15"/>
  <c r="B41" i="11"/>
  <c r="R12" i="11"/>
  <c r="B52" i="11"/>
  <c r="B22" i="11"/>
  <c r="M234" i="21" s="1"/>
  <c r="B20" i="11"/>
  <c r="M236" i="21" s="1"/>
  <c r="B24" i="11"/>
  <c r="M232" i="21" s="1"/>
  <c r="H79" i="15"/>
  <c r="B79" i="15"/>
  <c r="H36" i="15"/>
  <c r="H14" i="15"/>
  <c r="B57" i="15"/>
  <c r="H57" i="15"/>
  <c r="B21" i="11"/>
  <c r="M235" i="21" s="1"/>
  <c r="B78" i="15"/>
  <c r="H35" i="15"/>
  <c r="H28" i="15"/>
  <c r="H71" i="15"/>
  <c r="B52" i="15"/>
  <c r="H52" i="15"/>
  <c r="H9" i="15"/>
  <c r="B63" i="15"/>
  <c r="H20" i="15"/>
  <c r="H66" i="15"/>
  <c r="H23" i="15"/>
  <c r="B66" i="15"/>
  <c r="B23" i="11"/>
  <c r="M233" i="21" s="1"/>
  <c r="B70" i="15"/>
  <c r="H27" i="15"/>
  <c r="H70" i="15"/>
  <c r="B64" i="15"/>
  <c r="H64" i="15"/>
  <c r="H21" i="15"/>
  <c r="B25" i="11"/>
  <c r="M231" i="21" s="1"/>
  <c r="H58" i="15"/>
  <c r="H15" i="15"/>
  <c r="B58" i="15"/>
  <c r="H51" i="15"/>
  <c r="B51" i="15"/>
  <c r="H8" i="15"/>
  <c r="B27" i="11"/>
  <c r="M12" i="11"/>
  <c r="H25" i="15"/>
  <c r="B68" i="15"/>
  <c r="H69" i="15"/>
  <c r="H26" i="15"/>
  <c r="B69" i="15"/>
  <c r="H13" i="15"/>
  <c r="B56" i="15"/>
  <c r="H80" i="15"/>
  <c r="H37" i="15"/>
  <c r="B80" i="15"/>
  <c r="B61" i="15"/>
  <c r="H18" i="15"/>
  <c r="H22" i="15"/>
  <c r="H65" i="15"/>
  <c r="H38" i="15"/>
  <c r="H81" i="15"/>
  <c r="B50" i="15"/>
  <c r="H7" i="15"/>
  <c r="B55" i="12"/>
  <c r="B53" i="15"/>
  <c r="H10" i="15"/>
  <c r="H53" i="15"/>
  <c r="B59" i="15"/>
  <c r="H16" i="15"/>
  <c r="H59" i="15"/>
  <c r="H78" i="15" l="1"/>
  <c r="B122" i="15"/>
  <c r="M7" i="19" s="1"/>
  <c r="H56" i="15"/>
  <c r="H61" i="15"/>
  <c r="H50" i="15"/>
  <c r="H68" i="15"/>
  <c r="H63" i="15"/>
  <c r="H40" i="15"/>
  <c r="B83" i="15"/>
  <c r="H83" i="15"/>
  <c r="H97" i="18"/>
  <c r="H79" i="18"/>
  <c r="H85" i="18"/>
  <c r="H93" i="18"/>
  <c r="H50" i="18"/>
  <c r="H62" i="18"/>
  <c r="H75" i="18"/>
  <c r="H58" i="18"/>
  <c r="B101" i="18"/>
  <c r="H89" i="18"/>
  <c r="H101" i="18"/>
  <c r="H68" i="18"/>
</calcChain>
</file>

<file path=xl/sharedStrings.xml><?xml version="1.0" encoding="utf-8"?>
<sst xmlns="http://schemas.openxmlformats.org/spreadsheetml/2006/main" count="3172" uniqueCount="530">
  <si>
    <t>All industries</t>
  </si>
  <si>
    <t>Pharmaceuticals</t>
  </si>
  <si>
    <t>Construction</t>
  </si>
  <si>
    <t>Education</t>
  </si>
  <si>
    <t>6-Industry</t>
  </si>
  <si>
    <t>Engineering</t>
  </si>
  <si>
    <t>Rest of manufacturing</t>
  </si>
  <si>
    <t>Health and social work</t>
  </si>
  <si>
    <t>Manufacturing</t>
  </si>
  <si>
    <t>Elementary occupations</t>
  </si>
  <si>
    <t>All occupations</t>
  </si>
  <si>
    <t xml:space="preserve"> </t>
  </si>
  <si>
    <t>Set new years here:-</t>
  </si>
  <si>
    <t>Levels (000s)</t>
  </si>
  <si>
    <t>Growth (% per annum)</t>
  </si>
  <si>
    <t>Change (000s)</t>
  </si>
  <si>
    <t>Existing years</t>
  </si>
  <si>
    <t>Levels</t>
  </si>
  <si>
    <t>Change</t>
  </si>
  <si>
    <t>Absolute levels and changes (000s)</t>
  </si>
  <si>
    <t>Annual growth and industry shares (percent)</t>
  </si>
  <si>
    <t>Annual growth and occupation shares (percent)</t>
  </si>
  <si>
    <t>1st</t>
  </si>
  <si>
    <t>2nd</t>
  </si>
  <si>
    <t>3rd</t>
  </si>
  <si>
    <t>4th</t>
  </si>
  <si>
    <t>5th</t>
  </si>
  <si>
    <t>to</t>
  </si>
  <si>
    <t>Years shown from</t>
  </si>
  <si>
    <t>Net</t>
  </si>
  <si>
    <t>Replacement</t>
  </si>
  <si>
    <t>Demand</t>
  </si>
  <si>
    <t>Total</t>
  </si>
  <si>
    <t>Requirement</t>
  </si>
  <si>
    <t>per cent</t>
  </si>
  <si>
    <t>thousands</t>
  </si>
  <si>
    <t>% per annum</t>
  </si>
  <si>
    <t>All qualifications</t>
  </si>
  <si>
    <t>Qualification</t>
  </si>
  <si>
    <t>Total Requirement</t>
  </si>
  <si>
    <t>Net Change</t>
  </si>
  <si>
    <t>Growth % per annum</t>
  </si>
  <si>
    <t>RD p.a%</t>
  </si>
  <si>
    <t>Replace-ment Demand</t>
  </si>
  <si>
    <t>Total Require-ment</t>
  </si>
  <si>
    <t>Years used in the formula for RD p.a%</t>
  </si>
  <si>
    <t>Pre-primary education</t>
  </si>
  <si>
    <t>Primary education (1st stage basic)</t>
  </si>
  <si>
    <t>Lower secondary education (2nd stage basic)</t>
  </si>
  <si>
    <t>Upper secondary education</t>
  </si>
  <si>
    <t>Post-secondary non-tertiary education</t>
  </si>
  <si>
    <t>First stage of tertiary education</t>
  </si>
  <si>
    <t>Second stage of tertiary education</t>
  </si>
  <si>
    <t>Components of change</t>
  </si>
  <si>
    <t>Base year</t>
  </si>
  <si>
    <t>Target year</t>
  </si>
  <si>
    <t>Scale effect</t>
  </si>
  <si>
    <t>Occupation effect</t>
  </si>
  <si>
    <t>Industry mix effect</t>
  </si>
  <si>
    <t>SOC2010 Sub-Major Groups</t>
  </si>
  <si>
    <t>000s</t>
  </si>
  <si>
    <t>% share</t>
  </si>
  <si>
    <t xml:space="preserve">%   </t>
  </si>
  <si>
    <t>Engineering [26-28]</t>
  </si>
  <si>
    <t>Pharmaceuticals [21]</t>
  </si>
  <si>
    <t>Construction [41-43]</t>
  </si>
  <si>
    <t>Education [85]</t>
  </si>
  <si>
    <t>Health and social work [86-88]</t>
  </si>
  <si>
    <t>Industry Mix Effect ("shift")</t>
  </si>
  <si>
    <t>Occupation effect                   ("share")</t>
  </si>
  <si>
    <t>occ share</t>
  </si>
  <si>
    <t>Target Year</t>
  </si>
  <si>
    <t>All Occupations (Base Year)</t>
  </si>
  <si>
    <t>Notes.    Benchmark projections generated by E3ME and WLME.</t>
  </si>
  <si>
    <r>
      <t>The “</t>
    </r>
    <r>
      <rPr>
        <b/>
        <i/>
        <sz val="9"/>
        <rFont val="Arial"/>
        <family val="2"/>
      </rPr>
      <t>Scale effect</t>
    </r>
    <r>
      <rPr>
        <sz val="9"/>
        <rFont val="Arial"/>
        <family val="2"/>
      </rPr>
      <t>”  shows the changes that would have occurred if employment in each occupation and industry grew at the same rate as for total employment.</t>
    </r>
  </si>
  <si>
    <r>
      <t xml:space="preserve">The </t>
    </r>
    <r>
      <rPr>
        <b/>
        <i/>
        <sz val="9"/>
        <rFont val="Arial"/>
        <family val="2"/>
      </rPr>
      <t>industry mix</t>
    </r>
    <r>
      <rPr>
        <sz val="9"/>
        <rFont val="Arial"/>
        <family val="2"/>
      </rPr>
      <t xml:space="preserve"> or “</t>
    </r>
    <r>
      <rPr>
        <b/>
        <i/>
        <sz val="9"/>
        <rFont val="Arial"/>
        <family val="2"/>
      </rPr>
      <t>shift</t>
    </r>
    <r>
      <rPr>
        <sz val="9"/>
        <rFont val="Arial"/>
        <family val="2"/>
      </rPr>
      <t xml:space="preserve">” effect  shows the contributions that would have been made if the occupational mix in each industry had remained constant (the industry mix or “shift” effect). </t>
    </r>
  </si>
  <si>
    <t xml:space="preserve">This has been calculated using ratios of change for total employment  in the industry,  divided by the ratio of change for all industries (to net out the scale effect). </t>
  </si>
  <si>
    <r>
      <t xml:space="preserve">It therefore differs from the “shift” effect reported in Meagher </t>
    </r>
    <r>
      <rPr>
        <i/>
        <sz val="9"/>
        <rFont val="Arial"/>
        <family val="2"/>
      </rPr>
      <t>et al.</t>
    </r>
    <r>
      <rPr>
        <sz val="9"/>
        <rFont val="Arial"/>
        <family val="2"/>
      </rPr>
      <t xml:space="preserve"> (2013) which also incorporates the scale effect.</t>
    </r>
  </si>
  <si>
    <r>
      <t xml:space="preserve">The contributions due to changes in </t>
    </r>
    <r>
      <rPr>
        <b/>
        <i/>
        <sz val="9"/>
        <rFont val="Arial"/>
        <family val="2"/>
      </rPr>
      <t>occupational mix</t>
    </r>
    <r>
      <rPr>
        <sz val="9"/>
        <rFont val="Arial"/>
        <family val="2"/>
      </rPr>
      <t xml:space="preserve"> (the “</t>
    </r>
    <r>
      <rPr>
        <b/>
        <i/>
        <sz val="9"/>
        <rFont val="Arial"/>
        <family val="2"/>
      </rPr>
      <t>share</t>
    </r>
    <r>
      <rPr>
        <sz val="9"/>
        <rFont val="Arial"/>
        <family val="2"/>
      </rPr>
      <t>”  effect) are calculated as the residual of the total change net of the scale effect and the industry mix (or “shift”) effect.</t>
    </r>
  </si>
  <si>
    <r>
      <t xml:space="preserve">Column 2 in the shift-share tables reported in Meagher </t>
    </r>
    <r>
      <rPr>
        <i/>
        <sz val="9"/>
        <rFont val="Arial"/>
        <family val="2"/>
      </rPr>
      <t>et al</t>
    </r>
    <r>
      <rPr>
        <sz val="9"/>
        <rFont val="Arial"/>
        <family val="2"/>
      </rPr>
      <t>. (2013)  (the “shift” effect) can be formed by adding the scale and industry effects  in % terms, as shown here.</t>
    </r>
  </si>
  <si>
    <t>Agriculture, etc</t>
  </si>
  <si>
    <t>Mining and quarrying</t>
  </si>
  <si>
    <t>Electrical equipment</t>
  </si>
  <si>
    <t>Wholesale and retail trade</t>
  </si>
  <si>
    <t>Media</t>
  </si>
  <si>
    <t>Telecommunications</t>
  </si>
  <si>
    <t>Health</t>
  </si>
  <si>
    <t>Arts and entertainment</t>
  </si>
  <si>
    <t>Mining and quarrying [05-09]</t>
  </si>
  <si>
    <t>Electrical equipment [27]</t>
  </si>
  <si>
    <t>Rest of manufacturing [13-25,29-33]</t>
  </si>
  <si>
    <t>Wholesale and retail trade [45-47]</t>
  </si>
  <si>
    <t>Telecommunications [61]</t>
  </si>
  <si>
    <t>Arts and entertainment [90-93]</t>
  </si>
  <si>
    <t>Media [58-60]</t>
  </si>
  <si>
    <t>Manufacturing [10-33]</t>
  </si>
  <si>
    <t>Current Input File:</t>
  </si>
  <si>
    <t>Manager</t>
  </si>
  <si>
    <t>Males</t>
  </si>
  <si>
    <t>Females</t>
  </si>
  <si>
    <t>Males and females</t>
  </si>
  <si>
    <t>Population</t>
  </si>
  <si>
    <t>Labour Force</t>
  </si>
  <si>
    <t>65+</t>
  </si>
  <si>
    <t>(in age bands)</t>
  </si>
  <si>
    <t>Where does the data come from for this? (LPB)</t>
  </si>
  <si>
    <t>Note: For Belgium there is no European LFS data for some of the ISCED Qualifications.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</si>
  <si>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</si>
  <si>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</si>
  <si>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</si>
  <si>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</si>
  <si>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</si>
  <si>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</si>
  <si>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</si>
  <si>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</si>
  <si>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</si>
  <si>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</si>
  <si>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15+</t>
  </si>
  <si>
    <t>All Low qualifications</t>
  </si>
  <si>
    <t>All Medium qualifications</t>
  </si>
  <si>
    <t>All High qualifications</t>
  </si>
  <si>
    <t>Date run</t>
  </si>
  <si>
    <t>Basic metals [24]</t>
  </si>
  <si>
    <t>Metal products [25]</t>
  </si>
  <si>
    <t>Publishing activities [58]</t>
  </si>
  <si>
    <t>Financial services [64]</t>
  </si>
  <si>
    <t>Employment activities [78]</t>
  </si>
  <si>
    <t>Membership organisations [94]</t>
  </si>
  <si>
    <t>Other manufacturing</t>
  </si>
  <si>
    <t>Sewerage</t>
  </si>
  <si>
    <t>Civil engineering</t>
  </si>
  <si>
    <t>Water transport</t>
  </si>
  <si>
    <t>Air transport</t>
  </si>
  <si>
    <t>Accommodation</t>
  </si>
  <si>
    <t>Publishing activities</t>
  </si>
  <si>
    <t>Scientific research and development</t>
  </si>
  <si>
    <t>Employment activities</t>
  </si>
  <si>
    <t>Choose Database File</t>
  </si>
  <si>
    <t>Replacement Demand rate</t>
  </si>
  <si>
    <t>Replacement Demand level</t>
  </si>
  <si>
    <t>Database</t>
  </si>
  <si>
    <t>Database current</t>
  </si>
  <si>
    <t>To return to this sheet from any page, just click the home icon</t>
  </si>
  <si>
    <t>Sheet name</t>
  </si>
  <si>
    <t>Contents</t>
  </si>
  <si>
    <t>WARNING</t>
  </si>
  <si>
    <t>BUSINESS REGISTER AND EMPLOYMENT SURVEY</t>
  </si>
  <si>
    <t>THESE DATA HAVE BEEN COLLECTED</t>
  </si>
  <si>
    <t>UNDER THE TERMS OF THE Statistics of Trade Act 1947</t>
  </si>
  <si>
    <t>THE ESTIMATES ARE BASED ON DATA ONS HAVE PLACED IN THE PUBLIC DOMAIN</t>
  </si>
  <si>
    <t>REPORTING</t>
  </si>
  <si>
    <t>The projections presented in this Workbook are calculated from a number of different data sources, using</t>
  </si>
  <si>
    <t>a variety of econometric and statistical techniques. As a result, precise margins of error cannot be assigned</t>
  </si>
  <si>
    <r>
      <t xml:space="preserve">to the estimates. For further details, see the </t>
    </r>
    <r>
      <rPr>
        <i/>
        <sz val="12"/>
        <color theme="1"/>
        <rFont val="Arial"/>
        <family val="2"/>
      </rPr>
      <t xml:space="preserve">Working Futures </t>
    </r>
    <r>
      <rPr>
        <sz val="12"/>
        <color theme="1"/>
        <rFont val="Arial"/>
        <family val="2"/>
      </rPr>
      <t>Technical Report.</t>
    </r>
  </si>
  <si>
    <t>For unpublished analyses, a more lenient criterion can be used. However, the uncertainties associated with</t>
  </si>
  <si>
    <t>However, there is inevitably some degree of judgement required on the part of the researcher.</t>
  </si>
  <si>
    <t>For cases in between 1,000 and 10,000 individuals, it is difficult to prescribe general rules, and an element of</t>
  </si>
  <si>
    <t>publishable then the equivalent figures in the workbooks should not be published. Where the focus is on</t>
  </si>
  <si>
    <t>self-employment or upon occupations, a more stringent cut-off should be applied.</t>
  </si>
  <si>
    <t>Thus, in summary, IER advise:</t>
  </si>
  <si>
    <t>PUBLISHED DATA: Ideally, a minimum of 10,000 individuals per cell</t>
  </si>
  <si>
    <t>UNPUBLISHED DATA: A minimum of 1,000 individuals per cell</t>
  </si>
  <si>
    <t>Aggregation of 75 detailed industries to 22 Industry groups</t>
  </si>
  <si>
    <t>Agriculture [01-03]</t>
  </si>
  <si>
    <t>Agriculture, etc [01-03]</t>
  </si>
  <si>
    <t>Coal, oil &amp; gas; Mining &amp; related [05-09]</t>
  </si>
  <si>
    <t>Food drink and tobacco [10-12]</t>
  </si>
  <si>
    <t>Food products [10]</t>
  </si>
  <si>
    <t>Beverages &amp; tobacco [11-12]</t>
  </si>
  <si>
    <t>Computers, etc [26]</t>
  </si>
  <si>
    <t>Machinery, etc [28]</t>
  </si>
  <si>
    <t>Textiles [13]</t>
  </si>
  <si>
    <t>Wearing apparel; Leather, etc [14,15]</t>
  </si>
  <si>
    <t>Wood, etc [16]</t>
  </si>
  <si>
    <t>Paper, etc [17]</t>
  </si>
  <si>
    <t>Printing &amp; recording [18]</t>
  </si>
  <si>
    <t>Coke &amp; refining; Chemicals,etc [19,20]</t>
  </si>
  <si>
    <t>Rubber &amp; plastic [22]</t>
  </si>
  <si>
    <t>Other non-metallic [23]</t>
  </si>
  <si>
    <t>Motor vehicles, etc [29]</t>
  </si>
  <si>
    <t>Other trans. equipment [30]</t>
  </si>
  <si>
    <t>Furniture [31]</t>
  </si>
  <si>
    <t>Other manufacturing [32]</t>
  </si>
  <si>
    <t>Repair &amp; installation [33]</t>
  </si>
  <si>
    <t>Electricity and gas [35]</t>
  </si>
  <si>
    <t>Electricity, gas, etc [35]</t>
  </si>
  <si>
    <t>Water and sewerage [36-39]</t>
  </si>
  <si>
    <t>Water [36]</t>
  </si>
  <si>
    <t>Sewerage [37]</t>
  </si>
  <si>
    <t>Waste management [38-39]</t>
  </si>
  <si>
    <t>Construction [41]</t>
  </si>
  <si>
    <t>Civil engineering [42]</t>
  </si>
  <si>
    <t>Specialised construction [43]</t>
  </si>
  <si>
    <t>Sale of motor vehicles [45]</t>
  </si>
  <si>
    <t>Wholesale trade [46]</t>
  </si>
  <si>
    <t>Retail trade [47]</t>
  </si>
  <si>
    <t>Transport and storage [49-53]</t>
  </si>
  <si>
    <t>Land transport, etc [49]</t>
  </si>
  <si>
    <t>Water transport [50]</t>
  </si>
  <si>
    <t>Air transport [51]</t>
  </si>
  <si>
    <t>Warehousing, etc [52]</t>
  </si>
  <si>
    <t>Postal, etc [53]</t>
  </si>
  <si>
    <t>Accommodation and food [55-56]</t>
  </si>
  <si>
    <t>Accommodation [55]</t>
  </si>
  <si>
    <t>Food &amp; beverage services [56]</t>
  </si>
  <si>
    <t>Film &amp;  music [59]</t>
  </si>
  <si>
    <t>Broadcasting [60]</t>
  </si>
  <si>
    <t>Information technology [61-63]</t>
  </si>
  <si>
    <t>Computer programming, etc [62]</t>
  </si>
  <si>
    <t>Information services [63]</t>
  </si>
  <si>
    <t>Finance and insurance [64-66]</t>
  </si>
  <si>
    <t>Insurance &amp; pensions [65]</t>
  </si>
  <si>
    <t>Auxiliary  services [66]</t>
  </si>
  <si>
    <t>Real estate [68]</t>
  </si>
  <si>
    <t>Professional services [69-75]</t>
  </si>
  <si>
    <t>Legal &amp; accounting [69]</t>
  </si>
  <si>
    <t>Head offices, etc [70]</t>
  </si>
  <si>
    <t>Architectural &amp; related [71]</t>
  </si>
  <si>
    <t>Scientific research [72]</t>
  </si>
  <si>
    <t>Advertising, etc [73]</t>
  </si>
  <si>
    <t>Other professional [74]</t>
  </si>
  <si>
    <t>Veterinary [75]</t>
  </si>
  <si>
    <t>Support services [77-82]</t>
  </si>
  <si>
    <t>Rental &amp; leasing [77]</t>
  </si>
  <si>
    <t>Travel, etc [79]</t>
  </si>
  <si>
    <t>Security, etc [80]</t>
  </si>
  <si>
    <t>Services to buildings [81]</t>
  </si>
  <si>
    <t>Office admin. [82]</t>
  </si>
  <si>
    <t>Public admin. and defence [84]</t>
  </si>
  <si>
    <t>Public admin. &amp; defence [84]</t>
  </si>
  <si>
    <t>Health [86]</t>
  </si>
  <si>
    <t>Residential care [87]</t>
  </si>
  <si>
    <t>Social work [88]</t>
  </si>
  <si>
    <t>Arts &amp; entertainment [90]</t>
  </si>
  <si>
    <t>Libraries, etc [91]</t>
  </si>
  <si>
    <t>Gambling [92]</t>
  </si>
  <si>
    <t>Sport &amp; recreation [93]</t>
  </si>
  <si>
    <t>Other services [94-99]</t>
  </si>
  <si>
    <t>Repair of  goods [95]</t>
  </si>
  <si>
    <t>Other personal service [96-99]</t>
  </si>
  <si>
    <t>Aggregation of 75 detailed industries to 6 Broad industrial sectors</t>
  </si>
  <si>
    <t>Primary sector and utilities [01-09,35-39]</t>
  </si>
  <si>
    <t>Trade, accomod. and transport [45-56]</t>
  </si>
  <si>
    <t>Business and other services [58-82,90-99]</t>
  </si>
  <si>
    <t>Non-market services [84-88]</t>
  </si>
  <si>
    <t>Primary sector and utilities</t>
  </si>
  <si>
    <t>Trade, accomod. and transport</t>
  </si>
  <si>
    <t>Business and other services</t>
  </si>
  <si>
    <t>75-Industry</t>
  </si>
  <si>
    <t>Coal, oil &amp; gas; Mining &amp; related</t>
  </si>
  <si>
    <t>Food products</t>
  </si>
  <si>
    <t>Beverages and tobacco</t>
  </si>
  <si>
    <t>Textiles</t>
  </si>
  <si>
    <t>Wearing apparel; Leather, etc</t>
  </si>
  <si>
    <t xml:space="preserve">Wood and cork </t>
  </si>
  <si>
    <t>Paper, etc</t>
  </si>
  <si>
    <t>Printing and recording</t>
  </si>
  <si>
    <t>Coke and petroleum; Chemicals, etc</t>
  </si>
  <si>
    <t>Rubber and plastic</t>
  </si>
  <si>
    <t>Other non-metallic</t>
  </si>
  <si>
    <t>Basic metals</t>
  </si>
  <si>
    <t>Metal products</t>
  </si>
  <si>
    <t>Computer, etc</t>
  </si>
  <si>
    <t>Machinery n.e.c.</t>
  </si>
  <si>
    <t>Motor vehicles, etc</t>
  </si>
  <si>
    <t>Other transport equipment</t>
  </si>
  <si>
    <t>Furniture</t>
  </si>
  <si>
    <t>Repair and installation</t>
  </si>
  <si>
    <t>Electricity, gas, etc</t>
  </si>
  <si>
    <t>Water</t>
  </si>
  <si>
    <t>Waste management</t>
  </si>
  <si>
    <t>Specialised construction</t>
  </si>
  <si>
    <t>Motor vehicle trade</t>
  </si>
  <si>
    <t>Wholesale trade</t>
  </si>
  <si>
    <t>Retail trade</t>
  </si>
  <si>
    <t>Land transport, etc</t>
  </si>
  <si>
    <t>Warehousing, etc</t>
  </si>
  <si>
    <t>Postal and courier</t>
  </si>
  <si>
    <t>Food and beverage services</t>
  </si>
  <si>
    <t>Film and music</t>
  </si>
  <si>
    <t>Broadcasting</t>
  </si>
  <si>
    <t>Computing services</t>
  </si>
  <si>
    <t>Information services</t>
  </si>
  <si>
    <t>Financial services</t>
  </si>
  <si>
    <t>Insurance and pensions</t>
  </si>
  <si>
    <t>Auxiliary financial services</t>
  </si>
  <si>
    <t>Real estate</t>
  </si>
  <si>
    <t>Legal and accounting</t>
  </si>
  <si>
    <t>Head offices, etc</t>
  </si>
  <si>
    <t>Architectural and related</t>
  </si>
  <si>
    <t>Advertising, etc</t>
  </si>
  <si>
    <t>Other professional</t>
  </si>
  <si>
    <t>Veterinary</t>
  </si>
  <si>
    <t>Rental and leasing</t>
  </si>
  <si>
    <t>Travel, etc</t>
  </si>
  <si>
    <t>Security, etc</t>
  </si>
  <si>
    <t>Services to buildings</t>
  </si>
  <si>
    <t>Office administrative</t>
  </si>
  <si>
    <t>Public administration and defence</t>
  </si>
  <si>
    <t xml:space="preserve">Education </t>
  </si>
  <si>
    <t>Residential care</t>
  </si>
  <si>
    <t>Social work</t>
  </si>
  <si>
    <t>Libraries, etc</t>
  </si>
  <si>
    <t>Gambling and betting</t>
  </si>
  <si>
    <t>Sport and recreation</t>
  </si>
  <si>
    <t>Membership organisations</t>
  </si>
  <si>
    <t>Repair of goods</t>
  </si>
  <si>
    <t>Other personal service</t>
  </si>
  <si>
    <t>22-Industry</t>
  </si>
  <si>
    <t>Agriculture</t>
  </si>
  <si>
    <t>Food drink and tobacco</t>
  </si>
  <si>
    <t>Electricity and gas</t>
  </si>
  <si>
    <t>Water and sewerage</t>
  </si>
  <si>
    <t>Transport and storage</t>
  </si>
  <si>
    <t>Accommodation and food</t>
  </si>
  <si>
    <t>Information technology</t>
  </si>
  <si>
    <t>Finance and insurance</t>
  </si>
  <si>
    <t>Professional services</t>
  </si>
  <si>
    <t>Support services</t>
  </si>
  <si>
    <t>Public admin. and defence</t>
  </si>
  <si>
    <t>Other services</t>
  </si>
  <si>
    <t>25-Occupation</t>
  </si>
  <si>
    <t>Sub-major group names:</t>
  </si>
  <si>
    <t xml:space="preserve"> 11 Corporate managers and directors</t>
  </si>
  <si>
    <t xml:space="preserve"> 12 Other managers and proprietors</t>
  </si>
  <si>
    <t xml:space="preserve"> 21 Science, research, engineering and technology professionals</t>
  </si>
  <si>
    <t xml:space="preserve"> 22 Health professionals</t>
  </si>
  <si>
    <t xml:space="preserve"> 23 Teaching and educational professionals</t>
  </si>
  <si>
    <t xml:space="preserve"> 24 Business, media and public service professionals</t>
  </si>
  <si>
    <t xml:space="preserve"> 31 Science, engineering and technology associate professionals</t>
  </si>
  <si>
    <t xml:space="preserve"> 32 Health and social care associate professionals</t>
  </si>
  <si>
    <t xml:space="preserve"> 33 Protective service occupations</t>
  </si>
  <si>
    <t xml:space="preserve"> 34 Culture, media and sports occupations</t>
  </si>
  <si>
    <t xml:space="preserve"> 35 Business and public service associate professionals</t>
  </si>
  <si>
    <t xml:space="preserve"> 41 Administrative occupations</t>
  </si>
  <si>
    <t xml:space="preserve"> 42 Secretarial and related occupations</t>
  </si>
  <si>
    <t xml:space="preserve"> 51 Skilled agricultural and related trades</t>
  </si>
  <si>
    <t xml:space="preserve"> 52 Skilled metal, electrical and electronic trades</t>
  </si>
  <si>
    <t xml:space="preserve"> 53 Skilled construction and building trades</t>
  </si>
  <si>
    <t xml:space="preserve"> 54 Textiles, printing and other skilled trades</t>
  </si>
  <si>
    <t xml:space="preserve"> 61 Caring personal service occupations</t>
  </si>
  <si>
    <t xml:space="preserve"> 62 Leisure, travel and related personal service occupations</t>
  </si>
  <si>
    <t xml:space="preserve"> 71 Sales occupations</t>
  </si>
  <si>
    <t xml:space="preserve"> 72 Customer service occupations</t>
  </si>
  <si>
    <t xml:space="preserve"> 81 Process, plant and machine operatives</t>
  </si>
  <si>
    <t xml:space="preserve"> 82 Transport and mobile machine drivers and operatives</t>
  </si>
  <si>
    <t xml:space="preserve"> 91 Elementary trades and related occupations</t>
  </si>
  <si>
    <t xml:space="preserve"> 92 Elementary administration and service occupations</t>
  </si>
  <si>
    <t>9-Occupation</t>
  </si>
  <si>
    <t>Major group names:</t>
  </si>
  <si>
    <t>Managers, directors and senior officials</t>
  </si>
  <si>
    <t>Professional occupations</t>
  </si>
  <si>
    <t>Associate professional and technical</t>
  </si>
  <si>
    <t>Administrative and secretarial</t>
  </si>
  <si>
    <t>Skilled trades occupations</t>
  </si>
  <si>
    <t>Caring, leisure and other service</t>
  </si>
  <si>
    <t>Sales and customer service</t>
  </si>
  <si>
    <t>Process, plant and machine operatives</t>
  </si>
  <si>
    <t>9-Qualification names:</t>
  </si>
  <si>
    <t>No Qualification</t>
  </si>
  <si>
    <t>Gender names:</t>
  </si>
  <si>
    <t>Status names:</t>
  </si>
  <si>
    <t>M+F</t>
  </si>
  <si>
    <t>All</t>
  </si>
  <si>
    <t>All in employment</t>
  </si>
  <si>
    <t>M</t>
  </si>
  <si>
    <t>EE</t>
  </si>
  <si>
    <t>Employees in employment</t>
  </si>
  <si>
    <t>F</t>
  </si>
  <si>
    <t>SE</t>
  </si>
  <si>
    <t>Self-employment</t>
  </si>
  <si>
    <t>FT</t>
  </si>
  <si>
    <t>Full-time employees</t>
  </si>
  <si>
    <t>PT</t>
  </si>
  <si>
    <t>Part-time employees</t>
  </si>
  <si>
    <t>Industry groups</t>
  </si>
  <si>
    <t>Industry sectors</t>
  </si>
  <si>
    <t>6-Qualification names:</t>
  </si>
  <si>
    <t>Qualification groups</t>
  </si>
  <si>
    <t>Industry</t>
  </si>
  <si>
    <t>Industry Group [SIC2007]</t>
  </si>
  <si>
    <t>Ind75 industry [SIC2007]</t>
  </si>
  <si>
    <t>Broad industry [SIC2007]</t>
  </si>
  <si>
    <t>Aggregation of 25-Sub major occupation groups to 9-Major occupation groups</t>
  </si>
  <si>
    <t>9-Occupation (SOC2010)</t>
  </si>
  <si>
    <t>25-Occupation (SOC2010)</t>
  </si>
  <si>
    <t>Aggregation of 9-Qualifications to 6-Qualification groups</t>
  </si>
  <si>
    <t>Female</t>
  </si>
  <si>
    <t>Male</t>
  </si>
  <si>
    <t>Total employment</t>
  </si>
  <si>
    <t>Male employment</t>
  </si>
  <si>
    <t>Female employment</t>
  </si>
  <si>
    <t>Industry 22 Total</t>
  </si>
  <si>
    <t>Industry 21 Total</t>
  </si>
  <si>
    <t>Industry 20 Total</t>
  </si>
  <si>
    <t>Industry 17 Total</t>
  </si>
  <si>
    <t>Industry 16 Total</t>
  </si>
  <si>
    <t>Industry 14 Total</t>
  </si>
  <si>
    <t>Industry 13 Total</t>
  </si>
  <si>
    <t>Industry 12 Total</t>
  </si>
  <si>
    <t>Industry 11 Total</t>
  </si>
  <si>
    <t>Industry 10 Total</t>
  </si>
  <si>
    <t>Industry 9 Total</t>
  </si>
  <si>
    <t>Industry 8 Total</t>
  </si>
  <si>
    <t>Industry 7 Total</t>
  </si>
  <si>
    <t>Industry 5 Total</t>
  </si>
  <si>
    <t>Industry 4 Total</t>
  </si>
  <si>
    <t>Industry 3 Total</t>
  </si>
  <si>
    <t>(% share)</t>
  </si>
  <si>
    <t>Self employed</t>
  </si>
  <si>
    <t>Part time</t>
  </si>
  <si>
    <t>Full time</t>
  </si>
  <si>
    <t>Changes in Employment Status (000s)</t>
  </si>
  <si>
    <t>Employment by Gender</t>
  </si>
  <si>
    <t xml:space="preserve">Employment Status </t>
  </si>
  <si>
    <t>M:\IE\Projects\WorkingFutures\data\Results\Workbooks\LO\LO_Database_Test.Main.xlsx</t>
  </si>
  <si>
    <t>M:\IE\Projects\WorkingFutures\data\Results\Workbooks\LO\LO_Database.Main.xlsx</t>
  </si>
  <si>
    <t xml:space="preserve">% p.a. changes </t>
  </si>
  <si>
    <t>Ind T1</t>
  </si>
  <si>
    <t>Ind T2</t>
  </si>
  <si>
    <t>Occ T2</t>
  </si>
  <si>
    <t>Employment by Industry Sector (6 industries)</t>
  </si>
  <si>
    <t>Employment by Industry Group (22 industries)</t>
  </si>
  <si>
    <t>Ind T3</t>
  </si>
  <si>
    <t>Occ T3</t>
  </si>
  <si>
    <t>Employment by Industry (75 industries)</t>
  </si>
  <si>
    <t>Ind T4</t>
  </si>
  <si>
    <t>Ind T6</t>
  </si>
  <si>
    <t>Occ T4</t>
  </si>
  <si>
    <t>Ind T5</t>
  </si>
  <si>
    <t>Employment by Industry Group in Sector (6 + 22 industries)</t>
  </si>
  <si>
    <t>Employment Status by Industry Group and Gender (22 industries)</t>
  </si>
  <si>
    <t>Employment Status by Industry and Gender (75 industries)</t>
  </si>
  <si>
    <t>Ind F1</t>
  </si>
  <si>
    <t>Occ F1</t>
  </si>
  <si>
    <t>Ind F2</t>
  </si>
  <si>
    <t>Occ F2</t>
  </si>
  <si>
    <t>IndOcc T1</t>
  </si>
  <si>
    <t>Line Chart Employment by Industry (6 + 22 industries)</t>
  </si>
  <si>
    <t>Occupation Composition by Gender (9 occupations by 75 industries)</t>
  </si>
  <si>
    <t>Occupation Composition by Employment Status (9 occupations by 75 industries)</t>
  </si>
  <si>
    <t>Occ T1</t>
  </si>
  <si>
    <t>Employment Change by Occupation and Replacement Demand (25 occupations)</t>
  </si>
  <si>
    <t>Employment Change by Occupation in Occupation Group (9 + 25 occupations)</t>
  </si>
  <si>
    <t>Occupation Composition by Gender (25 occupations)</t>
  </si>
  <si>
    <t>Bar Chart Growth in Employment by Industry Group (6 + 22 industries)</t>
  </si>
  <si>
    <t>Bar Chart Growth in Employment by Occupation (9 + 25 occupations)</t>
  </si>
  <si>
    <t>Line Chart Employment by Occupation (9 + 25 occupations)</t>
  </si>
  <si>
    <t>Qual T1</t>
  </si>
  <si>
    <t>Employment by Qualification (9 qualifications)</t>
  </si>
  <si>
    <t>Qual F1</t>
  </si>
  <si>
    <t>Line chart Employment by Qualification (9 qualifications)</t>
  </si>
  <si>
    <t>ShiftShare T1</t>
  </si>
  <si>
    <t>Shift-Share by Occupation (25 occupations)</t>
  </si>
  <si>
    <t>RD F1</t>
  </si>
  <si>
    <t>RD T1</t>
  </si>
  <si>
    <t>Replacement Demand by Occupation and Qualification (25 occupations by 9 qualifications)</t>
  </si>
  <si>
    <t>Basic T1</t>
  </si>
  <si>
    <t>Basic T2</t>
  </si>
  <si>
    <t>Basic T3</t>
  </si>
  <si>
    <t>Employment by Industry Sector, Occupation Group and Qualification (9 occupations by 6 industries by 9 qualifications)</t>
  </si>
  <si>
    <t>Employment Change by Occupation and Replacement Demand (25 occupations by 9 qualifications)</t>
  </si>
  <si>
    <t>Occupation by Qualification (25 occupations by 9 qualifications)</t>
  </si>
  <si>
    <t>IndOcc T2</t>
  </si>
  <si>
    <t>Linked to sheet IndustryTable4</t>
  </si>
  <si>
    <t>Select years for the Tables</t>
  </si>
  <si>
    <t>Linked to sheet Industry Table1</t>
  </si>
  <si>
    <t>Linked to sheet IndustryTable1</t>
  </si>
  <si>
    <t>Linked to sheet OccupationTable3</t>
  </si>
  <si>
    <r>
      <t xml:space="preserve">Uses the 3nd and 5th years selected  for </t>
    </r>
    <r>
      <rPr>
        <b/>
        <sz val="10"/>
        <color indexed="54"/>
        <rFont val="Arial"/>
        <family val="2"/>
      </rPr>
      <t>Tables</t>
    </r>
    <r>
      <rPr>
        <sz val="10"/>
        <color indexed="54"/>
        <rFont val="Arial"/>
        <family val="2"/>
      </rPr>
      <t xml:space="preserve"> in sheet Manager</t>
    </r>
  </si>
  <si>
    <t>Linked to sheet Occupation Table1</t>
  </si>
  <si>
    <r>
      <t xml:space="preserve">Uses the 1st, 3nd and 5th years selected  for </t>
    </r>
    <r>
      <rPr>
        <b/>
        <sz val="10"/>
        <color indexed="54"/>
        <rFont val="Arial"/>
        <family val="2"/>
      </rPr>
      <t>Tables</t>
    </r>
    <r>
      <rPr>
        <sz val="10"/>
        <color indexed="54"/>
        <rFont val="Arial"/>
        <family val="2"/>
      </rPr>
      <t xml:space="preserve"> in sheet Manager</t>
    </r>
  </si>
  <si>
    <r>
      <t xml:space="preserve">Uses the 3rd and 5th years selected  for </t>
    </r>
    <r>
      <rPr>
        <b/>
        <sz val="10"/>
        <color indexed="54"/>
        <rFont val="Arial"/>
        <family val="2"/>
      </rPr>
      <t>Tables</t>
    </r>
    <r>
      <rPr>
        <sz val="10"/>
        <color indexed="54"/>
        <rFont val="Arial"/>
        <family val="2"/>
      </rPr>
      <t xml:space="preserve"> in sheet Manager (via OccupationTable1)</t>
    </r>
  </si>
  <si>
    <t>Absolute Changes (000s)</t>
  </si>
  <si>
    <t>Occ F3</t>
  </si>
  <si>
    <t>Occ F4</t>
  </si>
  <si>
    <t>Changes in Occupational Employment Structure (9 occupations)</t>
  </si>
  <si>
    <t>Occupational Change by Gender (9 occupations)</t>
  </si>
  <si>
    <t>Part-time</t>
  </si>
  <si>
    <t>Full-time</t>
  </si>
  <si>
    <t>Occ F5</t>
  </si>
  <si>
    <t>Occupational Change by Status (9 occupations)</t>
  </si>
  <si>
    <t>Employment Change by Occupation Group and Gender and Replacement Demand (9 occupations)</t>
  </si>
  <si>
    <t>Occ T5</t>
  </si>
  <si>
    <t>Employment Change by Occupation Group, Status and Gender (9 occupations)</t>
  </si>
  <si>
    <t>Replacement Demand by Occupation Group (9 + 25 occupations)</t>
  </si>
  <si>
    <r>
      <t xml:space="preserve">Uses the 1st, 3rdand 5th years selected  for </t>
    </r>
    <r>
      <rPr>
        <b/>
        <sz val="10"/>
        <color indexed="54"/>
        <rFont val="Arial"/>
        <family val="2"/>
      </rPr>
      <t>Tables</t>
    </r>
    <r>
      <rPr>
        <sz val="10"/>
        <color indexed="54"/>
        <rFont val="Arial"/>
        <family val="2"/>
      </rPr>
      <t xml:space="preserve"> in sheet Manager</t>
    </r>
  </si>
  <si>
    <r>
      <t xml:space="preserve">Uses the 1st,3rd and 5th years selected  for </t>
    </r>
    <r>
      <rPr>
        <b/>
        <sz val="10"/>
        <color indexed="54"/>
        <rFont val="Arial"/>
        <family val="2"/>
      </rPr>
      <t>Tables</t>
    </r>
    <r>
      <rPr>
        <sz val="10"/>
        <color indexed="54"/>
        <rFont val="Arial"/>
        <family val="2"/>
      </rPr>
      <t xml:space="preserve"> in sheet Manager</t>
    </r>
  </si>
  <si>
    <r>
      <t xml:space="preserve">Uses the 1st, 3rd and 5th years selected  for </t>
    </r>
    <r>
      <rPr>
        <b/>
        <sz val="10"/>
        <color indexed="54"/>
        <rFont val="Arial"/>
        <family val="2"/>
      </rPr>
      <t>Tables</t>
    </r>
    <r>
      <rPr>
        <sz val="10"/>
        <color indexed="54"/>
        <rFont val="Arial"/>
        <family val="2"/>
      </rPr>
      <t xml:space="preserve"> in sheet Manager</t>
    </r>
  </si>
  <si>
    <t>axis bounds</t>
  </si>
  <si>
    <t>major unit</t>
  </si>
  <si>
    <t>max</t>
  </si>
  <si>
    <t>min</t>
  </si>
  <si>
    <t>Scenario</t>
  </si>
  <si>
    <t>.Main</t>
  </si>
  <si>
    <t>MDM version</t>
  </si>
  <si>
    <t>C182IND - Rev 13405</t>
  </si>
  <si>
    <r>
      <t xml:space="preserve">Uses the 1st, 3rd and 5th years selected  for </t>
    </r>
    <r>
      <rPr>
        <b/>
        <sz val="10"/>
        <color indexed="54"/>
        <rFont val="Arial"/>
        <family val="2"/>
      </rPr>
      <t>Summary Tables</t>
    </r>
    <r>
      <rPr>
        <sz val="10"/>
        <color indexed="54"/>
        <rFont val="Arial"/>
        <family val="2"/>
      </rPr>
      <t xml:space="preserve"> in sheet Manager</t>
    </r>
  </si>
  <si>
    <t>RQF8 Doctorate</t>
  </si>
  <si>
    <t>RQF7 Other higher degree</t>
  </si>
  <si>
    <t>RQF6 First degree</t>
  </si>
  <si>
    <t>RQF5 Foundation degree;Nursing;Teaching</t>
  </si>
  <si>
    <t>RQF4 HE below degree level</t>
  </si>
  <si>
    <t>RQF3 A level &amp; equivalent</t>
  </si>
  <si>
    <t>RQF2 GCSE(A-C) &amp; equivalent</t>
  </si>
  <si>
    <t>RQF1 GCSE(below grade C) &amp; equivalent</t>
  </si>
  <si>
    <t>RQF 7-8</t>
  </si>
  <si>
    <t>RQF 4-6</t>
  </si>
  <si>
    <t>6-Qualification groups (RQF)</t>
  </si>
  <si>
    <t>6-Qualifications (RQF)</t>
  </si>
  <si>
    <t>Non-marketed services</t>
  </si>
  <si>
    <t>Shares (%)</t>
  </si>
  <si>
    <t>Shares of all occupations (%)</t>
  </si>
  <si>
    <t>Shares of all qualifications (%)</t>
  </si>
  <si>
    <t>Qualification levels (000s)</t>
  </si>
  <si>
    <t>THIS EXCEL WORKBOOK CONTAINS DATA</t>
  </si>
  <si>
    <t>BASED ON THE ANNUAL BUSINESS INQUIRY /</t>
  </si>
  <si>
    <t>Copyright:  Warwick Institute for Employment Research / Cambridge Econometrics, 2020</t>
  </si>
  <si>
    <t xml:space="preserve">However, as a general rule of thumb, it is advisable to only publish statistics or analyses which are </t>
  </si>
  <si>
    <t>based on counts of at least 10,000 individuals. This should provide a reasonable degree of statistical robustness to</t>
  </si>
  <si>
    <t>the estimates whether historic or forecast, and also ensure that you are not in breach of the Statistics of trade Act, 1947.</t>
  </si>
  <si>
    <t>judgement on behalf of the user is needed.  At an industry level, and focussing just on employees, the limits</t>
  </si>
  <si>
    <t>set by ONS in publishing ABI or BRES data can be used as a general guide. If ONS do not regard estimates as</t>
  </si>
  <si>
    <t>projections involving fewer than 1,000 individuals are probably too great for such estimates to be useful.</t>
  </si>
  <si>
    <t>m:/IE/Projects/WorkingFutures/data/Results/Workbooks/WA/WA_Database.Main.xlsx</t>
  </si>
  <si>
    <t>Region/Nation</t>
  </si>
  <si>
    <t>10. Wales</t>
  </si>
  <si>
    <t>Date database created</t>
  </si>
  <si>
    <t>Region/Nation name</t>
  </si>
  <si>
    <t>Wales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</si>
</sst>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0.00000"/>
    <numFmt numFmtId="166" formatCode="#,##0.0"/>
    <numFmt numFmtId="167" formatCode="0.0%"/>
    <numFmt numFmtId="168" formatCode="_-* #,##0_-;\-* #,##0_-;_-* &quot;-&quot;??_-;_-@_-"/>
    <numFmt numFmtId="169" formatCode="_-* #,##0.00000_-;\-* #,##0.00000_-;_-* &quot;-&quot;??_-;_-@_-"/>
    <numFmt numFmtId="170" formatCode="0.000000"/>
  </numFmts>
  <fonts count="37" x14ac:knownFonts="1">
    <font>
      <sz val="10"/>
      <name val="Arial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i/>
      <sz val="10"/>
      <name val="Arial"/>
      <family val="2"/>
    </font>
    <font>
      <b/>
      <sz val="10"/>
      <color indexed="54"/>
      <name val="Arial"/>
      <family val="2"/>
    </font>
    <font>
      <sz val="10"/>
      <color indexed="54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Courier New"/>
      <family val="3"/>
    </font>
    <font>
      <b/>
      <i/>
      <sz val="9"/>
      <name val="Arial"/>
      <family val="2"/>
    </font>
    <font>
      <i/>
      <sz val="9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sz val="10"/>
      <color theme="1"/>
      <name val="Times New Roman"/>
      <family val="1"/>
    </font>
    <font>
      <b/>
      <sz val="15"/>
      <color rgb="FFFFFFFF"/>
      <name val="Arial"/>
      <family val="2"/>
    </font>
    <font>
      <b/>
      <sz val="15"/>
      <color rgb="FFFF0000"/>
      <name val="Arial"/>
      <family val="2"/>
    </font>
    <font>
      <b/>
      <sz val="15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43" fontId="4" fillId="0" borderId="0" applyFont="0" applyFill="0" applyBorder="0" applyAlignment="0" applyProtection="0"/>
    <xf numFmtId="0" fontId="7" fillId="0" borderId="0"/>
    <xf numFmtId="0" fontId="9" fillId="0" borderId="0"/>
    <xf numFmtId="0" fontId="4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3" fillId="0" borderId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9" fillId="0" borderId="0"/>
    <xf numFmtId="0" fontId="4" fillId="0" borderId="0"/>
    <xf numFmtId="0" fontId="2" fillId="0" borderId="0"/>
    <xf numFmtId="0" fontId="9" fillId="0" borderId="0"/>
  </cellStyleXfs>
  <cellXfs count="538">
    <xf numFmtId="0" fontId="0" fillId="0" borderId="0" xfId="0"/>
    <xf numFmtId="0" fontId="6" fillId="0" borderId="0" xfId="0" applyFont="1"/>
    <xf numFmtId="0" fontId="0" fillId="0" borderId="0" xfId="0" applyBorder="1"/>
    <xf numFmtId="0" fontId="0" fillId="0" borderId="0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" fontId="0" fillId="0" borderId="0" xfId="0" applyNumberFormat="1"/>
    <xf numFmtId="3" fontId="0" fillId="0" borderId="0" xfId="0" applyNumberFormat="1"/>
    <xf numFmtId="0" fontId="0" fillId="0" borderId="0" xfId="0" applyAlignment="1">
      <alignment textRotation="90" wrapText="1"/>
    </xf>
    <xf numFmtId="0" fontId="8" fillId="0" borderId="0" xfId="0" applyFont="1"/>
    <xf numFmtId="1" fontId="8" fillId="0" borderId="0" xfId="2" applyNumberFormat="1" applyFont="1"/>
    <xf numFmtId="1" fontId="6" fillId="0" borderId="0" xfId="2" applyNumberFormat="1" applyFont="1"/>
    <xf numFmtId="0" fontId="0" fillId="0" borderId="0" xfId="0" applyNumberFormat="1"/>
    <xf numFmtId="0" fontId="0" fillId="0" borderId="0" xfId="0" applyAlignment="1">
      <alignment horizontal="right"/>
    </xf>
    <xf numFmtId="1" fontId="6" fillId="0" borderId="0" xfId="0" applyNumberFormat="1" applyFont="1"/>
    <xf numFmtId="0" fontId="6" fillId="0" borderId="0" xfId="0" applyNumberFormat="1" applyFont="1"/>
    <xf numFmtId="164" fontId="8" fillId="0" borderId="0" xfId="3" applyNumberFormat="1" applyFont="1"/>
    <xf numFmtId="0" fontId="10" fillId="0" borderId="0" xfId="3" applyFont="1"/>
    <xf numFmtId="0" fontId="6" fillId="0" borderId="0" xfId="3" applyFont="1" applyAlignment="1">
      <alignment horizontal="right"/>
    </xf>
    <xf numFmtId="1" fontId="8" fillId="0" borderId="0" xfId="3" applyNumberFormat="1" applyFont="1"/>
    <xf numFmtId="0" fontId="0" fillId="0" borderId="9" xfId="0" applyBorder="1"/>
    <xf numFmtId="1" fontId="6" fillId="0" borderId="9" xfId="0" applyNumberFormat="1" applyFont="1" applyBorder="1"/>
    <xf numFmtId="0" fontId="0" fillId="0" borderId="10" xfId="0" applyNumberFormat="1" applyBorder="1"/>
    <xf numFmtId="0" fontId="6" fillId="0" borderId="9" xfId="3" applyFont="1" applyBorder="1" applyAlignment="1">
      <alignment horizontal="right"/>
    </xf>
    <xf numFmtId="164" fontId="8" fillId="0" borderId="10" xfId="3" applyNumberFormat="1" applyFont="1" applyBorder="1"/>
    <xf numFmtId="3" fontId="8" fillId="0" borderId="0" xfId="3" applyNumberFormat="1" applyFont="1"/>
    <xf numFmtId="0" fontId="6" fillId="0" borderId="11" xfId="0" applyFont="1" applyBorder="1"/>
    <xf numFmtId="3" fontId="8" fillId="0" borderId="10" xfId="3" applyNumberFormat="1" applyFont="1" applyBorder="1"/>
    <xf numFmtId="0" fontId="11" fillId="0" borderId="0" xfId="0" applyFont="1"/>
    <xf numFmtId="3" fontId="11" fillId="0" borderId="0" xfId="0" applyNumberFormat="1" applyFont="1"/>
    <xf numFmtId="3" fontId="8" fillId="0" borderId="0" xfId="0" applyNumberFormat="1" applyFont="1"/>
    <xf numFmtId="0" fontId="0" fillId="0" borderId="10" xfId="0" applyBorder="1"/>
    <xf numFmtId="3" fontId="8" fillId="0" borderId="10" xfId="0" applyNumberFormat="1" applyFont="1" applyBorder="1"/>
    <xf numFmtId="3" fontId="0" fillId="0" borderId="10" xfId="0" applyNumberFormat="1" applyBorder="1"/>
    <xf numFmtId="1" fontId="6" fillId="0" borderId="10" xfId="0" applyNumberFormat="1" applyFont="1" applyBorder="1"/>
    <xf numFmtId="0" fontId="0" fillId="0" borderId="11" xfId="0" applyBorder="1"/>
    <xf numFmtId="0" fontId="6" fillId="0" borderId="10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NumberFormat="1" applyBorder="1"/>
    <xf numFmtId="164" fontId="8" fillId="0" borderId="0" xfId="3" applyNumberFormat="1" applyFont="1" applyBorder="1"/>
    <xf numFmtId="3" fontId="8" fillId="0" borderId="0" xfId="0" applyNumberFormat="1" applyFont="1" applyBorder="1"/>
    <xf numFmtId="3" fontId="0" fillId="0" borderId="0" xfId="0" applyNumberFormat="1" applyBorder="1"/>
    <xf numFmtId="0" fontId="8" fillId="0" borderId="10" xfId="0" applyFont="1" applyBorder="1"/>
    <xf numFmtId="164" fontId="0" fillId="0" borderId="0" xfId="0" applyNumberFormat="1"/>
    <xf numFmtId="0" fontId="6" fillId="0" borderId="10" xfId="0" applyFont="1" applyBorder="1"/>
    <xf numFmtId="1" fontId="6" fillId="0" borderId="10" xfId="0" applyNumberFormat="1" applyFont="1" applyBorder="1" applyAlignment="1">
      <alignment horizontal="right"/>
    </xf>
    <xf numFmtId="164" fontId="0" fillId="0" borderId="10" xfId="0" applyNumberFormat="1" applyBorder="1"/>
    <xf numFmtId="164" fontId="11" fillId="0" borderId="0" xfId="0" applyNumberFormat="1" applyFont="1"/>
    <xf numFmtId="0" fontId="11" fillId="0" borderId="0" xfId="0" applyFont="1" applyBorder="1"/>
    <xf numFmtId="0" fontId="8" fillId="0" borderId="0" xfId="0" applyFont="1" applyAlignment="1">
      <alignment horizontal="left"/>
    </xf>
    <xf numFmtId="0" fontId="13" fillId="0" borderId="0" xfId="0" applyFont="1"/>
    <xf numFmtId="0" fontId="6" fillId="0" borderId="0" xfId="0" applyFont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right"/>
    </xf>
    <xf numFmtId="0" fontId="8" fillId="0" borderId="0" xfId="0" applyNumberFormat="1" applyFont="1"/>
    <xf numFmtId="164" fontId="8" fillId="0" borderId="0" xfId="0" applyNumberFormat="1" applyFont="1"/>
    <xf numFmtId="164" fontId="8" fillId="0" borderId="10" xfId="0" applyNumberFormat="1" applyFont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0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0" xfId="0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0" borderId="10" xfId="0" applyBorder="1" applyAlignment="1">
      <alignment horizontal="right"/>
    </xf>
    <xf numFmtId="0" fontId="6" fillId="0" borderId="10" xfId="3" applyFont="1" applyBorder="1" applyAlignment="1">
      <alignment horizontal="right"/>
    </xf>
    <xf numFmtId="0" fontId="6" fillId="0" borderId="0" xfId="3" applyFont="1" applyBorder="1" applyAlignment="1">
      <alignment horizontal="right"/>
    </xf>
    <xf numFmtId="0" fontId="6" fillId="0" borderId="10" xfId="0" applyNumberFormat="1" applyFont="1" applyBorder="1"/>
    <xf numFmtId="0" fontId="0" fillId="0" borderId="11" xfId="0" applyNumberFormat="1" applyBorder="1"/>
    <xf numFmtId="3" fontId="0" fillId="0" borderId="11" xfId="0" applyNumberFormat="1" applyBorder="1"/>
    <xf numFmtId="164" fontId="8" fillId="0" borderId="11" xfId="3" applyNumberFormat="1" applyFont="1" applyBorder="1"/>
    <xf numFmtId="166" fontId="0" fillId="0" borderId="10" xfId="0" applyNumberFormat="1" applyBorder="1"/>
    <xf numFmtId="166" fontId="8" fillId="0" borderId="0" xfId="3" applyNumberFormat="1" applyFont="1"/>
    <xf numFmtId="166" fontId="0" fillId="0" borderId="0" xfId="0" applyNumberFormat="1"/>
    <xf numFmtId="166" fontId="8" fillId="0" borderId="10" xfId="3" applyNumberFormat="1" applyFont="1" applyBorder="1"/>
    <xf numFmtId="0" fontId="0" fillId="0" borderId="0" xfId="0" applyAlignment="1"/>
    <xf numFmtId="3" fontId="0" fillId="0" borderId="0" xfId="0" applyNumberFormat="1" applyAlignment="1"/>
    <xf numFmtId="0" fontId="0" fillId="0" borderId="0" xfId="0" applyNumberFormat="1" applyAlignment="1">
      <alignment wrapText="1"/>
    </xf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NumberFormat="1" applyAlignment="1">
      <alignment horizontal="right" wrapText="1"/>
    </xf>
    <xf numFmtId="167" fontId="0" fillId="0" borderId="0" xfId="0" applyNumberFormat="1" applyFill="1" applyAlignment="1"/>
    <xf numFmtId="1" fontId="6" fillId="0" borderId="0" xfId="0" applyNumberFormat="1" applyFont="1" applyAlignment="1">
      <alignment horizontal="right"/>
    </xf>
    <xf numFmtId="1" fontId="6" fillId="0" borderId="9" xfId="0" applyNumberFormat="1" applyFont="1" applyFill="1" applyBorder="1" applyAlignment="1">
      <alignment horizontal="right"/>
    </xf>
    <xf numFmtId="0" fontId="6" fillId="0" borderId="17" xfId="0" applyFont="1" applyBorder="1"/>
    <xf numFmtId="1" fontId="6" fillId="0" borderId="9" xfId="0" applyNumberFormat="1" applyFont="1" applyBorder="1" applyAlignment="1">
      <alignment horizontal="right"/>
    </xf>
    <xf numFmtId="3" fontId="8" fillId="0" borderId="0" xfId="1" applyNumberFormat="1" applyFont="1"/>
    <xf numFmtId="0" fontId="8" fillId="0" borderId="11" xfId="0" applyFont="1" applyBorder="1"/>
    <xf numFmtId="0" fontId="8" fillId="0" borderId="11" xfId="0" applyFont="1" applyBorder="1" applyAlignment="1">
      <alignment horizontal="center"/>
    </xf>
    <xf numFmtId="0" fontId="8" fillId="0" borderId="11" xfId="0" applyNumberFormat="1" applyFont="1" applyBorder="1" applyAlignment="1">
      <alignment horizontal="center"/>
    </xf>
    <xf numFmtId="0" fontId="8" fillId="0" borderId="0" xfId="0" applyFont="1" applyBorder="1"/>
    <xf numFmtId="0" fontId="8" fillId="0" borderId="0" xfId="0" applyNumberFormat="1" applyFont="1" applyBorder="1"/>
    <xf numFmtId="0" fontId="10" fillId="3" borderId="0" xfId="0" applyFont="1" applyFill="1"/>
    <xf numFmtId="0" fontId="0" fillId="3" borderId="0" xfId="0" applyFill="1"/>
    <xf numFmtId="0" fontId="4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 wrapText="1"/>
    </xf>
    <xf numFmtId="3" fontId="0" fillId="0" borderId="0" xfId="0" applyNumberFormat="1" applyBorder="1" applyAlignment="1"/>
    <xf numFmtId="0" fontId="0" fillId="0" borderId="0" xfId="0" applyAlignment="1"/>
    <xf numFmtId="0" fontId="6" fillId="0" borderId="0" xfId="0" applyFont="1" applyAlignment="1"/>
    <xf numFmtId="0" fontId="6" fillId="0" borderId="0" xfId="0" applyFont="1" applyAlignment="1">
      <alignment vertical="center" wrapText="1"/>
    </xf>
    <xf numFmtId="0" fontId="14" fillId="0" borderId="0" xfId="3" applyFont="1"/>
    <xf numFmtId="0" fontId="0" fillId="0" borderId="11" xfId="0" applyBorder="1" applyAlignment="1"/>
    <xf numFmtId="0" fontId="0" fillId="0" borderId="0" xfId="0" applyBorder="1" applyAlignment="1"/>
    <xf numFmtId="3" fontId="6" fillId="0" borderId="0" xfId="0" applyNumberFormat="1" applyFont="1" applyBorder="1" applyAlignment="1"/>
    <xf numFmtId="3" fontId="0" fillId="0" borderId="10" xfId="0" applyNumberFormat="1" applyBorder="1" applyAlignment="1"/>
    <xf numFmtId="0" fontId="0" fillId="0" borderId="9" xfId="0" applyNumberFormat="1" applyBorder="1" applyAlignment="1">
      <alignment horizontal="right" wrapText="1"/>
    </xf>
    <xf numFmtId="0" fontId="10" fillId="0" borderId="0" xfId="3" applyFont="1" applyBorder="1"/>
    <xf numFmtId="1" fontId="4" fillId="0" borderId="0" xfId="2" applyNumberFormat="1" applyFont="1"/>
    <xf numFmtId="0" fontId="0" fillId="0" borderId="0" xfId="0" applyAlignment="1"/>
    <xf numFmtId="0" fontId="6" fillId="0" borderId="0" xfId="0" applyFont="1" applyAlignment="1">
      <alignment wrapText="1"/>
    </xf>
    <xf numFmtId="0" fontId="0" fillId="0" borderId="0" xfId="0"/>
    <xf numFmtId="0" fontId="4" fillId="0" borderId="0" xfId="4"/>
    <xf numFmtId="0" fontId="4" fillId="0" borderId="10" xfId="4" applyBorder="1"/>
    <xf numFmtId="3" fontId="4" fillId="0" borderId="10" xfId="4" applyNumberFormat="1" applyBorder="1"/>
    <xf numFmtId="0" fontId="4" fillId="0" borderId="10" xfId="4" applyFont="1" applyBorder="1"/>
    <xf numFmtId="3" fontId="4" fillId="0" borderId="0" xfId="4" applyNumberFormat="1"/>
    <xf numFmtId="0" fontId="4" fillId="0" borderId="0" xfId="4" applyNumberFormat="1"/>
    <xf numFmtId="0" fontId="4" fillId="0" borderId="0" xfId="4" applyBorder="1"/>
    <xf numFmtId="0" fontId="4" fillId="0" borderId="11" xfId="4" applyBorder="1" applyAlignment="1">
      <alignment horizontal="centerContinuous"/>
    </xf>
    <xf numFmtId="0" fontId="4" fillId="0" borderId="11" xfId="4" applyFont="1" applyBorder="1" applyAlignment="1">
      <alignment horizontal="centerContinuous"/>
    </xf>
    <xf numFmtId="0" fontId="4" fillId="0" borderId="11" xfId="4" applyBorder="1"/>
    <xf numFmtId="164" fontId="4" fillId="0" borderId="0" xfId="4" applyNumberFormat="1"/>
    <xf numFmtId="164" fontId="4" fillId="0" borderId="10" xfId="4" applyNumberFormat="1" applyBorder="1"/>
    <xf numFmtId="0" fontId="6" fillId="0" borderId="11" xfId="0" applyFont="1" applyBorder="1" applyAlignment="1">
      <alignment horizontal="right"/>
    </xf>
    <xf numFmtId="1" fontId="6" fillId="0" borderId="10" xfId="4" applyNumberFormat="1" applyFont="1" applyBorder="1" applyAlignment="1">
      <alignment horizontal="left"/>
    </xf>
    <xf numFmtId="0" fontId="0" fillId="0" borderId="0" xfId="0"/>
    <xf numFmtId="1" fontId="6" fillId="0" borderId="10" xfId="4" applyNumberFormat="1" applyFont="1" applyBorder="1" applyAlignment="1">
      <alignment horizontal="left" wrapText="1"/>
    </xf>
    <xf numFmtId="0" fontId="4" fillId="0" borderId="0" xfId="4" applyAlignment="1">
      <alignment wrapText="1"/>
    </xf>
    <xf numFmtId="0" fontId="4" fillId="0" borderId="0" xfId="4" applyBorder="1" applyAlignment="1">
      <alignment horizontal="centerContinuous"/>
    </xf>
    <xf numFmtId="3" fontId="4" fillId="0" borderId="0" xfId="4" applyNumberFormat="1" applyBorder="1"/>
    <xf numFmtId="0" fontId="4" fillId="0" borderId="0" xfId="4" applyBorder="1" applyAlignment="1">
      <alignment horizontal="right" wrapText="1"/>
    </xf>
    <xf numFmtId="0" fontId="0" fillId="0" borderId="10" xfId="0" applyNumberFormat="1" applyBorder="1" applyAlignment="1">
      <alignment horizontal="right" wrapText="1"/>
    </xf>
    <xf numFmtId="0" fontId="4" fillId="0" borderId="10" xfId="4" applyBorder="1" applyAlignment="1">
      <alignment horizontal="right" wrapText="1"/>
    </xf>
    <xf numFmtId="1" fontId="4" fillId="0" borderId="0" xfId="4" applyNumberFormat="1"/>
    <xf numFmtId="0" fontId="4" fillId="0" borderId="10" xfId="4" applyNumberFormat="1" applyBorder="1"/>
    <xf numFmtId="1" fontId="4" fillId="0" borderId="10" xfId="4" applyNumberFormat="1" applyBorder="1"/>
    <xf numFmtId="1" fontId="4" fillId="0" borderId="0" xfId="4" applyNumberFormat="1" applyAlignment="1">
      <alignment horizontal="right" wrapText="1"/>
    </xf>
    <xf numFmtId="1" fontId="4" fillId="0" borderId="10" xfId="4" applyNumberFormat="1" applyBorder="1" applyAlignment="1">
      <alignment horizontal="right" wrapText="1"/>
    </xf>
    <xf numFmtId="0" fontId="6" fillId="0" borderId="0" xfId="4" applyFont="1" applyBorder="1" applyAlignment="1">
      <alignment horizontal="center"/>
    </xf>
    <xf numFmtId="3" fontId="4" fillId="0" borderId="11" xfId="4" applyNumberFormat="1" applyBorder="1"/>
    <xf numFmtId="1" fontId="6" fillId="0" borderId="10" xfId="4" applyNumberFormat="1" applyFont="1" applyBorder="1" applyAlignment="1">
      <alignment wrapText="1"/>
    </xf>
    <xf numFmtId="0" fontId="6" fillId="0" borderId="0" xfId="4" applyFont="1" applyBorder="1" applyAlignment="1"/>
    <xf numFmtId="0" fontId="4" fillId="0" borderId="10" xfId="0" applyNumberFormat="1" applyFont="1" applyBorder="1" applyAlignment="1">
      <alignment horizontal="right" wrapText="1"/>
    </xf>
    <xf numFmtId="164" fontId="0" fillId="0" borderId="0" xfId="0" applyNumberFormat="1" applyAlignment="1"/>
    <xf numFmtId="164" fontId="0" fillId="0" borderId="10" xfId="0" applyNumberFormat="1" applyBorder="1" applyAlignment="1"/>
    <xf numFmtId="0" fontId="4" fillId="0" borderId="10" xfId="4" applyBorder="1" applyAlignment="1">
      <alignment horizontal="right"/>
    </xf>
    <xf numFmtId="0" fontId="0" fillId="0" borderId="0" xfId="0"/>
    <xf numFmtId="0" fontId="4" fillId="0" borderId="0" xfId="4" applyFont="1" applyAlignment="1">
      <alignment horizontal="right"/>
    </xf>
    <xf numFmtId="0" fontId="6" fillId="0" borderId="11" xfId="4" applyFont="1" applyBorder="1"/>
    <xf numFmtId="0" fontId="4" fillId="0" borderId="11" xfId="4" applyFont="1" applyBorder="1" applyAlignment="1">
      <alignment horizontal="right"/>
    </xf>
    <xf numFmtId="1" fontId="6" fillId="0" borderId="10" xfId="4" applyNumberFormat="1" applyFont="1" applyBorder="1"/>
    <xf numFmtId="0" fontId="6" fillId="0" borderId="10" xfId="4" applyFont="1" applyBorder="1" applyAlignment="1">
      <alignment horizontal="right"/>
    </xf>
    <xf numFmtId="0" fontId="11" fillId="0" borderId="0" xfId="4" applyFont="1"/>
    <xf numFmtId="3" fontId="11" fillId="0" borderId="0" xfId="4" applyNumberFormat="1" applyFont="1"/>
    <xf numFmtId="3" fontId="4" fillId="0" borderId="10" xfId="4" applyNumberFormat="1" applyFont="1" applyBorder="1"/>
    <xf numFmtId="0" fontId="0" fillId="0" borderId="0" xfId="0" quotePrefix="1"/>
    <xf numFmtId="0" fontId="4" fillId="0" borderId="0" xfId="4" applyFont="1"/>
    <xf numFmtId="3" fontId="4" fillId="0" borderId="0" xfId="4" applyNumberFormat="1" applyFont="1"/>
    <xf numFmtId="0" fontId="0" fillId="0" borderId="0" xfId="0"/>
    <xf numFmtId="0" fontId="0" fillId="0" borderId="0" xfId="0" applyAlignment="1">
      <alignment textRotation="90"/>
    </xf>
    <xf numFmtId="0" fontId="0" fillId="0" borderId="0" xfId="0"/>
    <xf numFmtId="1" fontId="4" fillId="0" borderId="0" xfId="0" applyNumberFormat="1" applyFont="1"/>
    <xf numFmtId="0" fontId="0" fillId="0" borderId="0" xfId="0"/>
    <xf numFmtId="0" fontId="4" fillId="2" borderId="20" xfId="0" applyFont="1" applyFill="1" applyBorder="1" applyAlignment="1">
      <alignment horizontal="center"/>
    </xf>
    <xf numFmtId="0" fontId="17" fillId="4" borderId="0" xfId="5" applyFont="1" applyFill="1"/>
    <xf numFmtId="0" fontId="16" fillId="4" borderId="0" xfId="5" applyFill="1"/>
    <xf numFmtId="0" fontId="16" fillId="0" borderId="0" xfId="5"/>
    <xf numFmtId="0" fontId="17" fillId="4" borderId="11" xfId="5" applyFont="1" applyFill="1" applyBorder="1" applyAlignment="1">
      <alignment horizontal="right"/>
    </xf>
    <xf numFmtId="1" fontId="17" fillId="4" borderId="11" xfId="5" applyNumberFormat="1" applyFont="1" applyFill="1" applyBorder="1" applyAlignment="1">
      <alignment horizontal="right"/>
    </xf>
    <xf numFmtId="0" fontId="17" fillId="4" borderId="0" xfId="5" applyFont="1" applyFill="1" applyBorder="1"/>
    <xf numFmtId="1" fontId="6" fillId="4" borderId="0" xfId="6" applyNumberFormat="1" applyFont="1" applyFill="1" applyBorder="1"/>
    <xf numFmtId="0" fontId="17" fillId="4" borderId="10" xfId="5" applyFont="1" applyFill="1" applyBorder="1" applyAlignment="1">
      <alignment horizontal="right"/>
    </xf>
    <xf numFmtId="1" fontId="16" fillId="0" borderId="0" xfId="5" applyNumberFormat="1"/>
    <xf numFmtId="0" fontId="16" fillId="0" borderId="0" xfId="5" applyBorder="1"/>
    <xf numFmtId="0" fontId="17" fillId="0" borderId="0" xfId="5" applyFont="1"/>
    <xf numFmtId="0" fontId="18" fillId="0" borderId="0" xfId="5" applyFont="1"/>
    <xf numFmtId="1" fontId="18" fillId="0" borderId="0" xfId="0" applyNumberFormat="1" applyFont="1"/>
    <xf numFmtId="0" fontId="20" fillId="0" borderId="0" xfId="0" applyFont="1" applyBorder="1" applyAlignment="1">
      <alignment horizontal="left" vertical="center" readingOrder="1"/>
    </xf>
    <xf numFmtId="168" fontId="16" fillId="0" borderId="0" xfId="1" applyNumberFormat="1" applyFont="1"/>
    <xf numFmtId="0" fontId="16" fillId="0" borderId="0" xfId="5" applyFill="1"/>
    <xf numFmtId="164" fontId="16" fillId="0" borderId="0" xfId="5" applyNumberFormat="1" applyFill="1" applyBorder="1"/>
    <xf numFmtId="164" fontId="16" fillId="0" borderId="11" xfId="5" applyNumberFormat="1" applyFill="1" applyBorder="1"/>
    <xf numFmtId="0" fontId="17" fillId="0" borderId="0" xfId="5" applyFont="1" applyFill="1"/>
    <xf numFmtId="0" fontId="17" fillId="0" borderId="0" xfId="5" applyFont="1" applyFill="1" applyBorder="1"/>
    <xf numFmtId="1" fontId="6" fillId="0" borderId="0" xfId="6" applyNumberFormat="1" applyFont="1" applyFill="1" applyBorder="1"/>
    <xf numFmtId="0" fontId="17" fillId="0" borderId="0" xfId="5" applyFont="1" applyFill="1" applyBorder="1" applyAlignment="1">
      <alignment horizontal="right"/>
    </xf>
    <xf numFmtId="0" fontId="16" fillId="0" borderId="10" xfId="5" applyFill="1" applyBorder="1"/>
    <xf numFmtId="0" fontId="16" fillId="0" borderId="11" xfId="5" applyFill="1" applyBorder="1"/>
    <xf numFmtId="0" fontId="16" fillId="0" borderId="0" xfId="5" applyFill="1" applyBorder="1"/>
    <xf numFmtId="164" fontId="16" fillId="0" borderId="10" xfId="5" applyNumberFormat="1" applyFill="1" applyBorder="1"/>
    <xf numFmtId="1" fontId="16" fillId="0" borderId="10" xfId="5" applyNumberFormat="1" applyFill="1" applyBorder="1"/>
    <xf numFmtId="0" fontId="4" fillId="0" borderId="10" xfId="5" applyFont="1" applyFill="1" applyBorder="1"/>
    <xf numFmtId="3" fontId="16" fillId="0" borderId="11" xfId="5" applyNumberFormat="1" applyBorder="1"/>
    <xf numFmtId="3" fontId="16" fillId="0" borderId="0" xfId="5" applyNumberFormat="1" applyBorder="1"/>
    <xf numFmtId="3" fontId="16" fillId="0" borderId="10" xfId="5" applyNumberFormat="1" applyBorder="1"/>
    <xf numFmtId="3" fontId="16" fillId="0" borderId="0" xfId="5" applyNumberFormat="1"/>
    <xf numFmtId="3" fontId="16" fillId="0" borderId="11" xfId="5" applyNumberFormat="1" applyFill="1" applyBorder="1"/>
    <xf numFmtId="3" fontId="16" fillId="0" borderId="0" xfId="5" applyNumberFormat="1" applyFill="1" applyBorder="1"/>
    <xf numFmtId="3" fontId="16" fillId="0" borderId="10" xfId="5" applyNumberFormat="1" applyFill="1" applyBorder="1"/>
    <xf numFmtId="3" fontId="16" fillId="0" borderId="0" xfId="5" applyNumberFormat="1" applyFill="1"/>
    <xf numFmtId="0" fontId="17" fillId="4" borderId="11" xfId="5" applyFont="1" applyFill="1" applyBorder="1" applyAlignment="1">
      <alignment horizontal="center"/>
    </xf>
    <xf numFmtId="0" fontId="17" fillId="4" borderId="0" xfId="5" applyFont="1" applyFill="1" applyBorder="1" applyAlignment="1">
      <alignment horizontal="right"/>
    </xf>
    <xf numFmtId="0" fontId="16" fillId="4" borderId="10" xfId="5" applyFill="1" applyBorder="1"/>
    <xf numFmtId="0" fontId="0" fillId="0" borderId="5" xfId="0" applyFill="1" applyBorder="1"/>
    <xf numFmtId="0" fontId="0" fillId="0" borderId="7" xfId="0" applyFill="1" applyBorder="1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10" fillId="3" borderId="0" xfId="4" applyFont="1" applyFill="1"/>
    <xf numFmtId="0" fontId="4" fillId="3" borderId="0" xfId="4" applyFill="1"/>
    <xf numFmtId="0" fontId="13" fillId="0" borderId="0" xfId="4" applyFont="1"/>
    <xf numFmtId="0" fontId="6" fillId="0" borderId="0" xfId="4" applyFont="1"/>
    <xf numFmtId="0" fontId="0" fillId="0" borderId="0" xfId="0"/>
    <xf numFmtId="0" fontId="0" fillId="0" borderId="0" xfId="0" applyAlignment="1"/>
    <xf numFmtId="0" fontId="0" fillId="0" borderId="0" xfId="0"/>
    <xf numFmtId="0" fontId="17" fillId="4" borderId="9" xfId="5" applyFont="1" applyFill="1" applyBorder="1" applyAlignment="1">
      <alignment horizontal="right"/>
    </xf>
    <xf numFmtId="0" fontId="0" fillId="0" borderId="0" xfId="0"/>
    <xf numFmtId="0" fontId="2" fillId="0" borderId="0" xfId="5" applyFont="1"/>
    <xf numFmtId="0" fontId="2" fillId="0" borderId="0" xfId="5" applyFont="1" applyAlignment="1">
      <alignment wrapText="1"/>
    </xf>
    <xf numFmtId="168" fontId="16" fillId="0" borderId="0" xfId="1" applyNumberFormat="1" applyFont="1" applyFill="1" applyBorder="1"/>
    <xf numFmtId="168" fontId="16" fillId="0" borderId="0" xfId="1" applyNumberFormat="1" applyFont="1" applyFill="1"/>
    <xf numFmtId="2" fontId="16" fillId="0" borderId="11" xfId="5" applyNumberFormat="1" applyFill="1" applyBorder="1"/>
    <xf numFmtId="2" fontId="16" fillId="0" borderId="0" xfId="5" applyNumberFormat="1" applyFill="1" applyBorder="1"/>
    <xf numFmtId="0" fontId="2" fillId="0" borderId="0" xfId="5" applyFont="1" applyFill="1"/>
    <xf numFmtId="0" fontId="2" fillId="4" borderId="10" xfId="5" applyFont="1" applyFill="1" applyBorder="1"/>
    <xf numFmtId="168" fontId="16" fillId="0" borderId="10" xfId="1" applyNumberFormat="1" applyFont="1" applyFill="1" applyBorder="1"/>
    <xf numFmtId="0" fontId="16" fillId="0" borderId="0" xfId="5" applyAlignment="1">
      <alignment vertical="top" wrapText="1"/>
    </xf>
    <xf numFmtId="169" fontId="2" fillId="0" borderId="0" xfId="1" applyNumberFormat="1" applyFont="1" applyFill="1"/>
    <xf numFmtId="0" fontId="15" fillId="0" borderId="0" xfId="0" applyFont="1" applyAlignment="1">
      <alignment horizontal="left" vertical="top"/>
    </xf>
    <xf numFmtId="0" fontId="16" fillId="0" borderId="0" xfId="5" applyAlignment="1">
      <alignment horizontal="left" vertical="top"/>
    </xf>
    <xf numFmtId="0" fontId="0" fillId="0" borderId="0" xfId="0"/>
    <xf numFmtId="0" fontId="0" fillId="0" borderId="0" xfId="0" applyAlignment="1"/>
    <xf numFmtId="0" fontId="0" fillId="0" borderId="0" xfId="0"/>
    <xf numFmtId="4" fontId="0" fillId="0" borderId="0" xfId="0" applyNumberFormat="1"/>
    <xf numFmtId="0" fontId="4" fillId="0" borderId="0" xfId="0" applyNumberFormat="1" applyFont="1"/>
    <xf numFmtId="1" fontId="16" fillId="0" borderId="0" xfId="5" applyNumberFormat="1" applyFill="1"/>
    <xf numFmtId="2" fontId="8" fillId="0" borderId="0" xfId="3" applyNumberFormat="1" applyFont="1"/>
    <xf numFmtId="0" fontId="0" fillId="0" borderId="0" xfId="0" applyAlignment="1"/>
    <xf numFmtId="0" fontId="0" fillId="0" borderId="0" xfId="0" applyAlignment="1"/>
    <xf numFmtId="0" fontId="0" fillId="0" borderId="0" xfId="0"/>
    <xf numFmtId="0" fontId="0" fillId="0" borderId="0" xfId="0"/>
    <xf numFmtId="0" fontId="6" fillId="0" borderId="0" xfId="0" applyFont="1" applyFill="1" applyBorder="1"/>
    <xf numFmtId="0" fontId="4" fillId="0" borderId="0" xfId="0" applyFont="1" applyFill="1" applyBorder="1"/>
    <xf numFmtId="0" fontId="0" fillId="2" borderId="15" xfId="0" applyFill="1" applyBorder="1" applyAlignment="1">
      <alignment horizontal="right"/>
    </xf>
    <xf numFmtId="0" fontId="23" fillId="0" borderId="0" xfId="0" applyFont="1"/>
    <xf numFmtId="0" fontId="6" fillId="2" borderId="12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vertical="center"/>
    </xf>
    <xf numFmtId="1" fontId="4" fillId="0" borderId="0" xfId="4" applyNumberFormat="1" applyAlignment="1">
      <alignment horizontal="right"/>
    </xf>
    <xf numFmtId="0" fontId="6" fillId="0" borderId="9" xfId="4" applyFont="1" applyBorder="1"/>
    <xf numFmtId="0" fontId="6" fillId="0" borderId="10" xfId="4" applyNumberFormat="1" applyFont="1" applyBorder="1" applyAlignment="1">
      <alignment horizontal="right"/>
    </xf>
    <xf numFmtId="0" fontId="6" fillId="0" borderId="0" xfId="4" applyFont="1" applyBorder="1"/>
    <xf numFmtId="0" fontId="6" fillId="0" borderId="10" xfId="4" applyFont="1" applyBorder="1"/>
    <xf numFmtId="0" fontId="10" fillId="0" borderId="0" xfId="3" applyFont="1" applyFill="1"/>
    <xf numFmtId="0" fontId="19" fillId="0" borderId="0" xfId="4" applyFont="1"/>
    <xf numFmtId="0" fontId="6" fillId="0" borderId="0" xfId="3" applyFont="1" applyFill="1"/>
    <xf numFmtId="0" fontId="6" fillId="0" borderId="0" xfId="4" applyFont="1" applyAlignment="1">
      <alignment horizontal="right"/>
    </xf>
    <xf numFmtId="0" fontId="4" fillId="0" borderId="0" xfId="4" applyFont="1" applyBorder="1"/>
    <xf numFmtId="0" fontId="6" fillId="0" borderId="11" xfId="4" applyFont="1" applyBorder="1" applyAlignment="1">
      <alignment horizontal="centerContinuous"/>
    </xf>
    <xf numFmtId="0" fontId="4" fillId="0" borderId="9" xfId="4" applyFont="1" applyBorder="1" applyAlignment="1">
      <alignment horizontal="centerContinuous"/>
    </xf>
    <xf numFmtId="0" fontId="6" fillId="0" borderId="11" xfId="4" applyNumberFormat="1" applyFont="1" applyBorder="1" applyAlignment="1">
      <alignment horizontal="centerContinuous"/>
    </xf>
    <xf numFmtId="0" fontId="4" fillId="0" borderId="9" xfId="4" applyFont="1" applyBorder="1"/>
    <xf numFmtId="1" fontId="6" fillId="0" borderId="10" xfId="4" applyNumberFormat="1" applyFont="1" applyBorder="1" applyAlignment="1">
      <alignment horizontal="right"/>
    </xf>
    <xf numFmtId="3" fontId="4" fillId="0" borderId="0" xfId="1" applyNumberFormat="1" applyFont="1"/>
    <xf numFmtId="0" fontId="4" fillId="0" borderId="0" xfId="4" applyNumberFormat="1" applyFont="1" applyBorder="1"/>
    <xf numFmtId="3" fontId="4" fillId="0" borderId="0" xfId="1" applyNumberFormat="1" applyFont="1" applyBorder="1"/>
    <xf numFmtId="3" fontId="4" fillId="0" borderId="0" xfId="4" applyNumberFormat="1" applyFont="1" applyBorder="1"/>
    <xf numFmtId="3" fontId="4" fillId="0" borderId="10" xfId="1" applyNumberFormat="1" applyFont="1" applyBorder="1"/>
    <xf numFmtId="0" fontId="4" fillId="0" borderId="11" xfId="4" applyFont="1" applyBorder="1"/>
    <xf numFmtId="3" fontId="4" fillId="0" borderId="11" xfId="1" applyNumberFormat="1" applyFont="1" applyBorder="1"/>
    <xf numFmtId="0" fontId="6" fillId="0" borderId="0" xfId="4" applyNumberFormat="1" applyFont="1" applyBorder="1"/>
    <xf numFmtId="0" fontId="17" fillId="4" borderId="0" xfId="5" applyFont="1" applyFill="1" applyAlignment="1">
      <alignment horizontal="center"/>
    </xf>
    <xf numFmtId="0" fontId="17" fillId="4" borderId="11" xfId="5" applyFont="1" applyFill="1" applyBorder="1" applyAlignment="1">
      <alignment horizontal="center" wrapText="1"/>
    </xf>
    <xf numFmtId="0" fontId="17" fillId="4" borderId="0" xfId="5" applyFont="1" applyFill="1" applyBorder="1" applyAlignment="1">
      <alignment horizontal="center"/>
    </xf>
    <xf numFmtId="0" fontId="0" fillId="0" borderId="0" xfId="0"/>
    <xf numFmtId="0" fontId="10" fillId="0" borderId="0" xfId="0" applyNumberFormat="1" applyFont="1"/>
    <xf numFmtId="0" fontId="6" fillId="0" borderId="9" xfId="0" applyFont="1" applyBorder="1"/>
    <xf numFmtId="1" fontId="0" fillId="0" borderId="0" xfId="0" applyNumberFormat="1" applyBorder="1"/>
    <xf numFmtId="1" fontId="19" fillId="0" borderId="0" xfId="0" applyNumberFormat="1" applyFont="1"/>
    <xf numFmtId="0" fontId="6" fillId="0" borderId="1" xfId="0" applyFont="1" applyBorder="1"/>
    <xf numFmtId="0" fontId="0" fillId="0" borderId="0" xfId="0" applyFont="1" applyFill="1" applyBorder="1"/>
    <xf numFmtId="0" fontId="0" fillId="0" borderId="7" xfId="0" applyFont="1" applyFill="1" applyBorder="1"/>
    <xf numFmtId="2" fontId="16" fillId="0" borderId="10" xfId="5" applyNumberFormat="1" applyFill="1" applyBorder="1"/>
    <xf numFmtId="0" fontId="0" fillId="2" borderId="10" xfId="0" applyFill="1" applyBorder="1"/>
    <xf numFmtId="0" fontId="6" fillId="2" borderId="14" xfId="0" applyFont="1" applyFill="1" applyBorder="1" applyAlignment="1">
      <alignment horizontal="left" vertical="center"/>
    </xf>
    <xf numFmtId="0" fontId="6" fillId="0" borderId="0" xfId="0" applyFont="1" applyBorder="1" applyAlignment="1"/>
    <xf numFmtId="167" fontId="0" fillId="0" borderId="0" xfId="11" applyNumberFormat="1" applyFont="1" applyAlignment="1"/>
    <xf numFmtId="0" fontId="6" fillId="0" borderId="9" xfId="0" applyFont="1" applyBorder="1" applyAlignment="1">
      <alignment vertical="center" wrapText="1"/>
    </xf>
    <xf numFmtId="0" fontId="0" fillId="0" borderId="9" xfId="0" applyBorder="1" applyAlignment="1">
      <alignment horizontal="right"/>
    </xf>
    <xf numFmtId="0" fontId="25" fillId="0" borderId="0" xfId="5" applyFont="1"/>
    <xf numFmtId="0" fontId="0" fillId="2" borderId="23" xfId="0" applyFill="1" applyBorder="1" applyAlignment="1">
      <alignment horizontal="right"/>
    </xf>
    <xf numFmtId="3" fontId="11" fillId="0" borderId="10" xfId="0" applyNumberFormat="1" applyFont="1" applyBorder="1"/>
    <xf numFmtId="164" fontId="11" fillId="0" borderId="10" xfId="0" applyNumberFormat="1" applyFont="1" applyBorder="1"/>
    <xf numFmtId="3" fontId="4" fillId="0" borderId="0" xfId="5" applyNumberFormat="1" applyFont="1" applyFill="1"/>
    <xf numFmtId="0" fontId="6" fillId="0" borderId="0" xfId="0" applyFont="1" applyBorder="1" applyAlignment="1">
      <alignment horizontal="left"/>
    </xf>
    <xf numFmtId="0" fontId="6" fillId="0" borderId="22" xfId="0" applyFont="1" applyBorder="1"/>
    <xf numFmtId="0" fontId="26" fillId="0" borderId="22" xfId="12" applyBorder="1"/>
    <xf numFmtId="0" fontId="4" fillId="0" borderId="22" xfId="0" applyFont="1" applyBorder="1"/>
    <xf numFmtId="0" fontId="0" fillId="0" borderId="22" xfId="0" applyBorder="1"/>
    <xf numFmtId="0" fontId="27" fillId="0" borderId="0" xfId="0" applyFont="1"/>
    <xf numFmtId="0" fontId="4" fillId="0" borderId="0" xfId="13" applyFont="1" applyAlignment="1">
      <alignment horizontal="center"/>
    </xf>
    <xf numFmtId="0" fontId="32" fillId="0" borderId="0" xfId="7" applyFont="1" applyAlignment="1">
      <alignment horizontal="center" vertical="center"/>
    </xf>
    <xf numFmtId="0" fontId="28" fillId="0" borderId="5" xfId="7" applyFont="1" applyBorder="1" applyAlignment="1">
      <alignment horizontal="center"/>
    </xf>
    <xf numFmtId="0" fontId="2" fillId="0" borderId="1" xfId="7" applyFont="1" applyBorder="1" applyAlignment="1">
      <alignment horizontal="center" vertical="center"/>
    </xf>
    <xf numFmtId="0" fontId="2" fillId="0" borderId="2" xfId="7" applyFont="1" applyBorder="1" applyAlignment="1">
      <alignment horizontal="center" vertical="center"/>
    </xf>
    <xf numFmtId="0" fontId="32" fillId="0" borderId="2" xfId="7" applyFont="1" applyBorder="1" applyAlignment="1">
      <alignment horizontal="center" vertical="center"/>
    </xf>
    <xf numFmtId="0" fontId="2" fillId="0" borderId="3" xfId="7" applyFont="1" applyBorder="1" applyAlignment="1">
      <alignment horizontal="center" vertical="center"/>
    </xf>
    <xf numFmtId="0" fontId="33" fillId="0" borderId="4" xfId="7" applyFont="1" applyBorder="1" applyAlignment="1">
      <alignment horizontal="center" vertical="center"/>
    </xf>
    <xf numFmtId="0" fontId="33" fillId="0" borderId="0" xfId="7" applyFont="1" applyAlignment="1">
      <alignment horizontal="center" vertical="center"/>
    </xf>
    <xf numFmtId="0" fontId="2" fillId="0" borderId="5" xfId="7" applyFont="1" applyBorder="1" applyAlignment="1">
      <alignment horizontal="center" vertical="center"/>
    </xf>
    <xf numFmtId="0" fontId="32" fillId="0" borderId="4" xfId="7" applyFont="1" applyBorder="1" applyAlignment="1">
      <alignment horizontal="center" vertical="center"/>
    </xf>
    <xf numFmtId="0" fontId="2" fillId="0" borderId="6" xfId="7" applyFont="1" applyBorder="1" applyAlignment="1">
      <alignment horizontal="center" vertical="center"/>
    </xf>
    <xf numFmtId="0" fontId="2" fillId="0" borderId="7" xfId="7" applyFont="1" applyBorder="1" applyAlignment="1">
      <alignment horizontal="center" vertical="center"/>
    </xf>
    <xf numFmtId="0" fontId="33" fillId="0" borderId="7" xfId="7" applyFont="1" applyBorder="1" applyAlignment="1">
      <alignment horizontal="center" vertical="center"/>
    </xf>
    <xf numFmtId="0" fontId="2" fillId="0" borderId="8" xfId="7" applyFont="1" applyBorder="1" applyAlignment="1">
      <alignment horizontal="center" vertical="center"/>
    </xf>
    <xf numFmtId="0" fontId="9" fillId="0" borderId="0" xfId="7" applyAlignment="1">
      <alignment horizontal="center"/>
    </xf>
    <xf numFmtId="1" fontId="0" fillId="0" borderId="0" xfId="0" applyNumberFormat="1" applyFont="1"/>
    <xf numFmtId="0" fontId="6" fillId="0" borderId="0" xfId="14" applyFont="1"/>
    <xf numFmtId="0" fontId="4" fillId="0" borderId="0" xfId="14" applyFont="1"/>
    <xf numFmtId="1" fontId="17" fillId="0" borderId="0" xfId="0" applyNumberFormat="1" applyFont="1"/>
    <xf numFmtId="0" fontId="4" fillId="0" borderId="0" xfId="0" applyFont="1" applyBorder="1"/>
    <xf numFmtId="0" fontId="4" fillId="0" borderId="7" xfId="0" applyFont="1" applyFill="1" applyBorder="1"/>
    <xf numFmtId="0" fontId="4" fillId="0" borderId="7" xfId="0" applyFont="1" applyBorder="1"/>
    <xf numFmtId="0" fontId="4" fillId="0" borderId="2" xfId="0" applyFont="1" applyBorder="1"/>
    <xf numFmtId="1" fontId="0" fillId="0" borderId="10" xfId="0" applyNumberFormat="1" applyBorder="1"/>
    <xf numFmtId="1" fontId="4" fillId="0" borderId="0" xfId="4" applyNumberFormat="1" applyFont="1"/>
    <xf numFmtId="1" fontId="8" fillId="0" borderId="0" xfId="0" applyNumberFormat="1" applyFont="1"/>
    <xf numFmtId="3" fontId="6" fillId="0" borderId="0" xfId="0" applyNumberFormat="1" applyFont="1"/>
    <xf numFmtId="1" fontId="0" fillId="0" borderId="0" xfId="0" applyNumberFormat="1" applyAlignment="1"/>
    <xf numFmtId="1" fontId="6" fillId="0" borderId="11" xfId="0" applyNumberFormat="1" applyFont="1" applyBorder="1" applyAlignment="1"/>
    <xf numFmtId="1" fontId="0" fillId="0" borderId="0" xfId="0" applyNumberFormat="1" applyBorder="1" applyAlignment="1"/>
    <xf numFmtId="0" fontId="0" fillId="0" borderId="10" xfId="0" applyBorder="1" applyAlignment="1"/>
    <xf numFmtId="167" fontId="0" fillId="0" borderId="10" xfId="11" applyNumberFormat="1" applyFont="1" applyBorder="1" applyAlignment="1"/>
    <xf numFmtId="1" fontId="4" fillId="0" borderId="10" xfId="4" applyNumberFormat="1" applyFont="1" applyBorder="1"/>
    <xf numFmtId="1" fontId="4" fillId="0" borderId="10" xfId="4" applyNumberFormat="1" applyBorder="1" applyAlignment="1">
      <alignment horizontal="center" wrapText="1"/>
    </xf>
    <xf numFmtId="0" fontId="4" fillId="0" borderId="0" xfId="15" applyFont="1"/>
    <xf numFmtId="1" fontId="4" fillId="0" borderId="0" xfId="15" applyNumberFormat="1" applyFont="1" applyFill="1" applyBorder="1"/>
    <xf numFmtId="3" fontId="4" fillId="0" borderId="0" xfId="15" applyNumberFormat="1" applyFont="1" applyFill="1" applyBorder="1"/>
    <xf numFmtId="3" fontId="4" fillId="0" borderId="0" xfId="15" applyNumberFormat="1" applyFont="1" applyFill="1" applyBorder="1" applyAlignment="1">
      <alignment horizontal="right"/>
    </xf>
    <xf numFmtId="0" fontId="4" fillId="0" borderId="0" xfId="15" applyFont="1" applyFill="1"/>
    <xf numFmtId="0" fontId="4" fillId="0" borderId="0" xfId="15" applyFont="1" applyBorder="1"/>
    <xf numFmtId="1" fontId="4" fillId="0" borderId="0" xfId="15" applyNumberFormat="1" applyFont="1" applyFill="1" applyBorder="1" applyAlignment="1">
      <alignment horizontal="right"/>
    </xf>
    <xf numFmtId="1" fontId="6" fillId="0" borderId="0" xfId="15" applyNumberFormat="1" applyFont="1" applyFill="1" applyBorder="1"/>
    <xf numFmtId="0" fontId="6" fillId="0" borderId="11" xfId="15" applyFont="1" applyFill="1" applyBorder="1"/>
    <xf numFmtId="0" fontId="4" fillId="0" borderId="11" xfId="15" applyFont="1" applyFill="1" applyBorder="1"/>
    <xf numFmtId="1" fontId="4" fillId="0" borderId="10" xfId="15" applyNumberFormat="1" applyFont="1" applyFill="1" applyBorder="1"/>
    <xf numFmtId="0" fontId="6" fillId="0" borderId="10" xfId="15" applyFont="1" applyFill="1" applyBorder="1" applyAlignment="1">
      <alignment horizontal="right"/>
    </xf>
    <xf numFmtId="0" fontId="6" fillId="0" borderId="0" xfId="15" applyFont="1" applyFill="1" applyBorder="1" applyAlignment="1">
      <alignment horizontal="centerContinuous"/>
    </xf>
    <xf numFmtId="3" fontId="4" fillId="0" borderId="10" xfId="15" applyNumberFormat="1" applyFont="1" applyFill="1" applyBorder="1"/>
    <xf numFmtId="0" fontId="4" fillId="0" borderId="0" xfId="15" applyFont="1" applyFill="1" applyAlignment="1">
      <alignment horizontal="right"/>
    </xf>
    <xf numFmtId="1" fontId="4" fillId="0" borderId="0" xfId="15" applyNumberFormat="1" applyFont="1" applyFill="1"/>
    <xf numFmtId="3" fontId="4" fillId="0" borderId="0" xfId="3" applyNumberFormat="1" applyFont="1" applyFill="1"/>
    <xf numFmtId="3" fontId="4" fillId="0" borderId="0" xfId="15" applyNumberFormat="1" applyFont="1" applyFill="1"/>
    <xf numFmtId="1" fontId="6" fillId="0" borderId="11" xfId="15" applyNumberFormat="1" applyFont="1" applyFill="1" applyBorder="1"/>
    <xf numFmtId="0" fontId="4" fillId="0" borderId="0" xfId="15" applyFont="1" applyFill="1" applyBorder="1" applyAlignment="1">
      <alignment horizontal="right"/>
    </xf>
    <xf numFmtId="3" fontId="4" fillId="0" borderId="10" xfId="3" applyNumberFormat="1" applyFont="1" applyFill="1" applyBorder="1" applyAlignment="1">
      <alignment horizontal="right"/>
    </xf>
    <xf numFmtId="0" fontId="4" fillId="0" borderId="10" xfId="15" applyFont="1" applyBorder="1"/>
    <xf numFmtId="1" fontId="6" fillId="0" borderId="0" xfId="15" applyNumberFormat="1" applyFont="1" applyFill="1" applyBorder="1" applyAlignment="1">
      <alignment horizontal="centerContinuous"/>
    </xf>
    <xf numFmtId="0" fontId="6" fillId="0" borderId="10" xfId="15" applyFont="1" applyFill="1" applyBorder="1"/>
    <xf numFmtId="1" fontId="6" fillId="0" borderId="10" xfId="15" applyNumberFormat="1" applyFont="1" applyFill="1" applyBorder="1" applyAlignment="1">
      <alignment horizontal="right"/>
    </xf>
    <xf numFmtId="1" fontId="4" fillId="0" borderId="10" xfId="3" applyNumberFormat="1" applyFont="1" applyFill="1" applyBorder="1" applyAlignment="1">
      <alignment horizontal="right"/>
    </xf>
    <xf numFmtId="0" fontId="6" fillId="0" borderId="0" xfId="15" applyFont="1" applyFill="1" applyBorder="1" applyAlignment="1">
      <alignment horizontal="right"/>
    </xf>
    <xf numFmtId="0" fontId="6" fillId="0" borderId="0" xfId="15" applyFont="1" applyFill="1" applyBorder="1"/>
    <xf numFmtId="1" fontId="6" fillId="0" borderId="0" xfId="15" applyNumberFormat="1" applyFont="1" applyFill="1" applyBorder="1" applyAlignment="1">
      <alignment horizontal="right"/>
    </xf>
    <xf numFmtId="1" fontId="4" fillId="0" borderId="0" xfId="16" applyNumberFormat="1" applyFont="1"/>
    <xf numFmtId="1" fontId="4" fillId="0" borderId="0" xfId="16" applyNumberFormat="1" applyFont="1" applyFill="1" applyBorder="1"/>
    <xf numFmtId="1" fontId="6" fillId="0" borderId="0" xfId="16" applyNumberFormat="1" applyFont="1" applyFill="1" applyBorder="1"/>
    <xf numFmtId="1" fontId="11" fillId="0" borderId="0" xfId="16" applyNumberFormat="1" applyFont="1" applyFill="1" applyBorder="1"/>
    <xf numFmtId="1" fontId="4" fillId="0" borderId="0" xfId="16" applyNumberFormat="1" applyFont="1" applyFill="1" applyBorder="1" applyAlignment="1">
      <alignment horizontal="right"/>
    </xf>
    <xf numFmtId="1" fontId="4" fillId="0" borderId="10" xfId="16" applyNumberFormat="1" applyFont="1" applyFill="1" applyBorder="1"/>
    <xf numFmtId="1" fontId="4" fillId="0" borderId="0" xfId="16" applyNumberFormat="1" applyFont="1" applyFill="1"/>
    <xf numFmtId="1" fontId="6" fillId="0" borderId="0" xfId="16" applyNumberFormat="1" applyFont="1" applyFill="1"/>
    <xf numFmtId="1" fontId="11" fillId="0" borderId="0" xfId="16" applyNumberFormat="1" applyFont="1" applyFill="1"/>
    <xf numFmtId="1" fontId="27" fillId="0" borderId="11" xfId="16" applyNumberFormat="1" applyFont="1" applyFill="1" applyBorder="1"/>
    <xf numFmtId="1" fontId="4" fillId="0" borderId="11" xfId="16" applyNumberFormat="1" applyFont="1" applyFill="1" applyBorder="1"/>
    <xf numFmtId="1" fontId="19" fillId="0" borderId="10" xfId="16" applyNumberFormat="1" applyFont="1" applyFill="1" applyBorder="1"/>
    <xf numFmtId="1" fontId="6" fillId="0" borderId="10" xfId="16" applyNumberFormat="1" applyFont="1" applyFill="1" applyBorder="1" applyAlignment="1">
      <alignment horizontal="right"/>
    </xf>
    <xf numFmtId="1" fontId="19" fillId="0" borderId="0" xfId="16" applyNumberFormat="1" applyFont="1" applyFill="1" applyBorder="1"/>
    <xf numFmtId="0" fontId="17" fillId="0" borderId="11" xfId="5" applyFont="1" applyFill="1" applyBorder="1" applyAlignment="1">
      <alignment horizontal="right"/>
    </xf>
    <xf numFmtId="1" fontId="17" fillId="0" borderId="11" xfId="5" applyNumberFormat="1" applyFont="1" applyFill="1" applyBorder="1" applyAlignment="1">
      <alignment horizontal="right"/>
    </xf>
    <xf numFmtId="0" fontId="17" fillId="0" borderId="10" xfId="5" applyFont="1" applyFill="1" applyBorder="1" applyAlignment="1">
      <alignment horizontal="right"/>
    </xf>
    <xf numFmtId="1" fontId="0" fillId="0" borderId="0" xfId="0" applyNumberFormat="1" applyFill="1" applyBorder="1"/>
    <xf numFmtId="1" fontId="6" fillId="0" borderId="10" xfId="6" applyNumberFormat="1" applyFont="1" applyFill="1" applyBorder="1"/>
    <xf numFmtId="0" fontId="17" fillId="0" borderId="10" xfId="5" applyFont="1" applyFill="1" applyBorder="1"/>
    <xf numFmtId="164" fontId="16" fillId="0" borderId="0" xfId="5" applyNumberFormat="1" applyFill="1"/>
    <xf numFmtId="0" fontId="17" fillId="0" borderId="11" xfId="5" applyFont="1" applyFill="1" applyBorder="1"/>
    <xf numFmtId="0" fontId="32" fillId="0" borderId="0" xfId="5" applyFont="1" applyFill="1" applyBorder="1"/>
    <xf numFmtId="3" fontId="4" fillId="0" borderId="0" xfId="5" applyNumberFormat="1" applyFont="1" applyFill="1" applyBorder="1"/>
    <xf numFmtId="1" fontId="6" fillId="0" borderId="11" xfId="6" applyNumberFormat="1" applyFont="1" applyFill="1" applyBorder="1"/>
    <xf numFmtId="3" fontId="6" fillId="0" borderId="0" xfId="15" applyNumberFormat="1" applyFont="1" applyFill="1" applyBorder="1" applyAlignment="1">
      <alignment horizontal="centerContinuous"/>
    </xf>
    <xf numFmtId="0" fontId="6" fillId="0" borderId="0" xfId="15" applyFont="1" applyFill="1"/>
    <xf numFmtId="1" fontId="6" fillId="0" borderId="0" xfId="7" applyNumberFormat="1" applyFont="1" applyFill="1"/>
    <xf numFmtId="3" fontId="6" fillId="0" borderId="10" xfId="15" applyNumberFormat="1" applyFont="1" applyFill="1" applyBorder="1" applyAlignment="1">
      <alignment horizontal="right"/>
    </xf>
    <xf numFmtId="3" fontId="6" fillId="0" borderId="0" xfId="3" applyNumberFormat="1" applyFont="1" applyFill="1"/>
    <xf numFmtId="0" fontId="10" fillId="0" borderId="0" xfId="3" applyFont="1" applyAlignment="1"/>
    <xf numFmtId="0" fontId="4" fillId="0" borderId="0" xfId="3" applyFont="1"/>
    <xf numFmtId="0" fontId="4" fillId="0" borderId="0" xfId="3" applyFont="1" applyFill="1" applyBorder="1"/>
    <xf numFmtId="1" fontId="4" fillId="0" borderId="0" xfId="3" applyNumberFormat="1" applyFont="1" applyFill="1" applyBorder="1"/>
    <xf numFmtId="1" fontId="4" fillId="0" borderId="0" xfId="3" applyNumberFormat="1" applyFont="1" applyFill="1" applyBorder="1" applyAlignment="1">
      <alignment horizontal="right"/>
    </xf>
    <xf numFmtId="1" fontId="6" fillId="0" borderId="0" xfId="3" applyNumberFormat="1" applyFont="1" applyFill="1" applyBorder="1"/>
    <xf numFmtId="1" fontId="6" fillId="0" borderId="0" xfId="3" applyNumberFormat="1" applyFont="1" applyFill="1" applyBorder="1" applyAlignment="1">
      <alignment horizontal="left"/>
    </xf>
    <xf numFmtId="0" fontId="6" fillId="0" borderId="0" xfId="3" applyFont="1" applyFill="1" applyBorder="1"/>
    <xf numFmtId="0" fontId="6" fillId="0" borderId="0" xfId="3" applyFont="1" applyFill="1" applyBorder="1" applyAlignment="1">
      <alignment horizontal="right"/>
    </xf>
    <xf numFmtId="1" fontId="6" fillId="0" borderId="0" xfId="3" applyNumberFormat="1" applyFont="1" applyFill="1" applyBorder="1" applyAlignment="1">
      <alignment horizontal="right"/>
    </xf>
    <xf numFmtId="3" fontId="4" fillId="0" borderId="0" xfId="3" applyNumberFormat="1" applyFont="1" applyFill="1" applyBorder="1"/>
    <xf numFmtId="0" fontId="4" fillId="0" borderId="0" xfId="3" applyFont="1" applyFill="1"/>
    <xf numFmtId="1" fontId="4" fillId="0" borderId="0" xfId="3" applyNumberFormat="1" applyFont="1" applyFill="1"/>
    <xf numFmtId="0" fontId="6" fillId="0" borderId="11" xfId="3" applyFont="1" applyFill="1" applyBorder="1"/>
    <xf numFmtId="1" fontId="6" fillId="0" borderId="11" xfId="3" applyNumberFormat="1" applyFont="1" applyFill="1" applyBorder="1"/>
    <xf numFmtId="0" fontId="4" fillId="0" borderId="11" xfId="3" applyFont="1" applyFill="1" applyBorder="1"/>
    <xf numFmtId="1" fontId="4" fillId="0" borderId="11" xfId="3" applyNumberFormat="1" applyFont="1" applyFill="1" applyBorder="1"/>
    <xf numFmtId="0" fontId="6" fillId="0" borderId="0" xfId="3" applyFont="1" applyFill="1" applyAlignment="1">
      <alignment horizontal="left"/>
    </xf>
    <xf numFmtId="1" fontId="6" fillId="0" borderId="0" xfId="3" applyNumberFormat="1" applyFont="1" applyFill="1" applyAlignment="1">
      <alignment horizontal="right"/>
    </xf>
    <xf numFmtId="0" fontId="6" fillId="0" borderId="0" xfId="3" applyFont="1" applyFill="1" applyAlignment="1">
      <alignment horizontal="right"/>
    </xf>
    <xf numFmtId="1" fontId="6" fillId="0" borderId="0" xfId="3" applyNumberFormat="1" applyFont="1" applyFill="1" applyAlignment="1">
      <alignment horizontal="left"/>
    </xf>
    <xf numFmtId="1" fontId="6" fillId="0" borderId="0" xfId="3" applyNumberFormat="1" applyFont="1" applyFill="1"/>
    <xf numFmtId="1" fontId="4" fillId="0" borderId="0" xfId="3" applyNumberFormat="1" applyFont="1" applyFill="1" applyAlignment="1">
      <alignment horizontal="right"/>
    </xf>
    <xf numFmtId="0" fontId="4" fillId="0" borderId="10" xfId="3" applyFont="1" applyFill="1" applyBorder="1"/>
    <xf numFmtId="1" fontId="4" fillId="0" borderId="10" xfId="3" applyNumberFormat="1" applyFont="1" applyFill="1" applyBorder="1"/>
    <xf numFmtId="0" fontId="5" fillId="0" borderId="0" xfId="3" applyFont="1" applyFill="1"/>
    <xf numFmtId="0" fontId="6" fillId="0" borderId="0" xfId="3" applyFont="1" applyFill="1" applyBorder="1" applyAlignment="1">
      <alignment horizontal="left"/>
    </xf>
    <xf numFmtId="0" fontId="6" fillId="0" borderId="10" xfId="3" applyFont="1" applyFill="1" applyBorder="1"/>
    <xf numFmtId="1" fontId="6" fillId="0" borderId="10" xfId="3" applyNumberFormat="1" applyFont="1" applyFill="1" applyBorder="1" applyAlignment="1">
      <alignment horizontal="right"/>
    </xf>
    <xf numFmtId="2" fontId="4" fillId="0" borderId="0" xfId="3" applyNumberFormat="1" applyFont="1" applyFill="1" applyAlignment="1">
      <alignment horizontal="right"/>
    </xf>
    <xf numFmtId="164" fontId="4" fillId="0" borderId="0" xfId="3" applyNumberFormat="1" applyFont="1" applyFill="1" applyAlignment="1">
      <alignment horizontal="right"/>
    </xf>
    <xf numFmtId="164" fontId="4" fillId="0" borderId="0" xfId="16" applyNumberFormat="1" applyFont="1" applyFill="1" applyAlignment="1">
      <alignment horizontal="right"/>
    </xf>
    <xf numFmtId="164" fontId="4" fillId="0" borderId="0" xfId="16" applyNumberFormat="1" applyFont="1" applyFill="1" applyBorder="1" applyAlignment="1">
      <alignment horizontal="right"/>
    </xf>
    <xf numFmtId="164" fontId="4" fillId="0" borderId="10" xfId="16" applyNumberFormat="1" applyFont="1" applyFill="1" applyBorder="1" applyAlignment="1">
      <alignment horizontal="right"/>
    </xf>
    <xf numFmtId="166" fontId="4" fillId="0" borderId="0" xfId="3" applyNumberFormat="1" applyFont="1" applyFill="1"/>
    <xf numFmtId="166" fontId="4" fillId="0" borderId="0" xfId="15" applyNumberFormat="1" applyFont="1" applyFill="1"/>
    <xf numFmtId="166" fontId="8" fillId="0" borderId="0" xfId="1" applyNumberFormat="1" applyFont="1"/>
    <xf numFmtId="166" fontId="8" fillId="0" borderId="0" xfId="1" applyNumberFormat="1" applyFont="1" applyBorder="1"/>
    <xf numFmtId="166" fontId="8" fillId="0" borderId="0" xfId="0" applyNumberFormat="1" applyFont="1"/>
    <xf numFmtId="166" fontId="8" fillId="0" borderId="0" xfId="0" applyNumberFormat="1" applyFont="1" applyBorder="1"/>
    <xf numFmtId="166" fontId="8" fillId="0" borderId="10" xfId="1" applyNumberFormat="1" applyFont="1" applyBorder="1"/>
    <xf numFmtId="166" fontId="8" fillId="0" borderId="10" xfId="0" applyNumberFormat="1" applyFont="1" applyBorder="1"/>
    <xf numFmtId="166" fontId="4" fillId="0" borderId="0" xfId="4" applyNumberFormat="1"/>
    <xf numFmtId="166" fontId="4" fillId="0" borderId="10" xfId="4" applyNumberFormat="1" applyBorder="1"/>
    <xf numFmtId="166" fontId="4" fillId="0" borderId="10" xfId="15" applyNumberFormat="1" applyFont="1" applyFill="1" applyBorder="1"/>
    <xf numFmtId="165" fontId="4" fillId="0" borderId="0" xfId="15" applyNumberFormat="1" applyFont="1"/>
    <xf numFmtId="170" fontId="0" fillId="0" borderId="0" xfId="0" applyNumberFormat="1"/>
    <xf numFmtId="1" fontId="4" fillId="0" borderId="0" xfId="16" applyNumberFormat="1" applyFont="1" applyFill="1" applyAlignment="1">
      <alignment horizontal="right"/>
    </xf>
    <xf numFmtId="1" fontId="11" fillId="0" borderId="0" xfId="16" applyNumberFormat="1" applyFont="1" applyFill="1" applyAlignment="1">
      <alignment horizontal="right"/>
    </xf>
    <xf numFmtId="1" fontId="11" fillId="0" borderId="0" xfId="16" applyNumberFormat="1" applyFont="1" applyFill="1" applyBorder="1" applyAlignment="1">
      <alignment horizontal="right"/>
    </xf>
    <xf numFmtId="1" fontId="4" fillId="0" borderId="10" xfId="16" applyNumberFormat="1" applyFont="1" applyFill="1" applyBorder="1" applyAlignment="1">
      <alignment horizontal="right"/>
    </xf>
    <xf numFmtId="1" fontId="11" fillId="0" borderId="10" xfId="16" applyNumberFormat="1" applyFont="1" applyFill="1" applyBorder="1" applyAlignment="1">
      <alignment horizontal="right"/>
    </xf>
    <xf numFmtId="1" fontId="6" fillId="0" borderId="11" xfId="16" applyNumberFormat="1" applyFont="1" applyFill="1" applyBorder="1" applyAlignment="1">
      <alignment horizontal="right"/>
    </xf>
    <xf numFmtId="1" fontId="6" fillId="0" borderId="11" xfId="16" applyNumberFormat="1" applyFont="1" applyFill="1" applyBorder="1" applyAlignment="1">
      <alignment horizontal="center"/>
    </xf>
    <xf numFmtId="1" fontId="6" fillId="0" borderId="0" xfId="16" applyNumberFormat="1" applyFont="1" applyFill="1" applyBorder="1" applyAlignment="1">
      <alignment horizontal="right"/>
    </xf>
    <xf numFmtId="1" fontId="4" fillId="0" borderId="11" xfId="16" applyNumberFormat="1" applyFont="1" applyFill="1" applyBorder="1" applyAlignment="1">
      <alignment horizontal="right"/>
    </xf>
    <xf numFmtId="0" fontId="6" fillId="0" borderId="10" xfId="3" applyFont="1" applyBorder="1" applyAlignment="1">
      <alignment horizontal="center"/>
    </xf>
    <xf numFmtId="0" fontId="6" fillId="0" borderId="10" xfId="3" applyFont="1" applyBorder="1"/>
    <xf numFmtId="4" fontId="4" fillId="0" borderId="0" xfId="3" applyNumberFormat="1" applyFont="1" applyFill="1" applyBorder="1"/>
    <xf numFmtId="4" fontId="4" fillId="0" borderId="0" xfId="15" applyNumberFormat="1" applyFont="1" applyFill="1" applyBorder="1"/>
    <xf numFmtId="166" fontId="4" fillId="0" borderId="0" xfId="3" applyNumberFormat="1" applyFont="1" applyFill="1" applyBorder="1"/>
    <xf numFmtId="166" fontId="4" fillId="0" borderId="0" xfId="15" applyNumberFormat="1" applyFont="1" applyFill="1" applyBorder="1"/>
    <xf numFmtId="0" fontId="14" fillId="0" borderId="0" xfId="15" applyFont="1"/>
    <xf numFmtId="0" fontId="14" fillId="0" borderId="0" xfId="15" applyFont="1" applyFill="1" applyBorder="1" applyAlignment="1">
      <alignment horizontal="centerContinuous"/>
    </xf>
    <xf numFmtId="0" fontId="14" fillId="0" borderId="0" xfId="4" applyFont="1" applyBorder="1"/>
    <xf numFmtId="0" fontId="4" fillId="0" borderId="0" xfId="4" applyAlignment="1">
      <alignment horizontal="center" vertical="center"/>
    </xf>
    <xf numFmtId="164" fontId="4" fillId="0" borderId="0" xfId="3" applyNumberFormat="1" applyFont="1" applyAlignment="1">
      <alignment horizontal="center" vertical="center"/>
    </xf>
    <xf numFmtId="1" fontId="4" fillId="0" borderId="0" xfId="15" applyNumberFormat="1" applyFont="1" applyFill="1" applyAlignment="1">
      <alignment vertical="center"/>
    </xf>
    <xf numFmtId="3" fontId="4" fillId="0" borderId="0" xfId="3" applyNumberFormat="1" applyFont="1" applyFill="1" applyAlignment="1">
      <alignment horizontal="center" vertical="center"/>
    </xf>
    <xf numFmtId="3" fontId="4" fillId="0" borderId="0" xfId="15" applyNumberFormat="1" applyFont="1" applyFill="1" applyAlignment="1">
      <alignment horizontal="center" vertical="center"/>
    </xf>
    <xf numFmtId="1" fontId="6" fillId="0" borderId="10" xfId="15" applyNumberFormat="1" applyFont="1" applyFill="1" applyBorder="1" applyAlignment="1">
      <alignment vertical="center"/>
    </xf>
    <xf numFmtId="3" fontId="6" fillId="0" borderId="10" xfId="15" applyNumberFormat="1" applyFont="1" applyFill="1" applyBorder="1" applyAlignment="1">
      <alignment horizontal="center" vertical="center"/>
    </xf>
    <xf numFmtId="0" fontId="6" fillId="0" borderId="0" xfId="15" applyFont="1"/>
    <xf numFmtId="164" fontId="6" fillId="0" borderId="10" xfId="3" applyNumberFormat="1" applyFont="1" applyBorder="1" applyAlignment="1">
      <alignment horizontal="center" vertical="center"/>
    </xf>
    <xf numFmtId="0" fontId="6" fillId="0" borderId="10" xfId="4" applyFont="1" applyBorder="1" applyAlignment="1">
      <alignment horizontal="center" vertical="center"/>
    </xf>
    <xf numFmtId="1" fontId="4" fillId="0" borderId="0" xfId="15" applyNumberFormat="1" applyFont="1" applyFill="1" applyBorder="1" applyAlignment="1">
      <alignment vertical="center"/>
    </xf>
    <xf numFmtId="3" fontId="4" fillId="0" borderId="0" xfId="3" applyNumberFormat="1" applyFont="1" applyFill="1" applyBorder="1" applyAlignment="1">
      <alignment horizontal="center" vertical="center"/>
    </xf>
    <xf numFmtId="9" fontId="0" fillId="0" borderId="0" xfId="11" applyFont="1"/>
    <xf numFmtId="9" fontId="6" fillId="0" borderId="0" xfId="11" applyFont="1"/>
    <xf numFmtId="0" fontId="6" fillId="0" borderId="10" xfId="0" applyFont="1" applyBorder="1" applyAlignment="1">
      <alignment horizontal="center"/>
    </xf>
    <xf numFmtId="1" fontId="6" fillId="0" borderId="10" xfId="0" applyNumberFormat="1" applyFont="1" applyBorder="1" applyAlignment="1">
      <alignment horizontal="center"/>
    </xf>
    <xf numFmtId="3" fontId="14" fillId="0" borderId="0" xfId="3" applyNumberFormat="1" applyFont="1"/>
    <xf numFmtId="0" fontId="6" fillId="0" borderId="0" xfId="0" applyFont="1" applyBorder="1" applyAlignment="1">
      <alignment wrapText="1"/>
    </xf>
    <xf numFmtId="0" fontId="4" fillId="0" borderId="0" xfId="0" applyNumberFormat="1" applyFont="1" applyAlignment="1">
      <alignment wrapText="1"/>
    </xf>
    <xf numFmtId="1" fontId="4" fillId="0" borderId="9" xfId="0" applyNumberFormat="1" applyFont="1" applyBorder="1" applyAlignment="1">
      <alignment horizontal="right" wrapText="1"/>
    </xf>
    <xf numFmtId="3" fontId="4" fillId="0" borderId="0" xfId="0" applyNumberFormat="1" applyFont="1" applyAlignment="1">
      <alignment wrapText="1"/>
    </xf>
    <xf numFmtId="167" fontId="4" fillId="0" borderId="0" xfId="10" applyNumberFormat="1" applyFont="1" applyAlignment="1">
      <alignment wrapText="1"/>
    </xf>
    <xf numFmtId="0" fontId="11" fillId="0" borderId="10" xfId="0" applyFont="1" applyBorder="1"/>
    <xf numFmtId="1" fontId="4" fillId="0" borderId="0" xfId="0" applyNumberFormat="1" applyFont="1" applyBorder="1" applyAlignment="1">
      <alignment horizontal="right" wrapText="1"/>
    </xf>
    <xf numFmtId="1" fontId="0" fillId="0" borderId="10" xfId="0" applyNumberFormat="1" applyBorder="1" applyAlignment="1"/>
    <xf numFmtId="3" fontId="4" fillId="0" borderId="10" xfId="0" applyNumberFormat="1" applyFont="1" applyBorder="1" applyAlignment="1">
      <alignment wrapText="1"/>
    </xf>
    <xf numFmtId="167" fontId="4" fillId="0" borderId="10" xfId="10" applyNumberFormat="1" applyFont="1" applyBorder="1" applyAlignment="1">
      <alignment wrapText="1"/>
    </xf>
    <xf numFmtId="1" fontId="6" fillId="0" borderId="0" xfId="0" applyNumberFormat="1" applyFont="1" applyBorder="1"/>
    <xf numFmtId="3" fontId="8" fillId="0" borderId="0" xfId="3" applyNumberFormat="1" applyFont="1" applyBorder="1"/>
    <xf numFmtId="1" fontId="4" fillId="0" borderId="0" xfId="0" applyNumberFormat="1" applyFont="1" applyAlignment="1">
      <alignment horizontal="right"/>
    </xf>
    <xf numFmtId="0" fontId="28" fillId="0" borderId="0" xfId="7" applyFont="1" applyAlignment="1">
      <alignment horizontal="center"/>
    </xf>
    <xf numFmtId="0" fontId="31" fillId="0" borderId="0" xfId="7" applyFont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5" fillId="0" borderId="0" xfId="7" applyFont="1" applyAlignment="1">
      <alignment horizontal="center" vertical="center"/>
    </xf>
    <xf numFmtId="0" fontId="9" fillId="0" borderId="0" xfId="7" applyFont="1" applyAlignment="1">
      <alignment horizontal="center"/>
    </xf>
    <xf numFmtId="0" fontId="36" fillId="0" borderId="0" xfId="0" applyFont="1" applyAlignment="1">
      <alignment vertical="center"/>
    </xf>
    <xf numFmtId="14" fontId="0" fillId="0" borderId="0" xfId="0" applyNumberFormat="1"/>
    <xf numFmtId="0" fontId="28" fillId="0" borderId="0" xfId="7" applyFont="1" applyAlignment="1">
      <alignment horizontal="center"/>
    </xf>
    <xf numFmtId="0" fontId="29" fillId="5" borderId="0" xfId="7" applyFont="1" applyFill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2" fillId="0" borderId="0" xfId="7" applyFont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0" fontId="6" fillId="0" borderId="10" xfId="3" applyFont="1" applyFill="1" applyBorder="1" applyAlignment="1">
      <alignment horizontal="center"/>
    </xf>
    <xf numFmtId="1" fontId="6" fillId="0" borderId="11" xfId="16" applyNumberFormat="1" applyFont="1" applyFill="1" applyBorder="1" applyAlignment="1">
      <alignment horizontal="center"/>
    </xf>
    <xf numFmtId="1" fontId="6" fillId="0" borderId="0" xfId="15" applyNumberFormat="1" applyFont="1" applyFill="1" applyBorder="1" applyAlignment="1">
      <alignment horizontal="center"/>
    </xf>
    <xf numFmtId="0" fontId="6" fillId="0" borderId="0" xfId="15" applyFont="1" applyFill="1" applyBorder="1" applyAlignment="1">
      <alignment horizontal="center"/>
    </xf>
    <xf numFmtId="1" fontId="6" fillId="0" borderId="0" xfId="16" applyNumberFormat="1" applyFont="1" applyFill="1" applyBorder="1" applyAlignment="1">
      <alignment horizontal="center"/>
    </xf>
    <xf numFmtId="0" fontId="6" fillId="0" borderId="0" xfId="15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7" fillId="0" borderId="0" xfId="5" applyFont="1" applyFill="1" applyAlignment="1">
      <alignment horizontal="center"/>
    </xf>
    <xf numFmtId="0" fontId="17" fillId="0" borderId="9" xfId="5" applyFont="1" applyFill="1" applyBorder="1" applyAlignment="1">
      <alignment horizontal="center"/>
    </xf>
    <xf numFmtId="0" fontId="17" fillId="0" borderId="0" xfId="5" applyFont="1" applyFill="1" applyBorder="1" applyAlignment="1">
      <alignment horizontal="center"/>
    </xf>
    <xf numFmtId="0" fontId="8" fillId="0" borderId="11" xfId="0" applyNumberFormat="1" applyFont="1" applyBorder="1" applyAlignment="1">
      <alignment horizontal="center" wrapText="1"/>
    </xf>
    <xf numFmtId="1" fontId="8" fillId="0" borderId="11" xfId="0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10" fillId="0" borderId="0" xfId="3" applyFont="1" applyAlignment="1">
      <alignment horizontal="left" vertical="top" wrapText="1"/>
    </xf>
    <xf numFmtId="0" fontId="6" fillId="0" borderId="0" xfId="4" applyFont="1" applyBorder="1" applyAlignment="1">
      <alignment horizontal="center"/>
    </xf>
    <xf numFmtId="0" fontId="6" fillId="0" borderId="11" xfId="4" applyFont="1" applyBorder="1" applyAlignment="1">
      <alignment horizontal="center"/>
    </xf>
    <xf numFmtId="0" fontId="15" fillId="0" borderId="0" xfId="0" applyFont="1" applyAlignment="1">
      <alignment horizontal="left" vertical="top" wrapText="1"/>
    </xf>
    <xf numFmtId="0" fontId="17" fillId="4" borderId="10" xfId="5" applyFont="1" applyFill="1" applyBorder="1" applyAlignment="1">
      <alignment horizontal="center"/>
    </xf>
    <xf numFmtId="0" fontId="17" fillId="4" borderId="11" xfId="5" applyFont="1" applyFill="1" applyBorder="1" applyAlignment="1">
      <alignment horizontal="center"/>
    </xf>
    <xf numFmtId="0" fontId="17" fillId="4" borderId="11" xfId="5" applyFont="1" applyFill="1" applyBorder="1" applyAlignment="1">
      <alignment horizontal="center" wrapText="1"/>
    </xf>
    <xf numFmtId="0" fontId="6" fillId="0" borderId="9" xfId="4" applyNumberFormat="1" applyFont="1" applyBorder="1" applyAlignment="1">
      <alignment horizontal="center"/>
    </xf>
    <xf numFmtId="0" fontId="6" fillId="0" borderId="0" xfId="4" applyNumberFormat="1" applyFont="1" applyBorder="1" applyAlignment="1">
      <alignment horizontal="center"/>
    </xf>
    <xf numFmtId="0" fontId="6" fillId="0" borderId="9" xfId="4" applyFont="1" applyBorder="1" applyAlignment="1">
      <alignment horizontal="center"/>
    </xf>
  </cellXfs>
  <cellStyles count="17">
    <cellStyle name="Comma" xfId="1" builtinId="3"/>
    <cellStyle name="Hyperlink" xfId="12" builtinId="8"/>
    <cellStyle name="Normal" xfId="0" builtinId="0"/>
    <cellStyle name="Normal 2" xfId="4"/>
    <cellStyle name="Normal 2 2" xfId="7"/>
    <cellStyle name="Normal 3" xfId="6"/>
    <cellStyle name="Normal 3 2" xfId="14"/>
    <cellStyle name="Normal 4" xfId="8"/>
    <cellStyle name="Normal 5" xfId="5"/>
    <cellStyle name="Normal 6" xfId="9"/>
    <cellStyle name="Normal 7" xfId="15"/>
    <cellStyle name="Normal_16UK" xfId="2"/>
    <cellStyle name="Normal_Book2" xfId="16"/>
    <cellStyle name="Normal_SSDAtables" xfId="3"/>
    <cellStyle name="Normal_WarningSheet" xfId="13"/>
    <cellStyle name="Percent" xfId="11" builtinId="5"/>
    <cellStyle name="Percent 2" xfId="10"/>
  </cellStyles>
  <dxfs count="13">
    <dxf>
      <font>
        <b/>
        <i val="0"/>
        <condense val="0"/>
        <extend val="0"/>
        <color auto="1"/>
      </font>
    </dxf>
    <dxf>
      <font>
        <color theme="1" tint="0.34998626667073579"/>
      </font>
    </dxf>
    <dxf>
      <font>
        <b/>
        <i val="0"/>
        <condense val="0"/>
        <extend val="0"/>
        <color auto="1"/>
      </font>
    </dxf>
    <dxf>
      <font>
        <color theme="1" tint="0.3499862666707357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756178915522327"/>
          <c:y val="2.8320326004183771E-2"/>
          <c:w val="0.63925054006941662"/>
          <c:h val="0.896484802477265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'Ind F1'!$M$6</c:f>
              <c:strCache>
                <c:ptCount val="1"/>
                <c:pt idx="0">
                  <c:v>2007-2017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'Ind F1'!$L$7:$L$40</c:f>
              <c:strCache>
                <c:ptCount val="34"/>
                <c:pt idx="0">
                  <c:v>All industries</c:v>
                </c:pt>
                <c:pt idx="2">
                  <c:v>Health and social work</c:v>
                </c:pt>
                <c:pt idx="3">
                  <c:v>Education</c:v>
                </c:pt>
                <c:pt idx="4">
                  <c:v>Public admin. and defence</c:v>
                </c:pt>
                <c:pt idx="5">
                  <c:v>[Non-marketed services]</c:v>
                </c:pt>
                <c:pt idx="7">
                  <c:v>Other services</c:v>
                </c:pt>
                <c:pt idx="8">
                  <c:v>Arts and entertainment</c:v>
                </c:pt>
                <c:pt idx="9">
                  <c:v>Support services</c:v>
                </c:pt>
                <c:pt idx="10">
                  <c:v>Professional services</c:v>
                </c:pt>
                <c:pt idx="11">
                  <c:v>Real estate</c:v>
                </c:pt>
                <c:pt idx="12">
                  <c:v>Finance and insurance</c:v>
                </c:pt>
                <c:pt idx="13">
                  <c:v>Information technology</c:v>
                </c:pt>
                <c:pt idx="14">
                  <c:v>Media</c:v>
                </c:pt>
                <c:pt idx="15">
                  <c:v>[Business and other services]</c:v>
                </c:pt>
                <c:pt idx="17">
                  <c:v>Accommodation and food</c:v>
                </c:pt>
                <c:pt idx="18">
                  <c:v>Transport and storage</c:v>
                </c:pt>
                <c:pt idx="19">
                  <c:v>Wholesale and retail trade</c:v>
                </c:pt>
                <c:pt idx="20">
                  <c:v>[Trade, accomod. and transport]</c:v>
                </c:pt>
                <c:pt idx="22">
                  <c:v>[Construction]</c:v>
                </c:pt>
                <c:pt idx="24">
                  <c:v>Rest of manufacturing</c:v>
                </c:pt>
                <c:pt idx="25">
                  <c:v>Engineering</c:v>
                </c:pt>
                <c:pt idx="26">
                  <c:v>Food drink and tobacco</c:v>
                </c:pt>
                <c:pt idx="27">
                  <c:v>[Manufacturing]</c:v>
                </c:pt>
                <c:pt idx="29">
                  <c:v>Water and sewerage</c:v>
                </c:pt>
                <c:pt idx="30">
                  <c:v>Electricity and gas</c:v>
                </c:pt>
                <c:pt idx="31">
                  <c:v>Mining and quarrying</c:v>
                </c:pt>
                <c:pt idx="32">
                  <c:v>Agriculture</c:v>
                </c:pt>
                <c:pt idx="33">
                  <c:v>[Primary sector and utilities]</c:v>
                </c:pt>
              </c:strCache>
            </c:strRef>
          </c:cat>
          <c:val>
            <c:numRef>
              <c:f>'Ind F1'!$M$7:$M$40</c:f>
              <c:numCache>
                <c:formatCode>General</c:formatCode>
                <c:ptCount val="34"/>
                <c:pt idx="0">
                  <c:v>0.82593264427839319</c:v>
                </c:pt>
                <c:pt idx="2">
                  <c:v>3.0988762533424419</c:v>
                </c:pt>
                <c:pt idx="3">
                  <c:v>1.3907859330511529</c:v>
                </c:pt>
                <c:pt idx="4">
                  <c:v>-1.3460905205606166</c:v>
                </c:pt>
                <c:pt idx="5">
                  <c:v>1.6681323644970325</c:v>
                </c:pt>
                <c:pt idx="7">
                  <c:v>1.766863330910029</c:v>
                </c:pt>
                <c:pt idx="8">
                  <c:v>1.1418911399436293</c:v>
                </c:pt>
                <c:pt idx="9">
                  <c:v>0.81281796708414511</c:v>
                </c:pt>
                <c:pt idx="10">
                  <c:v>0.25769966366862018</c:v>
                </c:pt>
                <c:pt idx="11">
                  <c:v>5.1906432045870643</c:v>
                </c:pt>
                <c:pt idx="12">
                  <c:v>-1.3966763190042641</c:v>
                </c:pt>
                <c:pt idx="13">
                  <c:v>3.2591971434865474</c:v>
                </c:pt>
                <c:pt idx="14">
                  <c:v>-2.9379851449360728</c:v>
                </c:pt>
                <c:pt idx="15">
                  <c:v>0.9066176783572466</c:v>
                </c:pt>
                <c:pt idx="17">
                  <c:v>3.6903970196577429</c:v>
                </c:pt>
                <c:pt idx="18">
                  <c:v>-1.9216063434280062</c:v>
                </c:pt>
                <c:pt idx="19">
                  <c:v>-0.52525108011537425</c:v>
                </c:pt>
                <c:pt idx="20">
                  <c:v>0.60834045974265116</c:v>
                </c:pt>
                <c:pt idx="22">
                  <c:v>-0.66045998983590426</c:v>
                </c:pt>
                <c:pt idx="24">
                  <c:v>-1.1650293127010047</c:v>
                </c:pt>
                <c:pt idx="25">
                  <c:v>-3.8180474647720231</c:v>
                </c:pt>
                <c:pt idx="26">
                  <c:v>-1.6625847907383973</c:v>
                </c:pt>
                <c:pt idx="27">
                  <c:v>-1.5797525278207991</c:v>
                </c:pt>
                <c:pt idx="29">
                  <c:v>2.3013924287680565</c:v>
                </c:pt>
                <c:pt idx="30">
                  <c:v>5.3718803082824618</c:v>
                </c:pt>
                <c:pt idx="31">
                  <c:v>5.2822772817520125</c:v>
                </c:pt>
                <c:pt idx="32">
                  <c:v>4.8882670519198035</c:v>
                </c:pt>
                <c:pt idx="33">
                  <c:v>4.539781998099679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3-4BE8-A289-BE30E28486EE}"/>
            </c:ext>
          </c:extLst>
        </c:ser>
        <c:ser>
          <c:idx val="0"/>
          <c:order val="1"/>
          <c:tx>
            <c:strRef>
              <c:f>'Ind F1'!$N$6</c:f>
              <c:strCache>
                <c:ptCount val="1"/>
                <c:pt idx="0">
                  <c:v>2017-2027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'Ind F1'!$L$7:$L$40</c:f>
              <c:strCache>
                <c:ptCount val="34"/>
                <c:pt idx="0">
                  <c:v>All industries</c:v>
                </c:pt>
                <c:pt idx="2">
                  <c:v>Health and social work</c:v>
                </c:pt>
                <c:pt idx="3">
                  <c:v>Education</c:v>
                </c:pt>
                <c:pt idx="4">
                  <c:v>Public admin. and defence</c:v>
                </c:pt>
                <c:pt idx="5">
                  <c:v>[Non-marketed services]</c:v>
                </c:pt>
                <c:pt idx="7">
                  <c:v>Other services</c:v>
                </c:pt>
                <c:pt idx="8">
                  <c:v>Arts and entertainment</c:v>
                </c:pt>
                <c:pt idx="9">
                  <c:v>Support services</c:v>
                </c:pt>
                <c:pt idx="10">
                  <c:v>Professional services</c:v>
                </c:pt>
                <c:pt idx="11">
                  <c:v>Real estate</c:v>
                </c:pt>
                <c:pt idx="12">
                  <c:v>Finance and insurance</c:v>
                </c:pt>
                <c:pt idx="13">
                  <c:v>Information technology</c:v>
                </c:pt>
                <c:pt idx="14">
                  <c:v>Media</c:v>
                </c:pt>
                <c:pt idx="15">
                  <c:v>[Business and other services]</c:v>
                </c:pt>
                <c:pt idx="17">
                  <c:v>Accommodation and food</c:v>
                </c:pt>
                <c:pt idx="18">
                  <c:v>Transport and storage</c:v>
                </c:pt>
                <c:pt idx="19">
                  <c:v>Wholesale and retail trade</c:v>
                </c:pt>
                <c:pt idx="20">
                  <c:v>[Trade, accomod. and transport]</c:v>
                </c:pt>
                <c:pt idx="22">
                  <c:v>[Construction]</c:v>
                </c:pt>
                <c:pt idx="24">
                  <c:v>Rest of manufacturing</c:v>
                </c:pt>
                <c:pt idx="25">
                  <c:v>Engineering</c:v>
                </c:pt>
                <c:pt idx="26">
                  <c:v>Food drink and tobacco</c:v>
                </c:pt>
                <c:pt idx="27">
                  <c:v>[Manufacturing]</c:v>
                </c:pt>
                <c:pt idx="29">
                  <c:v>Water and sewerage</c:v>
                </c:pt>
                <c:pt idx="30">
                  <c:v>Electricity and gas</c:v>
                </c:pt>
                <c:pt idx="31">
                  <c:v>Mining and quarrying</c:v>
                </c:pt>
                <c:pt idx="32">
                  <c:v>Agriculture</c:v>
                </c:pt>
                <c:pt idx="33">
                  <c:v>[Primary sector and utilities]</c:v>
                </c:pt>
              </c:strCache>
            </c:strRef>
          </c:cat>
          <c:val>
            <c:numRef>
              <c:f>'Ind F1'!$N$7:$N$40</c:f>
              <c:numCache>
                <c:formatCode>General</c:formatCode>
                <c:ptCount val="34"/>
                <c:pt idx="0">
                  <c:v>0.25470250340746681</c:v>
                </c:pt>
                <c:pt idx="2">
                  <c:v>0.8946901425981979</c:v>
                </c:pt>
                <c:pt idx="3">
                  <c:v>-0.18949818382655303</c:v>
                </c:pt>
                <c:pt idx="4">
                  <c:v>-0.10870298600861306</c:v>
                </c:pt>
                <c:pt idx="5">
                  <c:v>0.41499863842566764</c:v>
                </c:pt>
                <c:pt idx="7">
                  <c:v>0.23304112212112482</c:v>
                </c:pt>
                <c:pt idx="8">
                  <c:v>0.91638765471566686</c:v>
                </c:pt>
                <c:pt idx="9">
                  <c:v>0.61777854253628472</c:v>
                </c:pt>
                <c:pt idx="10">
                  <c:v>0.70651871677238631</c:v>
                </c:pt>
                <c:pt idx="11">
                  <c:v>0.8338668858585585</c:v>
                </c:pt>
                <c:pt idx="12">
                  <c:v>0.94169514715478631</c:v>
                </c:pt>
                <c:pt idx="13">
                  <c:v>0.40596276089932548</c:v>
                </c:pt>
                <c:pt idx="14">
                  <c:v>0.14915535506434541</c:v>
                </c:pt>
                <c:pt idx="15">
                  <c:v>0.64072979589373524</c:v>
                </c:pt>
                <c:pt idx="17">
                  <c:v>0.41679792688689155</c:v>
                </c:pt>
                <c:pt idx="18">
                  <c:v>-0.10059759038657523</c:v>
                </c:pt>
                <c:pt idx="19">
                  <c:v>9.4458822663456843E-2</c:v>
                </c:pt>
                <c:pt idx="20">
                  <c:v>0.19215683790405613</c:v>
                </c:pt>
                <c:pt idx="22">
                  <c:v>9.3911802122881305E-2</c:v>
                </c:pt>
                <c:pt idx="24">
                  <c:v>-0.91053944986086988</c:v>
                </c:pt>
                <c:pt idx="25">
                  <c:v>-0.49413998603901055</c:v>
                </c:pt>
                <c:pt idx="26">
                  <c:v>-1.0921235169110366</c:v>
                </c:pt>
                <c:pt idx="27">
                  <c:v>-0.88670041954280743</c:v>
                </c:pt>
                <c:pt idx="29">
                  <c:v>1.3878789786186951</c:v>
                </c:pt>
                <c:pt idx="30">
                  <c:v>-0.22912000484592854</c:v>
                </c:pt>
                <c:pt idx="31">
                  <c:v>-2.0428219945939574</c:v>
                </c:pt>
                <c:pt idx="32">
                  <c:v>3.0882641103624486E-2</c:v>
                </c:pt>
                <c:pt idx="33">
                  <c:v>0.14288242996218781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3-4BE8-A289-BE30E2848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26392"/>
        <c:axId val="137969896"/>
      </c:barChart>
      <c:catAx>
        <c:axId val="2514263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969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969896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per annum</a:t>
                </a:r>
              </a:p>
            </c:rich>
          </c:tx>
          <c:layout>
            <c:manualLayout>
              <c:xMode val="edge"/>
              <c:yMode val="edge"/>
              <c:x val="0.85281505458472884"/>
              <c:y val="0.95703170634829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426392"/>
        <c:crosses val="autoZero"/>
        <c:crossBetween val="between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934191150069"/>
          <c:y val="0.95507858041695559"/>
          <c:w val="0.11544027811637315"/>
          <c:h val="4.1992207523444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50393659" l="0.748031496063017" r="0.748031496063017" t="0.98425196850393659" header="0.51181102362204722" footer="0.51181102362204722"/>
    <c:pageSetup paperSize="9"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55595169263345"/>
          <c:y val="1.6701461377870683E-2"/>
          <c:w val="0.70317569316670592"/>
          <c:h val="0.83507306889352861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'Ind F2'!$N$260</c:f>
              <c:strCache>
                <c:ptCount val="1"/>
                <c:pt idx="0">
                  <c:v>2007-2017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'Ind F2'!$L$261:$L$268</c:f>
              <c:strCache>
                <c:ptCount val="8"/>
                <c:pt idx="0">
                  <c:v>Non-marketed services</c:v>
                </c:pt>
                <c:pt idx="1">
                  <c:v>Business and other services</c:v>
                </c:pt>
                <c:pt idx="2">
                  <c:v>Trade, accomod. and transport</c:v>
                </c:pt>
                <c:pt idx="3">
                  <c:v>Construction</c:v>
                </c:pt>
                <c:pt idx="4">
                  <c:v>Manufacturing</c:v>
                </c:pt>
                <c:pt idx="5">
                  <c:v>Primary sector and utilities</c:v>
                </c:pt>
                <c:pt idx="7">
                  <c:v>All industries</c:v>
                </c:pt>
              </c:strCache>
            </c:strRef>
          </c:cat>
          <c:val>
            <c:numRef>
              <c:f>'Ind F2'!$N$261:$N$268</c:f>
              <c:numCache>
                <c:formatCode>#,##0</c:formatCode>
                <c:ptCount val="8"/>
                <c:pt idx="0">
                  <c:v>72.827999990766273</c:v>
                </c:pt>
                <c:pt idx="1">
                  <c:v>29.010000000068146</c:v>
                </c:pt>
                <c:pt idx="2">
                  <c:v>22.391000007504829</c:v>
                </c:pt>
                <c:pt idx="3">
                  <c:v>-7.337000000829434</c:v>
                </c:pt>
                <c:pt idx="4">
                  <c:v>-25.34299999902359</c:v>
                </c:pt>
                <c:pt idx="5">
                  <c:v>29.244000000412385</c:v>
                </c:pt>
                <c:pt idx="7">
                  <c:v>120.79299999889872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3-45E8-A7D6-A7274F9997D3}"/>
            </c:ext>
          </c:extLst>
        </c:ser>
        <c:ser>
          <c:idx val="2"/>
          <c:order val="1"/>
          <c:tx>
            <c:strRef>
              <c:f>'Ind F2'!$O$260</c:f>
              <c:strCache>
                <c:ptCount val="1"/>
                <c:pt idx="0">
                  <c:v>2017-2027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'Ind F2'!$L$261:$L$268</c:f>
              <c:strCache>
                <c:ptCount val="8"/>
                <c:pt idx="0">
                  <c:v>Non-marketed services</c:v>
                </c:pt>
                <c:pt idx="1">
                  <c:v>Business and other services</c:v>
                </c:pt>
                <c:pt idx="2">
                  <c:v>Trade, accomod. and transport</c:v>
                </c:pt>
                <c:pt idx="3">
                  <c:v>Construction</c:v>
                </c:pt>
                <c:pt idx="4">
                  <c:v>Manufacturing</c:v>
                </c:pt>
                <c:pt idx="5">
                  <c:v>Primary sector and utilities</c:v>
                </c:pt>
                <c:pt idx="7">
                  <c:v>All industries</c:v>
                </c:pt>
              </c:strCache>
            </c:strRef>
          </c:cat>
          <c:val>
            <c:numRef>
              <c:f>'Ind F2'!$O$261:$O$268</c:f>
              <c:numCache>
                <c:formatCode>#,##0</c:formatCode>
                <c:ptCount val="8"/>
                <c:pt idx="0">
                  <c:v>20.19600000725444</c:v>
                </c:pt>
                <c:pt idx="1">
                  <c:v>22.170000001109713</c:v>
                </c:pt>
                <c:pt idx="2">
                  <c:v>7.3749999947977471</c:v>
                </c:pt>
                <c:pt idx="3">
                  <c:v>1.0099999997376443</c:v>
                </c:pt>
                <c:pt idx="4">
                  <c:v>-12.511000001570864</c:v>
                </c:pt>
                <c:pt idx="5">
                  <c:v>1.172999999714321</c:v>
                </c:pt>
                <c:pt idx="7">
                  <c:v>39.413000001043002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3-45E8-A7D6-A7274F999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552992"/>
        <c:axId val="313553384"/>
      </c:barChart>
      <c:catAx>
        <c:axId val="31355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3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553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29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444497836833232"/>
          <c:y val="0.93528183716075164"/>
          <c:w val="0.29841316098271448"/>
          <c:h val="4.59290187891439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571462452191999"/>
          <c:y val="1.2452118927463975E-2"/>
          <c:w val="0.48285747967179132"/>
          <c:h val="0.913793958215433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'Occ F1'!$N$6</c:f>
              <c:strCache>
                <c:ptCount val="1"/>
                <c:pt idx="0">
                  <c:v>2017-2027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'Occ F1'!$L$7:$L$50</c:f>
              <c:strCache>
                <c:ptCount val="44"/>
                <c:pt idx="0">
                  <c:v>All occupations</c:v>
                </c:pt>
                <c:pt idx="2">
                  <c:v> 92 Elementary administration and service occupations</c:v>
                </c:pt>
                <c:pt idx="3">
                  <c:v> 91 Elementary trades and related occupations</c:v>
                </c:pt>
                <c:pt idx="4">
                  <c:v>[Elementary occupations]</c:v>
                </c:pt>
                <c:pt idx="6">
                  <c:v> 82 Transport and mobile machine drivers and operatives</c:v>
                </c:pt>
                <c:pt idx="7">
                  <c:v> 81 Process, plant and machine operatives</c:v>
                </c:pt>
                <c:pt idx="8">
                  <c:v>[Process, plant and machine operatives]</c:v>
                </c:pt>
                <c:pt idx="10">
                  <c:v> 72 Customer service occupations</c:v>
                </c:pt>
                <c:pt idx="11">
                  <c:v> 71 Sales occupations</c:v>
                </c:pt>
                <c:pt idx="12">
                  <c:v>[Sales and customer service]</c:v>
                </c:pt>
                <c:pt idx="14">
                  <c:v> 62 Leisure, travel and related personal service occupations</c:v>
                </c:pt>
                <c:pt idx="15">
                  <c:v> 61 Caring personal service occupations</c:v>
                </c:pt>
                <c:pt idx="16">
                  <c:v>[Caring, leisure and other service]</c:v>
                </c:pt>
                <c:pt idx="18">
                  <c:v> 54 Textiles, printing and other skilled trades</c:v>
                </c:pt>
                <c:pt idx="19">
                  <c:v> 53 Skilled construction and building trades</c:v>
                </c:pt>
                <c:pt idx="20">
                  <c:v> 52 Skilled metal, electrical and electronic trades</c:v>
                </c:pt>
                <c:pt idx="21">
                  <c:v> 51 Skilled agricultural and related trades</c:v>
                </c:pt>
                <c:pt idx="22">
                  <c:v>[Skilled trades occupations]</c:v>
                </c:pt>
                <c:pt idx="24">
                  <c:v> 42 Secretarial and related occupations</c:v>
                </c:pt>
                <c:pt idx="25">
                  <c:v> 41 Administrative occupations</c:v>
                </c:pt>
                <c:pt idx="26">
                  <c:v>[Administrative and secretarial]</c:v>
                </c:pt>
                <c:pt idx="28">
                  <c:v> 35 Business and public service associate professionals</c:v>
                </c:pt>
                <c:pt idx="29">
                  <c:v> 34 Culture, media and sports occupations</c:v>
                </c:pt>
                <c:pt idx="30">
                  <c:v> 33 Protective service occupations</c:v>
                </c:pt>
                <c:pt idx="31">
                  <c:v> 32 Health and social care associate professionals</c:v>
                </c:pt>
                <c:pt idx="32">
                  <c:v> 31 Science, engineering and technology associate professionals</c:v>
                </c:pt>
                <c:pt idx="33">
                  <c:v>[Associate professional and technical]</c:v>
                </c:pt>
                <c:pt idx="35">
                  <c:v> 24 Business, media and public service professionals</c:v>
                </c:pt>
                <c:pt idx="36">
                  <c:v> 23 Teaching and educational professionals</c:v>
                </c:pt>
                <c:pt idx="37">
                  <c:v> 22 Health professionals</c:v>
                </c:pt>
                <c:pt idx="38">
                  <c:v> 21 Science, research, engineering and technology professionals</c:v>
                </c:pt>
                <c:pt idx="39">
                  <c:v>[Professional occupations]</c:v>
                </c:pt>
                <c:pt idx="41">
                  <c:v> 12 Other managers and proprietors</c:v>
                </c:pt>
                <c:pt idx="42">
                  <c:v> 11 Corporate managers and directors</c:v>
                </c:pt>
                <c:pt idx="43">
                  <c:v>[Managers, directors and senior officials]</c:v>
                </c:pt>
              </c:strCache>
            </c:strRef>
          </c:cat>
          <c:val>
            <c:numRef>
              <c:f>'Occ F1'!$N$7:$N$50</c:f>
              <c:numCache>
                <c:formatCode>General</c:formatCode>
                <c:ptCount val="44"/>
                <c:pt idx="0">
                  <c:v>0.25470250340746681</c:v>
                </c:pt>
                <c:pt idx="2">
                  <c:v>-6.0462630192947842E-2</c:v>
                </c:pt>
                <c:pt idx="3">
                  <c:v>1.7530046008640277E-2</c:v>
                </c:pt>
                <c:pt idx="4">
                  <c:v>-4.7162986637749871E-2</c:v>
                </c:pt>
                <c:pt idx="6">
                  <c:v>0.31872899598330839</c:v>
                </c:pt>
                <c:pt idx="7">
                  <c:v>-1.6470782775396486</c:v>
                </c:pt>
                <c:pt idx="8">
                  <c:v>-0.99568036965712592</c:v>
                </c:pt>
                <c:pt idx="10">
                  <c:v>1.5441074965757196</c:v>
                </c:pt>
                <c:pt idx="11">
                  <c:v>-0.89461808753181771</c:v>
                </c:pt>
                <c:pt idx="12">
                  <c:v>-0.28376204303273145</c:v>
                </c:pt>
                <c:pt idx="14">
                  <c:v>-0.49798719440820038</c:v>
                </c:pt>
                <c:pt idx="15">
                  <c:v>1.553433547285854</c:v>
                </c:pt>
                <c:pt idx="16">
                  <c:v>1.166833822824298</c:v>
                </c:pt>
                <c:pt idx="18">
                  <c:v>-1.4438592472573175</c:v>
                </c:pt>
                <c:pt idx="19">
                  <c:v>4.6227892528172276E-2</c:v>
                </c:pt>
                <c:pt idx="20">
                  <c:v>-1.3160419011164493</c:v>
                </c:pt>
                <c:pt idx="21">
                  <c:v>-0.24451182051379305</c:v>
                </c:pt>
                <c:pt idx="22">
                  <c:v>-0.72039092282821793</c:v>
                </c:pt>
                <c:pt idx="24">
                  <c:v>-5.5413615210982208</c:v>
                </c:pt>
                <c:pt idx="25">
                  <c:v>-0.60539296001799192</c:v>
                </c:pt>
                <c:pt idx="26">
                  <c:v>-1.4550485636952715</c:v>
                </c:pt>
                <c:pt idx="28">
                  <c:v>1.2653580353135352</c:v>
                </c:pt>
                <c:pt idx="29">
                  <c:v>1.0378626727059803</c:v>
                </c:pt>
                <c:pt idx="30">
                  <c:v>-0.55431135151697841</c:v>
                </c:pt>
                <c:pt idx="31">
                  <c:v>1.5237651683793763</c:v>
                </c:pt>
                <c:pt idx="32">
                  <c:v>5.4709481239223479E-2</c:v>
                </c:pt>
                <c:pt idx="33">
                  <c:v>0.94325208311298869</c:v>
                </c:pt>
                <c:pt idx="35">
                  <c:v>1.3871044082407025</c:v>
                </c:pt>
                <c:pt idx="36">
                  <c:v>1.0724678058517956</c:v>
                </c:pt>
                <c:pt idx="37">
                  <c:v>1.5407237475517643</c:v>
                </c:pt>
                <c:pt idx="38">
                  <c:v>0.84299612859253248</c:v>
                </c:pt>
                <c:pt idx="39">
                  <c:v>1.2462604308442593</c:v>
                </c:pt>
                <c:pt idx="41">
                  <c:v>0.9197768365001302</c:v>
                </c:pt>
                <c:pt idx="42">
                  <c:v>1.3592117513565372</c:v>
                </c:pt>
                <c:pt idx="43">
                  <c:v>1.1962816190847603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3-408C-89EB-52C0D9681FCD}"/>
            </c:ext>
          </c:extLst>
        </c:ser>
        <c:ser>
          <c:idx val="1"/>
          <c:order val="1"/>
          <c:tx>
            <c:strRef>
              <c:f>'Occ F1'!$M$6</c:f>
              <c:strCache>
                <c:ptCount val="1"/>
                <c:pt idx="0">
                  <c:v>2007-2017</c:v>
                </c:pt>
              </c:strCache>
            </c:strRef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'Occ F1'!$L$7:$L$50</c:f>
              <c:strCache>
                <c:ptCount val="44"/>
                <c:pt idx="0">
                  <c:v>All occupations</c:v>
                </c:pt>
                <c:pt idx="2">
                  <c:v> 92 Elementary administration and service occupations</c:v>
                </c:pt>
                <c:pt idx="3">
                  <c:v> 91 Elementary trades and related occupations</c:v>
                </c:pt>
                <c:pt idx="4">
                  <c:v>[Elementary occupations]</c:v>
                </c:pt>
                <c:pt idx="6">
                  <c:v> 82 Transport and mobile machine drivers and operatives</c:v>
                </c:pt>
                <c:pt idx="7">
                  <c:v> 81 Process, plant and machine operatives</c:v>
                </c:pt>
                <c:pt idx="8">
                  <c:v>[Process, plant and machine operatives]</c:v>
                </c:pt>
                <c:pt idx="10">
                  <c:v> 72 Customer service occupations</c:v>
                </c:pt>
                <c:pt idx="11">
                  <c:v> 71 Sales occupations</c:v>
                </c:pt>
                <c:pt idx="12">
                  <c:v>[Sales and customer service]</c:v>
                </c:pt>
                <c:pt idx="14">
                  <c:v> 62 Leisure, travel and related personal service occupations</c:v>
                </c:pt>
                <c:pt idx="15">
                  <c:v> 61 Caring personal service occupations</c:v>
                </c:pt>
                <c:pt idx="16">
                  <c:v>[Caring, leisure and other service]</c:v>
                </c:pt>
                <c:pt idx="18">
                  <c:v> 54 Textiles, printing and other skilled trades</c:v>
                </c:pt>
                <c:pt idx="19">
                  <c:v> 53 Skilled construction and building trades</c:v>
                </c:pt>
                <c:pt idx="20">
                  <c:v> 52 Skilled metal, electrical and electronic trades</c:v>
                </c:pt>
                <c:pt idx="21">
                  <c:v> 51 Skilled agricultural and related trades</c:v>
                </c:pt>
                <c:pt idx="22">
                  <c:v>[Skilled trades occupations]</c:v>
                </c:pt>
                <c:pt idx="24">
                  <c:v> 42 Secretarial and related occupations</c:v>
                </c:pt>
                <c:pt idx="25">
                  <c:v> 41 Administrative occupations</c:v>
                </c:pt>
                <c:pt idx="26">
                  <c:v>[Administrative and secretarial]</c:v>
                </c:pt>
                <c:pt idx="28">
                  <c:v> 35 Business and public service associate professionals</c:v>
                </c:pt>
                <c:pt idx="29">
                  <c:v> 34 Culture, media and sports occupations</c:v>
                </c:pt>
                <c:pt idx="30">
                  <c:v> 33 Protective service occupations</c:v>
                </c:pt>
                <c:pt idx="31">
                  <c:v> 32 Health and social care associate professionals</c:v>
                </c:pt>
                <c:pt idx="32">
                  <c:v> 31 Science, engineering and technology associate professionals</c:v>
                </c:pt>
                <c:pt idx="33">
                  <c:v>[Associate professional and technical]</c:v>
                </c:pt>
                <c:pt idx="35">
                  <c:v> 24 Business, media and public service professionals</c:v>
                </c:pt>
                <c:pt idx="36">
                  <c:v> 23 Teaching and educational professionals</c:v>
                </c:pt>
                <c:pt idx="37">
                  <c:v> 22 Health professionals</c:v>
                </c:pt>
                <c:pt idx="38">
                  <c:v> 21 Science, research, engineering and technology professionals</c:v>
                </c:pt>
                <c:pt idx="39">
                  <c:v>[Professional occupations]</c:v>
                </c:pt>
                <c:pt idx="41">
                  <c:v> 12 Other managers and proprietors</c:v>
                </c:pt>
                <c:pt idx="42">
                  <c:v> 11 Corporate managers and directors</c:v>
                </c:pt>
                <c:pt idx="43">
                  <c:v>[Managers, directors and senior officials]</c:v>
                </c:pt>
              </c:strCache>
            </c:strRef>
          </c:cat>
          <c:val>
            <c:numRef>
              <c:f>'Occ F1'!$M$7:$M$50</c:f>
              <c:numCache>
                <c:formatCode>General</c:formatCode>
                <c:ptCount val="44"/>
                <c:pt idx="0">
                  <c:v>0.82593264427839319</c:v>
                </c:pt>
                <c:pt idx="2">
                  <c:v>-1.2051980780247828</c:v>
                </c:pt>
                <c:pt idx="3">
                  <c:v>-0.5346509463751814</c:v>
                </c:pt>
                <c:pt idx="4">
                  <c:v>-1.0946519688648459</c:v>
                </c:pt>
                <c:pt idx="6">
                  <c:v>-2.4051227493668392</c:v>
                </c:pt>
                <c:pt idx="7">
                  <c:v>-0.89548520646197671</c:v>
                </c:pt>
                <c:pt idx="8">
                  <c:v>-1.3941088810559665</c:v>
                </c:pt>
                <c:pt idx="10">
                  <c:v>2.9316187925596537</c:v>
                </c:pt>
                <c:pt idx="11">
                  <c:v>-1.2527437202036418</c:v>
                </c:pt>
                <c:pt idx="12">
                  <c:v>-0.44513218471342597</c:v>
                </c:pt>
                <c:pt idx="14">
                  <c:v>2.3713923399894421</c:v>
                </c:pt>
                <c:pt idx="15">
                  <c:v>3.0565651275840988</c:v>
                </c:pt>
                <c:pt idx="16">
                  <c:v>2.9135413460431137</c:v>
                </c:pt>
                <c:pt idx="18">
                  <c:v>1.2779889939976696</c:v>
                </c:pt>
                <c:pt idx="19">
                  <c:v>-1.1101210525838123</c:v>
                </c:pt>
                <c:pt idx="20">
                  <c:v>-0.68351776879601589</c:v>
                </c:pt>
                <c:pt idx="21">
                  <c:v>5.1521671063625263</c:v>
                </c:pt>
                <c:pt idx="22">
                  <c:v>0.60827121463102873</c:v>
                </c:pt>
                <c:pt idx="24">
                  <c:v>-1.638580004104051</c:v>
                </c:pt>
                <c:pt idx="25">
                  <c:v>-9.6726929101975667E-2</c:v>
                </c:pt>
                <c:pt idx="26">
                  <c:v>-0.43681727571288631</c:v>
                </c:pt>
                <c:pt idx="28">
                  <c:v>1.302451151537487</c:v>
                </c:pt>
                <c:pt idx="29">
                  <c:v>4.1758094313880001</c:v>
                </c:pt>
                <c:pt idx="30">
                  <c:v>-0.84354564401439847</c:v>
                </c:pt>
                <c:pt idx="31">
                  <c:v>3.5576644480845854</c:v>
                </c:pt>
                <c:pt idx="32">
                  <c:v>0.48326582084652348</c:v>
                </c:pt>
                <c:pt idx="33">
                  <c:v>1.6878338452994468</c:v>
                </c:pt>
                <c:pt idx="35">
                  <c:v>1.3466548838722003</c:v>
                </c:pt>
                <c:pt idx="36">
                  <c:v>2.4010555735428207</c:v>
                </c:pt>
                <c:pt idx="37">
                  <c:v>3.8783044933423216</c:v>
                </c:pt>
                <c:pt idx="38">
                  <c:v>2.1932905540868131</c:v>
                </c:pt>
                <c:pt idx="39">
                  <c:v>2.6414316068591459</c:v>
                </c:pt>
                <c:pt idx="41">
                  <c:v>3.1001258201194482</c:v>
                </c:pt>
                <c:pt idx="42">
                  <c:v>1.9043591371399549</c:v>
                </c:pt>
                <c:pt idx="43">
                  <c:v>2.3353813018541336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3-408C-89EB-52C0D9681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554168"/>
        <c:axId val="313554560"/>
      </c:barChart>
      <c:catAx>
        <c:axId val="31355416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554560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per annum</a:t>
                </a:r>
              </a:p>
            </c:rich>
          </c:tx>
          <c:layout>
            <c:manualLayout>
              <c:xMode val="edge"/>
              <c:yMode val="edge"/>
              <c:x val="0.87285769431129534"/>
              <c:y val="0.94582272861500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41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42033227521949"/>
          <c:y val="0.97204833412938918"/>
          <c:w val="0.29895970048008641"/>
          <c:h val="2.00450679884495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50393659" l="0.748031496063017" r="0.748031496063017" t="0.98425196850393659" header="0.51181102362204722" footer="0.51181102362204722"/>
    <c:pageSetup paperSize="9"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571462452191999"/>
          <c:y val="1.2452118927463975E-2"/>
          <c:w val="0.48285747967179132"/>
          <c:h val="0.9137939582154336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'Occ F1'!$M$6</c:f>
              <c:strCache>
                <c:ptCount val="1"/>
                <c:pt idx="0">
                  <c:v>2007-2017</c:v>
                </c:pt>
              </c:strCache>
            </c:strRef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'Occ F1'!$L$81:$L$105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'Occ F1'!$M$81:$M$105</c:f>
              <c:numCache>
                <c:formatCode>#,##0</c:formatCode>
                <c:ptCount val="25"/>
                <c:pt idx="0">
                  <c:v>13.036216961940482</c:v>
                </c:pt>
                <c:pt idx="1">
                  <c:v>11.987512817251243</c:v>
                </c:pt>
                <c:pt idx="2">
                  <c:v>9.5473054728444779</c:v>
                </c:pt>
                <c:pt idx="3">
                  <c:v>30.521116915354327</c:v>
                </c:pt>
                <c:pt idx="4">
                  <c:v>19.793742642028647</c:v>
                </c:pt>
                <c:pt idx="5">
                  <c:v>5.9886261747751206</c:v>
                </c:pt>
                <c:pt idx="6">
                  <c:v>1.183867921078555</c:v>
                </c:pt>
                <c:pt idx="7">
                  <c:v>9.2153937036808955</c:v>
                </c:pt>
                <c:pt idx="8">
                  <c:v>-1.4777453689833067</c:v>
                </c:pt>
                <c:pt idx="9">
                  <c:v>8.7475543927764079</c:v>
                </c:pt>
                <c:pt idx="10">
                  <c:v>8.8502545359777542</c:v>
                </c:pt>
                <c:pt idx="11">
                  <c:v>-1.2400622395039278</c:v>
                </c:pt>
                <c:pt idx="12">
                  <c:v>-5.9481675293212035</c:v>
                </c:pt>
                <c:pt idx="13">
                  <c:v>17.629709334342756</c:v>
                </c:pt>
                <c:pt idx="14">
                  <c:v>-4.2807713807982068</c:v>
                </c:pt>
                <c:pt idx="15">
                  <c:v>-6.5673229717182693</c:v>
                </c:pt>
                <c:pt idx="16">
                  <c:v>5.2607188204988944</c:v>
                </c:pt>
                <c:pt idx="17">
                  <c:v>34.846228774299036</c:v>
                </c:pt>
                <c:pt idx="18">
                  <c:v>7.1208118676217005</c:v>
                </c:pt>
                <c:pt idx="19">
                  <c:v>-12.99613945180468</c:v>
                </c:pt>
                <c:pt idx="20">
                  <c:v>7.262741356753569</c:v>
                </c:pt>
                <c:pt idx="21">
                  <c:v>-7.3727712025023493</c:v>
                </c:pt>
                <c:pt idx="22">
                  <c:v>-9.7835617840633375</c:v>
                </c:pt>
                <c:pt idx="23">
                  <c:v>-1.6523419151416441</c:v>
                </c:pt>
                <c:pt idx="24">
                  <c:v>-18.879917848487509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B-487F-80E9-0567EF603948}"/>
            </c:ext>
          </c:extLst>
        </c:ser>
        <c:ser>
          <c:idx val="0"/>
          <c:order val="1"/>
          <c:tx>
            <c:strRef>
              <c:f>'Occ F1'!$N$6</c:f>
              <c:strCache>
                <c:ptCount val="1"/>
                <c:pt idx="0">
                  <c:v>2017-2027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'Occ F1'!$L$81:$L$105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'Occ F1'!$N$81:$N$105</c:f>
              <c:numCache>
                <c:formatCode>#,##0</c:formatCode>
                <c:ptCount val="25"/>
                <c:pt idx="0">
                  <c:v>10.960331293600007</c:v>
                </c:pt>
                <c:pt idx="1">
                  <c:v>4.3685036995802093</c:v>
                </c:pt>
                <c:pt idx="2">
                  <c:v>4.2866939877258972</c:v>
                </c:pt>
                <c:pt idx="3">
                  <c:v>15.932331434701936</c:v>
                </c:pt>
                <c:pt idx="4">
                  <c:v>10.549407354924554</c:v>
                </c:pt>
                <c:pt idx="5">
                  <c:v>7.064370885878084</c:v>
                </c:pt>
                <c:pt idx="6">
                  <c:v>0.13795046100521091</c:v>
                </c:pt>
                <c:pt idx="7">
                  <c:v>5.0997228109638577</c:v>
                </c:pt>
                <c:pt idx="8">
                  <c:v>-0.9038031440884069</c:v>
                </c:pt>
                <c:pt idx="9">
                  <c:v>2.8338664568018501</c:v>
                </c:pt>
                <c:pt idx="10">
                  <c:v>9.7695557808537075</c:v>
                </c:pt>
                <c:pt idx="11">
                  <c:v>-7.5130964642708449</c:v>
                </c:pt>
                <c:pt idx="12">
                  <c:v>-14.387102403241297</c:v>
                </c:pt>
                <c:pt idx="13">
                  <c:v>-1.0796171110473054</c:v>
                </c:pt>
                <c:pt idx="14">
                  <c:v>-7.4816754306663782</c:v>
                </c:pt>
                <c:pt idx="15">
                  <c:v>0.25759514296083807</c:v>
                </c:pt>
                <c:pt idx="16">
                  <c:v>-5.970934804804827</c:v>
                </c:pt>
                <c:pt idx="17">
                  <c:v>22.338788680701697</c:v>
                </c:pt>
                <c:pt idx="18">
                  <c:v>-1.6597056835354351</c:v>
                </c:pt>
                <c:pt idx="19">
                  <c:v>-8.3133310868705621</c:v>
                </c:pt>
                <c:pt idx="20">
                  <c:v>4.7924897932714821</c:v>
                </c:pt>
                <c:pt idx="21">
                  <c:v>-11.986496541482367</c:v>
                </c:pt>
                <c:pt idx="22">
                  <c:v>1.1476406653274438</c:v>
                </c:pt>
                <c:pt idx="23">
                  <c:v>5.2637921546835997E-2</c:v>
                </c:pt>
                <c:pt idx="24">
                  <c:v>-0.88312369879480457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B-487F-80E9-0567EF60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554168"/>
        <c:axId val="313554560"/>
      </c:barChart>
      <c:catAx>
        <c:axId val="3135541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554560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0.88315200485707968"/>
              <c:y val="0.9497821224051539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416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0491104723274"/>
          <c:y val="0.96198037540801984"/>
          <c:w val="0.28182500271711636"/>
          <c:h val="2.9106230837681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50393659" l="0.748031496063017" r="0.748031496063017" t="0.98425196850393659" header="0.51181102362204722" footer="0.51181102362204722"/>
    <c:pageSetup paperSize="9"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571462452191999"/>
          <c:y val="1.2452118927463975E-2"/>
          <c:w val="0.48285747967179132"/>
          <c:h val="0.889349431321084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'Occ F1'!$M$6</c:f>
              <c:strCache>
                <c:ptCount val="1"/>
                <c:pt idx="0">
                  <c:v>2007-2017</c:v>
                </c:pt>
              </c:strCache>
            </c:strRef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'Occ F1'!$L$151:$L$159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F1'!$M$151:$M$159</c:f>
              <c:numCache>
                <c:formatCode>#,##0</c:formatCode>
                <c:ptCount val="9"/>
                <c:pt idx="0">
                  <c:v>25.02372977919174</c:v>
                </c:pt>
                <c:pt idx="1">
                  <c:v>65.850791205002594</c:v>
                </c:pt>
                <c:pt idx="2">
                  <c:v>26.519325184530317</c:v>
                </c:pt>
                <c:pt idx="3">
                  <c:v>-7.1882297688251526</c:v>
                </c:pt>
                <c:pt idx="4">
                  <c:v>12.042333802325146</c:v>
                </c:pt>
                <c:pt idx="5">
                  <c:v>41.967040641920747</c:v>
                </c:pt>
                <c:pt idx="6">
                  <c:v>-5.7333980950511005</c:v>
                </c:pt>
                <c:pt idx="7">
                  <c:v>-17.156332986565701</c:v>
                </c:pt>
                <c:pt idx="8">
                  <c:v>-20.532259763629156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6-49AD-83CA-ED2B408A2B3B}"/>
            </c:ext>
          </c:extLst>
        </c:ser>
        <c:ser>
          <c:idx val="0"/>
          <c:order val="1"/>
          <c:tx>
            <c:strRef>
              <c:f>'Occ F1'!$N$6</c:f>
              <c:strCache>
                <c:ptCount val="1"/>
                <c:pt idx="0">
                  <c:v>2017-2027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'Occ F1'!$L$151:$L$159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F1'!$N$151:$N$159</c:f>
              <c:numCache>
                <c:formatCode>#,##0</c:formatCode>
                <c:ptCount val="9"/>
                <c:pt idx="0">
                  <c:v>15.328834993180209</c:v>
                </c:pt>
                <c:pt idx="1">
                  <c:v>37.832803663230493</c:v>
                </c:pt>
                <c:pt idx="2">
                  <c:v>16.937292365536223</c:v>
                </c:pt>
                <c:pt idx="3">
                  <c:v>-21.900198867512131</c:v>
                </c:pt>
                <c:pt idx="4">
                  <c:v>-14.274632203557672</c:v>
                </c:pt>
                <c:pt idx="5">
                  <c:v>20.679082997166262</c:v>
                </c:pt>
                <c:pt idx="6">
                  <c:v>-3.5208412935990765</c:v>
                </c:pt>
                <c:pt idx="7">
                  <c:v>-10.838855876154923</c:v>
                </c:pt>
                <c:pt idx="8">
                  <c:v>-0.83048577724795791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6-49AD-83CA-ED2B408A2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554168"/>
        <c:axId val="313554560"/>
      </c:barChart>
      <c:catAx>
        <c:axId val="3135541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554560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0.89275972821341165"/>
              <c:y val="0.947827646544181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55416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0491104723274"/>
          <c:y val="0.96198037540801984"/>
          <c:w val="0.28182500271711636"/>
          <c:h val="2.9106230837681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850393659" l="0.748031496063017" r="0.748031496063017" t="0.98425196850393659" header="0.51181102362204722" footer="0.51181102362204722"/>
    <c:pageSetup paperSize="9"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291178359361627E-2"/>
          <c:y val="6.1930893405078492E-2"/>
          <c:w val="0.90000055627012265"/>
          <c:h val="0.80874460799574588"/>
        </c:manualLayout>
      </c:layout>
      <c:areaChart>
        <c:grouping val="stacked"/>
        <c:varyColors val="0"/>
        <c:ser>
          <c:idx val="0"/>
          <c:order val="0"/>
          <c:tx>
            <c:strRef>
              <c:f>'Occ F2'!$L$6</c:f>
              <c:strCache>
                <c:ptCount val="1"/>
                <c:pt idx="0">
                  <c:v> 11 Corporate managers and directors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F2'!$M$6:$AG$6</c:f>
              <c:numCache>
                <c:formatCode>#,##0</c:formatCode>
                <c:ptCount val="21"/>
                <c:pt idx="0">
                  <c:v>62.791080673241183</c:v>
                </c:pt>
                <c:pt idx="1">
                  <c:v>64.737701936232455</c:v>
                </c:pt>
                <c:pt idx="2">
                  <c:v>65.794834525932941</c:v>
                </c:pt>
                <c:pt idx="3">
                  <c:v>65.216716437225131</c:v>
                </c:pt>
                <c:pt idx="4">
                  <c:v>64.39137422333512</c:v>
                </c:pt>
                <c:pt idx="5">
                  <c:v>63.931722947781608</c:v>
                </c:pt>
                <c:pt idx="6">
                  <c:v>66.680696542671768</c:v>
                </c:pt>
                <c:pt idx="7">
                  <c:v>69.076699935157578</c:v>
                </c:pt>
                <c:pt idx="8">
                  <c:v>71.381092726783749</c:v>
                </c:pt>
                <c:pt idx="9">
                  <c:v>74.557998518744199</c:v>
                </c:pt>
                <c:pt idx="10">
                  <c:v>75.827297635181665</c:v>
                </c:pt>
                <c:pt idx="11">
                  <c:v>76.872430216499581</c:v>
                </c:pt>
                <c:pt idx="12">
                  <c:v>78.07812385872603</c:v>
                </c:pt>
                <c:pt idx="13">
                  <c:v>79.431235134359881</c:v>
                </c:pt>
                <c:pt idx="14">
                  <c:v>80.49162718450323</c:v>
                </c:pt>
                <c:pt idx="15">
                  <c:v>81.604810249282991</c:v>
                </c:pt>
                <c:pt idx="16">
                  <c:v>82.718288261965967</c:v>
                </c:pt>
                <c:pt idx="17">
                  <c:v>83.793014395099235</c:v>
                </c:pt>
                <c:pt idx="18">
                  <c:v>84.844529602760062</c:v>
                </c:pt>
                <c:pt idx="19">
                  <c:v>85.849219950171602</c:v>
                </c:pt>
                <c:pt idx="20">
                  <c:v>86.787628928781672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0-4568-BDF9-576543F0797E}"/>
            </c:ext>
          </c:extLst>
        </c:ser>
        <c:ser>
          <c:idx val="1"/>
          <c:order val="1"/>
          <c:tx>
            <c:strRef>
              <c:f>'Occ F2'!$L$7</c:f>
              <c:strCache>
                <c:ptCount val="1"/>
                <c:pt idx="0">
                  <c:v> 12 Other managers and proprietors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F2'!$M$7:$AG$7</c:f>
              <c:numCache>
                <c:formatCode>#,##0</c:formatCode>
                <c:ptCount val="21"/>
                <c:pt idx="0">
                  <c:v>33.574909986255072</c:v>
                </c:pt>
                <c:pt idx="1">
                  <c:v>38.651714567927719</c:v>
                </c:pt>
                <c:pt idx="2">
                  <c:v>34.972590025866062</c:v>
                </c:pt>
                <c:pt idx="3">
                  <c:v>37.678281341811378</c:v>
                </c:pt>
                <c:pt idx="4">
                  <c:v>36.04320442601324</c:v>
                </c:pt>
                <c:pt idx="5">
                  <c:v>38.136685949187907</c:v>
                </c:pt>
                <c:pt idx="6">
                  <c:v>35.65941915484526</c:v>
                </c:pt>
                <c:pt idx="7">
                  <c:v>37.781144356510453</c:v>
                </c:pt>
                <c:pt idx="8">
                  <c:v>40.650544717746605</c:v>
                </c:pt>
                <c:pt idx="9">
                  <c:v>46.275098447879877</c:v>
                </c:pt>
                <c:pt idx="10">
                  <c:v>45.562422803506315</c:v>
                </c:pt>
                <c:pt idx="11">
                  <c:v>46.020328961780727</c:v>
                </c:pt>
                <c:pt idx="12">
                  <c:v>46.48241079701446</c:v>
                </c:pt>
                <c:pt idx="13">
                  <c:v>46.977900361094044</c:v>
                </c:pt>
                <c:pt idx="14">
                  <c:v>47.400739306000155</c:v>
                </c:pt>
                <c:pt idx="15">
                  <c:v>47.895598726254597</c:v>
                </c:pt>
                <c:pt idx="16">
                  <c:v>48.263974715604775</c:v>
                </c:pt>
                <c:pt idx="17">
                  <c:v>48.644777749875438</c:v>
                </c:pt>
                <c:pt idx="18">
                  <c:v>49.053879757398597</c:v>
                </c:pt>
                <c:pt idx="19">
                  <c:v>49.491489054377958</c:v>
                </c:pt>
                <c:pt idx="20">
                  <c:v>49.930926503086525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7-4E1A-BA1B-1644D5E32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970568"/>
        <c:axId val="313970960"/>
      </c:areaChart>
      <c:catAx>
        <c:axId val="3139705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7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9709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291178359361714E-3"/>
              <c:y val="9.1074843242764068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705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190505958714619"/>
          <c:y val="0.94227478861151881"/>
          <c:w val="0.68071850393700783"/>
          <c:h val="3.97193680152696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08989445751968E-2"/>
          <c:y val="8.3510768667333396E-2"/>
          <c:w val="0.89593908629441665"/>
          <c:h val="0.73360490940421352"/>
        </c:manualLayout>
      </c:layout>
      <c:areaChart>
        <c:grouping val="stacked"/>
        <c:varyColors val="0"/>
        <c:ser>
          <c:idx val="1"/>
          <c:order val="0"/>
          <c:tx>
            <c:strRef>
              <c:f>'Occ F2'!$L$10</c:f>
              <c:strCache>
                <c:ptCount val="1"/>
                <c:pt idx="0">
                  <c:v> 21 Science, research, engineering and technology professionals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F2'!$M$10:$AG$10</c:f>
              <c:numCache>
                <c:formatCode>#,##0</c:formatCode>
                <c:ptCount val="21"/>
                <c:pt idx="0">
                  <c:v>39.404062516743629</c:v>
                </c:pt>
                <c:pt idx="1">
                  <c:v>39.118087889987663</c:v>
                </c:pt>
                <c:pt idx="2">
                  <c:v>40.759231543491367</c:v>
                </c:pt>
                <c:pt idx="3">
                  <c:v>40.54299011116224</c:v>
                </c:pt>
                <c:pt idx="4">
                  <c:v>40.593212345064146</c:v>
                </c:pt>
                <c:pt idx="5">
                  <c:v>40.310454710373008</c:v>
                </c:pt>
                <c:pt idx="6">
                  <c:v>40.71452365964015</c:v>
                </c:pt>
                <c:pt idx="7">
                  <c:v>42.064082378944413</c:v>
                </c:pt>
                <c:pt idx="8">
                  <c:v>43.487604364003452</c:v>
                </c:pt>
                <c:pt idx="9">
                  <c:v>46.258763726016625</c:v>
                </c:pt>
                <c:pt idx="10">
                  <c:v>48.951367989588107</c:v>
                </c:pt>
                <c:pt idx="11">
                  <c:v>49.385243165752819</c:v>
                </c:pt>
                <c:pt idx="12">
                  <c:v>49.936070100893211</c:v>
                </c:pt>
                <c:pt idx="13">
                  <c:v>50.57675787039139</c:v>
                </c:pt>
                <c:pt idx="14">
                  <c:v>50.94176426591531</c:v>
                </c:pt>
                <c:pt idx="15">
                  <c:v>51.330824580438318</c:v>
                </c:pt>
                <c:pt idx="16">
                  <c:v>51.728529969787907</c:v>
                </c:pt>
                <c:pt idx="17">
                  <c:v>52.08857857562819</c:v>
                </c:pt>
                <c:pt idx="18">
                  <c:v>52.474581212649539</c:v>
                </c:pt>
                <c:pt idx="19">
                  <c:v>52.857297824831633</c:v>
                </c:pt>
                <c:pt idx="20">
                  <c:v>53.238061977314004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B-4FD0-A846-3B80B7CA18B9}"/>
            </c:ext>
          </c:extLst>
        </c:ser>
        <c:ser>
          <c:idx val="2"/>
          <c:order val="1"/>
          <c:tx>
            <c:strRef>
              <c:f>'Occ F2'!$L$11</c:f>
              <c:strCache>
                <c:ptCount val="1"/>
                <c:pt idx="0">
                  <c:v> 22 Health professionals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F2'!$M$11:$AG$11</c:f>
              <c:numCache>
                <c:formatCode>#,##0</c:formatCode>
                <c:ptCount val="21"/>
                <c:pt idx="0">
                  <c:v>65.918325380874236</c:v>
                </c:pt>
                <c:pt idx="1">
                  <c:v>68.685267659941758</c:v>
                </c:pt>
                <c:pt idx="2">
                  <c:v>72.131546330588293</c:v>
                </c:pt>
                <c:pt idx="3">
                  <c:v>67.734080735213013</c:v>
                </c:pt>
                <c:pt idx="4">
                  <c:v>72.807018303453589</c:v>
                </c:pt>
                <c:pt idx="5">
                  <c:v>73.932405683303031</c:v>
                </c:pt>
                <c:pt idx="6">
                  <c:v>77.398023147277215</c:v>
                </c:pt>
                <c:pt idx="7">
                  <c:v>80.852826688433936</c:v>
                </c:pt>
                <c:pt idx="8">
                  <c:v>85.022856940705097</c:v>
                </c:pt>
                <c:pt idx="9">
                  <c:v>84.551557584879873</c:v>
                </c:pt>
                <c:pt idx="10">
                  <c:v>96.439442296228563</c:v>
                </c:pt>
                <c:pt idx="11">
                  <c:v>98.019934367893242</c:v>
                </c:pt>
                <c:pt idx="12">
                  <c:v>99.141273140179464</c:v>
                </c:pt>
                <c:pt idx="13">
                  <c:v>100.33571490513182</c:v>
                </c:pt>
                <c:pt idx="14">
                  <c:v>102.28630183600762</c:v>
                </c:pt>
                <c:pt idx="15">
                  <c:v>104.33498800884813</c:v>
                </c:pt>
                <c:pt idx="16">
                  <c:v>106.07217433682082</c:v>
                </c:pt>
                <c:pt idx="17">
                  <c:v>107.77516622488108</c:v>
                </c:pt>
                <c:pt idx="18">
                  <c:v>109.42382611923425</c:v>
                </c:pt>
                <c:pt idx="19">
                  <c:v>110.91837484142853</c:v>
                </c:pt>
                <c:pt idx="20">
                  <c:v>112.3717737309305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B-4FD0-A846-3B80B7CA18B9}"/>
            </c:ext>
          </c:extLst>
        </c:ser>
        <c:ser>
          <c:idx val="3"/>
          <c:order val="2"/>
          <c:tx>
            <c:strRef>
              <c:f>'Occ F2'!$L$12</c:f>
              <c:strCache>
                <c:ptCount val="1"/>
                <c:pt idx="0">
                  <c:v> 23 Teaching and educational professionals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F2'!$M$12:$AG$12</c:f>
              <c:numCache>
                <c:formatCode>#,##0</c:formatCode>
                <c:ptCount val="21"/>
                <c:pt idx="0">
                  <c:v>73.917574240407916</c:v>
                </c:pt>
                <c:pt idx="1">
                  <c:v>78.107769393397717</c:v>
                </c:pt>
                <c:pt idx="2">
                  <c:v>78.116612265276771</c:v>
                </c:pt>
                <c:pt idx="3">
                  <c:v>79.677251302960272</c:v>
                </c:pt>
                <c:pt idx="4">
                  <c:v>80.431972885157904</c:v>
                </c:pt>
                <c:pt idx="5">
                  <c:v>83.824240112476602</c:v>
                </c:pt>
                <c:pt idx="6">
                  <c:v>81.584163404768702</c:v>
                </c:pt>
                <c:pt idx="7">
                  <c:v>86.388939328332839</c:v>
                </c:pt>
                <c:pt idx="8">
                  <c:v>87.651164742205211</c:v>
                </c:pt>
                <c:pt idx="9">
                  <c:v>91.98842843866278</c:v>
                </c:pt>
                <c:pt idx="10">
                  <c:v>93.711316882436563</c:v>
                </c:pt>
                <c:pt idx="11">
                  <c:v>93.631794331184437</c:v>
                </c:pt>
                <c:pt idx="12">
                  <c:v>93.754218641157706</c:v>
                </c:pt>
                <c:pt idx="13">
                  <c:v>94.236577356517429</c:v>
                </c:pt>
                <c:pt idx="14">
                  <c:v>95.352412724645006</c:v>
                </c:pt>
                <c:pt idx="15">
                  <c:v>96.639242989237744</c:v>
                </c:pt>
                <c:pt idx="16">
                  <c:v>98.405427164545301</c:v>
                </c:pt>
                <c:pt idx="17">
                  <c:v>100.08021631791193</c:v>
                </c:pt>
                <c:pt idx="18">
                  <c:v>101.63467062199574</c:v>
                </c:pt>
                <c:pt idx="19">
                  <c:v>103.04073245965633</c:v>
                </c:pt>
                <c:pt idx="20">
                  <c:v>104.26072423736112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8B-4FD0-A846-3B80B7CA18B9}"/>
            </c:ext>
          </c:extLst>
        </c:ser>
        <c:ser>
          <c:idx val="0"/>
          <c:order val="3"/>
          <c:tx>
            <c:strRef>
              <c:f>'Occ F2'!$L$13</c:f>
              <c:strCache>
                <c:ptCount val="1"/>
                <c:pt idx="0">
                  <c:v> 24 Business, media and public service professionals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F2'!$M$13:$AG$13</c:f>
              <c:numCache>
                <c:formatCode>#,##0</c:formatCode>
                <c:ptCount val="21"/>
                <c:pt idx="0">
                  <c:v>41.841572819713782</c:v>
                </c:pt>
                <c:pt idx="1">
                  <c:v>41.061356830434974</c:v>
                </c:pt>
                <c:pt idx="2">
                  <c:v>43.374195733612616</c:v>
                </c:pt>
                <c:pt idx="3">
                  <c:v>42.363258049629565</c:v>
                </c:pt>
                <c:pt idx="4">
                  <c:v>40.523177486940234</c:v>
                </c:pt>
                <c:pt idx="5">
                  <c:v>40.050599067696901</c:v>
                </c:pt>
                <c:pt idx="6">
                  <c:v>42.829222041033638</c:v>
                </c:pt>
                <c:pt idx="7">
                  <c:v>42.511001760596244</c:v>
                </c:pt>
                <c:pt idx="8">
                  <c:v>43.467641915985517</c:v>
                </c:pt>
                <c:pt idx="9">
                  <c:v>45.878166661351564</c:v>
                </c:pt>
                <c:pt idx="10">
                  <c:v>47.830198994488903</c:v>
                </c:pt>
                <c:pt idx="11">
                  <c:v>48.574100895196281</c:v>
                </c:pt>
                <c:pt idx="12">
                  <c:v>49.461448534362049</c:v>
                </c:pt>
                <c:pt idx="13">
                  <c:v>50.429930017850175</c:v>
                </c:pt>
                <c:pt idx="14">
                  <c:v>51.23244736111328</c:v>
                </c:pt>
                <c:pt idx="15">
                  <c:v>52.055696611402929</c:v>
                </c:pt>
                <c:pt idx="16">
                  <c:v>52.630023335382674</c:v>
                </c:pt>
                <c:pt idx="17">
                  <c:v>53.158937731473934</c:v>
                </c:pt>
                <c:pt idx="18">
                  <c:v>53.756040335972628</c:v>
                </c:pt>
                <c:pt idx="19">
                  <c:v>54.340305138561448</c:v>
                </c:pt>
                <c:pt idx="20">
                  <c:v>54.894569880366987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8B-4FD0-A846-3B80B7CA1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971744"/>
        <c:axId val="313972136"/>
      </c:areaChart>
      <c:catAx>
        <c:axId val="3139717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72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9721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1.650609719509024E-2"/>
              <c:y val="3.05909972344691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71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238887370238754"/>
          <c:y val="0.89684729480371306"/>
          <c:w val="0.8703594311506998"/>
          <c:h val="8.16858000084515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525729671010754E-2"/>
          <c:y val="8.1573294356169543E-2"/>
          <c:w val="0.89593908629441665"/>
          <c:h val="0.7258418595879107"/>
        </c:manualLayout>
      </c:layout>
      <c:areaChart>
        <c:grouping val="stacked"/>
        <c:varyColors val="0"/>
        <c:ser>
          <c:idx val="0"/>
          <c:order val="0"/>
          <c:tx>
            <c:strRef>
              <c:f>'Occ F2'!$L$16</c:f>
              <c:strCache>
                <c:ptCount val="1"/>
                <c:pt idx="0">
                  <c:v> 31 Science, engineering and technology associate professionals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F2'!$M$16:$AG$16</c:f>
              <c:numCache>
                <c:formatCode>#,##0</c:formatCode>
                <c:ptCount val="21"/>
                <c:pt idx="0">
                  <c:v>23.969208752827978</c:v>
                </c:pt>
                <c:pt idx="1">
                  <c:v>23.157003955376918</c:v>
                </c:pt>
                <c:pt idx="2">
                  <c:v>24.245434339776192</c:v>
                </c:pt>
                <c:pt idx="3">
                  <c:v>22.939157416195474</c:v>
                </c:pt>
                <c:pt idx="4">
                  <c:v>22.757293011633301</c:v>
                </c:pt>
                <c:pt idx="5">
                  <c:v>22.082241601988173</c:v>
                </c:pt>
                <c:pt idx="6">
                  <c:v>22.474320334063663</c:v>
                </c:pt>
                <c:pt idx="7">
                  <c:v>22.978398745259607</c:v>
                </c:pt>
                <c:pt idx="8">
                  <c:v>23.789820915285588</c:v>
                </c:pt>
                <c:pt idx="9">
                  <c:v>24.132607374251766</c:v>
                </c:pt>
                <c:pt idx="10">
                  <c:v>25.153076673906533</c:v>
                </c:pt>
                <c:pt idx="11">
                  <c:v>25.095047744664605</c:v>
                </c:pt>
                <c:pt idx="12">
                  <c:v>25.076358668276907</c:v>
                </c:pt>
                <c:pt idx="13">
                  <c:v>25.104704935673798</c:v>
                </c:pt>
                <c:pt idx="14">
                  <c:v>25.106528050283089</c:v>
                </c:pt>
                <c:pt idx="15">
                  <c:v>25.133794864033277</c:v>
                </c:pt>
                <c:pt idx="16">
                  <c:v>25.18187919494228</c:v>
                </c:pt>
                <c:pt idx="17">
                  <c:v>25.220816035871863</c:v>
                </c:pt>
                <c:pt idx="18">
                  <c:v>25.258232377239626</c:v>
                </c:pt>
                <c:pt idx="19">
                  <c:v>25.261760323505236</c:v>
                </c:pt>
                <c:pt idx="20">
                  <c:v>25.291027134911744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9-4252-A8BB-3F6EBC820C2C}"/>
            </c:ext>
          </c:extLst>
        </c:ser>
        <c:ser>
          <c:idx val="1"/>
          <c:order val="1"/>
          <c:tx>
            <c:strRef>
              <c:f>'Occ F2'!$L$17</c:f>
              <c:strCache>
                <c:ptCount val="1"/>
                <c:pt idx="0">
                  <c:v> 32 Health and social care associate professionals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F2'!$M$17:$AG$17</c:f>
              <c:numCache>
                <c:formatCode>#,##0</c:formatCode>
                <c:ptCount val="21"/>
                <c:pt idx="0">
                  <c:v>22.021237095591832</c:v>
                </c:pt>
                <c:pt idx="1">
                  <c:v>22.326504546295052</c:v>
                </c:pt>
                <c:pt idx="2">
                  <c:v>23.089325469605892</c:v>
                </c:pt>
                <c:pt idx="3">
                  <c:v>22.414156627444456</c:v>
                </c:pt>
                <c:pt idx="4">
                  <c:v>24.061248007309583</c:v>
                </c:pt>
                <c:pt idx="5">
                  <c:v>24.271169744617566</c:v>
                </c:pt>
                <c:pt idx="6">
                  <c:v>25.109604543275712</c:v>
                </c:pt>
                <c:pt idx="7">
                  <c:v>26.371423041472301</c:v>
                </c:pt>
                <c:pt idx="8">
                  <c:v>27.87550747266652</c:v>
                </c:pt>
                <c:pt idx="9">
                  <c:v>27.239487655490546</c:v>
                </c:pt>
                <c:pt idx="10">
                  <c:v>31.236630799272728</c:v>
                </c:pt>
                <c:pt idx="11">
                  <c:v>31.802622614059324</c:v>
                </c:pt>
                <c:pt idx="12">
                  <c:v>32.210781192366191</c:v>
                </c:pt>
                <c:pt idx="13">
                  <c:v>32.633387863034379</c:v>
                </c:pt>
                <c:pt idx="14">
                  <c:v>33.229072630087366</c:v>
                </c:pt>
                <c:pt idx="15">
                  <c:v>33.858640696036062</c:v>
                </c:pt>
                <c:pt idx="16">
                  <c:v>34.375141719810252</c:v>
                </c:pt>
                <c:pt idx="17">
                  <c:v>34.883786248087993</c:v>
                </c:pt>
                <c:pt idx="18">
                  <c:v>35.373866849025724</c:v>
                </c:pt>
                <c:pt idx="19">
                  <c:v>35.868842699139392</c:v>
                </c:pt>
                <c:pt idx="20">
                  <c:v>36.336353610236586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9-4252-A8BB-3F6EBC820C2C}"/>
            </c:ext>
          </c:extLst>
        </c:ser>
        <c:ser>
          <c:idx val="2"/>
          <c:order val="2"/>
          <c:tx>
            <c:strRef>
              <c:f>'Occ F2'!$L$18</c:f>
              <c:strCache>
                <c:ptCount val="1"/>
                <c:pt idx="0">
                  <c:v> 33 Protective service occupations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F2'!$M$18:$AG$18</c:f>
              <c:numCache>
                <c:formatCode>#,##0</c:formatCode>
                <c:ptCount val="21"/>
                <c:pt idx="0">
                  <c:v>18.193573896604018</c:v>
                </c:pt>
                <c:pt idx="1">
                  <c:v>17.676708931069861</c:v>
                </c:pt>
                <c:pt idx="2">
                  <c:v>17.232695759951266</c:v>
                </c:pt>
                <c:pt idx="3">
                  <c:v>16.663824963490494</c:v>
                </c:pt>
                <c:pt idx="4">
                  <c:v>15.85994008793647</c:v>
                </c:pt>
                <c:pt idx="5">
                  <c:v>16.088909587826628</c:v>
                </c:pt>
                <c:pt idx="6">
                  <c:v>16.432766384046733</c:v>
                </c:pt>
                <c:pt idx="7">
                  <c:v>15.967394255097956</c:v>
                </c:pt>
                <c:pt idx="8">
                  <c:v>16.532661530699976</c:v>
                </c:pt>
                <c:pt idx="9">
                  <c:v>16.476042086166636</c:v>
                </c:pt>
                <c:pt idx="10">
                  <c:v>16.715828527620712</c:v>
                </c:pt>
                <c:pt idx="11">
                  <c:v>16.596385177406336</c:v>
                </c:pt>
                <c:pt idx="12">
                  <c:v>16.499301435631935</c:v>
                </c:pt>
                <c:pt idx="13">
                  <c:v>16.406351047898845</c:v>
                </c:pt>
                <c:pt idx="14">
                  <c:v>16.284738824857229</c:v>
                </c:pt>
                <c:pt idx="15">
                  <c:v>16.17133108976617</c:v>
                </c:pt>
                <c:pt idx="16">
                  <c:v>16.106042083737481</c:v>
                </c:pt>
                <c:pt idx="17">
                  <c:v>16.0449319269343</c:v>
                </c:pt>
                <c:pt idx="18">
                  <c:v>15.974792741192259</c:v>
                </c:pt>
                <c:pt idx="19">
                  <c:v>15.902657500317982</c:v>
                </c:pt>
                <c:pt idx="20">
                  <c:v>15.812025383532305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09-4252-A8BB-3F6EBC820C2C}"/>
            </c:ext>
          </c:extLst>
        </c:ser>
        <c:ser>
          <c:idx val="3"/>
          <c:order val="3"/>
          <c:tx>
            <c:strRef>
              <c:f>'Occ F2'!$L$19</c:f>
              <c:strCache>
                <c:ptCount val="1"/>
                <c:pt idx="0">
                  <c:v> 34 Culture, media and sports occupations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F2'!$M$19:$AG$19</c:f>
              <c:numCache>
                <c:formatCode>#,##0</c:formatCode>
                <c:ptCount val="21"/>
                <c:pt idx="0">
                  <c:v>17.306171623307954</c:v>
                </c:pt>
                <c:pt idx="1">
                  <c:v>20.028158496029945</c:v>
                </c:pt>
                <c:pt idx="2">
                  <c:v>18.931393704563853</c:v>
                </c:pt>
                <c:pt idx="3">
                  <c:v>21.408852832611501</c:v>
                </c:pt>
                <c:pt idx="4">
                  <c:v>22.557309492923899</c:v>
                </c:pt>
                <c:pt idx="5">
                  <c:v>21.245999474288546</c:v>
                </c:pt>
                <c:pt idx="6">
                  <c:v>25.713826545638874</c:v>
                </c:pt>
                <c:pt idx="7">
                  <c:v>22.884218754400585</c:v>
                </c:pt>
                <c:pt idx="8">
                  <c:v>20.70493538552293</c:v>
                </c:pt>
                <c:pt idx="9">
                  <c:v>24.954809128454698</c:v>
                </c:pt>
                <c:pt idx="10">
                  <c:v>26.053726016084362</c:v>
                </c:pt>
                <c:pt idx="11">
                  <c:v>26.460253241166772</c:v>
                </c:pt>
                <c:pt idx="12">
                  <c:v>26.836731091308486</c:v>
                </c:pt>
                <c:pt idx="13">
                  <c:v>27.267644322872709</c:v>
                </c:pt>
                <c:pt idx="14">
                  <c:v>27.648945538327329</c:v>
                </c:pt>
                <c:pt idx="15">
                  <c:v>28.046718468437099</c:v>
                </c:pt>
                <c:pt idx="16">
                  <c:v>28.221404899894189</c:v>
                </c:pt>
                <c:pt idx="17">
                  <c:v>28.398884201888396</c:v>
                </c:pt>
                <c:pt idx="18">
                  <c:v>28.57200228868416</c:v>
                </c:pt>
                <c:pt idx="19">
                  <c:v>28.734276323436905</c:v>
                </c:pt>
                <c:pt idx="20">
                  <c:v>28.887592472886212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09-4252-A8BB-3F6EBC820C2C}"/>
            </c:ext>
          </c:extLst>
        </c:ser>
        <c:ser>
          <c:idx val="4"/>
          <c:order val="4"/>
          <c:tx>
            <c:strRef>
              <c:f>'Occ F2'!$L$20</c:f>
              <c:strCache>
                <c:ptCount val="1"/>
                <c:pt idx="0">
                  <c:v> 35 Business and public service associate professionals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F2'!$M$20:$AG$20</c:f>
              <c:numCache>
                <c:formatCode>#,##0</c:formatCode>
                <c:ptCount val="21"/>
                <c:pt idx="0">
                  <c:v>64.062602617111267</c:v>
                </c:pt>
                <c:pt idx="1">
                  <c:v>63.65691362689514</c:v>
                </c:pt>
                <c:pt idx="2">
                  <c:v>62.931793949874269</c:v>
                </c:pt>
                <c:pt idx="3">
                  <c:v>62.178393620258227</c:v>
                </c:pt>
                <c:pt idx="4">
                  <c:v>60.867722769884296</c:v>
                </c:pt>
                <c:pt idx="5">
                  <c:v>61.737146872551641</c:v>
                </c:pt>
                <c:pt idx="6">
                  <c:v>63.978300953937513</c:v>
                </c:pt>
                <c:pt idx="7">
                  <c:v>66.430893120416854</c:v>
                </c:pt>
                <c:pt idx="8">
                  <c:v>68.361853097471766</c:v>
                </c:pt>
                <c:pt idx="9">
                  <c:v>71.172812843954674</c:v>
                </c:pt>
                <c:pt idx="10">
                  <c:v>72.912857153089021</c:v>
                </c:pt>
                <c:pt idx="11">
                  <c:v>73.838099490779726</c:v>
                </c:pt>
                <c:pt idx="12">
                  <c:v>74.960796299130763</c:v>
                </c:pt>
                <c:pt idx="13">
                  <c:v>76.258017673699655</c:v>
                </c:pt>
                <c:pt idx="14">
                  <c:v>77.26256484474294</c:v>
                </c:pt>
                <c:pt idx="15">
                  <c:v>78.301758506839192</c:v>
                </c:pt>
                <c:pt idx="16">
                  <c:v>79.229884464521675</c:v>
                </c:pt>
                <c:pt idx="17">
                  <c:v>80.146733568082979</c:v>
                </c:pt>
                <c:pt idx="18">
                  <c:v>81.046140823926834</c:v>
                </c:pt>
                <c:pt idx="19">
                  <c:v>81.892975439162484</c:v>
                </c:pt>
                <c:pt idx="20">
                  <c:v>82.682412933942729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09-4252-A8BB-3F6EBC820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972920"/>
        <c:axId val="313973312"/>
      </c:areaChart>
      <c:catAx>
        <c:axId val="3139729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7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9733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451776649747034E-3"/>
              <c:y val="9.1575255364398228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72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1148813232878253E-3"/>
          <c:y val="0.89011570559668052"/>
          <c:w val="0.98572853805885341"/>
          <c:h val="9.0722617756612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17766896859499E-2"/>
          <c:y val="6.5573887134788983E-2"/>
          <c:w val="0.88101320276229866"/>
          <c:h val="0.74458099825073987"/>
        </c:manualLayout>
      </c:layout>
      <c:areaChart>
        <c:grouping val="stacked"/>
        <c:varyColors val="0"/>
        <c:ser>
          <c:idx val="1"/>
          <c:order val="0"/>
          <c:tx>
            <c:strRef>
              <c:f>'Occ F2'!$L$23</c:f>
              <c:strCache>
                <c:ptCount val="1"/>
                <c:pt idx="0">
                  <c:v> 41 Administrative occupations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F2'!$M$23:$AG$23</c:f>
              <c:numCache>
                <c:formatCode>#,##0</c:formatCode>
                <c:ptCount val="21"/>
                <c:pt idx="0">
                  <c:v>128.76139674940373</c:v>
                </c:pt>
                <c:pt idx="1">
                  <c:v>122.22502827156325</c:v>
                </c:pt>
                <c:pt idx="2">
                  <c:v>120.40620536716008</c:v>
                </c:pt>
                <c:pt idx="3">
                  <c:v>121.69167358069954</c:v>
                </c:pt>
                <c:pt idx="4">
                  <c:v>121.07093761138333</c:v>
                </c:pt>
                <c:pt idx="5">
                  <c:v>119.92922229333625</c:v>
                </c:pt>
                <c:pt idx="6">
                  <c:v>124.50951367193099</c:v>
                </c:pt>
                <c:pt idx="7">
                  <c:v>127.2105597522779</c:v>
                </c:pt>
                <c:pt idx="8">
                  <c:v>127.85199185445119</c:v>
                </c:pt>
                <c:pt idx="9">
                  <c:v>125.9660839278137</c:v>
                </c:pt>
                <c:pt idx="10">
                  <c:v>127.5213345098998</c:v>
                </c:pt>
                <c:pt idx="11">
                  <c:v>126.70329584776286</c:v>
                </c:pt>
                <c:pt idx="12">
                  <c:v>125.83692913411086</c:v>
                </c:pt>
                <c:pt idx="13">
                  <c:v>125.14174915168024</c:v>
                </c:pt>
                <c:pt idx="14">
                  <c:v>124.38983038076039</c:v>
                </c:pt>
                <c:pt idx="15">
                  <c:v>123.6717396969581</c:v>
                </c:pt>
                <c:pt idx="16">
                  <c:v>122.78912521758106</c:v>
                </c:pt>
                <c:pt idx="17">
                  <c:v>122.06120441441539</c:v>
                </c:pt>
                <c:pt idx="18">
                  <c:v>121.32858467451864</c:v>
                </c:pt>
                <c:pt idx="19">
                  <c:v>120.60585900921852</c:v>
                </c:pt>
                <c:pt idx="20">
                  <c:v>120.00823804562896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2-4194-831E-E9E810E854CB}"/>
            </c:ext>
          </c:extLst>
        </c:ser>
        <c:ser>
          <c:idx val="2"/>
          <c:order val="1"/>
          <c:tx>
            <c:strRef>
              <c:f>'Occ F2'!$L$24</c:f>
              <c:strCache>
                <c:ptCount val="1"/>
                <c:pt idx="0">
                  <c:v> 42 Secretarial and related occupations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F2'!$M$24:$AG$24</c:f>
              <c:numCache>
                <c:formatCode>#,##0</c:formatCode>
                <c:ptCount val="21"/>
                <c:pt idx="0">
                  <c:v>39.05845849832626</c:v>
                </c:pt>
                <c:pt idx="1">
                  <c:v>37.535962235528096</c:v>
                </c:pt>
                <c:pt idx="2">
                  <c:v>37.011584601685335</c:v>
                </c:pt>
                <c:pt idx="3">
                  <c:v>36.781812745492118</c:v>
                </c:pt>
                <c:pt idx="4">
                  <c:v>35.709129985173611</c:v>
                </c:pt>
                <c:pt idx="5">
                  <c:v>34.630344233879086</c:v>
                </c:pt>
                <c:pt idx="6">
                  <c:v>35.698309053503692</c:v>
                </c:pt>
                <c:pt idx="7">
                  <c:v>36.598751900909363</c:v>
                </c:pt>
                <c:pt idx="8">
                  <c:v>34.89578223293325</c:v>
                </c:pt>
                <c:pt idx="9">
                  <c:v>33.175912968421223</c:v>
                </c:pt>
                <c:pt idx="10">
                  <c:v>33.110290969005057</c:v>
                </c:pt>
                <c:pt idx="11">
                  <c:v>31.550562183630127</c:v>
                </c:pt>
                <c:pt idx="12">
                  <c:v>29.983901787830199</c:v>
                </c:pt>
                <c:pt idx="13">
                  <c:v>28.435023136967875</c:v>
                </c:pt>
                <c:pt idx="14">
                  <c:v>26.848446808922692</c:v>
                </c:pt>
                <c:pt idx="15">
                  <c:v>25.247136677405564</c:v>
                </c:pt>
                <c:pt idx="16">
                  <c:v>23.566086819503731</c:v>
                </c:pt>
                <c:pt idx="17">
                  <c:v>22.012474432778792</c:v>
                </c:pt>
                <c:pt idx="18">
                  <c:v>20.653593239930725</c:v>
                </c:pt>
                <c:pt idx="19">
                  <c:v>19.651887117398193</c:v>
                </c:pt>
                <c:pt idx="20">
                  <c:v>18.72318856576376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2-4194-831E-E9E810E85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974096"/>
        <c:axId val="315371928"/>
      </c:areaChart>
      <c:catAx>
        <c:axId val="3139740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71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371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291178359361714E-3"/>
              <c:y val="9.1074843242764068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9740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1846802511172591E-2"/>
          <c:y val="0.91216406466166122"/>
          <c:w val="0.9236807033411365"/>
          <c:h val="5.44827489178504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73096446700524E-2"/>
          <c:y val="6.5693430656934934E-2"/>
          <c:w val="0.89593908629441665"/>
          <c:h val="0.79379562043795615"/>
        </c:manualLayout>
      </c:layout>
      <c:areaChart>
        <c:grouping val="stacked"/>
        <c:varyColors val="0"/>
        <c:ser>
          <c:idx val="1"/>
          <c:order val="0"/>
          <c:tx>
            <c:strRef>
              <c:f>'Occ F2'!$L$27</c:f>
              <c:strCache>
                <c:ptCount val="1"/>
                <c:pt idx="0">
                  <c:v> 51 Skilled agricultural and related trades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F2'!$M$27:$AG$27</c:f>
              <c:numCache>
                <c:formatCode>#,##0</c:formatCode>
                <c:ptCount val="21"/>
                <c:pt idx="0">
                  <c:v>27.01228324618716</c:v>
                </c:pt>
                <c:pt idx="1">
                  <c:v>27.570192173462281</c:v>
                </c:pt>
                <c:pt idx="2">
                  <c:v>30.618435073792323</c:v>
                </c:pt>
                <c:pt idx="3">
                  <c:v>22.909034104375333</c:v>
                </c:pt>
                <c:pt idx="4">
                  <c:v>28.818343918870461</c:v>
                </c:pt>
                <c:pt idx="5">
                  <c:v>27.852633214650783</c:v>
                </c:pt>
                <c:pt idx="6">
                  <c:v>23.043615315562612</c:v>
                </c:pt>
                <c:pt idx="7">
                  <c:v>24.277042121932411</c:v>
                </c:pt>
                <c:pt idx="8">
                  <c:v>30.585855965502692</c:v>
                </c:pt>
                <c:pt idx="9">
                  <c:v>27.422197220300649</c:v>
                </c:pt>
                <c:pt idx="10">
                  <c:v>44.641992580529916</c:v>
                </c:pt>
                <c:pt idx="11">
                  <c:v>44.530506083626889</c:v>
                </c:pt>
                <c:pt idx="12">
                  <c:v>44.393723566270133</c:v>
                </c:pt>
                <c:pt idx="13">
                  <c:v>44.234219892796702</c:v>
                </c:pt>
                <c:pt idx="14">
                  <c:v>44.086965204344693</c:v>
                </c:pt>
                <c:pt idx="15">
                  <c:v>43.978336219184072</c:v>
                </c:pt>
                <c:pt idx="16">
                  <c:v>43.931026100932478</c:v>
                </c:pt>
                <c:pt idx="17">
                  <c:v>43.864683278591109</c:v>
                </c:pt>
                <c:pt idx="18">
                  <c:v>43.779087039814371</c:v>
                </c:pt>
                <c:pt idx="19">
                  <c:v>43.679275982494083</c:v>
                </c:pt>
                <c:pt idx="20">
                  <c:v>43.56237546948261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E-4BB9-B42D-40A8655AC298}"/>
            </c:ext>
          </c:extLst>
        </c:ser>
        <c:ser>
          <c:idx val="2"/>
          <c:order val="1"/>
          <c:tx>
            <c:strRef>
              <c:f>'Occ F2'!$L$28</c:f>
              <c:strCache>
                <c:ptCount val="1"/>
                <c:pt idx="0">
                  <c:v> 52 Skilled metal, electrical and electronic trades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F2'!$M$28:$AG$28</c:f>
              <c:numCache>
                <c:formatCode>#,##0</c:formatCode>
                <c:ptCount val="21"/>
                <c:pt idx="0">
                  <c:v>64.57909849455713</c:v>
                </c:pt>
                <c:pt idx="1">
                  <c:v>63.450297066022252</c:v>
                </c:pt>
                <c:pt idx="2">
                  <c:v>62.189428879456109</c:v>
                </c:pt>
                <c:pt idx="3">
                  <c:v>62.848643698166256</c:v>
                </c:pt>
                <c:pt idx="4">
                  <c:v>60.407941048992384</c:v>
                </c:pt>
                <c:pt idx="5">
                  <c:v>56.496204507904956</c:v>
                </c:pt>
                <c:pt idx="6">
                  <c:v>59.631421053842878</c:v>
                </c:pt>
                <c:pt idx="7">
                  <c:v>61.333251934707128</c:v>
                </c:pt>
                <c:pt idx="8">
                  <c:v>63.551321570371378</c:v>
                </c:pt>
                <c:pt idx="9">
                  <c:v>64.447384857180651</c:v>
                </c:pt>
                <c:pt idx="10">
                  <c:v>60.298327113758923</c:v>
                </c:pt>
                <c:pt idx="11">
                  <c:v>59.373477548605536</c:v>
                </c:pt>
                <c:pt idx="12">
                  <c:v>58.543526012051586</c:v>
                </c:pt>
                <c:pt idx="13">
                  <c:v>57.933457755360017</c:v>
                </c:pt>
                <c:pt idx="14">
                  <c:v>56.851678170285069</c:v>
                </c:pt>
                <c:pt idx="15">
                  <c:v>55.865669083490999</c:v>
                </c:pt>
                <c:pt idx="16">
                  <c:v>55.247882950760591</c:v>
                </c:pt>
                <c:pt idx="17">
                  <c:v>54.642866817888951</c:v>
                </c:pt>
                <c:pt idx="18">
                  <c:v>54.069527125737416</c:v>
                </c:pt>
                <c:pt idx="19">
                  <c:v>53.461876854954127</c:v>
                </c:pt>
                <c:pt idx="20">
                  <c:v>52.816651683092545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E-4BB9-B42D-40A8655AC298}"/>
            </c:ext>
          </c:extLst>
        </c:ser>
        <c:ser>
          <c:idx val="0"/>
          <c:order val="2"/>
          <c:tx>
            <c:strRef>
              <c:f>'Occ F2'!$L$29</c:f>
              <c:strCache>
                <c:ptCount val="1"/>
                <c:pt idx="0">
                  <c:v> 53 Skilled construction and building trades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F2'!$M$29:$AG$29</c:f>
              <c:numCache>
                <c:formatCode>#,##0</c:formatCode>
                <c:ptCount val="21"/>
                <c:pt idx="0">
                  <c:v>62.17438600693751</c:v>
                </c:pt>
                <c:pt idx="1">
                  <c:v>55.804558850281921</c:v>
                </c:pt>
                <c:pt idx="2">
                  <c:v>56.539295399230106</c:v>
                </c:pt>
                <c:pt idx="3">
                  <c:v>51.583390692113326</c:v>
                </c:pt>
                <c:pt idx="4">
                  <c:v>52.336334599950057</c:v>
                </c:pt>
                <c:pt idx="5">
                  <c:v>48.321987318260412</c:v>
                </c:pt>
                <c:pt idx="6">
                  <c:v>47.213104529123683</c:v>
                </c:pt>
                <c:pt idx="7">
                  <c:v>60.24610442364088</c:v>
                </c:pt>
                <c:pt idx="8">
                  <c:v>53.045408248903172</c:v>
                </c:pt>
                <c:pt idx="9">
                  <c:v>55.324443115389876</c:v>
                </c:pt>
                <c:pt idx="10">
                  <c:v>55.607063035219241</c:v>
                </c:pt>
                <c:pt idx="11">
                  <c:v>55.728454138366004</c:v>
                </c:pt>
                <c:pt idx="12">
                  <c:v>56.069492321755256</c:v>
                </c:pt>
                <c:pt idx="13">
                  <c:v>56.360806455457116</c:v>
                </c:pt>
                <c:pt idx="14">
                  <c:v>56.396153168407814</c:v>
                </c:pt>
                <c:pt idx="15">
                  <c:v>56.441055319271051</c:v>
                </c:pt>
                <c:pt idx="16">
                  <c:v>56.330824262384063</c:v>
                </c:pt>
                <c:pt idx="17">
                  <c:v>56.227823680251987</c:v>
                </c:pt>
                <c:pt idx="18">
                  <c:v>56.115523917706838</c:v>
                </c:pt>
                <c:pt idx="19">
                  <c:v>56.000545882856102</c:v>
                </c:pt>
                <c:pt idx="20">
                  <c:v>55.864658178180079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9E-4BB9-B42D-40A8655AC298}"/>
            </c:ext>
          </c:extLst>
        </c:ser>
        <c:ser>
          <c:idx val="3"/>
          <c:order val="3"/>
          <c:tx>
            <c:strRef>
              <c:f>'Occ F2'!$L$30</c:f>
              <c:strCache>
                <c:ptCount val="1"/>
                <c:pt idx="0">
                  <c:v> 54 Textiles, printing and other skilled trades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F2'!$M$30:$AG$30</c:f>
              <c:numCache>
                <c:formatCode>#,##0</c:formatCode>
                <c:ptCount val="21"/>
                <c:pt idx="0">
                  <c:v>38.851814595191357</c:v>
                </c:pt>
                <c:pt idx="1">
                  <c:v>39.739107401253825</c:v>
                </c:pt>
                <c:pt idx="2">
                  <c:v>37.108057390831704</c:v>
                </c:pt>
                <c:pt idx="3">
                  <c:v>39.417562809047382</c:v>
                </c:pt>
                <c:pt idx="4">
                  <c:v>36.276311598498637</c:v>
                </c:pt>
                <c:pt idx="5">
                  <c:v>40.958769429346432</c:v>
                </c:pt>
                <c:pt idx="6">
                  <c:v>39.19798784748356</c:v>
                </c:pt>
                <c:pt idx="7">
                  <c:v>38.486582549190935</c:v>
                </c:pt>
                <c:pt idx="8">
                  <c:v>41.850243518477576</c:v>
                </c:pt>
                <c:pt idx="9">
                  <c:v>44.817072624620941</c:v>
                </c:pt>
                <c:pt idx="10">
                  <c:v>44.112533415690251</c:v>
                </c:pt>
                <c:pt idx="11">
                  <c:v>43.691330268987215</c:v>
                </c:pt>
                <c:pt idx="12">
                  <c:v>43.187318080131931</c:v>
                </c:pt>
                <c:pt idx="13">
                  <c:v>42.596465069516015</c:v>
                </c:pt>
                <c:pt idx="14">
                  <c:v>41.987517369976246</c:v>
                </c:pt>
                <c:pt idx="15">
                  <c:v>41.428616628358341</c:v>
                </c:pt>
                <c:pt idx="16">
                  <c:v>40.763771281297323</c:v>
                </c:pt>
                <c:pt idx="17">
                  <c:v>40.078489843175376</c:v>
                </c:pt>
                <c:pt idx="18">
                  <c:v>39.426482551930512</c:v>
                </c:pt>
                <c:pt idx="19">
                  <c:v>38.79971041194775</c:v>
                </c:pt>
                <c:pt idx="20">
                  <c:v>38.141598610885424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9E-4BB9-B42D-40A8655A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72712"/>
        <c:axId val="315373104"/>
      </c:areaChart>
      <c:catAx>
        <c:axId val="315372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7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3731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451776649747034E-3"/>
              <c:y val="9.124087591240875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727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990073341974887E-2"/>
          <c:y val="0.93978106853588406"/>
          <c:w val="0.8744421378136028"/>
          <c:h val="6.021893146411590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73096446700524E-2"/>
          <c:y val="6.6055045871559345E-2"/>
          <c:w val="0.89720812182739207"/>
          <c:h val="0.8"/>
        </c:manualLayout>
      </c:layout>
      <c:areaChart>
        <c:grouping val="stacked"/>
        <c:varyColors val="0"/>
        <c:ser>
          <c:idx val="1"/>
          <c:order val="0"/>
          <c:tx>
            <c:strRef>
              <c:f>'Occ F2'!$L$33</c:f>
              <c:strCache>
                <c:ptCount val="1"/>
                <c:pt idx="0">
                  <c:v> 61 Caring personal service occupations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F2'!$M$33:$AG$33</c:f>
              <c:numCache>
                <c:formatCode>#,##0</c:formatCode>
                <c:ptCount val="21"/>
                <c:pt idx="0">
                  <c:v>99.187958703714813</c:v>
                </c:pt>
                <c:pt idx="1">
                  <c:v>102.88866431589956</c:v>
                </c:pt>
                <c:pt idx="2">
                  <c:v>103.40710702152521</c:v>
                </c:pt>
                <c:pt idx="3">
                  <c:v>102.07734062589564</c:v>
                </c:pt>
                <c:pt idx="4">
                  <c:v>108.31847529773364</c:v>
                </c:pt>
                <c:pt idx="5">
                  <c:v>108.78205721203497</c:v>
                </c:pt>
                <c:pt idx="6">
                  <c:v>113.51180817475201</c:v>
                </c:pt>
                <c:pt idx="7">
                  <c:v>120.60352250508001</c:v>
                </c:pt>
                <c:pt idx="8">
                  <c:v>123.02180450683093</c:v>
                </c:pt>
                <c:pt idx="9">
                  <c:v>124.04586130523727</c:v>
                </c:pt>
                <c:pt idx="10">
                  <c:v>134.03418747801385</c:v>
                </c:pt>
                <c:pt idx="11">
                  <c:v>136.29681795842384</c:v>
                </c:pt>
                <c:pt idx="12">
                  <c:v>138.10471083604918</c:v>
                </c:pt>
                <c:pt idx="13">
                  <c:v>139.98528945561446</c:v>
                </c:pt>
                <c:pt idx="14">
                  <c:v>141.92493525783033</c:v>
                </c:pt>
                <c:pt idx="15">
                  <c:v>144.11345945912691</c:v>
                </c:pt>
                <c:pt idx="16">
                  <c:v>146.691735430238</c:v>
                </c:pt>
                <c:pt idx="17">
                  <c:v>149.30151705884145</c:v>
                </c:pt>
                <c:pt idx="18">
                  <c:v>151.84813970898534</c:v>
                </c:pt>
                <c:pt idx="19">
                  <c:v>154.20282374136428</c:v>
                </c:pt>
                <c:pt idx="20">
                  <c:v>156.37297615871555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8-4082-9485-6635190C6423}"/>
            </c:ext>
          </c:extLst>
        </c:ser>
        <c:ser>
          <c:idx val="2"/>
          <c:order val="1"/>
          <c:tx>
            <c:strRef>
              <c:f>'Occ F2'!$L$34</c:f>
              <c:strCache>
                <c:ptCount val="1"/>
                <c:pt idx="0">
                  <c:v> 62 Leisure, travel and related personal service occupations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F2'!$M$34:$AG$34</c:f>
              <c:numCache>
                <c:formatCode>#,##0</c:formatCode>
                <c:ptCount val="21"/>
                <c:pt idx="0">
                  <c:v>26.961171532317142</c:v>
                </c:pt>
                <c:pt idx="1">
                  <c:v>27.722167699843066</c:v>
                </c:pt>
                <c:pt idx="2">
                  <c:v>27.725454578426731</c:v>
                </c:pt>
                <c:pt idx="3">
                  <c:v>28.425552490374088</c:v>
                </c:pt>
                <c:pt idx="4">
                  <c:v>29.237858637893915</c:v>
                </c:pt>
                <c:pt idx="5">
                  <c:v>28.236435407329424</c:v>
                </c:pt>
                <c:pt idx="6">
                  <c:v>30.173893984754738</c:v>
                </c:pt>
                <c:pt idx="7">
                  <c:v>35.054747188440864</c:v>
                </c:pt>
                <c:pt idx="8">
                  <c:v>28.116328537998111</c:v>
                </c:pt>
                <c:pt idx="9">
                  <c:v>31.449537603594869</c:v>
                </c:pt>
                <c:pt idx="10">
                  <c:v>34.081983399938842</c:v>
                </c:pt>
                <c:pt idx="11">
                  <c:v>33.941792406443959</c:v>
                </c:pt>
                <c:pt idx="12">
                  <c:v>33.755993460683399</c:v>
                </c:pt>
                <c:pt idx="13">
                  <c:v>33.583726212124624</c:v>
                </c:pt>
                <c:pt idx="14">
                  <c:v>33.392843799147634</c:v>
                </c:pt>
                <c:pt idx="15">
                  <c:v>33.213640916490561</c:v>
                </c:pt>
                <c:pt idx="16">
                  <c:v>33.029998909990596</c:v>
                </c:pt>
                <c:pt idx="17">
                  <c:v>32.838775426248333</c:v>
                </c:pt>
                <c:pt idx="18">
                  <c:v>32.689298356307198</c:v>
                </c:pt>
                <c:pt idx="19">
                  <c:v>32.553561769523839</c:v>
                </c:pt>
                <c:pt idx="20">
                  <c:v>32.422277716403407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8-4082-9485-6635190C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73888"/>
        <c:axId val="315374280"/>
      </c:areaChart>
      <c:catAx>
        <c:axId val="315373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74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3742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451776649747034E-3"/>
              <c:y val="1.100917431192702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73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3784359265713874E-2"/>
          <c:y val="0.94184904751333198"/>
          <c:w val="0.89999993335577033"/>
          <c:h val="4.0005290280526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28143736555897E-2"/>
          <c:y val="6.9182531574561834E-2"/>
          <c:w val="0.87224041939852393"/>
          <c:h val="0.7861651315291116"/>
        </c:manualLayout>
      </c:layout>
      <c:areaChart>
        <c:grouping val="stacked"/>
        <c:varyColors val="0"/>
        <c:ser>
          <c:idx val="1"/>
          <c:order val="0"/>
          <c:tx>
            <c:strRef>
              <c:f>'Ind F2'!$L$6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F2'!$M$6:$AG$6</c:f>
              <c:numCache>
                <c:formatCode>#,##0</c:formatCode>
                <c:ptCount val="21"/>
                <c:pt idx="0">
                  <c:v>37.118000000003256</c:v>
                </c:pt>
                <c:pt idx="1">
                  <c:v>36.880000000310559</c:v>
                </c:pt>
                <c:pt idx="2">
                  <c:v>41.61700000049246</c:v>
                </c:pt>
                <c:pt idx="3">
                  <c:v>31.347999999656327</c:v>
                </c:pt>
                <c:pt idx="4">
                  <c:v>35.455999999765297</c:v>
                </c:pt>
                <c:pt idx="5">
                  <c:v>35.296999999794295</c:v>
                </c:pt>
                <c:pt idx="6">
                  <c:v>28.765000000079787</c:v>
                </c:pt>
                <c:pt idx="7">
                  <c:v>35.126999999669735</c:v>
                </c:pt>
                <c:pt idx="8">
                  <c:v>42.727999999759056</c:v>
                </c:pt>
                <c:pt idx="9">
                  <c:v>34.374000000028154</c:v>
                </c:pt>
                <c:pt idx="10">
                  <c:v>59.821000000532997</c:v>
                </c:pt>
                <c:pt idx="11">
                  <c:v>59.634000000115847</c:v>
                </c:pt>
                <c:pt idx="12">
                  <c:v>59.51900000007867</c:v>
                </c:pt>
                <c:pt idx="13">
                  <c:v>59.57000000065397</c:v>
                </c:pt>
                <c:pt idx="14">
                  <c:v>59.626000000156331</c:v>
                </c:pt>
                <c:pt idx="15">
                  <c:v>59.688000000333112</c:v>
                </c:pt>
                <c:pt idx="16">
                  <c:v>59.771000000346447</c:v>
                </c:pt>
                <c:pt idx="17">
                  <c:v>59.846000000521599</c:v>
                </c:pt>
                <c:pt idx="18">
                  <c:v>59.908000000335768</c:v>
                </c:pt>
                <c:pt idx="19">
                  <c:v>59.956000000390553</c:v>
                </c:pt>
                <c:pt idx="20">
                  <c:v>60.006000000325777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4-40D6-BD1E-474194B8C77E}"/>
            </c:ext>
          </c:extLst>
        </c:ser>
        <c:ser>
          <c:idx val="2"/>
          <c:order val="1"/>
          <c:tx>
            <c:strRef>
              <c:f>'Ind F2'!$L$7</c:f>
              <c:strCache>
                <c:ptCount val="1"/>
                <c:pt idx="0">
                  <c:v>Mining and quarrying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F2'!$M$7:$AG$7</c:f>
              <c:numCache>
                <c:formatCode>#,##0</c:formatCode>
                <c:ptCount val="21"/>
                <c:pt idx="0">
                  <c:v>1.6279999999962358</c:v>
                </c:pt>
                <c:pt idx="1">
                  <c:v>1.96099999999255</c:v>
                </c:pt>
                <c:pt idx="2">
                  <c:v>1.956999999999492</c:v>
                </c:pt>
                <c:pt idx="3">
                  <c:v>1.6429999999957143</c:v>
                </c:pt>
                <c:pt idx="4">
                  <c:v>1.9789999999983645</c:v>
                </c:pt>
                <c:pt idx="5">
                  <c:v>3.007999999987867</c:v>
                </c:pt>
                <c:pt idx="6">
                  <c:v>3.0559999999955099</c:v>
                </c:pt>
                <c:pt idx="7">
                  <c:v>2.0239999999991891</c:v>
                </c:pt>
                <c:pt idx="8">
                  <c:v>1.6539999999963646</c:v>
                </c:pt>
                <c:pt idx="9">
                  <c:v>2.2149999999949364</c:v>
                </c:pt>
                <c:pt idx="10">
                  <c:v>2.7239999999940552</c:v>
                </c:pt>
                <c:pt idx="11">
                  <c:v>2.6899999999924988</c:v>
                </c:pt>
                <c:pt idx="12">
                  <c:v>2.7039999999911966</c:v>
                </c:pt>
                <c:pt idx="13">
                  <c:v>2.7389999999985712</c:v>
                </c:pt>
                <c:pt idx="14">
                  <c:v>2.641999999988176</c:v>
                </c:pt>
                <c:pt idx="15">
                  <c:v>2.5589999999895552</c:v>
                </c:pt>
                <c:pt idx="16">
                  <c:v>2.4819999999883806</c:v>
                </c:pt>
                <c:pt idx="17">
                  <c:v>2.4079999999887383</c:v>
                </c:pt>
                <c:pt idx="18">
                  <c:v>2.339999999985138</c:v>
                </c:pt>
                <c:pt idx="19">
                  <c:v>2.2759999999884681</c:v>
                </c:pt>
                <c:pt idx="20">
                  <c:v>2.2159999999892799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4-40D6-BD1E-474194B8C77E}"/>
            </c:ext>
          </c:extLst>
        </c:ser>
        <c:ser>
          <c:idx val="3"/>
          <c:order val="2"/>
          <c:tx>
            <c:strRef>
              <c:f>'Ind F2'!$L$8</c:f>
              <c:strCache>
                <c:ptCount val="1"/>
                <c:pt idx="0">
                  <c:v>Electricity and gas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F2'!$M$8:$AG$8</c:f>
              <c:numCache>
                <c:formatCode>#,##0</c:formatCode>
                <c:ptCount val="21"/>
                <c:pt idx="0">
                  <c:v>4.5729999999731454</c:v>
                </c:pt>
                <c:pt idx="1">
                  <c:v>4.5589999999683517</c:v>
                </c:pt>
                <c:pt idx="2">
                  <c:v>5.4519999999573452</c:v>
                </c:pt>
                <c:pt idx="3">
                  <c:v>6.818999999985687</c:v>
                </c:pt>
                <c:pt idx="4">
                  <c:v>7.2819999999869944</c:v>
                </c:pt>
                <c:pt idx="5">
                  <c:v>7.6879999999825621</c:v>
                </c:pt>
                <c:pt idx="6">
                  <c:v>7.3249999999629072</c:v>
                </c:pt>
                <c:pt idx="7">
                  <c:v>7.7559999999832661</c:v>
                </c:pt>
                <c:pt idx="8">
                  <c:v>10.87400000001186</c:v>
                </c:pt>
                <c:pt idx="9">
                  <c:v>9.0730000000026809</c:v>
                </c:pt>
                <c:pt idx="10">
                  <c:v>7.7169999999830905</c:v>
                </c:pt>
                <c:pt idx="11">
                  <c:v>7.6649999999959091</c:v>
                </c:pt>
                <c:pt idx="12">
                  <c:v>7.6320000000093602</c:v>
                </c:pt>
                <c:pt idx="13">
                  <c:v>7.6199999999878321</c:v>
                </c:pt>
                <c:pt idx="14">
                  <c:v>7.5930000000145901</c:v>
                </c:pt>
                <c:pt idx="15">
                  <c:v>7.5720000000105081</c:v>
                </c:pt>
                <c:pt idx="16">
                  <c:v>7.5610000000102966</c:v>
                </c:pt>
                <c:pt idx="17">
                  <c:v>7.557000000010194</c:v>
                </c:pt>
                <c:pt idx="18">
                  <c:v>7.5530000000240545</c:v>
                </c:pt>
                <c:pt idx="19">
                  <c:v>7.5480000000058247</c:v>
                </c:pt>
                <c:pt idx="20">
                  <c:v>7.5420000000170146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4-40D6-BD1E-474194B8C77E}"/>
            </c:ext>
          </c:extLst>
        </c:ser>
        <c:ser>
          <c:idx val="0"/>
          <c:order val="3"/>
          <c:tx>
            <c:strRef>
              <c:f>'Ind F2'!$L$9</c:f>
              <c:strCache>
                <c:ptCount val="1"/>
                <c:pt idx="0">
                  <c:v>Water and sewerage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F2'!$M$9:$AG$9</c:f>
              <c:numCache>
                <c:formatCode>#,##0</c:formatCode>
                <c:ptCount val="21"/>
                <c:pt idx="0">
                  <c:v>9.0060000000019933</c:v>
                </c:pt>
                <c:pt idx="1">
                  <c:v>8.6179999999986237</c:v>
                </c:pt>
                <c:pt idx="2">
                  <c:v>8.6100000000219605</c:v>
                </c:pt>
                <c:pt idx="3">
                  <c:v>10.076999999901311</c:v>
                </c:pt>
                <c:pt idx="4">
                  <c:v>10.187999999876761</c:v>
                </c:pt>
                <c:pt idx="5">
                  <c:v>12.381999999838591</c:v>
                </c:pt>
                <c:pt idx="6">
                  <c:v>12.310999999957254</c:v>
                </c:pt>
                <c:pt idx="7">
                  <c:v>10.91299999983837</c:v>
                </c:pt>
                <c:pt idx="8">
                  <c:v>14.218999999770526</c:v>
                </c:pt>
                <c:pt idx="9">
                  <c:v>11.653999999806441</c:v>
                </c:pt>
                <c:pt idx="10">
                  <c:v>11.306999999876865</c:v>
                </c:pt>
                <c:pt idx="11">
                  <c:v>11.307999999835737</c:v>
                </c:pt>
                <c:pt idx="12">
                  <c:v>11.686999999792217</c:v>
                </c:pt>
                <c:pt idx="13">
                  <c:v>11.868999999893381</c:v>
                </c:pt>
                <c:pt idx="14">
                  <c:v>12.052999999787655</c:v>
                </c:pt>
                <c:pt idx="15">
                  <c:v>12.19699999979116</c:v>
                </c:pt>
                <c:pt idx="16">
                  <c:v>12.371999999753909</c:v>
                </c:pt>
                <c:pt idx="17">
                  <c:v>12.531999999773701</c:v>
                </c:pt>
                <c:pt idx="18">
                  <c:v>12.67599999969655</c:v>
                </c:pt>
                <c:pt idx="19">
                  <c:v>12.826999999759998</c:v>
                </c:pt>
                <c:pt idx="20">
                  <c:v>12.977999999769249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B-4C95-A899-B448F94D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626528"/>
        <c:axId val="254626912"/>
      </c:areaChart>
      <c:catAx>
        <c:axId val="2546265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69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7.8864414050499442E-3"/>
              <c:y val="1.04822017537214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65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492138588806196"/>
          <c:y val="0.93501239643194956"/>
          <c:w val="0.67507859518612257"/>
          <c:h val="4.01036196726265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83590464046934E-2"/>
          <c:y val="6.5693430656934934E-2"/>
          <c:w val="0.89367143843421171"/>
          <c:h val="0.78186251479901514"/>
        </c:manualLayout>
      </c:layout>
      <c:areaChart>
        <c:grouping val="stacked"/>
        <c:varyColors val="0"/>
        <c:ser>
          <c:idx val="1"/>
          <c:order val="0"/>
          <c:tx>
            <c:strRef>
              <c:f>'Occ F2'!$L$37</c:f>
              <c:strCache>
                <c:ptCount val="1"/>
                <c:pt idx="0">
                  <c:v> 71 Sales occupations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F2'!$M$37:$AG$37</c:f>
              <c:numCache>
                <c:formatCode>#,##0</c:formatCode>
                <c:ptCount val="21"/>
                <c:pt idx="0">
                  <c:v>109.72479758960813</c:v>
                </c:pt>
                <c:pt idx="1">
                  <c:v>109.32656541344713</c:v>
                </c:pt>
                <c:pt idx="2">
                  <c:v>101.09405566388921</c:v>
                </c:pt>
                <c:pt idx="3">
                  <c:v>98.509242993437795</c:v>
                </c:pt>
                <c:pt idx="4">
                  <c:v>100.78118446380159</c:v>
                </c:pt>
                <c:pt idx="5">
                  <c:v>101.02984488381639</c:v>
                </c:pt>
                <c:pt idx="6">
                  <c:v>96.593833146177431</c:v>
                </c:pt>
                <c:pt idx="7">
                  <c:v>94.782533482141346</c:v>
                </c:pt>
                <c:pt idx="8">
                  <c:v>91.879114788781237</c:v>
                </c:pt>
                <c:pt idx="9">
                  <c:v>94.451213415232388</c:v>
                </c:pt>
                <c:pt idx="10">
                  <c:v>96.72865813780345</c:v>
                </c:pt>
                <c:pt idx="11">
                  <c:v>96.181425107619873</c:v>
                </c:pt>
                <c:pt idx="12">
                  <c:v>95.655763754878919</c:v>
                </c:pt>
                <c:pt idx="13">
                  <c:v>95.281791401925332</c:v>
                </c:pt>
                <c:pt idx="14">
                  <c:v>93.779971600167158</c:v>
                </c:pt>
                <c:pt idx="15">
                  <c:v>92.221847071554265</c:v>
                </c:pt>
                <c:pt idx="16">
                  <c:v>91.463308731472992</c:v>
                </c:pt>
                <c:pt idx="17">
                  <c:v>90.686922182103487</c:v>
                </c:pt>
                <c:pt idx="18">
                  <c:v>89.908820517135482</c:v>
                </c:pt>
                <c:pt idx="19">
                  <c:v>89.166915788093817</c:v>
                </c:pt>
                <c:pt idx="20">
                  <c:v>88.415327050932888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F-4C1D-B059-F6A3CE93115D}"/>
            </c:ext>
          </c:extLst>
        </c:ser>
        <c:ser>
          <c:idx val="0"/>
          <c:order val="1"/>
          <c:tx>
            <c:strRef>
              <c:f>'Occ F2'!$L$38</c:f>
              <c:strCache>
                <c:ptCount val="1"/>
                <c:pt idx="0">
                  <c:v> 72 Customer service occupations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F2'!$M$38:$AG$38</c:f>
              <c:numCache>
                <c:formatCode>#,##0</c:formatCode>
                <c:ptCount val="21"/>
                <c:pt idx="0">
                  <c:v>21.678479524059966</c:v>
                </c:pt>
                <c:pt idx="1">
                  <c:v>22.155336453791882</c:v>
                </c:pt>
                <c:pt idx="2">
                  <c:v>24.48459453159435</c:v>
                </c:pt>
                <c:pt idx="3">
                  <c:v>23.816659752543913</c:v>
                </c:pt>
                <c:pt idx="4">
                  <c:v>24.422024066287371</c:v>
                </c:pt>
                <c:pt idx="5">
                  <c:v>24.790414571209773</c:v>
                </c:pt>
                <c:pt idx="6">
                  <c:v>25.487606782501995</c:v>
                </c:pt>
                <c:pt idx="7">
                  <c:v>27.28283799110951</c:v>
                </c:pt>
                <c:pt idx="8">
                  <c:v>28.252008903596099</c:v>
                </c:pt>
                <c:pt idx="9">
                  <c:v>28.376003728717034</c:v>
                </c:pt>
                <c:pt idx="10">
                  <c:v>28.941220880813535</c:v>
                </c:pt>
                <c:pt idx="11">
                  <c:v>29.408993491338471</c:v>
                </c:pt>
                <c:pt idx="12">
                  <c:v>29.881610724400812</c:v>
                </c:pt>
                <c:pt idx="13">
                  <c:v>30.385160832856531</c:v>
                </c:pt>
                <c:pt idx="14">
                  <c:v>30.894597693685736</c:v>
                </c:pt>
                <c:pt idx="15">
                  <c:v>31.412280004465572</c:v>
                </c:pt>
                <c:pt idx="16">
                  <c:v>31.882324000594064</c:v>
                </c:pt>
                <c:pt idx="17">
                  <c:v>32.366139434477383</c:v>
                </c:pt>
                <c:pt idx="18">
                  <c:v>32.852657842969556</c:v>
                </c:pt>
                <c:pt idx="19">
                  <c:v>33.311601936891435</c:v>
                </c:pt>
                <c:pt idx="20">
                  <c:v>33.733710674085017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4F-4C1D-B059-F6A3CE93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75064"/>
        <c:axId val="315375456"/>
      </c:areaChart>
      <c:catAx>
        <c:axId val="3153750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7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3754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291178359361714E-3"/>
              <c:y val="9.124087591240875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3750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38726324749957E-2"/>
          <c:y val="0.93023452915640914"/>
          <c:w val="0.89873975845924681"/>
          <c:h val="5.06723920846409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17766896859499E-2"/>
          <c:y val="5.8500966297851828E-2"/>
          <c:w val="0.89746890913572896"/>
          <c:h val="0.72956320660293172"/>
        </c:manualLayout>
      </c:layout>
      <c:areaChart>
        <c:grouping val="stacked"/>
        <c:varyColors val="0"/>
        <c:ser>
          <c:idx val="1"/>
          <c:order val="0"/>
          <c:tx>
            <c:strRef>
              <c:f>'Occ F2'!$L$41</c:f>
              <c:strCache>
                <c:ptCount val="1"/>
                <c:pt idx="0">
                  <c:v> 81 Process, plant and machine operatives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F2'!$M$41:$AG$41</c:f>
              <c:numCache>
                <c:formatCode>#,##0</c:formatCode>
                <c:ptCount val="21"/>
                <c:pt idx="0">
                  <c:v>85.70514998203177</c:v>
                </c:pt>
                <c:pt idx="1">
                  <c:v>84.04670761200444</c:v>
                </c:pt>
                <c:pt idx="2">
                  <c:v>80.833490810576023</c:v>
                </c:pt>
                <c:pt idx="3">
                  <c:v>77.927091408077899</c:v>
                </c:pt>
                <c:pt idx="4">
                  <c:v>78.473654700646492</c:v>
                </c:pt>
                <c:pt idx="5">
                  <c:v>78.222128118878317</c:v>
                </c:pt>
                <c:pt idx="6">
                  <c:v>78.985760507301237</c:v>
                </c:pt>
                <c:pt idx="7">
                  <c:v>84.102192914451095</c:v>
                </c:pt>
                <c:pt idx="8">
                  <c:v>83.22268969612017</c:v>
                </c:pt>
                <c:pt idx="9">
                  <c:v>81.870894894982058</c:v>
                </c:pt>
                <c:pt idx="10">
                  <c:v>78.332378779529421</c:v>
                </c:pt>
                <c:pt idx="11">
                  <c:v>76.626008638196708</c:v>
                </c:pt>
                <c:pt idx="12">
                  <c:v>74.892173318111048</c:v>
                </c:pt>
                <c:pt idx="13">
                  <c:v>73.478480242834593</c:v>
                </c:pt>
                <c:pt idx="14">
                  <c:v>72.039054610746874</c:v>
                </c:pt>
                <c:pt idx="15">
                  <c:v>70.793393427315365</c:v>
                </c:pt>
                <c:pt idx="16">
                  <c:v>69.73131105291894</c:v>
                </c:pt>
                <c:pt idx="17">
                  <c:v>68.798668756909592</c:v>
                </c:pt>
                <c:pt idx="18">
                  <c:v>67.884287560447362</c:v>
                </c:pt>
                <c:pt idx="19">
                  <c:v>67.108050681180856</c:v>
                </c:pt>
                <c:pt idx="20">
                  <c:v>66.345882238047054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B-4418-B5FD-BA328BECFEED}"/>
            </c:ext>
          </c:extLst>
        </c:ser>
        <c:ser>
          <c:idx val="0"/>
          <c:order val="1"/>
          <c:tx>
            <c:strRef>
              <c:f>'Occ F2'!$L$42</c:f>
              <c:strCache>
                <c:ptCount val="1"/>
                <c:pt idx="0">
                  <c:v> 82 Transport and mobile machine drivers and operatives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F2'!$M$42:$AG$42</c:f>
              <c:numCache>
                <c:formatCode>#,##0</c:formatCode>
                <c:ptCount val="21"/>
                <c:pt idx="0">
                  <c:v>45.276922067123785</c:v>
                </c:pt>
                <c:pt idx="1">
                  <c:v>46.143081611588471</c:v>
                </c:pt>
                <c:pt idx="2">
                  <c:v>45.456028827463562</c:v>
                </c:pt>
                <c:pt idx="3">
                  <c:v>40.178876537557585</c:v>
                </c:pt>
                <c:pt idx="4">
                  <c:v>41.448610429842724</c:v>
                </c:pt>
                <c:pt idx="5">
                  <c:v>38.39753957307591</c:v>
                </c:pt>
                <c:pt idx="6">
                  <c:v>38.908597293053354</c:v>
                </c:pt>
                <c:pt idx="7">
                  <c:v>44.235031209055045</c:v>
                </c:pt>
                <c:pt idx="8">
                  <c:v>42.131755415486154</c:v>
                </c:pt>
                <c:pt idx="9">
                  <c:v>37.425557597935359</c:v>
                </c:pt>
                <c:pt idx="10">
                  <c:v>35.493360283060447</c:v>
                </c:pt>
                <c:pt idx="11">
                  <c:v>35.572845390244744</c:v>
                </c:pt>
                <c:pt idx="12">
                  <c:v>35.77776432780778</c:v>
                </c:pt>
                <c:pt idx="13">
                  <c:v>36.09508143446309</c:v>
                </c:pt>
                <c:pt idx="14">
                  <c:v>36.053348921644343</c:v>
                </c:pt>
                <c:pt idx="15">
                  <c:v>36.015228017130013</c:v>
                </c:pt>
                <c:pt idx="16">
                  <c:v>36.167205701979931</c:v>
                </c:pt>
                <c:pt idx="17">
                  <c:v>36.320975257118164</c:v>
                </c:pt>
                <c:pt idx="18">
                  <c:v>36.455793722165218</c:v>
                </c:pt>
                <c:pt idx="19">
                  <c:v>36.567067321031033</c:v>
                </c:pt>
                <c:pt idx="20">
                  <c:v>36.641000948387891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B-4418-B5FD-BA328BECF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607792"/>
        <c:axId val="315608184"/>
      </c:areaChart>
      <c:catAx>
        <c:axId val="315607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08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608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8.8607649703107728E-3"/>
              <c:y val="9.1407759840393486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077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7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21978293253883804"/>
          <c:y val="0.86822930790507791"/>
          <c:w val="0.63325760800170261"/>
          <c:h val="0.12425660317820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73096446700524E-2"/>
          <c:y val="6.6176529986688937E-2"/>
          <c:w val="0.8946700507614217"/>
          <c:h val="0.77573599039955177"/>
        </c:manualLayout>
      </c:layout>
      <c:areaChart>
        <c:grouping val="stacked"/>
        <c:varyColors val="0"/>
        <c:ser>
          <c:idx val="1"/>
          <c:order val="0"/>
          <c:tx>
            <c:strRef>
              <c:f>'Occ F2'!$L$45</c:f>
              <c:strCache>
                <c:ptCount val="1"/>
                <c:pt idx="0">
                  <c:v> 91 Elementary trades and related occupations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F2'!$M$45:$AG$45</c:f>
              <c:numCache>
                <c:formatCode>#,##0</c:formatCode>
                <c:ptCount val="21"/>
                <c:pt idx="0">
                  <c:v>31.655920531721669</c:v>
                </c:pt>
                <c:pt idx="1">
                  <c:v>29.606640948168618</c:v>
                </c:pt>
                <c:pt idx="2">
                  <c:v>30.600727641834471</c:v>
                </c:pt>
                <c:pt idx="3">
                  <c:v>28.402011886347726</c:v>
                </c:pt>
                <c:pt idx="4">
                  <c:v>28.232855904447725</c:v>
                </c:pt>
                <c:pt idx="5">
                  <c:v>28.077506117493837</c:v>
                </c:pt>
                <c:pt idx="6">
                  <c:v>27.152147780795389</c:v>
                </c:pt>
                <c:pt idx="7">
                  <c:v>29.486789704625256</c:v>
                </c:pt>
                <c:pt idx="8">
                  <c:v>30.430131670225308</c:v>
                </c:pt>
                <c:pt idx="9">
                  <c:v>30.631225411851457</c:v>
                </c:pt>
                <c:pt idx="10">
                  <c:v>30.003578616580025</c:v>
                </c:pt>
                <c:pt idx="11">
                  <c:v>29.940574657638191</c:v>
                </c:pt>
                <c:pt idx="12">
                  <c:v>29.903770188922579</c:v>
                </c:pt>
                <c:pt idx="13">
                  <c:v>29.951690678737872</c:v>
                </c:pt>
                <c:pt idx="14">
                  <c:v>29.867512819715802</c:v>
                </c:pt>
                <c:pt idx="15">
                  <c:v>29.820583339074787</c:v>
                </c:pt>
                <c:pt idx="16">
                  <c:v>29.859380866065003</c:v>
                </c:pt>
                <c:pt idx="17">
                  <c:v>29.926266241315979</c:v>
                </c:pt>
                <c:pt idx="18">
                  <c:v>29.972846865512654</c:v>
                </c:pt>
                <c:pt idx="19">
                  <c:v>30.011312737100237</c:v>
                </c:pt>
                <c:pt idx="20">
                  <c:v>30.056216538126861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6-496A-AB20-744818E50B15}"/>
            </c:ext>
          </c:extLst>
        </c:ser>
        <c:ser>
          <c:idx val="0"/>
          <c:order val="1"/>
          <c:tx>
            <c:strRef>
              <c:f>'Occ F2'!$L$46</c:f>
              <c:strCache>
                <c:ptCount val="1"/>
                <c:pt idx="0">
                  <c:v> 92 Elementary administration and service occupations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F2'!$M$46:$AG$46</c:f>
              <c:numCache>
                <c:formatCode>#,##0</c:formatCode>
                <c:ptCount val="21"/>
                <c:pt idx="0">
                  <c:v>165.33884287808465</c:v>
                </c:pt>
                <c:pt idx="1">
                  <c:v>156.76650211526098</c:v>
                </c:pt>
                <c:pt idx="2">
                  <c:v>147.57488056540777</c:v>
                </c:pt>
                <c:pt idx="3">
                  <c:v>147.5211432389564</c:v>
                </c:pt>
                <c:pt idx="4">
                  <c:v>139.03486469783127</c:v>
                </c:pt>
                <c:pt idx="5">
                  <c:v>136.54133736767668</c:v>
                </c:pt>
                <c:pt idx="6">
                  <c:v>131.1745341480439</c:v>
                </c:pt>
                <c:pt idx="7">
                  <c:v>130.42902995782202</c:v>
                </c:pt>
                <c:pt idx="8">
                  <c:v>132.90887928148717</c:v>
                </c:pt>
                <c:pt idx="9">
                  <c:v>139.34383886316499</c:v>
                </c:pt>
                <c:pt idx="10">
                  <c:v>146.45892502959714</c:v>
                </c:pt>
                <c:pt idx="11">
                  <c:v>146.8826760742607</c:v>
                </c:pt>
                <c:pt idx="12">
                  <c:v>147.54980872932816</c:v>
                </c:pt>
                <c:pt idx="13">
                  <c:v>148.25083679257907</c:v>
                </c:pt>
                <c:pt idx="14">
                  <c:v>147.42300162957648</c:v>
                </c:pt>
                <c:pt idx="15">
                  <c:v>146.69060935176427</c:v>
                </c:pt>
                <c:pt idx="16">
                  <c:v>146.23924852922951</c:v>
                </c:pt>
                <c:pt idx="17">
                  <c:v>145.90135020245776</c:v>
                </c:pt>
                <c:pt idx="18">
                  <c:v>145.62679414862689</c:v>
                </c:pt>
                <c:pt idx="19">
                  <c:v>145.48157921355667</c:v>
                </c:pt>
                <c:pt idx="20">
                  <c:v>145.57580133080234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6-496A-AB20-744818E50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608968"/>
        <c:axId val="315609360"/>
      </c:areaChart>
      <c:catAx>
        <c:axId val="3156089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0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6093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451776649747034E-3"/>
              <c:y val="9.1911847203734638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089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416243654822857"/>
          <c:y val="0.9080890503729"/>
          <c:w val="0.71065989847718092"/>
          <c:h val="8.6397136371510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0718237922956E-2"/>
          <c:y val="5.3619302949061684E-2"/>
          <c:w val="0.86958661417322847"/>
          <c:h val="0.74962385222351946"/>
        </c:manualLayout>
      </c:layout>
      <c:lineChart>
        <c:grouping val="standard"/>
        <c:varyColors val="0"/>
        <c:ser>
          <c:idx val="0"/>
          <c:order val="0"/>
          <c:tx>
            <c:strRef>
              <c:f>'Occ F2'!$L$5</c:f>
              <c:strCache>
                <c:ptCount val="1"/>
                <c:pt idx="0">
                  <c:v>Managers, directors and senior officials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F2'!$M$5:$AG$5</c:f>
              <c:numCache>
                <c:formatCode>#,##0</c:formatCode>
                <c:ptCount val="21"/>
                <c:pt idx="0">
                  <c:v>96.365990659496248</c:v>
                </c:pt>
                <c:pt idx="1">
                  <c:v>103.38941650416018</c:v>
                </c:pt>
                <c:pt idx="2">
                  <c:v>100.767424551799</c:v>
                </c:pt>
                <c:pt idx="3">
                  <c:v>102.89499777903652</c:v>
                </c:pt>
                <c:pt idx="4">
                  <c:v>100.43457864934837</c:v>
                </c:pt>
                <c:pt idx="5">
                  <c:v>102.06840889696952</c:v>
                </c:pt>
                <c:pt idx="6">
                  <c:v>102.34011569751704</c:v>
                </c:pt>
                <c:pt idx="7">
                  <c:v>106.85784429166803</c:v>
                </c:pt>
                <c:pt idx="8">
                  <c:v>112.03163744453036</c:v>
                </c:pt>
                <c:pt idx="9">
                  <c:v>120.83309696662408</c:v>
                </c:pt>
                <c:pt idx="10">
                  <c:v>121.38972043868799</c:v>
                </c:pt>
                <c:pt idx="11">
                  <c:v>122.8927591782803</c:v>
                </c:pt>
                <c:pt idx="12">
                  <c:v>124.5605346557405</c:v>
                </c:pt>
                <c:pt idx="13">
                  <c:v>126.40913549545392</c:v>
                </c:pt>
                <c:pt idx="14">
                  <c:v>127.89236649050338</c:v>
                </c:pt>
                <c:pt idx="15">
                  <c:v>129.5004089755376</c:v>
                </c:pt>
                <c:pt idx="16">
                  <c:v>130.98226297757074</c:v>
                </c:pt>
                <c:pt idx="17">
                  <c:v>132.43779214497468</c:v>
                </c:pt>
                <c:pt idx="18">
                  <c:v>133.89840936015867</c:v>
                </c:pt>
                <c:pt idx="19">
                  <c:v>135.34070900454955</c:v>
                </c:pt>
                <c:pt idx="20">
                  <c:v>136.7185554318682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5-4D32-A8A8-47EDF4EA3691}"/>
            </c:ext>
          </c:extLst>
        </c:ser>
        <c:ser>
          <c:idx val="1"/>
          <c:order val="1"/>
          <c:tx>
            <c:strRef>
              <c:f>'Occ F2'!$L$9</c:f>
              <c:strCache>
                <c:ptCount val="1"/>
                <c:pt idx="0">
                  <c:v>Professional occupations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F2'!$M$9:$AG$9</c:f>
              <c:numCache>
                <c:formatCode>#,##0</c:formatCode>
                <c:ptCount val="21"/>
                <c:pt idx="0">
                  <c:v>221.08153495773954</c:v>
                </c:pt>
                <c:pt idx="1">
                  <c:v>226.97248177376213</c:v>
                </c:pt>
                <c:pt idx="2">
                  <c:v>234.38158587296905</c:v>
                </c:pt>
                <c:pt idx="3">
                  <c:v>230.31758019896509</c:v>
                </c:pt>
                <c:pt idx="4">
                  <c:v>234.35538102061585</c:v>
                </c:pt>
                <c:pt idx="5">
                  <c:v>238.11769957384956</c:v>
                </c:pt>
                <c:pt idx="6">
                  <c:v>242.52593225271971</c:v>
                </c:pt>
                <c:pt idx="7">
                  <c:v>251.81685015630745</c:v>
                </c:pt>
                <c:pt idx="8">
                  <c:v>259.62926796289923</c:v>
                </c:pt>
                <c:pt idx="9">
                  <c:v>268.67691641091079</c:v>
                </c:pt>
                <c:pt idx="10">
                  <c:v>286.93232616274213</c:v>
                </c:pt>
                <c:pt idx="11">
                  <c:v>289.61107276002679</c:v>
                </c:pt>
                <c:pt idx="12">
                  <c:v>292.29301041659244</c:v>
                </c:pt>
                <c:pt idx="13">
                  <c:v>295.57898014989081</c:v>
                </c:pt>
                <c:pt idx="14">
                  <c:v>299.81292618768123</c:v>
                </c:pt>
                <c:pt idx="15">
                  <c:v>304.3607521899271</c:v>
                </c:pt>
                <c:pt idx="16">
                  <c:v>308.83615480653668</c:v>
                </c:pt>
                <c:pt idx="17">
                  <c:v>313.10289884989515</c:v>
                </c:pt>
                <c:pt idx="18">
                  <c:v>317.28911828985213</c:v>
                </c:pt>
                <c:pt idx="19">
                  <c:v>321.15671026447797</c:v>
                </c:pt>
                <c:pt idx="20">
                  <c:v>324.76512982597262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A5-4D32-A8A8-47EDF4EA3691}"/>
            </c:ext>
          </c:extLst>
        </c:ser>
        <c:ser>
          <c:idx val="2"/>
          <c:order val="2"/>
          <c:tx>
            <c:strRef>
              <c:f>'Occ F2'!$L$15</c:f>
              <c:strCache>
                <c:ptCount val="1"/>
                <c:pt idx="0">
                  <c:v>Associate professional and technical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F2'!$M$15:$AG$15</c:f>
              <c:numCache>
                <c:formatCode>#,##0</c:formatCode>
                <c:ptCount val="21"/>
                <c:pt idx="0">
                  <c:v>145.55279398544303</c:v>
                </c:pt>
                <c:pt idx="1">
                  <c:v>146.84528955566691</c:v>
                </c:pt>
                <c:pt idx="2">
                  <c:v>146.43064322377148</c:v>
                </c:pt>
                <c:pt idx="3">
                  <c:v>145.60438546000015</c:v>
                </c:pt>
                <c:pt idx="4">
                  <c:v>146.10351336968756</c:v>
                </c:pt>
                <c:pt idx="5">
                  <c:v>145.42546728127255</c:v>
                </c:pt>
                <c:pt idx="6">
                  <c:v>153.70881876096249</c:v>
                </c:pt>
                <c:pt idx="7">
                  <c:v>154.63232791664728</c:v>
                </c:pt>
                <c:pt idx="8">
                  <c:v>157.26477840164677</c:v>
                </c:pt>
                <c:pt idx="9">
                  <c:v>163.97575908831831</c:v>
                </c:pt>
                <c:pt idx="10">
                  <c:v>172.07211916997335</c:v>
                </c:pt>
                <c:pt idx="11">
                  <c:v>173.79240826807677</c:v>
                </c:pt>
                <c:pt idx="12">
                  <c:v>175.58396868671429</c:v>
                </c:pt>
                <c:pt idx="13">
                  <c:v>177.67010584317939</c:v>
                </c:pt>
                <c:pt idx="14">
                  <c:v>179.53184988829796</c:v>
                </c:pt>
                <c:pt idx="15">
                  <c:v>181.51224362511181</c:v>
                </c:pt>
                <c:pt idx="16">
                  <c:v>183.11435236290589</c:v>
                </c:pt>
                <c:pt idx="17">
                  <c:v>184.69515198086555</c:v>
                </c:pt>
                <c:pt idx="18">
                  <c:v>186.22503508006861</c:v>
                </c:pt>
                <c:pt idx="19">
                  <c:v>187.66051228556199</c:v>
                </c:pt>
                <c:pt idx="20">
                  <c:v>189.00941153550957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A5-4D32-A8A8-47EDF4EA3691}"/>
            </c:ext>
          </c:extLst>
        </c:ser>
        <c:ser>
          <c:idx val="3"/>
          <c:order val="3"/>
          <c:tx>
            <c:strRef>
              <c:f>'Occ F2'!$L$22</c:f>
              <c:strCache>
                <c:ptCount val="1"/>
                <c:pt idx="0">
                  <c:v>Administrative and secretarial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F2'!$M$22:$AG$22</c:f>
              <c:numCache>
                <c:formatCode>#,##0</c:formatCode>
                <c:ptCount val="21"/>
                <c:pt idx="0">
                  <c:v>167.81985524773</c:v>
                </c:pt>
                <c:pt idx="1">
                  <c:v>159.76099050709135</c:v>
                </c:pt>
                <c:pt idx="2">
                  <c:v>157.41778996884543</c:v>
                </c:pt>
                <c:pt idx="3">
                  <c:v>158.47348632619168</c:v>
                </c:pt>
                <c:pt idx="4">
                  <c:v>156.78006759655693</c:v>
                </c:pt>
                <c:pt idx="5">
                  <c:v>154.55956652721534</c:v>
                </c:pt>
                <c:pt idx="6">
                  <c:v>160.20782272543468</c:v>
                </c:pt>
                <c:pt idx="7">
                  <c:v>163.80931165318725</c:v>
                </c:pt>
                <c:pt idx="8">
                  <c:v>162.74777408738444</c:v>
                </c:pt>
                <c:pt idx="9">
                  <c:v>159.14199689623493</c:v>
                </c:pt>
                <c:pt idx="10">
                  <c:v>160.63162547890485</c:v>
                </c:pt>
                <c:pt idx="11">
                  <c:v>158.25385803139298</c:v>
                </c:pt>
                <c:pt idx="12">
                  <c:v>155.82083092194105</c:v>
                </c:pt>
                <c:pt idx="13">
                  <c:v>153.57677228864813</c:v>
                </c:pt>
                <c:pt idx="14">
                  <c:v>151.23827718968309</c:v>
                </c:pt>
                <c:pt idx="15">
                  <c:v>148.91887637436366</c:v>
                </c:pt>
                <c:pt idx="16">
                  <c:v>146.35521203708478</c:v>
                </c:pt>
                <c:pt idx="17">
                  <c:v>144.07367884719417</c:v>
                </c:pt>
                <c:pt idx="18">
                  <c:v>141.98217791444935</c:v>
                </c:pt>
                <c:pt idx="19">
                  <c:v>140.25774612661672</c:v>
                </c:pt>
                <c:pt idx="20">
                  <c:v>138.73142661139272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A5-4D32-A8A8-47EDF4EA3691}"/>
            </c:ext>
          </c:extLst>
        </c:ser>
        <c:ser>
          <c:idx val="4"/>
          <c:order val="4"/>
          <c:tx>
            <c:strRef>
              <c:f>'Occ F2'!$L$26</c:f>
              <c:strCache>
                <c:ptCount val="1"/>
                <c:pt idx="0">
                  <c:v>Skilled trades occupations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F2'!$M$26:$AG$26</c:f>
              <c:numCache>
                <c:formatCode>#,##0</c:formatCode>
                <c:ptCount val="21"/>
                <c:pt idx="0">
                  <c:v>192.61758234287316</c:v>
                </c:pt>
                <c:pt idx="1">
                  <c:v>186.56415549102027</c:v>
                </c:pt>
                <c:pt idx="2">
                  <c:v>186.45521674331025</c:v>
                </c:pt>
                <c:pt idx="3">
                  <c:v>176.75863130370229</c:v>
                </c:pt>
                <c:pt idx="4">
                  <c:v>177.83893116631154</c:v>
                </c:pt>
                <c:pt idx="5">
                  <c:v>173.6295944701626</c:v>
                </c:pt>
                <c:pt idx="6">
                  <c:v>169.08612874601272</c:v>
                </c:pt>
                <c:pt idx="7">
                  <c:v>184.34298102947133</c:v>
                </c:pt>
                <c:pt idx="8">
                  <c:v>189.03282930325483</c:v>
                </c:pt>
                <c:pt idx="9">
                  <c:v>192.01109781749213</c:v>
                </c:pt>
                <c:pt idx="10">
                  <c:v>204.65991614519831</c:v>
                </c:pt>
                <c:pt idx="11">
                  <c:v>203.32376803958562</c:v>
                </c:pt>
                <c:pt idx="12">
                  <c:v>202.19405998020892</c:v>
                </c:pt>
                <c:pt idx="13">
                  <c:v>201.12494917312983</c:v>
                </c:pt>
                <c:pt idx="14">
                  <c:v>199.32231391301383</c:v>
                </c:pt>
                <c:pt idx="15">
                  <c:v>197.71367725030444</c:v>
                </c:pt>
                <c:pt idx="16">
                  <c:v>196.27350459537445</c:v>
                </c:pt>
                <c:pt idx="17">
                  <c:v>194.81386361990741</c:v>
                </c:pt>
                <c:pt idx="18">
                  <c:v>193.39062063518915</c:v>
                </c:pt>
                <c:pt idx="19">
                  <c:v>191.94140913225206</c:v>
                </c:pt>
                <c:pt idx="20">
                  <c:v>190.38528394164064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A5-4D32-A8A8-47EDF4EA3691}"/>
            </c:ext>
          </c:extLst>
        </c:ser>
        <c:ser>
          <c:idx val="5"/>
          <c:order val="5"/>
          <c:tx>
            <c:strRef>
              <c:f>'Occ F2'!$L$32</c:f>
              <c:strCache>
                <c:ptCount val="1"/>
                <c:pt idx="0">
                  <c:v>Caring, leisure and other service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F2'!$M$32:$AG$32</c:f>
              <c:numCache>
                <c:formatCode>#,##0</c:formatCode>
                <c:ptCount val="21"/>
                <c:pt idx="0">
                  <c:v>126.14913023603195</c:v>
                </c:pt>
                <c:pt idx="1">
                  <c:v>130.61083201574263</c:v>
                </c:pt>
                <c:pt idx="2">
                  <c:v>131.13256159995194</c:v>
                </c:pt>
                <c:pt idx="3">
                  <c:v>130.50289311626972</c:v>
                </c:pt>
                <c:pt idx="4">
                  <c:v>137.55633393562755</c:v>
                </c:pt>
                <c:pt idx="5">
                  <c:v>137.01849261936439</c:v>
                </c:pt>
                <c:pt idx="6">
                  <c:v>143.68570215950675</c:v>
                </c:pt>
                <c:pt idx="7">
                  <c:v>155.65826969352088</c:v>
                </c:pt>
                <c:pt idx="8">
                  <c:v>151.13813304482903</c:v>
                </c:pt>
                <c:pt idx="9">
                  <c:v>155.49539890883213</c:v>
                </c:pt>
                <c:pt idx="10">
                  <c:v>168.1161708779527</c:v>
                </c:pt>
                <c:pt idx="11">
                  <c:v>170.23861036486781</c:v>
                </c:pt>
                <c:pt idx="12">
                  <c:v>171.86070429673259</c:v>
                </c:pt>
                <c:pt idx="13">
                  <c:v>173.56901566773908</c:v>
                </c:pt>
                <c:pt idx="14">
                  <c:v>175.31777905697797</c:v>
                </c:pt>
                <c:pt idx="15">
                  <c:v>177.32710037561748</c:v>
                </c:pt>
                <c:pt idx="16">
                  <c:v>179.72173434022858</c:v>
                </c:pt>
                <c:pt idx="17">
                  <c:v>182.14029248508979</c:v>
                </c:pt>
                <c:pt idx="18">
                  <c:v>184.53743806529255</c:v>
                </c:pt>
                <c:pt idx="19">
                  <c:v>186.75638551088812</c:v>
                </c:pt>
                <c:pt idx="20">
                  <c:v>188.79525387511896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A5-4D32-A8A8-47EDF4EA3691}"/>
            </c:ext>
          </c:extLst>
        </c:ser>
        <c:ser>
          <c:idx val="6"/>
          <c:order val="6"/>
          <c:tx>
            <c:strRef>
              <c:f>'Occ F2'!$L$36</c:f>
              <c:strCache>
                <c:ptCount val="1"/>
                <c:pt idx="0">
                  <c:v>Sales and customer service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F2'!$M$36:$AG$36</c:f>
              <c:numCache>
                <c:formatCode>#,##0</c:formatCode>
                <c:ptCount val="21"/>
                <c:pt idx="0">
                  <c:v>131.40327711366808</c:v>
                </c:pt>
                <c:pt idx="1">
                  <c:v>131.481901867239</c:v>
                </c:pt>
                <c:pt idx="2">
                  <c:v>125.57865019548356</c:v>
                </c:pt>
                <c:pt idx="3">
                  <c:v>122.32590274598171</c:v>
                </c:pt>
                <c:pt idx="4">
                  <c:v>125.20320853008897</c:v>
                </c:pt>
                <c:pt idx="5">
                  <c:v>125.82025945502616</c:v>
                </c:pt>
                <c:pt idx="6">
                  <c:v>122.08143992867943</c:v>
                </c:pt>
                <c:pt idx="7">
                  <c:v>122.06537147325085</c:v>
                </c:pt>
                <c:pt idx="8">
                  <c:v>120.13112369237734</c:v>
                </c:pt>
                <c:pt idx="9">
                  <c:v>122.82721714394943</c:v>
                </c:pt>
                <c:pt idx="10">
                  <c:v>125.66987901861698</c:v>
                </c:pt>
                <c:pt idx="11">
                  <c:v>125.59041859895834</c:v>
                </c:pt>
                <c:pt idx="12">
                  <c:v>125.53737447927973</c:v>
                </c:pt>
                <c:pt idx="13">
                  <c:v>125.66695223478186</c:v>
                </c:pt>
                <c:pt idx="14">
                  <c:v>124.6745692938529</c:v>
                </c:pt>
                <c:pt idx="15">
                  <c:v>123.63412707601984</c:v>
                </c:pt>
                <c:pt idx="16">
                  <c:v>123.34563273206706</c:v>
                </c:pt>
                <c:pt idx="17">
                  <c:v>123.05306161658086</c:v>
                </c:pt>
                <c:pt idx="18">
                  <c:v>122.76147836010503</c:v>
                </c:pt>
                <c:pt idx="19">
                  <c:v>122.47851772498525</c:v>
                </c:pt>
                <c:pt idx="20">
                  <c:v>122.14903772501791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A5-4D32-A8A8-47EDF4EA3691}"/>
            </c:ext>
          </c:extLst>
        </c:ser>
        <c:ser>
          <c:idx val="7"/>
          <c:order val="7"/>
          <c:tx>
            <c:strRef>
              <c:f>'Occ F2'!$L$40</c:f>
              <c:strCache>
                <c:ptCount val="1"/>
                <c:pt idx="0">
                  <c:v>Process, plant and machine operatives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F2'!$M$40:$AG$40</c:f>
              <c:numCache>
                <c:formatCode>#,##0</c:formatCode>
                <c:ptCount val="21"/>
                <c:pt idx="0">
                  <c:v>130.98207204915556</c:v>
                </c:pt>
                <c:pt idx="1">
                  <c:v>130.18978922359292</c:v>
                </c:pt>
                <c:pt idx="2">
                  <c:v>126.28951963803959</c:v>
                </c:pt>
                <c:pt idx="3">
                  <c:v>118.10596794563548</c:v>
                </c:pt>
                <c:pt idx="4">
                  <c:v>119.92226513048922</c:v>
                </c:pt>
                <c:pt idx="5">
                  <c:v>116.61966769195422</c:v>
                </c:pt>
                <c:pt idx="6">
                  <c:v>117.89435780035458</c:v>
                </c:pt>
                <c:pt idx="7">
                  <c:v>128.33722412350613</c:v>
                </c:pt>
                <c:pt idx="8">
                  <c:v>125.35444511160632</c:v>
                </c:pt>
                <c:pt idx="9">
                  <c:v>119.29645249291741</c:v>
                </c:pt>
                <c:pt idx="10">
                  <c:v>113.82573906258986</c:v>
                </c:pt>
                <c:pt idx="11">
                  <c:v>112.19885402844145</c:v>
                </c:pt>
                <c:pt idx="12">
                  <c:v>110.66993764591882</c:v>
                </c:pt>
                <c:pt idx="13">
                  <c:v>109.57356167729768</c:v>
                </c:pt>
                <c:pt idx="14">
                  <c:v>108.09240353239122</c:v>
                </c:pt>
                <c:pt idx="15">
                  <c:v>106.80862144444538</c:v>
                </c:pt>
                <c:pt idx="16">
                  <c:v>105.89851675489888</c:v>
                </c:pt>
                <c:pt idx="17">
                  <c:v>105.11964401402776</c:v>
                </c:pt>
                <c:pt idx="18">
                  <c:v>104.34008128261257</c:v>
                </c:pt>
                <c:pt idx="19">
                  <c:v>103.67511800221189</c:v>
                </c:pt>
                <c:pt idx="20">
                  <c:v>102.98688318643494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A5-4D32-A8A8-47EDF4EA3691}"/>
            </c:ext>
          </c:extLst>
        </c:ser>
        <c:ser>
          <c:idx val="8"/>
          <c:order val="8"/>
          <c:tx>
            <c:strRef>
              <c:f>'Occ F2'!$L$44</c:f>
              <c:strCache>
                <c:ptCount val="1"/>
                <c:pt idx="0">
                  <c:v>Elementary occupations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F2'!$M$44:$AG$44</c:f>
              <c:numCache>
                <c:formatCode>#,##0</c:formatCode>
                <c:ptCount val="21"/>
                <c:pt idx="0">
                  <c:v>196.99476340980632</c:v>
                </c:pt>
                <c:pt idx="1">
                  <c:v>186.37314306342961</c:v>
                </c:pt>
                <c:pt idx="2">
                  <c:v>178.17560820724225</c:v>
                </c:pt>
                <c:pt idx="3">
                  <c:v>175.92315512530413</c:v>
                </c:pt>
                <c:pt idx="4">
                  <c:v>167.26772060227898</c:v>
                </c:pt>
                <c:pt idx="5">
                  <c:v>164.61884348517052</c:v>
                </c:pt>
                <c:pt idx="6">
                  <c:v>158.32668192883929</c:v>
                </c:pt>
                <c:pt idx="7">
                  <c:v>159.91581966244729</c:v>
                </c:pt>
                <c:pt idx="8">
                  <c:v>163.33901095171248</c:v>
                </c:pt>
                <c:pt idx="9">
                  <c:v>169.97506427501645</c:v>
                </c:pt>
                <c:pt idx="10">
                  <c:v>176.46250364617717</c:v>
                </c:pt>
                <c:pt idx="11">
                  <c:v>176.8232507318989</c:v>
                </c:pt>
                <c:pt idx="12">
                  <c:v>177.45357891825074</c:v>
                </c:pt>
                <c:pt idx="13">
                  <c:v>178.20252747131693</c:v>
                </c:pt>
                <c:pt idx="14">
                  <c:v>177.29051444929229</c:v>
                </c:pt>
                <c:pt idx="15">
                  <c:v>176.51119269083904</c:v>
                </c:pt>
                <c:pt idx="16">
                  <c:v>176.09862939529452</c:v>
                </c:pt>
                <c:pt idx="17">
                  <c:v>175.82761644377373</c:v>
                </c:pt>
                <c:pt idx="18">
                  <c:v>175.59964101413954</c:v>
                </c:pt>
                <c:pt idx="19">
                  <c:v>175.49289195065691</c:v>
                </c:pt>
                <c:pt idx="20">
                  <c:v>175.63201786892921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A5-4D32-A8A8-47EDF4EA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610144"/>
        <c:axId val="315610536"/>
      </c:lineChart>
      <c:catAx>
        <c:axId val="315610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1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610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400"/>
                  <a:t>thousands</a:t>
                </a:r>
              </a:p>
            </c:rich>
          </c:tx>
          <c:layout>
            <c:manualLayout>
              <c:xMode val="edge"/>
              <c:yMode val="edge"/>
              <c:x val="6.3291391785486274E-3"/>
              <c:y val="1.0908478711454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101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5142849542455844E-2"/>
          <c:y val="0.86539777165078335"/>
          <c:w val="0.96587039795701224"/>
          <c:h val="0.12216851442465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86119762485017E-2"/>
          <c:y val="5.3619302949061684E-2"/>
          <c:w val="0.91012714480759949"/>
          <c:h val="0.7559222194989994"/>
        </c:manualLayout>
      </c:layout>
      <c:areaChart>
        <c:grouping val="percentStacked"/>
        <c:varyColors val="0"/>
        <c:ser>
          <c:idx val="0"/>
          <c:order val="0"/>
          <c:tx>
            <c:strRef>
              <c:f>'Occ F2'!$L$5</c:f>
              <c:strCache>
                <c:ptCount val="1"/>
                <c:pt idx="0">
                  <c:v>Managers, directors and senior officials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F2'!$M$5:$AG$5</c:f>
              <c:numCache>
                <c:formatCode>#,##0</c:formatCode>
                <c:ptCount val="21"/>
                <c:pt idx="0">
                  <c:v>96.365990659496248</c:v>
                </c:pt>
                <c:pt idx="1">
                  <c:v>103.38941650416018</c:v>
                </c:pt>
                <c:pt idx="2">
                  <c:v>100.767424551799</c:v>
                </c:pt>
                <c:pt idx="3">
                  <c:v>102.89499777903652</c:v>
                </c:pt>
                <c:pt idx="4">
                  <c:v>100.43457864934837</c:v>
                </c:pt>
                <c:pt idx="5">
                  <c:v>102.06840889696952</c:v>
                </c:pt>
                <c:pt idx="6">
                  <c:v>102.34011569751704</c:v>
                </c:pt>
                <c:pt idx="7">
                  <c:v>106.85784429166803</c:v>
                </c:pt>
                <c:pt idx="8">
                  <c:v>112.03163744453036</c:v>
                </c:pt>
                <c:pt idx="9">
                  <c:v>120.83309696662408</c:v>
                </c:pt>
                <c:pt idx="10">
                  <c:v>121.38972043868799</c:v>
                </c:pt>
                <c:pt idx="11">
                  <c:v>122.8927591782803</c:v>
                </c:pt>
                <c:pt idx="12">
                  <c:v>124.5605346557405</c:v>
                </c:pt>
                <c:pt idx="13">
                  <c:v>126.40913549545392</c:v>
                </c:pt>
                <c:pt idx="14">
                  <c:v>127.89236649050338</c:v>
                </c:pt>
                <c:pt idx="15">
                  <c:v>129.5004089755376</c:v>
                </c:pt>
                <c:pt idx="16">
                  <c:v>130.98226297757074</c:v>
                </c:pt>
                <c:pt idx="17">
                  <c:v>132.43779214497468</c:v>
                </c:pt>
                <c:pt idx="18">
                  <c:v>133.89840936015867</c:v>
                </c:pt>
                <c:pt idx="19">
                  <c:v>135.34070900454955</c:v>
                </c:pt>
                <c:pt idx="20">
                  <c:v>136.7185554318682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D-4F0C-A75A-38C35ADEECD8}"/>
            </c:ext>
          </c:extLst>
        </c:ser>
        <c:ser>
          <c:idx val="1"/>
          <c:order val="1"/>
          <c:tx>
            <c:strRef>
              <c:f>'Occ F2'!$L$9</c:f>
              <c:strCache>
                <c:ptCount val="1"/>
                <c:pt idx="0">
                  <c:v>Professional occupations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F2'!$M$9:$AG$9</c:f>
              <c:numCache>
                <c:formatCode>#,##0</c:formatCode>
                <c:ptCount val="21"/>
                <c:pt idx="0">
                  <c:v>221.08153495773954</c:v>
                </c:pt>
                <c:pt idx="1">
                  <c:v>226.97248177376213</c:v>
                </c:pt>
                <c:pt idx="2">
                  <c:v>234.38158587296905</c:v>
                </c:pt>
                <c:pt idx="3">
                  <c:v>230.31758019896509</c:v>
                </c:pt>
                <c:pt idx="4">
                  <c:v>234.35538102061585</c:v>
                </c:pt>
                <c:pt idx="5">
                  <c:v>238.11769957384956</c:v>
                </c:pt>
                <c:pt idx="6">
                  <c:v>242.52593225271971</c:v>
                </c:pt>
                <c:pt idx="7">
                  <c:v>251.81685015630745</c:v>
                </c:pt>
                <c:pt idx="8">
                  <c:v>259.62926796289923</c:v>
                </c:pt>
                <c:pt idx="9">
                  <c:v>268.67691641091079</c:v>
                </c:pt>
                <c:pt idx="10">
                  <c:v>286.93232616274213</c:v>
                </c:pt>
                <c:pt idx="11">
                  <c:v>289.61107276002679</c:v>
                </c:pt>
                <c:pt idx="12">
                  <c:v>292.29301041659244</c:v>
                </c:pt>
                <c:pt idx="13">
                  <c:v>295.57898014989081</c:v>
                </c:pt>
                <c:pt idx="14">
                  <c:v>299.81292618768123</c:v>
                </c:pt>
                <c:pt idx="15">
                  <c:v>304.3607521899271</c:v>
                </c:pt>
                <c:pt idx="16">
                  <c:v>308.83615480653668</c:v>
                </c:pt>
                <c:pt idx="17">
                  <c:v>313.10289884989515</c:v>
                </c:pt>
                <c:pt idx="18">
                  <c:v>317.28911828985213</c:v>
                </c:pt>
                <c:pt idx="19">
                  <c:v>321.15671026447797</c:v>
                </c:pt>
                <c:pt idx="20">
                  <c:v>324.76512982597262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D-4F0C-A75A-38C35ADEECD8}"/>
            </c:ext>
          </c:extLst>
        </c:ser>
        <c:ser>
          <c:idx val="2"/>
          <c:order val="2"/>
          <c:tx>
            <c:strRef>
              <c:f>'Occ F2'!$L$15</c:f>
              <c:strCache>
                <c:ptCount val="1"/>
                <c:pt idx="0">
                  <c:v>Associate professional and technical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F2'!$M$15:$AG$15</c:f>
              <c:numCache>
                <c:formatCode>#,##0</c:formatCode>
                <c:ptCount val="21"/>
                <c:pt idx="0">
                  <c:v>145.55279398544303</c:v>
                </c:pt>
                <c:pt idx="1">
                  <c:v>146.84528955566691</c:v>
                </c:pt>
                <c:pt idx="2">
                  <c:v>146.43064322377148</c:v>
                </c:pt>
                <c:pt idx="3">
                  <c:v>145.60438546000015</c:v>
                </c:pt>
                <c:pt idx="4">
                  <c:v>146.10351336968756</c:v>
                </c:pt>
                <c:pt idx="5">
                  <c:v>145.42546728127255</c:v>
                </c:pt>
                <c:pt idx="6">
                  <c:v>153.70881876096249</c:v>
                </c:pt>
                <c:pt idx="7">
                  <c:v>154.63232791664728</c:v>
                </c:pt>
                <c:pt idx="8">
                  <c:v>157.26477840164677</c:v>
                </c:pt>
                <c:pt idx="9">
                  <c:v>163.97575908831831</c:v>
                </c:pt>
                <c:pt idx="10">
                  <c:v>172.07211916997335</c:v>
                </c:pt>
                <c:pt idx="11">
                  <c:v>173.79240826807677</c:v>
                </c:pt>
                <c:pt idx="12">
                  <c:v>175.58396868671429</c:v>
                </c:pt>
                <c:pt idx="13">
                  <c:v>177.67010584317939</c:v>
                </c:pt>
                <c:pt idx="14">
                  <c:v>179.53184988829796</c:v>
                </c:pt>
                <c:pt idx="15">
                  <c:v>181.51224362511181</c:v>
                </c:pt>
                <c:pt idx="16">
                  <c:v>183.11435236290589</c:v>
                </c:pt>
                <c:pt idx="17">
                  <c:v>184.69515198086555</c:v>
                </c:pt>
                <c:pt idx="18">
                  <c:v>186.22503508006861</c:v>
                </c:pt>
                <c:pt idx="19">
                  <c:v>187.66051228556199</c:v>
                </c:pt>
                <c:pt idx="20">
                  <c:v>189.00941153550957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D-4F0C-A75A-38C35ADEECD8}"/>
            </c:ext>
          </c:extLst>
        </c:ser>
        <c:ser>
          <c:idx val="3"/>
          <c:order val="3"/>
          <c:tx>
            <c:strRef>
              <c:f>'Occ F2'!$L$22</c:f>
              <c:strCache>
                <c:ptCount val="1"/>
                <c:pt idx="0">
                  <c:v>Administrative and secretarial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F2'!$M$22:$AG$22</c:f>
              <c:numCache>
                <c:formatCode>#,##0</c:formatCode>
                <c:ptCount val="21"/>
                <c:pt idx="0">
                  <c:v>167.81985524773</c:v>
                </c:pt>
                <c:pt idx="1">
                  <c:v>159.76099050709135</c:v>
                </c:pt>
                <c:pt idx="2">
                  <c:v>157.41778996884543</c:v>
                </c:pt>
                <c:pt idx="3">
                  <c:v>158.47348632619168</c:v>
                </c:pt>
                <c:pt idx="4">
                  <c:v>156.78006759655693</c:v>
                </c:pt>
                <c:pt idx="5">
                  <c:v>154.55956652721534</c:v>
                </c:pt>
                <c:pt idx="6">
                  <c:v>160.20782272543468</c:v>
                </c:pt>
                <c:pt idx="7">
                  <c:v>163.80931165318725</c:v>
                </c:pt>
                <c:pt idx="8">
                  <c:v>162.74777408738444</c:v>
                </c:pt>
                <c:pt idx="9">
                  <c:v>159.14199689623493</c:v>
                </c:pt>
                <c:pt idx="10">
                  <c:v>160.63162547890485</c:v>
                </c:pt>
                <c:pt idx="11">
                  <c:v>158.25385803139298</c:v>
                </c:pt>
                <c:pt idx="12">
                  <c:v>155.82083092194105</c:v>
                </c:pt>
                <c:pt idx="13">
                  <c:v>153.57677228864813</c:v>
                </c:pt>
                <c:pt idx="14">
                  <c:v>151.23827718968309</c:v>
                </c:pt>
                <c:pt idx="15">
                  <c:v>148.91887637436366</c:v>
                </c:pt>
                <c:pt idx="16">
                  <c:v>146.35521203708478</c:v>
                </c:pt>
                <c:pt idx="17">
                  <c:v>144.07367884719417</c:v>
                </c:pt>
                <c:pt idx="18">
                  <c:v>141.98217791444935</c:v>
                </c:pt>
                <c:pt idx="19">
                  <c:v>140.25774612661672</c:v>
                </c:pt>
                <c:pt idx="20">
                  <c:v>138.73142661139272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D-4F0C-A75A-38C35ADEECD8}"/>
            </c:ext>
          </c:extLst>
        </c:ser>
        <c:ser>
          <c:idx val="4"/>
          <c:order val="4"/>
          <c:tx>
            <c:strRef>
              <c:f>'Occ F2'!$L$26</c:f>
              <c:strCache>
                <c:ptCount val="1"/>
                <c:pt idx="0">
                  <c:v>Skilled trades occupations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F2'!$M$26:$AG$26</c:f>
              <c:numCache>
                <c:formatCode>#,##0</c:formatCode>
                <c:ptCount val="21"/>
                <c:pt idx="0">
                  <c:v>192.61758234287316</c:v>
                </c:pt>
                <c:pt idx="1">
                  <c:v>186.56415549102027</c:v>
                </c:pt>
                <c:pt idx="2">
                  <c:v>186.45521674331025</c:v>
                </c:pt>
                <c:pt idx="3">
                  <c:v>176.75863130370229</c:v>
                </c:pt>
                <c:pt idx="4">
                  <c:v>177.83893116631154</c:v>
                </c:pt>
                <c:pt idx="5">
                  <c:v>173.6295944701626</c:v>
                </c:pt>
                <c:pt idx="6">
                  <c:v>169.08612874601272</c:v>
                </c:pt>
                <c:pt idx="7">
                  <c:v>184.34298102947133</c:v>
                </c:pt>
                <c:pt idx="8">
                  <c:v>189.03282930325483</c:v>
                </c:pt>
                <c:pt idx="9">
                  <c:v>192.01109781749213</c:v>
                </c:pt>
                <c:pt idx="10">
                  <c:v>204.65991614519831</c:v>
                </c:pt>
                <c:pt idx="11">
                  <c:v>203.32376803958562</c:v>
                </c:pt>
                <c:pt idx="12">
                  <c:v>202.19405998020892</c:v>
                </c:pt>
                <c:pt idx="13">
                  <c:v>201.12494917312983</c:v>
                </c:pt>
                <c:pt idx="14">
                  <c:v>199.32231391301383</c:v>
                </c:pt>
                <c:pt idx="15">
                  <c:v>197.71367725030444</c:v>
                </c:pt>
                <c:pt idx="16">
                  <c:v>196.27350459537445</c:v>
                </c:pt>
                <c:pt idx="17">
                  <c:v>194.81386361990741</c:v>
                </c:pt>
                <c:pt idx="18">
                  <c:v>193.39062063518915</c:v>
                </c:pt>
                <c:pt idx="19">
                  <c:v>191.94140913225206</c:v>
                </c:pt>
                <c:pt idx="20">
                  <c:v>190.38528394164064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3D-4F0C-A75A-38C35ADEECD8}"/>
            </c:ext>
          </c:extLst>
        </c:ser>
        <c:ser>
          <c:idx val="5"/>
          <c:order val="5"/>
          <c:tx>
            <c:strRef>
              <c:f>'Occ F2'!$L$32</c:f>
              <c:strCache>
                <c:ptCount val="1"/>
                <c:pt idx="0">
                  <c:v>Caring, leisure and other service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F2'!$M$32:$AG$32</c:f>
              <c:numCache>
                <c:formatCode>#,##0</c:formatCode>
                <c:ptCount val="21"/>
                <c:pt idx="0">
                  <c:v>126.14913023603195</c:v>
                </c:pt>
                <c:pt idx="1">
                  <c:v>130.61083201574263</c:v>
                </c:pt>
                <c:pt idx="2">
                  <c:v>131.13256159995194</c:v>
                </c:pt>
                <c:pt idx="3">
                  <c:v>130.50289311626972</c:v>
                </c:pt>
                <c:pt idx="4">
                  <c:v>137.55633393562755</c:v>
                </c:pt>
                <c:pt idx="5">
                  <c:v>137.01849261936439</c:v>
                </c:pt>
                <c:pt idx="6">
                  <c:v>143.68570215950675</c:v>
                </c:pt>
                <c:pt idx="7">
                  <c:v>155.65826969352088</c:v>
                </c:pt>
                <c:pt idx="8">
                  <c:v>151.13813304482903</c:v>
                </c:pt>
                <c:pt idx="9">
                  <c:v>155.49539890883213</c:v>
                </c:pt>
                <c:pt idx="10">
                  <c:v>168.1161708779527</c:v>
                </c:pt>
                <c:pt idx="11">
                  <c:v>170.23861036486781</c:v>
                </c:pt>
                <c:pt idx="12">
                  <c:v>171.86070429673259</c:v>
                </c:pt>
                <c:pt idx="13">
                  <c:v>173.56901566773908</c:v>
                </c:pt>
                <c:pt idx="14">
                  <c:v>175.31777905697797</c:v>
                </c:pt>
                <c:pt idx="15">
                  <c:v>177.32710037561748</c:v>
                </c:pt>
                <c:pt idx="16">
                  <c:v>179.72173434022858</c:v>
                </c:pt>
                <c:pt idx="17">
                  <c:v>182.14029248508979</c:v>
                </c:pt>
                <c:pt idx="18">
                  <c:v>184.53743806529255</c:v>
                </c:pt>
                <c:pt idx="19">
                  <c:v>186.75638551088812</c:v>
                </c:pt>
                <c:pt idx="20">
                  <c:v>188.79525387511896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3D-4F0C-A75A-38C35ADEECD8}"/>
            </c:ext>
          </c:extLst>
        </c:ser>
        <c:ser>
          <c:idx val="6"/>
          <c:order val="6"/>
          <c:tx>
            <c:strRef>
              <c:f>'Occ F2'!$L$36</c:f>
              <c:strCache>
                <c:ptCount val="1"/>
                <c:pt idx="0">
                  <c:v>Sales and customer service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F2'!$M$36:$AG$36</c:f>
              <c:numCache>
                <c:formatCode>#,##0</c:formatCode>
                <c:ptCount val="21"/>
                <c:pt idx="0">
                  <c:v>131.40327711366808</c:v>
                </c:pt>
                <c:pt idx="1">
                  <c:v>131.481901867239</c:v>
                </c:pt>
                <c:pt idx="2">
                  <c:v>125.57865019548356</c:v>
                </c:pt>
                <c:pt idx="3">
                  <c:v>122.32590274598171</c:v>
                </c:pt>
                <c:pt idx="4">
                  <c:v>125.20320853008897</c:v>
                </c:pt>
                <c:pt idx="5">
                  <c:v>125.82025945502616</c:v>
                </c:pt>
                <c:pt idx="6">
                  <c:v>122.08143992867943</c:v>
                </c:pt>
                <c:pt idx="7">
                  <c:v>122.06537147325085</c:v>
                </c:pt>
                <c:pt idx="8">
                  <c:v>120.13112369237734</c:v>
                </c:pt>
                <c:pt idx="9">
                  <c:v>122.82721714394943</c:v>
                </c:pt>
                <c:pt idx="10">
                  <c:v>125.66987901861698</c:v>
                </c:pt>
                <c:pt idx="11">
                  <c:v>125.59041859895834</c:v>
                </c:pt>
                <c:pt idx="12">
                  <c:v>125.53737447927973</c:v>
                </c:pt>
                <c:pt idx="13">
                  <c:v>125.66695223478186</c:v>
                </c:pt>
                <c:pt idx="14">
                  <c:v>124.6745692938529</c:v>
                </c:pt>
                <c:pt idx="15">
                  <c:v>123.63412707601984</c:v>
                </c:pt>
                <c:pt idx="16">
                  <c:v>123.34563273206706</c:v>
                </c:pt>
                <c:pt idx="17">
                  <c:v>123.05306161658086</c:v>
                </c:pt>
                <c:pt idx="18">
                  <c:v>122.76147836010503</c:v>
                </c:pt>
                <c:pt idx="19">
                  <c:v>122.47851772498525</c:v>
                </c:pt>
                <c:pt idx="20">
                  <c:v>122.14903772501791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3D-4F0C-A75A-38C35ADEECD8}"/>
            </c:ext>
          </c:extLst>
        </c:ser>
        <c:ser>
          <c:idx val="7"/>
          <c:order val="7"/>
          <c:tx>
            <c:strRef>
              <c:f>'Occ F2'!$L$40</c:f>
              <c:strCache>
                <c:ptCount val="1"/>
                <c:pt idx="0">
                  <c:v>Process, plant and machine operatives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F2'!$M$40:$AG$40</c:f>
              <c:numCache>
                <c:formatCode>#,##0</c:formatCode>
                <c:ptCount val="21"/>
                <c:pt idx="0">
                  <c:v>130.98207204915556</c:v>
                </c:pt>
                <c:pt idx="1">
                  <c:v>130.18978922359292</c:v>
                </c:pt>
                <c:pt idx="2">
                  <c:v>126.28951963803959</c:v>
                </c:pt>
                <c:pt idx="3">
                  <c:v>118.10596794563548</c:v>
                </c:pt>
                <c:pt idx="4">
                  <c:v>119.92226513048922</c:v>
                </c:pt>
                <c:pt idx="5">
                  <c:v>116.61966769195422</c:v>
                </c:pt>
                <c:pt idx="6">
                  <c:v>117.89435780035458</c:v>
                </c:pt>
                <c:pt idx="7">
                  <c:v>128.33722412350613</c:v>
                </c:pt>
                <c:pt idx="8">
                  <c:v>125.35444511160632</c:v>
                </c:pt>
                <c:pt idx="9">
                  <c:v>119.29645249291741</c:v>
                </c:pt>
                <c:pt idx="10">
                  <c:v>113.82573906258986</c:v>
                </c:pt>
                <c:pt idx="11">
                  <c:v>112.19885402844145</c:v>
                </c:pt>
                <c:pt idx="12">
                  <c:v>110.66993764591882</c:v>
                </c:pt>
                <c:pt idx="13">
                  <c:v>109.57356167729768</c:v>
                </c:pt>
                <c:pt idx="14">
                  <c:v>108.09240353239122</c:v>
                </c:pt>
                <c:pt idx="15">
                  <c:v>106.80862144444538</c:v>
                </c:pt>
                <c:pt idx="16">
                  <c:v>105.89851675489888</c:v>
                </c:pt>
                <c:pt idx="17">
                  <c:v>105.11964401402776</c:v>
                </c:pt>
                <c:pt idx="18">
                  <c:v>104.34008128261257</c:v>
                </c:pt>
                <c:pt idx="19">
                  <c:v>103.67511800221189</c:v>
                </c:pt>
                <c:pt idx="20">
                  <c:v>102.98688318643494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3D-4F0C-A75A-38C35ADEECD8}"/>
            </c:ext>
          </c:extLst>
        </c:ser>
        <c:ser>
          <c:idx val="8"/>
          <c:order val="8"/>
          <c:tx>
            <c:strRef>
              <c:f>'Occ F2'!$L$44</c:f>
              <c:strCache>
                <c:ptCount val="1"/>
                <c:pt idx="0">
                  <c:v>Elementary occupations</c:v>
                </c:pt>
              </c:strCache>
            </c:strRef>
          </c:tx>
          <c:spPr>
            <a:solidFill>
              <a:schemeClr val="bg1"/>
            </a:solidFill>
            <a:ln w="12700" cmpd="sng">
              <a:solidFill>
                <a:srgbClr val="000000"/>
              </a:solidFill>
              <a:prstDash val="solid"/>
            </a:ln>
          </c:spP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F2'!$M$44:$AG$44</c:f>
              <c:numCache>
                <c:formatCode>#,##0</c:formatCode>
                <c:ptCount val="21"/>
                <c:pt idx="0">
                  <c:v>196.99476340980632</c:v>
                </c:pt>
                <c:pt idx="1">
                  <c:v>186.37314306342961</c:v>
                </c:pt>
                <c:pt idx="2">
                  <c:v>178.17560820724225</c:v>
                </c:pt>
                <c:pt idx="3">
                  <c:v>175.92315512530413</c:v>
                </c:pt>
                <c:pt idx="4">
                  <c:v>167.26772060227898</c:v>
                </c:pt>
                <c:pt idx="5">
                  <c:v>164.61884348517052</c:v>
                </c:pt>
                <c:pt idx="6">
                  <c:v>158.32668192883929</c:v>
                </c:pt>
                <c:pt idx="7">
                  <c:v>159.91581966244729</c:v>
                </c:pt>
                <c:pt idx="8">
                  <c:v>163.33901095171248</c:v>
                </c:pt>
                <c:pt idx="9">
                  <c:v>169.97506427501645</c:v>
                </c:pt>
                <c:pt idx="10">
                  <c:v>176.46250364617717</c:v>
                </c:pt>
                <c:pt idx="11">
                  <c:v>176.8232507318989</c:v>
                </c:pt>
                <c:pt idx="12">
                  <c:v>177.45357891825074</c:v>
                </c:pt>
                <c:pt idx="13">
                  <c:v>178.20252747131693</c:v>
                </c:pt>
                <c:pt idx="14">
                  <c:v>177.29051444929229</c:v>
                </c:pt>
                <c:pt idx="15">
                  <c:v>176.51119269083904</c:v>
                </c:pt>
                <c:pt idx="16">
                  <c:v>176.09862939529452</c:v>
                </c:pt>
                <c:pt idx="17">
                  <c:v>175.82761644377373</c:v>
                </c:pt>
                <c:pt idx="18">
                  <c:v>175.59964101413954</c:v>
                </c:pt>
                <c:pt idx="19">
                  <c:v>175.49289195065691</c:v>
                </c:pt>
                <c:pt idx="20">
                  <c:v>175.63201786892921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3D-4F0C-A75A-38C35ADEE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342512"/>
        <c:axId val="250342904"/>
      </c:areaChart>
      <c:catAx>
        <c:axId val="2503425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342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42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3425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0886092785699087E-2"/>
          <c:y val="0.85872628043372545"/>
          <c:w val="0.9100947010002125"/>
          <c:h val="0.134351903951506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'Occ T1'!$F$6</c:f>
              <c:strCache>
                <c:ptCount val="1"/>
                <c:pt idx="0">
                  <c:v>2027</c:v>
                </c:pt>
              </c:strCache>
            </c:strRef>
          </c:tx>
          <c:marker>
            <c:symbol val="none"/>
          </c:marker>
          <c:cat>
            <c:strRef>
              <c:f>'Occ T1'!$A$8:$A$16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T1'!$F$8:$F$16</c:f>
              <c:numCache>
                <c:formatCode>#,##0</c:formatCode>
                <c:ptCount val="9"/>
                <c:pt idx="0">
                  <c:v>136.7185554318682</c:v>
                </c:pt>
                <c:pt idx="1">
                  <c:v>324.76512982597262</c:v>
                </c:pt>
                <c:pt idx="2">
                  <c:v>189.00941153550957</c:v>
                </c:pt>
                <c:pt idx="3">
                  <c:v>138.73142661139272</c:v>
                </c:pt>
                <c:pt idx="4">
                  <c:v>190.38528394164064</c:v>
                </c:pt>
                <c:pt idx="5">
                  <c:v>188.79525387511896</c:v>
                </c:pt>
                <c:pt idx="6">
                  <c:v>122.14903772501791</c:v>
                </c:pt>
                <c:pt idx="7">
                  <c:v>102.98688318643494</c:v>
                </c:pt>
                <c:pt idx="8">
                  <c:v>175.63201786892921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B-48C7-87FF-8D2305D66F7C}"/>
            </c:ext>
          </c:extLst>
        </c:ser>
        <c:ser>
          <c:idx val="1"/>
          <c:order val="1"/>
          <c:tx>
            <c:strRef>
              <c:f>'Occ T1'!$D$6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'Occ T1'!$A$8:$A$16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T1'!$D$8:$D$16</c:f>
              <c:numCache>
                <c:formatCode>#,##0</c:formatCode>
                <c:ptCount val="9"/>
                <c:pt idx="0">
                  <c:v>121.38972043868799</c:v>
                </c:pt>
                <c:pt idx="1">
                  <c:v>286.93232616274213</c:v>
                </c:pt>
                <c:pt idx="2">
                  <c:v>172.07211916997335</c:v>
                </c:pt>
                <c:pt idx="3">
                  <c:v>160.63162547890485</c:v>
                </c:pt>
                <c:pt idx="4">
                  <c:v>204.65991614519831</c:v>
                </c:pt>
                <c:pt idx="5">
                  <c:v>168.1161708779527</c:v>
                </c:pt>
                <c:pt idx="6">
                  <c:v>125.66987901861698</c:v>
                </c:pt>
                <c:pt idx="7">
                  <c:v>113.82573906258986</c:v>
                </c:pt>
                <c:pt idx="8">
                  <c:v>176.46250364617717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B-48C7-87FF-8D2305D66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343688"/>
        <c:axId val="250344080"/>
      </c:radarChart>
      <c:catAx>
        <c:axId val="25034368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50344080"/>
        <c:crosses val="autoZero"/>
        <c:auto val="1"/>
        <c:lblAlgn val="ctr"/>
        <c:lblOffset val="100"/>
        <c:noMultiLvlLbl val="0"/>
      </c:catAx>
      <c:valAx>
        <c:axId val="250344080"/>
        <c:scaling>
          <c:orientation val="minMax"/>
        </c:scaling>
        <c:delete val="0"/>
        <c:axPos val="l"/>
        <c:majorGridlines/>
        <c:numFmt formatCode="#,##0" sourceLinked="1"/>
        <c:majorTickMark val="cross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50343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 sz="900"/>
              <a:t>% of total employment</a:t>
            </a:r>
          </a:p>
        </c:rich>
      </c:tx>
      <c:layout>
        <c:manualLayout>
          <c:xMode val="edge"/>
          <c:yMode val="edge"/>
          <c:x val="0.72238188976377971"/>
          <c:y val="5.5555555555555455E-2"/>
        </c:manualLayout>
      </c:layout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'Occ T1'!$F$24</c:f>
              <c:strCache>
                <c:ptCount val="1"/>
                <c:pt idx="0">
                  <c:v>2027</c:v>
                </c:pt>
              </c:strCache>
            </c:strRef>
          </c:tx>
          <c:marker>
            <c:symbol val="none"/>
          </c:marker>
          <c:cat>
            <c:strRef>
              <c:f>'Occ T1'!$A$26:$A$34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T1'!$F$26:$F$34</c:f>
              <c:numCache>
                <c:formatCode>0.0</c:formatCode>
                <c:ptCount val="9"/>
                <c:pt idx="0">
                  <c:v>8.7127777135920645</c:v>
                </c:pt>
                <c:pt idx="1">
                  <c:v>20.696579014906742</c:v>
                </c:pt>
                <c:pt idx="2">
                  <c:v>12.045160829002446</c:v>
                </c:pt>
                <c:pt idx="3">
                  <c:v>8.8410536385233556</c:v>
                </c:pt>
                <c:pt idx="4">
                  <c:v>12.132842200408238</c:v>
                </c:pt>
                <c:pt idx="5">
                  <c:v>12.031513024688303</c:v>
                </c:pt>
                <c:pt idx="6">
                  <c:v>7.7842938748545381</c:v>
                </c:pt>
                <c:pt idx="7">
                  <c:v>6.5631312281253411</c:v>
                </c:pt>
                <c:pt idx="8">
                  <c:v>11.192648475898977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F-433A-BBDE-5FE09C22A8FF}"/>
            </c:ext>
          </c:extLst>
        </c:ser>
        <c:ser>
          <c:idx val="1"/>
          <c:order val="1"/>
          <c:tx>
            <c:strRef>
              <c:f>'Occ T1'!$D$24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'Occ T1'!$A$26:$A$34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T1'!$D$26:$D$34</c:f>
              <c:numCache>
                <c:formatCode>0.0</c:formatCode>
                <c:ptCount val="9"/>
                <c:pt idx="0">
                  <c:v>7.9352133954751771</c:v>
                </c:pt>
                <c:pt idx="1">
                  <c:v>18.756689033742806</c:v>
                </c:pt>
                <c:pt idx="2">
                  <c:v>11.248308177091733</c:v>
                </c:pt>
                <c:pt idx="3">
                  <c:v>10.500446179715532</c:v>
                </c:pt>
                <c:pt idx="4">
                  <c:v>13.378563705750279</c:v>
                </c:pt>
                <c:pt idx="5">
                  <c:v>10.989708900602709</c:v>
                </c:pt>
                <c:pt idx="6">
                  <c:v>8.215006211336922</c:v>
                </c:pt>
                <c:pt idx="7">
                  <c:v>7.4407579661206409</c:v>
                </c:pt>
                <c:pt idx="8">
                  <c:v>11.535306430164201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F-433A-BBDE-5FE09C22A8FF}"/>
            </c:ext>
          </c:extLst>
        </c:ser>
        <c:ser>
          <c:idx val="2"/>
          <c:order val="2"/>
          <c:tx>
            <c:strRef>
              <c:f>'Occ T1'!$B$24</c:f>
              <c:strCache>
                <c:ptCount val="1"/>
                <c:pt idx="0">
                  <c:v>2007</c:v>
                </c:pt>
              </c:strCache>
            </c:strRef>
          </c:tx>
          <c:marker>
            <c:symbol val="none"/>
          </c:marker>
          <c:cat>
            <c:strRef>
              <c:f>'Occ T1'!$A$26:$A$34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T1'!$B$26:$B$34</c:f>
              <c:numCache>
                <c:formatCode>0.0</c:formatCode>
                <c:ptCount val="9"/>
                <c:pt idx="0">
                  <c:v>6.8394781892949421</c:v>
                </c:pt>
                <c:pt idx="1">
                  <c:v>15.691037118501319</c:v>
                </c:pt>
                <c:pt idx="2">
                  <c:v>10.330461535667066</c:v>
                </c:pt>
                <c:pt idx="3">
                  <c:v>11.910843564646896</c:v>
                </c:pt>
                <c:pt idx="4">
                  <c:v>13.670837027595919</c:v>
                </c:pt>
                <c:pt idx="5">
                  <c:v>8.9533062332799762</c:v>
                </c:pt>
                <c:pt idx="6">
                  <c:v>9.3262139648044826</c:v>
                </c:pt>
                <c:pt idx="7">
                  <c:v>9.2963193636880668</c:v>
                </c:pt>
                <c:pt idx="8">
                  <c:v>13.981503002521315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9F-433A-BBDE-5FE09C22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344864"/>
        <c:axId val="250345256"/>
      </c:radarChart>
      <c:catAx>
        <c:axId val="25034486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50345256"/>
        <c:crosses val="autoZero"/>
        <c:auto val="1"/>
        <c:lblAlgn val="ctr"/>
        <c:lblOffset val="100"/>
        <c:noMultiLvlLbl val="0"/>
      </c:catAx>
      <c:valAx>
        <c:axId val="250345256"/>
        <c:scaling>
          <c:orientation val="minMax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50344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0718237922956E-2"/>
          <c:y val="5.3619302949061684E-2"/>
          <c:w val="0.86958661417322847"/>
          <c:h val="0.74962385222351946"/>
        </c:manualLayout>
      </c:layout>
      <c:lineChart>
        <c:grouping val="standard"/>
        <c:varyColors val="0"/>
        <c:ser>
          <c:idx val="0"/>
          <c:order val="0"/>
          <c:tx>
            <c:strRef>
              <c:f>'Occ F2'!$L$51</c:f>
              <c:strCache>
                <c:ptCount val="1"/>
                <c:pt idx="0">
                  <c:v>Managers, directors and senior officials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F2'!$M$51:$AG$51</c:f>
              <c:numCache>
                <c:formatCode>0%</c:formatCode>
                <c:ptCount val="21"/>
                <c:pt idx="0">
                  <c:v>6.8394781892949424E-2</c:v>
                </c:pt>
                <c:pt idx="1">
                  <c:v>7.3734346966337225E-2</c:v>
                </c:pt>
                <c:pt idx="2">
                  <c:v>7.2670789772676284E-2</c:v>
                </c:pt>
                <c:pt idx="3">
                  <c:v>7.5607662962240876E-2</c:v>
                </c:pt>
                <c:pt idx="4">
                  <c:v>7.3553550848924718E-2</c:v>
                </c:pt>
                <c:pt idx="5">
                  <c:v>7.5167584198945328E-2</c:v>
                </c:pt>
                <c:pt idx="6">
                  <c:v>7.4708612429994548E-2</c:v>
                </c:pt>
                <c:pt idx="7">
                  <c:v>7.4859989723999917E-2</c:v>
                </c:pt>
                <c:pt idx="8">
                  <c:v>7.7763620543311221E-2</c:v>
                </c:pt>
                <c:pt idx="9">
                  <c:v>8.2074710298301864E-2</c:v>
                </c:pt>
                <c:pt idx="10">
                  <c:v>7.9352133954751769E-2</c:v>
                </c:pt>
                <c:pt idx="11">
                  <c:v>8.0179261888569511E-2</c:v>
                </c:pt>
                <c:pt idx="12">
                  <c:v>8.1095470792883637E-2</c:v>
                </c:pt>
                <c:pt idx="13">
                  <c:v>8.2010790059334177E-2</c:v>
                </c:pt>
                <c:pt idx="14">
                  <c:v>8.2876233896240409E-2</c:v>
                </c:pt>
                <c:pt idx="15">
                  <c:v>8.3749270979679824E-2</c:v>
                </c:pt>
                <c:pt idx="16">
                  <c:v>8.4470570580788037E-2</c:v>
                </c:pt>
                <c:pt idx="17">
                  <c:v>8.5154541058481428E-2</c:v>
                </c:pt>
                <c:pt idx="18">
                  <c:v>8.5830993215487955E-2</c:v>
                </c:pt>
                <c:pt idx="19">
                  <c:v>8.6492950359390072E-2</c:v>
                </c:pt>
                <c:pt idx="20">
                  <c:v>8.7127777135920639E-2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AC-4C4B-BBFD-BAF66A5040A1}"/>
            </c:ext>
          </c:extLst>
        </c:ser>
        <c:ser>
          <c:idx val="1"/>
          <c:order val="1"/>
          <c:tx>
            <c:strRef>
              <c:f>'Occ F2'!$L$55</c:f>
              <c:strCache>
                <c:ptCount val="1"/>
                <c:pt idx="0">
                  <c:v>Professional occupations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F2'!$M$55:$AG$55</c:f>
              <c:numCache>
                <c:formatCode>0%</c:formatCode>
                <c:ptCount val="21"/>
                <c:pt idx="0">
                  <c:v>0.15691037118501319</c:v>
                </c:pt>
                <c:pt idx="1">
                  <c:v>0.16187022123530237</c:v>
                </c:pt>
                <c:pt idx="2">
                  <c:v>0.1690297735535102</c:v>
                </c:pt>
                <c:pt idx="3">
                  <c:v>0.16923829490096029</c:v>
                </c:pt>
                <c:pt idx="4">
                  <c:v>0.17163083338858451</c:v>
                </c:pt>
                <c:pt idx="5">
                  <c:v>0.17536015722596349</c:v>
                </c:pt>
                <c:pt idx="6">
                  <c:v>0.17704470777074907</c:v>
                </c:pt>
                <c:pt idx="7">
                  <c:v>0.17641200737287438</c:v>
                </c:pt>
                <c:pt idx="8">
                  <c:v>0.18021437815546515</c:v>
                </c:pt>
                <c:pt idx="9">
                  <c:v>0.18249619211826992</c:v>
                </c:pt>
                <c:pt idx="10">
                  <c:v>0.18756689033742807</c:v>
                </c:pt>
                <c:pt idx="11">
                  <c:v>0.18895175113587753</c:v>
                </c:pt>
                <c:pt idx="12">
                  <c:v>0.19029814984910551</c:v>
                </c:pt>
                <c:pt idx="13">
                  <c:v>0.19176355879671822</c:v>
                </c:pt>
                <c:pt idx="14">
                  <c:v>0.19428341876597902</c:v>
                </c:pt>
                <c:pt idx="15">
                  <c:v>0.19683328656937601</c:v>
                </c:pt>
                <c:pt idx="16">
                  <c:v>0.19916869367993698</c:v>
                </c:pt>
                <c:pt idx="17">
                  <c:v>0.20131816775121802</c:v>
                </c:pt>
                <c:pt idx="18">
                  <c:v>0.20338733140610163</c:v>
                </c:pt>
                <c:pt idx="19">
                  <c:v>0.20524343047114335</c:v>
                </c:pt>
                <c:pt idx="20">
                  <c:v>0.20696579014906741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AC-4C4B-BBFD-BAF66A5040A1}"/>
            </c:ext>
          </c:extLst>
        </c:ser>
        <c:ser>
          <c:idx val="2"/>
          <c:order val="2"/>
          <c:tx>
            <c:strRef>
              <c:f>'Occ F2'!$L$61</c:f>
              <c:strCache>
                <c:ptCount val="1"/>
                <c:pt idx="0">
                  <c:v>Associate professional and technical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F2'!$M$61:$AG$61</c:f>
              <c:numCache>
                <c:formatCode>0%</c:formatCode>
                <c:ptCount val="21"/>
                <c:pt idx="0">
                  <c:v>0.10330461535667067</c:v>
                </c:pt>
                <c:pt idx="1">
                  <c:v>0.10472582104217719</c:v>
                </c:pt>
                <c:pt idx="2">
                  <c:v>0.10560189006837611</c:v>
                </c:pt>
                <c:pt idx="3">
                  <c:v>0.10699069477920524</c:v>
                </c:pt>
                <c:pt idx="4">
                  <c:v>0.10699932577367956</c:v>
                </c:pt>
                <c:pt idx="5">
                  <c:v>0.1070975943944648</c:v>
                </c:pt>
                <c:pt idx="6">
                  <c:v>0.1122079302883144</c:v>
                </c:pt>
                <c:pt idx="7">
                  <c:v>0.10832872921563319</c:v>
                </c:pt>
                <c:pt idx="8">
                  <c:v>0.10916093731566409</c:v>
                </c:pt>
                <c:pt idx="9">
                  <c:v>0.1113789455122154</c:v>
                </c:pt>
                <c:pt idx="10">
                  <c:v>0.11248308177091733</c:v>
                </c:pt>
                <c:pt idx="11">
                  <c:v>0.11338786035844878</c:v>
                </c:pt>
                <c:pt idx="12">
                  <c:v>0.11431441462326616</c:v>
                </c:pt>
                <c:pt idx="13">
                  <c:v>0.11526750573061771</c:v>
                </c:pt>
                <c:pt idx="14">
                  <c:v>0.11633941877424041</c:v>
                </c:pt>
                <c:pt idx="15">
                  <c:v>0.11738586926285839</c:v>
                </c:pt>
                <c:pt idx="16">
                  <c:v>0.1180905984825962</c:v>
                </c:pt>
                <c:pt idx="17">
                  <c:v>0.11875485575477306</c:v>
                </c:pt>
                <c:pt idx="18">
                  <c:v>0.11937318597652707</c:v>
                </c:pt>
                <c:pt idx="19">
                  <c:v>0.11992926217777682</c:v>
                </c:pt>
                <c:pt idx="20">
                  <c:v>0.12045160829002446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AAC-4C4B-BBFD-BAF66A5040A1}"/>
            </c:ext>
          </c:extLst>
        </c:ser>
        <c:ser>
          <c:idx val="3"/>
          <c:order val="3"/>
          <c:tx>
            <c:strRef>
              <c:f>'Occ F2'!$L$68</c:f>
              <c:strCache>
                <c:ptCount val="1"/>
                <c:pt idx="0">
                  <c:v>Administrative and secretarial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F2'!$M$68:$AG$68</c:f>
              <c:numCache>
                <c:formatCode>0%</c:formatCode>
                <c:ptCount val="21"/>
                <c:pt idx="0">
                  <c:v>0.11910843564646896</c:v>
                </c:pt>
                <c:pt idx="1">
                  <c:v>0.11393692608045219</c:v>
                </c:pt>
                <c:pt idx="2">
                  <c:v>0.11352552843528085</c:v>
                </c:pt>
                <c:pt idx="3">
                  <c:v>0.11644696244935555</c:v>
                </c:pt>
                <c:pt idx="4">
                  <c:v>0.11481833078946287</c:v>
                </c:pt>
                <c:pt idx="5">
                  <c:v>0.11382433954088897</c:v>
                </c:pt>
                <c:pt idx="6">
                  <c:v>0.11695222400982845</c:v>
                </c:pt>
                <c:pt idx="7">
                  <c:v>0.11475772759912634</c:v>
                </c:pt>
                <c:pt idx="8">
                  <c:v>0.11296680506581125</c:v>
                </c:pt>
                <c:pt idx="9">
                  <c:v>0.10809565938014092</c:v>
                </c:pt>
                <c:pt idx="10">
                  <c:v>0.10500446179715531</c:v>
                </c:pt>
                <c:pt idx="11">
                  <c:v>0.10325000116213613</c:v>
                </c:pt>
                <c:pt idx="12">
                  <c:v>0.10144757067619709</c:v>
                </c:pt>
                <c:pt idx="13">
                  <c:v>9.9636409827416672E-2</c:v>
                </c:pt>
                <c:pt idx="14">
                  <c:v>9.8004745540206495E-2</c:v>
                </c:pt>
                <c:pt idx="15">
                  <c:v>9.6307397251710086E-2</c:v>
                </c:pt>
                <c:pt idx="16">
                  <c:v>9.4384598244128259E-2</c:v>
                </c:pt>
                <c:pt idx="17">
                  <c:v>9.2636156206907821E-2</c:v>
                </c:pt>
                <c:pt idx="18">
                  <c:v>9.1012816414541939E-2</c:v>
                </c:pt>
                <c:pt idx="19">
                  <c:v>8.9635309009956449E-2</c:v>
                </c:pt>
                <c:pt idx="20">
                  <c:v>8.8410536385233551E-2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AAC-4C4B-BBFD-BAF66A5040A1}"/>
            </c:ext>
          </c:extLst>
        </c:ser>
        <c:ser>
          <c:idx val="4"/>
          <c:order val="4"/>
          <c:tx>
            <c:strRef>
              <c:f>'Occ F2'!$L$72</c:f>
              <c:strCache>
                <c:ptCount val="1"/>
                <c:pt idx="0">
                  <c:v>Skilled trades occupations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F2'!$M$72:$AG$72</c:f>
              <c:numCache>
                <c:formatCode>0%</c:formatCode>
                <c:ptCount val="21"/>
                <c:pt idx="0">
                  <c:v>0.1367083702759592</c:v>
                </c:pt>
                <c:pt idx="1">
                  <c:v>0.13305216953132779</c:v>
                </c:pt>
                <c:pt idx="2">
                  <c:v>0.13446654926668944</c:v>
                </c:pt>
                <c:pt idx="3">
                  <c:v>0.12988296136588404</c:v>
                </c:pt>
                <c:pt idx="4">
                  <c:v>0.13024084973890204</c:v>
                </c:pt>
                <c:pt idx="5">
                  <c:v>0.12786833166899875</c:v>
                </c:pt>
                <c:pt idx="6">
                  <c:v>0.1234334158572825</c:v>
                </c:pt>
                <c:pt idx="7">
                  <c:v>0.1291427293619262</c:v>
                </c:pt>
                <c:pt idx="8">
                  <c:v>0.13121183929356656</c:v>
                </c:pt>
                <c:pt idx="9">
                  <c:v>0.13042167769466764</c:v>
                </c:pt>
                <c:pt idx="10">
                  <c:v>0.13378563705750279</c:v>
                </c:pt>
                <c:pt idx="11">
                  <c:v>0.13265508688080563</c:v>
                </c:pt>
                <c:pt idx="12">
                  <c:v>0.13163898606358398</c:v>
                </c:pt>
                <c:pt idx="13">
                  <c:v>0.13048436663760743</c:v>
                </c:pt>
                <c:pt idx="14">
                  <c:v>0.12916394591714281</c:v>
                </c:pt>
                <c:pt idx="15">
                  <c:v>0.12786350609558733</c:v>
                </c:pt>
                <c:pt idx="16">
                  <c:v>0.12657694672675818</c:v>
                </c:pt>
                <c:pt idx="17">
                  <c:v>0.12526096123848954</c:v>
                </c:pt>
                <c:pt idx="18">
                  <c:v>0.12396643938487975</c:v>
                </c:pt>
                <c:pt idx="19">
                  <c:v>0.12266507907409578</c:v>
                </c:pt>
                <c:pt idx="20">
                  <c:v>0.12132842200408238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AAC-4C4B-BBFD-BAF66A5040A1}"/>
            </c:ext>
          </c:extLst>
        </c:ser>
        <c:ser>
          <c:idx val="5"/>
          <c:order val="5"/>
          <c:tx>
            <c:strRef>
              <c:f>'Occ F2'!$L$78</c:f>
              <c:strCache>
                <c:ptCount val="1"/>
                <c:pt idx="0">
                  <c:v>Caring, leisure and other service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F2'!$M$78:$AG$78</c:f>
              <c:numCache>
                <c:formatCode>0%</c:formatCode>
                <c:ptCount val="21"/>
                <c:pt idx="0">
                  <c:v>8.953306233279977E-2</c:v>
                </c:pt>
                <c:pt idx="1">
                  <c:v>9.3147874618513218E-2</c:v>
                </c:pt>
                <c:pt idx="2">
                  <c:v>9.4569319983801262E-2</c:v>
                </c:pt>
                <c:pt idx="3">
                  <c:v>9.5894056769614308E-2</c:v>
                </c:pt>
                <c:pt idx="4">
                  <c:v>0.10073977447598417</c:v>
                </c:pt>
                <c:pt idx="5">
                  <c:v>0.10090633519304754</c:v>
                </c:pt>
                <c:pt idx="6">
                  <c:v>0.10489102304802907</c:v>
                </c:pt>
                <c:pt idx="7">
                  <c:v>0.1090474597064388</c:v>
                </c:pt>
                <c:pt idx="8">
                  <c:v>0.10490829818980194</c:v>
                </c:pt>
                <c:pt idx="9">
                  <c:v>0.10561874303102901</c:v>
                </c:pt>
                <c:pt idx="10">
                  <c:v>0.1098970890060271</c:v>
                </c:pt>
                <c:pt idx="11">
                  <c:v>0.1110692461887801</c:v>
                </c:pt>
                <c:pt idx="12">
                  <c:v>0.11189037333742516</c:v>
                </c:pt>
                <c:pt idx="13">
                  <c:v>0.11260683058183048</c:v>
                </c:pt>
                <c:pt idx="14">
                  <c:v>0.11360863562075381</c:v>
                </c:pt>
                <c:pt idx="15">
                  <c:v>0.11467929328473243</c:v>
                </c:pt>
                <c:pt idx="16">
                  <c:v>0.115902696291692</c:v>
                </c:pt>
                <c:pt idx="17">
                  <c:v>0.11711213818671261</c:v>
                </c:pt>
                <c:pt idx="18">
                  <c:v>0.11829140966105113</c:v>
                </c:pt>
                <c:pt idx="19">
                  <c:v>0.11935145677971412</c:v>
                </c:pt>
                <c:pt idx="20">
                  <c:v>0.12031513024688303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AAC-4C4B-BBFD-BAF66A5040A1}"/>
            </c:ext>
          </c:extLst>
        </c:ser>
        <c:ser>
          <c:idx val="6"/>
          <c:order val="6"/>
          <c:tx>
            <c:strRef>
              <c:f>'Occ F2'!$L$82</c:f>
              <c:strCache>
                <c:ptCount val="1"/>
                <c:pt idx="0">
                  <c:v>Sales and customer service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F2'!$M$82:$AG$82</c:f>
              <c:numCache>
                <c:formatCode>0%</c:formatCode>
                <c:ptCount val="21"/>
                <c:pt idx="0">
                  <c:v>9.326213964804482E-2</c:v>
                </c:pt>
                <c:pt idx="1">
                  <c:v>9.3769096488544423E-2</c:v>
                </c:pt>
                <c:pt idx="2">
                  <c:v>9.0563986614556335E-2</c:v>
                </c:pt>
                <c:pt idx="3">
                  <c:v>8.988557098015075E-2</c:v>
                </c:pt>
                <c:pt idx="4">
                  <c:v>9.1692927763641047E-2</c:v>
                </c:pt>
                <c:pt idx="5">
                  <c:v>9.2659472688220071E-2</c:v>
                </c:pt>
                <c:pt idx="6">
                  <c:v>8.9119842384042317E-2</c:v>
                </c:pt>
                <c:pt idx="7">
                  <c:v>8.5513726340971014E-2</c:v>
                </c:pt>
                <c:pt idx="8">
                  <c:v>8.3385651868928434E-2</c:v>
                </c:pt>
                <c:pt idx="9">
                  <c:v>8.3429197106656888E-2</c:v>
                </c:pt>
                <c:pt idx="10">
                  <c:v>8.2150062113369227E-2</c:v>
                </c:pt>
                <c:pt idx="11">
                  <c:v>8.1939303266295685E-2</c:v>
                </c:pt>
                <c:pt idx="12">
                  <c:v>8.1731444984854573E-2</c:v>
                </c:pt>
                <c:pt idx="13">
                  <c:v>8.1529281857114735E-2</c:v>
                </c:pt>
                <c:pt idx="14">
                  <c:v>8.0791051485294293E-2</c:v>
                </c:pt>
                <c:pt idx="15">
                  <c:v>7.9955485026936543E-2</c:v>
                </c:pt>
                <c:pt idx="16">
                  <c:v>7.9545701369583E-2</c:v>
                </c:pt>
                <c:pt idx="17">
                  <c:v>7.9120369028279555E-2</c:v>
                </c:pt>
                <c:pt idx="18">
                  <c:v>7.8692044712105752E-2</c:v>
                </c:pt>
                <c:pt idx="19">
                  <c:v>7.8273037222841194E-2</c:v>
                </c:pt>
                <c:pt idx="20">
                  <c:v>7.7842938748545379E-2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AAC-4C4B-BBFD-BAF66A5040A1}"/>
            </c:ext>
          </c:extLst>
        </c:ser>
        <c:ser>
          <c:idx val="7"/>
          <c:order val="7"/>
          <c:tx>
            <c:strRef>
              <c:f>'Occ F2'!$L$86</c:f>
              <c:strCache>
                <c:ptCount val="1"/>
                <c:pt idx="0">
                  <c:v>Process, plant and machine operatives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F2'!$M$86:$AG$86</c:f>
              <c:numCache>
                <c:formatCode>0%</c:formatCode>
                <c:ptCount val="21"/>
                <c:pt idx="0">
                  <c:v>9.2963193636880659E-2</c:v>
                </c:pt>
                <c:pt idx="1">
                  <c:v>9.2847599054787677E-2</c:v>
                </c:pt>
                <c:pt idx="2">
                  <c:v>9.1076646772792827E-2</c:v>
                </c:pt>
                <c:pt idx="3">
                  <c:v>8.6784745721449869E-2</c:v>
                </c:pt>
                <c:pt idx="4">
                  <c:v>8.78254137650121E-2</c:v>
                </c:pt>
                <c:pt idx="5">
                  <c:v>8.588375958066162E-2</c:v>
                </c:pt>
                <c:pt idx="6">
                  <c:v>8.6063259011964238E-2</c:v>
                </c:pt>
                <c:pt idx="7">
                  <c:v>8.9907515379677644E-2</c:v>
                </c:pt>
                <c:pt idx="8">
                  <c:v>8.7011274006441014E-2</c:v>
                </c:pt>
                <c:pt idx="9">
                  <c:v>8.1030959428903898E-2</c:v>
                </c:pt>
                <c:pt idx="10">
                  <c:v>7.4407579661206411E-2</c:v>
                </c:pt>
                <c:pt idx="11">
                  <c:v>7.3202207850938381E-2</c:v>
                </c:pt>
                <c:pt idx="12">
                  <c:v>7.2051960284366431E-2</c:v>
                </c:pt>
                <c:pt idx="13">
                  <c:v>7.1088330187129053E-2</c:v>
                </c:pt>
                <c:pt idx="14">
                  <c:v>7.004555129740643E-2</c:v>
                </c:pt>
                <c:pt idx="15">
                  <c:v>6.907425429063023E-2</c:v>
                </c:pt>
                <c:pt idx="16">
                  <c:v>6.8294041732026231E-2</c:v>
                </c:pt>
                <c:pt idx="17">
                  <c:v>6.7589582227757919E-2</c:v>
                </c:pt>
                <c:pt idx="18">
                  <c:v>6.688363850972015E-2</c:v>
                </c:pt>
                <c:pt idx="19">
                  <c:v>6.6256242492181594E-2</c:v>
                </c:pt>
                <c:pt idx="20">
                  <c:v>6.5631312281253407E-2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AAC-4C4B-BBFD-BAF66A5040A1}"/>
            </c:ext>
          </c:extLst>
        </c:ser>
        <c:ser>
          <c:idx val="8"/>
          <c:order val="8"/>
          <c:tx>
            <c:strRef>
              <c:f>'Occ F2'!$L$90</c:f>
              <c:strCache>
                <c:ptCount val="1"/>
                <c:pt idx="0">
                  <c:v>Elementary occupations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'Occ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'Occ F2'!$M$90:$AG$90</c:f>
              <c:numCache>
                <c:formatCode>0%</c:formatCode>
                <c:ptCount val="21"/>
                <c:pt idx="0">
                  <c:v>0.13981503002521314</c:v>
                </c:pt>
                <c:pt idx="1">
                  <c:v>0.13291594498255796</c:v>
                </c:pt>
                <c:pt idx="2">
                  <c:v>0.12849551553231667</c:v>
                </c:pt>
                <c:pt idx="3">
                  <c:v>0.12926905007113906</c:v>
                </c:pt>
                <c:pt idx="4">
                  <c:v>0.122498993455809</c:v>
                </c:pt>
                <c:pt idx="5">
                  <c:v>0.12123242550880942</c:v>
                </c:pt>
                <c:pt idx="6">
                  <c:v>0.11557898519979547</c:v>
                </c:pt>
                <c:pt idx="7">
                  <c:v>0.11203011529935251</c:v>
                </c:pt>
                <c:pt idx="8">
                  <c:v>0.11337719556101032</c:v>
                </c:pt>
                <c:pt idx="9">
                  <c:v>0.11545391542981467</c:v>
                </c:pt>
                <c:pt idx="10">
                  <c:v>0.11535306430164201</c:v>
                </c:pt>
                <c:pt idx="11">
                  <c:v>0.11536528126814824</c:v>
                </c:pt>
                <c:pt idx="12">
                  <c:v>0.11553162938831738</c:v>
                </c:pt>
                <c:pt idx="13">
                  <c:v>0.11561292632223158</c:v>
                </c:pt>
                <c:pt idx="14">
                  <c:v>0.11488699870273629</c:v>
                </c:pt>
                <c:pt idx="15">
                  <c:v>0.1141516372384892</c:v>
                </c:pt>
                <c:pt idx="16">
                  <c:v>0.11356615289249099</c:v>
                </c:pt>
                <c:pt idx="17">
                  <c:v>0.11305322854738019</c:v>
                </c:pt>
                <c:pt idx="18">
                  <c:v>0.11256214071958465</c:v>
                </c:pt>
                <c:pt idx="19">
                  <c:v>0.11215323241290044</c:v>
                </c:pt>
                <c:pt idx="20">
                  <c:v>0.11192648475898978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AAC-4C4B-BBFD-BAF66A504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610144"/>
        <c:axId val="315610536"/>
      </c:lineChart>
      <c:catAx>
        <c:axId val="315610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1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5610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</a:t>
                </a:r>
              </a:p>
            </c:rich>
          </c:tx>
          <c:layout>
            <c:manualLayout>
              <c:xMode val="edge"/>
              <c:yMode val="edge"/>
              <c:x val="3.6734544583954032E-2"/>
              <c:y val="8.1044128159058985E-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6101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5142849542455844E-2"/>
          <c:y val="0.86539777165078335"/>
          <c:w val="0.96587039795701224"/>
          <c:h val="0.12216851442465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'Occ F3'!$X$3</c:f>
          <c:strCache>
            <c:ptCount val="1"/>
            <c:pt idx="0">
              <c:v>2007-2012</c:v>
            </c:pt>
          </c:strCache>
        </c:strRef>
      </c:tx>
      <c:layout>
        <c:manualLayout>
          <c:xMode val="edge"/>
          <c:yMode val="edge"/>
          <c:x val="0.64754427755354116"/>
          <c:y val="3.37837837837837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52891197423851433"/>
          <c:y val="0.11438438438438442"/>
          <c:w val="0.43259004389157235"/>
          <c:h val="0.818954151001395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>
              <a:noFill/>
            </a:ln>
            <a:effectLst/>
          </c:spPr>
          <c:invertIfNegative val="0"/>
          <c:cat>
            <c:strRef>
              <c:f>'Occ F3'!$W$4:$W$12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F3'!$X$4:$X$12</c:f>
              <c:numCache>
                <c:formatCode>#,##0</c:formatCode>
                <c:ptCount val="9"/>
                <c:pt idx="0">
                  <c:v>5.7024182374732675</c:v>
                </c:pt>
                <c:pt idx="1">
                  <c:v>17.036164616110028</c:v>
                </c:pt>
                <c:pt idx="2">
                  <c:v>-0.12732670417048553</c:v>
                </c:pt>
                <c:pt idx="3">
                  <c:v>-13.260288720514666</c:v>
                </c:pt>
                <c:pt idx="4">
                  <c:v>-18.987987872710562</c:v>
                </c:pt>
                <c:pt idx="5">
                  <c:v>10.869362383332444</c:v>
                </c:pt>
                <c:pt idx="6">
                  <c:v>-5.5830176586419213</c:v>
                </c:pt>
                <c:pt idx="7">
                  <c:v>-14.362404357201342</c:v>
                </c:pt>
                <c:pt idx="8">
                  <c:v>-32.375919924635809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8-4B84-AE14-1F96EBE8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3748296"/>
        <c:axId val="973746328"/>
      </c:barChart>
      <c:catAx>
        <c:axId val="973748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6328"/>
        <c:crosses val="autoZero"/>
        <c:auto val="1"/>
        <c:lblAlgn val="ctr"/>
        <c:lblOffset val="100"/>
        <c:noMultiLvlLbl val="0"/>
      </c:catAx>
      <c:valAx>
        <c:axId val="973746328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8296"/>
        <c:crosses val="max"/>
        <c:crossBetween val="between"/>
        <c:majorUnit val="1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2012-2017</a:t>
            </a:r>
          </a:p>
        </c:rich>
      </c:tx>
      <c:layout>
        <c:manualLayout>
          <c:xMode val="edge"/>
          <c:yMode val="edge"/>
          <c:x val="0.3392222222222222"/>
          <c:y val="3.67867867867867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70166229221347"/>
          <c:y val="0.11438438438438442"/>
          <c:w val="0.79925678040244974"/>
          <c:h val="0.824960157007401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>
              <a:noFill/>
            </a:ln>
            <a:effectLst/>
          </c:spPr>
          <c:invertIfNegative val="0"/>
          <c:cat>
            <c:strRef>
              <c:f>'Occ F3'!$W$4:$W$12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F3'!$Y$4:$Y$12</c:f>
              <c:numCache>
                <c:formatCode>#,##0</c:formatCode>
                <c:ptCount val="9"/>
                <c:pt idx="0">
                  <c:v>19.321311541718472</c:v>
                </c:pt>
                <c:pt idx="1">
                  <c:v>48.814626588892565</c:v>
                </c:pt>
                <c:pt idx="2">
                  <c:v>26.646651888700802</c:v>
                </c:pt>
                <c:pt idx="3">
                  <c:v>6.0720589516895132</c:v>
                </c:pt>
                <c:pt idx="4">
                  <c:v>31.030321675035708</c:v>
                </c:pt>
                <c:pt idx="5">
                  <c:v>31.097678258588303</c:v>
                </c:pt>
                <c:pt idx="6">
                  <c:v>-0.1503804364091792</c:v>
                </c:pt>
                <c:pt idx="7">
                  <c:v>-2.793928629364359</c:v>
                </c:pt>
                <c:pt idx="8">
                  <c:v>11.843660161006653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5-4F18-AE05-2CED887A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3748296"/>
        <c:axId val="973746328"/>
      </c:barChart>
      <c:catAx>
        <c:axId val="973748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6328"/>
        <c:crosses val="autoZero"/>
        <c:auto val="1"/>
        <c:lblAlgn val="ctr"/>
        <c:lblOffset val="100"/>
        <c:noMultiLvlLbl val="0"/>
      </c:catAx>
      <c:valAx>
        <c:axId val="973746328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8296"/>
        <c:crosses val="max"/>
        <c:crossBetween val="between"/>
        <c:majorUnit val="1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05432017565845E-2"/>
          <c:y val="7.3221832118928271E-2"/>
          <c:w val="0.87539499596050963"/>
          <c:h val="0.76569115872938642"/>
        </c:manualLayout>
      </c:layout>
      <c:areaChart>
        <c:grouping val="stacked"/>
        <c:varyColors val="0"/>
        <c:ser>
          <c:idx val="1"/>
          <c:order val="0"/>
          <c:tx>
            <c:strRef>
              <c:f>'Ind F2'!$L$12</c:f>
              <c:strCache>
                <c:ptCount val="1"/>
                <c:pt idx="0">
                  <c:v>Food drink and tobacco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F2'!$M$12:$AG$12</c:f>
              <c:numCache>
                <c:formatCode>#,##0</c:formatCode>
                <c:ptCount val="21"/>
                <c:pt idx="0">
                  <c:v>23.866999999866046</c:v>
                </c:pt>
                <c:pt idx="1">
                  <c:v>23.813999999995655</c:v>
                </c:pt>
                <c:pt idx="2">
                  <c:v>22.782000000001023</c:v>
                </c:pt>
                <c:pt idx="3">
                  <c:v>20.259999999595994</c:v>
                </c:pt>
                <c:pt idx="4">
                  <c:v>19.713999999652085</c:v>
                </c:pt>
                <c:pt idx="5">
                  <c:v>22.471999999568489</c:v>
                </c:pt>
                <c:pt idx="6">
                  <c:v>22.770999999990511</c:v>
                </c:pt>
                <c:pt idx="7">
                  <c:v>22.684999999472797</c:v>
                </c:pt>
                <c:pt idx="8">
                  <c:v>25.616999999658152</c:v>
                </c:pt>
                <c:pt idx="9">
                  <c:v>21.601999999820343</c:v>
                </c:pt>
                <c:pt idx="10">
                  <c:v>20.183000000104787</c:v>
                </c:pt>
                <c:pt idx="11">
                  <c:v>19.391999999849762</c:v>
                </c:pt>
                <c:pt idx="12">
                  <c:v>19.34799999984638</c:v>
                </c:pt>
                <c:pt idx="13">
                  <c:v>19.532000000128079</c:v>
                </c:pt>
                <c:pt idx="14">
                  <c:v>19.271999999826075</c:v>
                </c:pt>
                <c:pt idx="15">
                  <c:v>19.041999999850926</c:v>
                </c:pt>
                <c:pt idx="16">
                  <c:v>18.834999999859345</c:v>
                </c:pt>
                <c:pt idx="17">
                  <c:v>18.646999999887502</c:v>
                </c:pt>
                <c:pt idx="18">
                  <c:v>18.455999999808604</c:v>
                </c:pt>
                <c:pt idx="19">
                  <c:v>18.268999999814906</c:v>
                </c:pt>
                <c:pt idx="20">
                  <c:v>18.083999999831093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0-41D5-BF7E-8A4B7EBE3C25}"/>
            </c:ext>
          </c:extLst>
        </c:ser>
        <c:ser>
          <c:idx val="2"/>
          <c:order val="1"/>
          <c:tx>
            <c:strRef>
              <c:f>'Ind F2'!$L$13</c:f>
              <c:strCache>
                <c:ptCount val="1"/>
                <c:pt idx="0">
                  <c:v>Engineering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F2'!$M$13:$AG$13</c:f>
              <c:numCache>
                <c:formatCode>#,##0</c:formatCode>
                <c:ptCount val="21"/>
                <c:pt idx="0">
                  <c:v>24.827999999803499</c:v>
                </c:pt>
                <c:pt idx="1">
                  <c:v>21.601999999991698</c:v>
                </c:pt>
                <c:pt idx="2">
                  <c:v>20.023999999885923</c:v>
                </c:pt>
                <c:pt idx="3">
                  <c:v>16.554999999768341</c:v>
                </c:pt>
                <c:pt idx="4">
                  <c:v>20.10599999977488</c:v>
                </c:pt>
                <c:pt idx="5">
                  <c:v>17.482999999787033</c:v>
                </c:pt>
                <c:pt idx="6">
                  <c:v>19.113999999919418</c:v>
                </c:pt>
                <c:pt idx="7">
                  <c:v>24.317999999686705</c:v>
                </c:pt>
                <c:pt idx="8">
                  <c:v>18.005999999910607</c:v>
                </c:pt>
                <c:pt idx="9">
                  <c:v>17.883999999944347</c:v>
                </c:pt>
                <c:pt idx="10">
                  <c:v>16.822000000038976</c:v>
                </c:pt>
                <c:pt idx="11">
                  <c:v>17.747999999928712</c:v>
                </c:pt>
                <c:pt idx="12">
                  <c:v>17.713999999947337</c:v>
                </c:pt>
                <c:pt idx="13">
                  <c:v>17.664000000048684</c:v>
                </c:pt>
                <c:pt idx="14">
                  <c:v>17.358999999933598</c:v>
                </c:pt>
                <c:pt idx="15">
                  <c:v>17.10699999993539</c:v>
                </c:pt>
                <c:pt idx="16">
                  <c:v>16.878999999941648</c:v>
                </c:pt>
                <c:pt idx="17">
                  <c:v>16.660999999957276</c:v>
                </c:pt>
                <c:pt idx="18">
                  <c:v>16.451999999932028</c:v>
                </c:pt>
                <c:pt idx="19">
                  <c:v>16.225999999915281</c:v>
                </c:pt>
                <c:pt idx="20">
                  <c:v>16.008999999931156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0-41D5-BF7E-8A4B7EBE3C25}"/>
            </c:ext>
          </c:extLst>
        </c:ser>
        <c:ser>
          <c:idx val="3"/>
          <c:order val="2"/>
          <c:tx>
            <c:strRef>
              <c:f>'Ind F2'!$L$14</c:f>
              <c:strCache>
                <c:ptCount val="1"/>
                <c:pt idx="0">
                  <c:v>Rest of manufacturing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F2'!$M$14:$AG$14</c:f>
              <c:numCache>
                <c:formatCode>#,##0</c:formatCode>
                <c:ptCount val="21"/>
                <c:pt idx="0">
                  <c:v>123.4659999997227</c:v>
                </c:pt>
                <c:pt idx="1">
                  <c:v>121.82799999982177</c:v>
                </c:pt>
                <c:pt idx="2">
                  <c:v>107.20400000006426</c:v>
                </c:pt>
                <c:pt idx="3">
                  <c:v>96.016999998639875</c:v>
                </c:pt>
                <c:pt idx="4">
                  <c:v>102.38699999871307</c:v>
                </c:pt>
                <c:pt idx="5">
                  <c:v>102.32799999854998</c:v>
                </c:pt>
                <c:pt idx="6">
                  <c:v>102.93599999998924</c:v>
                </c:pt>
                <c:pt idx="7">
                  <c:v>111.71299999820634</c:v>
                </c:pt>
                <c:pt idx="8">
                  <c:v>115.02699999855227</c:v>
                </c:pt>
                <c:pt idx="9">
                  <c:v>120.04899999902426</c:v>
                </c:pt>
                <c:pt idx="10">
                  <c:v>109.8130000002249</c:v>
                </c:pt>
                <c:pt idx="11">
                  <c:v>108.20099999915092</c:v>
                </c:pt>
                <c:pt idx="12">
                  <c:v>106.84299999904644</c:v>
                </c:pt>
                <c:pt idx="13">
                  <c:v>107.25800000042416</c:v>
                </c:pt>
                <c:pt idx="14">
                  <c:v>105.65999999899296</c:v>
                </c:pt>
                <c:pt idx="15">
                  <c:v>104.56199999913738</c:v>
                </c:pt>
                <c:pt idx="16">
                  <c:v>103.5139999991396</c:v>
                </c:pt>
                <c:pt idx="17">
                  <c:v>102.66999999926918</c:v>
                </c:pt>
                <c:pt idx="18">
                  <c:v>101.77499999883347</c:v>
                </c:pt>
                <c:pt idx="19">
                  <c:v>101.00599999898147</c:v>
                </c:pt>
                <c:pt idx="20">
                  <c:v>100.21399999903559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0-41D5-BF7E-8A4B7EBE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89464"/>
        <c:axId val="253597832"/>
      </c:areaChart>
      <c:catAx>
        <c:axId val="2519894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597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78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9.4637296860595726E-3"/>
              <c:y val="1.25523140775305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989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123053901208482"/>
          <c:y val="0.93514739877602659"/>
          <c:w val="0.50157767336115666"/>
          <c:h val="4.60251516176120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2017-2022</a:t>
            </a:r>
          </a:p>
        </c:rich>
      </c:tx>
      <c:layout>
        <c:manualLayout>
          <c:xMode val="edge"/>
          <c:yMode val="edge"/>
          <c:x val="0.3392222222222222"/>
          <c:y val="3.67867867867867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70166229221347"/>
          <c:y val="0.11438438438438442"/>
          <c:w val="0.79925678040244974"/>
          <c:h val="0.824960157007401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>
              <a:noFill/>
            </a:ln>
            <a:effectLst/>
          </c:spPr>
          <c:invertIfNegative val="0"/>
          <c:cat>
            <c:strRef>
              <c:f>'Occ F3'!$W$4:$W$12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F3'!$Z$4:$Z$12</c:f>
              <c:numCache>
                <c:formatCode>#,##0</c:formatCode>
                <c:ptCount val="9"/>
                <c:pt idx="0">
                  <c:v>8.110688536849608</c:v>
                </c:pt>
                <c:pt idx="1">
                  <c:v>17.428426027184969</c:v>
                </c:pt>
                <c:pt idx="2">
                  <c:v>9.4401244551384593</c:v>
                </c:pt>
                <c:pt idx="3">
                  <c:v>-11.712749104541189</c:v>
                </c:pt>
                <c:pt idx="4">
                  <c:v>-6.9462388948938667</c:v>
                </c:pt>
                <c:pt idx="5">
                  <c:v>9.2109294976647789</c:v>
                </c:pt>
                <c:pt idx="6">
                  <c:v>-2.0357519425971446</c:v>
                </c:pt>
                <c:pt idx="7">
                  <c:v>-7.0171176181444821</c:v>
                </c:pt>
                <c:pt idx="8">
                  <c:v>4.8689044661870184E-2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6-4BC6-8F56-053EC6BA9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3748296"/>
        <c:axId val="973746328"/>
      </c:barChart>
      <c:catAx>
        <c:axId val="973748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6328"/>
        <c:crosses val="autoZero"/>
        <c:auto val="1"/>
        <c:lblAlgn val="ctr"/>
        <c:lblOffset val="100"/>
        <c:noMultiLvlLbl val="0"/>
      </c:catAx>
      <c:valAx>
        <c:axId val="973746328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8296"/>
        <c:crosses val="max"/>
        <c:crossBetween val="between"/>
        <c:majorUnit val="1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2022-2027</a:t>
            </a:r>
          </a:p>
        </c:rich>
      </c:tx>
      <c:layout>
        <c:manualLayout>
          <c:xMode val="edge"/>
          <c:yMode val="edge"/>
          <c:x val="0.3392222222222222"/>
          <c:y val="3.67867867867867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70166229221347"/>
          <c:y val="0.11438438438438442"/>
          <c:w val="0.79925678040244974"/>
          <c:h val="0.824960157007401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>
              <a:noFill/>
            </a:ln>
            <a:effectLst/>
          </c:spPr>
          <c:invertIfNegative val="0"/>
          <c:cat>
            <c:strRef>
              <c:f>'Occ F3'!$W$4:$W$12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F3'!$AA$4:$AA$12</c:f>
              <c:numCache>
                <c:formatCode>#,##0</c:formatCode>
                <c:ptCount val="9"/>
                <c:pt idx="0">
                  <c:v>7.2181464563306008</c:v>
                </c:pt>
                <c:pt idx="1">
                  <c:v>20.404377636045524</c:v>
                </c:pt>
                <c:pt idx="2">
                  <c:v>7.4971679103977635</c:v>
                </c:pt>
                <c:pt idx="3">
                  <c:v>-10.187449762970942</c:v>
                </c:pt>
                <c:pt idx="4">
                  <c:v>-7.3283933086638058</c:v>
                </c:pt>
                <c:pt idx="5">
                  <c:v>11.468153499501483</c:v>
                </c:pt>
                <c:pt idx="6">
                  <c:v>-1.4850893510019318</c:v>
                </c:pt>
                <c:pt idx="7">
                  <c:v>-3.8217382580104413</c:v>
                </c:pt>
                <c:pt idx="8">
                  <c:v>-0.8791748219098281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87-435B-BBDD-CBBD5A579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3748296"/>
        <c:axId val="973746328"/>
      </c:barChart>
      <c:catAx>
        <c:axId val="973748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6328"/>
        <c:crosses val="autoZero"/>
        <c:auto val="1"/>
        <c:lblAlgn val="ctr"/>
        <c:lblOffset val="100"/>
        <c:noMultiLvlLbl val="0"/>
      </c:catAx>
      <c:valAx>
        <c:axId val="973746328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748296"/>
        <c:crosses val="max"/>
        <c:crossBetween val="between"/>
        <c:majorUnit val="1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366400348449171"/>
          <c:y val="2.3504273504273504E-2"/>
          <c:w val="0.51264010895328738"/>
          <c:h val="0.87051921394441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'Occ F4'!$N$2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'Occ F4'!$M$3:$M$11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F4'!$N$3:$N$11</c:f>
              <c:numCache>
                <c:formatCode>#,##0</c:formatCode>
                <c:ptCount val="9"/>
                <c:pt idx="0">
                  <c:v>15.328834993180209</c:v>
                </c:pt>
                <c:pt idx="1">
                  <c:v>37.832803663230493</c:v>
                </c:pt>
                <c:pt idx="2">
                  <c:v>16.937292365536223</c:v>
                </c:pt>
                <c:pt idx="3">
                  <c:v>-21.900198867512131</c:v>
                </c:pt>
                <c:pt idx="4">
                  <c:v>-14.274632203557672</c:v>
                </c:pt>
                <c:pt idx="5">
                  <c:v>20.679082997166262</c:v>
                </c:pt>
                <c:pt idx="6">
                  <c:v>-3.5208412935990765</c:v>
                </c:pt>
                <c:pt idx="7">
                  <c:v>-10.838855876154923</c:v>
                </c:pt>
                <c:pt idx="8">
                  <c:v>-0.83048577724795791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2-418F-B6AC-18C214F21798}"/>
            </c:ext>
          </c:extLst>
        </c:ser>
        <c:ser>
          <c:idx val="1"/>
          <c:order val="1"/>
          <c:tx>
            <c:strRef>
              <c:f>'Occ F4'!$O$2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F4'!$M$3:$M$11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F4'!$O$3:$O$11</c:f>
              <c:numCache>
                <c:formatCode>#,##0</c:formatCode>
                <c:ptCount val="9"/>
                <c:pt idx="0">
                  <c:v>10.29370605489104</c:v>
                </c:pt>
                <c:pt idx="1">
                  <c:v>32.188286680994423</c:v>
                </c:pt>
                <c:pt idx="2">
                  <c:v>15.796285266945816</c:v>
                </c:pt>
                <c:pt idx="3">
                  <c:v>-23.277556935536296</c:v>
                </c:pt>
                <c:pt idx="4">
                  <c:v>-0.20638907663845885</c:v>
                </c:pt>
                <c:pt idx="5">
                  <c:v>16.285944157739692</c:v>
                </c:pt>
                <c:pt idx="6">
                  <c:v>-3.464014606058214</c:v>
                </c:pt>
                <c:pt idx="7">
                  <c:v>-4.2872084334319123</c:v>
                </c:pt>
                <c:pt idx="8">
                  <c:v>-5.8570531088073352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2-418F-B6AC-18C214F21798}"/>
            </c:ext>
          </c:extLst>
        </c:ser>
        <c:ser>
          <c:idx val="2"/>
          <c:order val="2"/>
          <c:tx>
            <c:strRef>
              <c:f>'Occ F4'!$P$2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F4'!$M$3:$M$11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F4'!$P$3:$P$11</c:f>
              <c:numCache>
                <c:formatCode>#,##0</c:formatCode>
                <c:ptCount val="9"/>
                <c:pt idx="0">
                  <c:v>5.0351289382896169</c:v>
                </c:pt>
                <c:pt idx="1">
                  <c:v>5.6445169822361407</c:v>
                </c:pt>
                <c:pt idx="2">
                  <c:v>1.1410070985902223</c:v>
                </c:pt>
                <c:pt idx="3">
                  <c:v>1.3773580680241224</c:v>
                </c:pt>
                <c:pt idx="4">
                  <c:v>-14.068243126919185</c:v>
                </c:pt>
                <c:pt idx="5">
                  <c:v>4.393138839426598</c:v>
                </c:pt>
                <c:pt idx="6">
                  <c:v>-5.6826687540954879E-2</c:v>
                </c:pt>
                <c:pt idx="7">
                  <c:v>-6.5516474427228957</c:v>
                </c:pt>
                <c:pt idx="8">
                  <c:v>5.0265673315599599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2-418F-B6AC-18C214F21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2825288"/>
        <c:axId val="922825616"/>
      </c:barChart>
      <c:catAx>
        <c:axId val="922825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616"/>
        <c:crosses val="autoZero"/>
        <c:auto val="1"/>
        <c:lblAlgn val="ctr"/>
        <c:lblOffset val="100"/>
        <c:noMultiLvlLbl val="0"/>
      </c:catAx>
      <c:valAx>
        <c:axId val="9228256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28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21867195352986"/>
          <c:y val="0.94622434214953921"/>
          <c:w val="0.34410578899983585"/>
          <c:h val="3.88183928931960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366400348449171"/>
          <c:y val="2.3504273504273504E-2"/>
          <c:w val="0.51264010895328738"/>
          <c:h val="0.87051921394441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'Occ F5'!$N$2</c:f>
              <c:strCache>
                <c:ptCount val="1"/>
                <c:pt idx="0">
                  <c:v>Self-employment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'Occ F5'!$M$3:$M$11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F5'!$N$3:$N$11</c:f>
              <c:numCache>
                <c:formatCode>#,##0</c:formatCode>
                <c:ptCount val="9"/>
                <c:pt idx="0">
                  <c:v>-0.80936465376036182</c:v>
                </c:pt>
                <c:pt idx="1">
                  <c:v>1.6348221335861908</c:v>
                </c:pt>
                <c:pt idx="2">
                  <c:v>1.7012582484820769</c:v>
                </c:pt>
                <c:pt idx="3">
                  <c:v>-1.2745555787101357</c:v>
                </c:pt>
                <c:pt idx="4">
                  <c:v>-4.6644607431693146</c:v>
                </c:pt>
                <c:pt idx="5">
                  <c:v>-1.2798333240399185</c:v>
                </c:pt>
                <c:pt idx="6">
                  <c:v>-1.0000642160943602</c:v>
                </c:pt>
                <c:pt idx="7">
                  <c:v>-1.154535210141395</c:v>
                </c:pt>
                <c:pt idx="8">
                  <c:v>-1.5462666557861446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8-4405-9282-83D850E19EAA}"/>
            </c:ext>
          </c:extLst>
        </c:ser>
        <c:ser>
          <c:idx val="1"/>
          <c:order val="1"/>
          <c:tx>
            <c:strRef>
              <c:f>'Occ F5'!$O$2</c:f>
              <c:strCache>
                <c:ptCount val="1"/>
                <c:pt idx="0">
                  <c:v>Part-time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F5'!$M$3:$M$11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F5'!$O$3:$O$11</c:f>
              <c:numCache>
                <c:formatCode>#,##0</c:formatCode>
                <c:ptCount val="9"/>
                <c:pt idx="0">
                  <c:v>4.2480350636353386</c:v>
                </c:pt>
                <c:pt idx="1">
                  <c:v>18.598167710213616</c:v>
                </c:pt>
                <c:pt idx="2">
                  <c:v>7.3479271803315669</c:v>
                </c:pt>
                <c:pt idx="3">
                  <c:v>-8.9454937490293318</c:v>
                </c:pt>
                <c:pt idx="4">
                  <c:v>-0.83085730103252153</c:v>
                </c:pt>
                <c:pt idx="5">
                  <c:v>17.059531938126227</c:v>
                </c:pt>
                <c:pt idx="6">
                  <c:v>-0.58468978249595693</c:v>
                </c:pt>
                <c:pt idx="7">
                  <c:v>1.101099482827383</c:v>
                </c:pt>
                <c:pt idx="8">
                  <c:v>1.7152794569296219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8-4405-9282-83D850E19EAA}"/>
            </c:ext>
          </c:extLst>
        </c:ser>
        <c:ser>
          <c:idx val="2"/>
          <c:order val="2"/>
          <c:tx>
            <c:strRef>
              <c:f>'Occ F5'!$P$2</c:f>
              <c:strCache>
                <c:ptCount val="1"/>
                <c:pt idx="0">
                  <c:v>Full-time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F5'!$M$3:$M$11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F5'!$P$3:$P$11</c:f>
              <c:numCache>
                <c:formatCode>#,##0</c:formatCode>
                <c:ptCount val="9"/>
                <c:pt idx="0">
                  <c:v>11.890164583305662</c:v>
                </c:pt>
                <c:pt idx="1">
                  <c:v>17.599813819430977</c:v>
                </c:pt>
                <c:pt idx="2">
                  <c:v>7.888106936722437</c:v>
                </c:pt>
                <c:pt idx="3">
                  <c:v>-11.680149539772771</c:v>
                </c:pt>
                <c:pt idx="4">
                  <c:v>-8.7793141593558488</c:v>
                </c:pt>
                <c:pt idx="5">
                  <c:v>4.8993843830800614</c:v>
                </c:pt>
                <c:pt idx="6">
                  <c:v>-1.9360872950089529</c:v>
                </c:pt>
                <c:pt idx="7">
                  <c:v>-10.785420148840814</c:v>
                </c:pt>
                <c:pt idx="8">
                  <c:v>-0.99949857839078504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8-4405-9282-83D850E19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2825288"/>
        <c:axId val="922825616"/>
      </c:barChart>
      <c:catAx>
        <c:axId val="922825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616"/>
        <c:crosses val="autoZero"/>
        <c:auto val="1"/>
        <c:lblAlgn val="ctr"/>
        <c:lblOffset val="100"/>
        <c:noMultiLvlLbl val="0"/>
      </c:catAx>
      <c:valAx>
        <c:axId val="9228256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28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7445087707431338"/>
          <c:y val="0.95049784642304325"/>
          <c:w val="0.48173062621048768"/>
          <c:h val="3.88183928931960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366400348449171"/>
          <c:y val="2.3504273504273504E-2"/>
          <c:w val="0.51264010895328738"/>
          <c:h val="0.87051921394441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'Occ F5'!$N$2</c:f>
              <c:strCache>
                <c:ptCount val="1"/>
                <c:pt idx="0">
                  <c:v>Self-employment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'Occ F5'!$M$18:$M$26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F5'!$N$18:$N$26</c:f>
              <c:numCache>
                <c:formatCode>#,##0</c:formatCode>
                <c:ptCount val="9"/>
                <c:pt idx="0">
                  <c:v>0.23062280582296246</c:v>
                </c:pt>
                <c:pt idx="1">
                  <c:v>1.8383748456714955</c:v>
                </c:pt>
                <c:pt idx="2">
                  <c:v>1.7561188990045231</c:v>
                </c:pt>
                <c:pt idx="3">
                  <c:v>-1.1799577719420031</c:v>
                </c:pt>
                <c:pt idx="4">
                  <c:v>-0.19327482452579936</c:v>
                </c:pt>
                <c:pt idx="5">
                  <c:v>-1.1184026819928725</c:v>
                </c:pt>
                <c:pt idx="6">
                  <c:v>-0.69327305438027764</c:v>
                </c:pt>
                <c:pt idx="7">
                  <c:v>-0.42018735146239128</c:v>
                </c:pt>
                <c:pt idx="8">
                  <c:v>-0.84302086624454553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9-4B54-AE40-5BA4742ECC44}"/>
            </c:ext>
          </c:extLst>
        </c:ser>
        <c:ser>
          <c:idx val="1"/>
          <c:order val="1"/>
          <c:tx>
            <c:strRef>
              <c:f>'Occ F5'!$O$2</c:f>
              <c:strCache>
                <c:ptCount val="1"/>
                <c:pt idx="0">
                  <c:v>Part-time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F5'!$M$18:$M$26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F5'!$O$18:$O$26</c:f>
              <c:numCache>
                <c:formatCode>#,##0</c:formatCode>
                <c:ptCount val="9"/>
                <c:pt idx="0">
                  <c:v>3.2092785473999363</c:v>
                </c:pt>
                <c:pt idx="1">
                  <c:v>14.28652374311983</c:v>
                </c:pt>
                <c:pt idx="2">
                  <c:v>5.4379455726424588</c:v>
                </c:pt>
                <c:pt idx="3">
                  <c:v>-10.079903005634286</c:v>
                </c:pt>
                <c:pt idx="4">
                  <c:v>5.8424649949203378E-2</c:v>
                </c:pt>
                <c:pt idx="5">
                  <c:v>14.352675790808831</c:v>
                </c:pt>
                <c:pt idx="6">
                  <c:v>-0.62492481343043238</c:v>
                </c:pt>
                <c:pt idx="7">
                  <c:v>-0.76950318549637275</c:v>
                </c:pt>
                <c:pt idx="8">
                  <c:v>-4.0965172999118451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9-4B54-AE40-5BA4742ECC44}"/>
            </c:ext>
          </c:extLst>
        </c:ser>
        <c:ser>
          <c:idx val="2"/>
          <c:order val="2"/>
          <c:tx>
            <c:strRef>
              <c:f>'Occ F5'!$P$2</c:f>
              <c:strCache>
                <c:ptCount val="1"/>
                <c:pt idx="0">
                  <c:v>Full-time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F5'!$M$18:$M$26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F5'!$P$18:$P$26</c:f>
              <c:numCache>
                <c:formatCode>#,##0</c:formatCode>
                <c:ptCount val="9"/>
                <c:pt idx="0">
                  <c:v>6.8538047016681496</c:v>
                </c:pt>
                <c:pt idx="1">
                  <c:v>16.06338809220324</c:v>
                </c:pt>
                <c:pt idx="2">
                  <c:v>8.6022207952988765</c:v>
                </c:pt>
                <c:pt idx="3">
                  <c:v>-12.017696157959904</c:v>
                </c:pt>
                <c:pt idx="4">
                  <c:v>-7.1538902061861975E-2</c:v>
                </c:pt>
                <c:pt idx="5">
                  <c:v>3.0516710489238221</c:v>
                </c:pt>
                <c:pt idx="6">
                  <c:v>-2.1458167382475573</c:v>
                </c:pt>
                <c:pt idx="7">
                  <c:v>-3.097517896473148</c:v>
                </c:pt>
                <c:pt idx="8">
                  <c:v>-0.91751494265111688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99-4B54-AE40-5BA4742EC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2825288"/>
        <c:axId val="922825616"/>
      </c:barChart>
      <c:catAx>
        <c:axId val="922825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616"/>
        <c:crosses val="autoZero"/>
        <c:auto val="1"/>
        <c:lblAlgn val="ctr"/>
        <c:lblOffset val="100"/>
        <c:noMultiLvlLbl val="0"/>
      </c:catAx>
      <c:valAx>
        <c:axId val="9228256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28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7445087707431338"/>
          <c:y val="0.95049784642304325"/>
          <c:w val="0.48173062621048768"/>
          <c:h val="3.88183928931960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366400348449171"/>
          <c:y val="2.3504273504273504E-2"/>
          <c:w val="0.51264010895328738"/>
          <c:h val="0.87051921394441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'Occ F5'!$N$2</c:f>
              <c:strCache>
                <c:ptCount val="1"/>
                <c:pt idx="0">
                  <c:v>Self-employment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'Occ F5'!$M$33:$M$41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F5'!$N$33:$N$41</c:f>
              <c:numCache>
                <c:formatCode>#,##0</c:formatCode>
                <c:ptCount val="9"/>
                <c:pt idx="0">
                  <c:v>-1.039987459583255</c:v>
                </c:pt>
                <c:pt idx="1">
                  <c:v>-0.20355271208530112</c:v>
                </c:pt>
                <c:pt idx="2">
                  <c:v>-5.4860650522435606E-2</c:v>
                </c:pt>
                <c:pt idx="3">
                  <c:v>-9.4597806768139225E-2</c:v>
                </c:pt>
                <c:pt idx="4">
                  <c:v>-4.471185918643485</c:v>
                </c:pt>
                <c:pt idx="5">
                  <c:v>-0.16143064204704238</c:v>
                </c:pt>
                <c:pt idx="6">
                  <c:v>-0.30679116171408416</c:v>
                </c:pt>
                <c:pt idx="7">
                  <c:v>-0.73434785867899421</c:v>
                </c:pt>
                <c:pt idx="8">
                  <c:v>-0.7032457895416071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2E4-8B8F-C4A03ECE09CC}"/>
            </c:ext>
          </c:extLst>
        </c:ser>
        <c:ser>
          <c:idx val="1"/>
          <c:order val="1"/>
          <c:tx>
            <c:strRef>
              <c:f>'Occ F5'!$O$2</c:f>
              <c:strCache>
                <c:ptCount val="1"/>
                <c:pt idx="0">
                  <c:v>Part-time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F5'!$M$33:$M$41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F5'!$O$33:$O$41</c:f>
              <c:numCache>
                <c:formatCode>#,##0</c:formatCode>
                <c:ptCount val="9"/>
                <c:pt idx="0">
                  <c:v>1.0387565162353933</c:v>
                </c:pt>
                <c:pt idx="1">
                  <c:v>4.3116439670937865</c:v>
                </c:pt>
                <c:pt idx="2">
                  <c:v>1.9099816076890992</c:v>
                </c:pt>
                <c:pt idx="3">
                  <c:v>1.1344092566049975</c:v>
                </c:pt>
                <c:pt idx="4">
                  <c:v>-0.88928195098170981</c:v>
                </c:pt>
                <c:pt idx="5">
                  <c:v>2.7068561473173736</c:v>
                </c:pt>
                <c:pt idx="6">
                  <c:v>4.0235030934500315E-2</c:v>
                </c:pt>
                <c:pt idx="7">
                  <c:v>1.8706026683237607</c:v>
                </c:pt>
                <c:pt idx="8">
                  <c:v>5.811796756841467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5-42E4-8B8F-C4A03ECE09CC}"/>
            </c:ext>
          </c:extLst>
        </c:ser>
        <c:ser>
          <c:idx val="2"/>
          <c:order val="2"/>
          <c:tx>
            <c:strRef>
              <c:f>'Occ F5'!$P$2</c:f>
              <c:strCache>
                <c:ptCount val="1"/>
                <c:pt idx="0">
                  <c:v>Full-time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'Occ F5'!$M$33:$M$41</c:f>
              <c:strCache>
                <c:ptCount val="9"/>
                <c:pt idx="0">
                  <c:v>Managers, directors and senior officials</c:v>
                </c:pt>
                <c:pt idx="1">
                  <c:v>Professional occupations</c:v>
                </c:pt>
                <c:pt idx="2">
                  <c:v>Associate professional and technical</c:v>
                </c:pt>
                <c:pt idx="3">
                  <c:v>Administrative and secretarial</c:v>
                </c:pt>
                <c:pt idx="4">
                  <c:v>Skilled trades occupations</c:v>
                </c:pt>
                <c:pt idx="5">
                  <c:v>Caring, leisure and other service</c:v>
                </c:pt>
                <c:pt idx="6">
                  <c:v>Sales and customer service</c:v>
                </c:pt>
                <c:pt idx="7">
                  <c:v>Process, plant and machine operatives</c:v>
                </c:pt>
                <c:pt idx="8">
                  <c:v>Elementary occupations</c:v>
                </c:pt>
              </c:strCache>
            </c:strRef>
          </c:cat>
          <c:val>
            <c:numRef>
              <c:f>'Occ F5'!$P$33:$P$41</c:f>
              <c:numCache>
                <c:formatCode>#,##0</c:formatCode>
                <c:ptCount val="9"/>
                <c:pt idx="0">
                  <c:v>5.0363598816374733</c:v>
                </c:pt>
                <c:pt idx="1">
                  <c:v>1.5364257272277939</c:v>
                </c:pt>
                <c:pt idx="2">
                  <c:v>-0.71411385857641108</c:v>
                </c:pt>
                <c:pt idx="3">
                  <c:v>0.3375466181871829</c:v>
                </c:pt>
                <c:pt idx="4">
                  <c:v>-8.7077752572939602</c:v>
                </c:pt>
                <c:pt idx="5">
                  <c:v>1.847713334156257</c:v>
                </c:pt>
                <c:pt idx="6">
                  <c:v>0.2097294432386434</c:v>
                </c:pt>
                <c:pt idx="7">
                  <c:v>-7.6879022523675786</c:v>
                </c:pt>
                <c:pt idx="8">
                  <c:v>-8.1983635739696581E-2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5-42E4-8B8F-C4A03ECE0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2825288"/>
        <c:axId val="922825616"/>
      </c:barChart>
      <c:catAx>
        <c:axId val="922825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616"/>
        <c:crosses val="autoZero"/>
        <c:auto val="1"/>
        <c:lblAlgn val="ctr"/>
        <c:lblOffset val="100"/>
        <c:noMultiLvlLbl val="0"/>
      </c:catAx>
      <c:valAx>
        <c:axId val="9228256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2528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7445087707431338"/>
          <c:y val="0.95049784642304325"/>
          <c:w val="0.48173062621048768"/>
          <c:h val="3.88183928931960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56345177673941E-2"/>
          <c:y val="5.3177758665893755E-2"/>
          <c:w val="0.8857868020304569"/>
          <c:h val="0.81532300828808613"/>
        </c:manualLayout>
      </c:layout>
      <c:areaChart>
        <c:grouping val="stacked"/>
        <c:varyColors val="0"/>
        <c:ser>
          <c:idx val="1"/>
          <c:order val="0"/>
          <c:tx>
            <c:strRef>
              <c:f>'Qual F1'!$L$6</c:f>
              <c:strCache>
                <c:ptCount val="1"/>
                <c:pt idx="0">
                  <c:v>No Qualification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F1'!$M$6:$AG$6</c:f>
              <c:numCache>
                <c:formatCode>#,##0</c:formatCode>
                <c:ptCount val="21"/>
                <c:pt idx="0">
                  <c:v>142.6351134422703</c:v>
                </c:pt>
                <c:pt idx="1">
                  <c:v>132.23530246759049</c:v>
                </c:pt>
                <c:pt idx="2">
                  <c:v>114.82257771914942</c:v>
                </c:pt>
                <c:pt idx="3">
                  <c:v>105.32604926831235</c:v>
                </c:pt>
                <c:pt idx="4">
                  <c:v>100.54864853474689</c:v>
                </c:pt>
                <c:pt idx="5">
                  <c:v>88.555506678938272</c:v>
                </c:pt>
                <c:pt idx="6">
                  <c:v>77.579309401582861</c:v>
                </c:pt>
                <c:pt idx="7">
                  <c:v>95.329747546321229</c:v>
                </c:pt>
                <c:pt idx="8">
                  <c:v>87.417511074259096</c:v>
                </c:pt>
                <c:pt idx="9">
                  <c:v>86.327092157993391</c:v>
                </c:pt>
                <c:pt idx="10">
                  <c:v>85.022489898973674</c:v>
                </c:pt>
                <c:pt idx="11">
                  <c:v>76.766545714782609</c:v>
                </c:pt>
                <c:pt idx="12">
                  <c:v>68.323791849379433</c:v>
                </c:pt>
                <c:pt idx="13">
                  <c:v>66.635709121650592</c:v>
                </c:pt>
                <c:pt idx="14">
                  <c:v>61.077171206038891</c:v>
                </c:pt>
                <c:pt idx="15">
                  <c:v>57.699870573937609</c:v>
                </c:pt>
                <c:pt idx="16">
                  <c:v>54.640805434035912</c:v>
                </c:pt>
                <c:pt idx="17">
                  <c:v>52.028592535675187</c:v>
                </c:pt>
                <c:pt idx="18">
                  <c:v>49.605252736418485</c:v>
                </c:pt>
                <c:pt idx="19">
                  <c:v>47.632207285923954</c:v>
                </c:pt>
                <c:pt idx="20">
                  <c:v>46.393693644773109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B-4AF5-BA54-0B96776899DB}"/>
            </c:ext>
          </c:extLst>
        </c:ser>
        <c:ser>
          <c:idx val="2"/>
          <c:order val="1"/>
          <c:tx>
            <c:strRef>
              <c:f>'Qual F1'!$L$7</c:f>
              <c:strCache>
                <c:ptCount val="1"/>
                <c:pt idx="0">
                  <c:v>RQF1 GCSE(below grade C) &amp; equivalent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F1'!$M$7:$AG$7</c:f>
              <c:numCache>
                <c:formatCode>#,##0</c:formatCode>
                <c:ptCount val="21"/>
                <c:pt idx="0">
                  <c:v>229.84121718691915</c:v>
                </c:pt>
                <c:pt idx="1">
                  <c:v>207.01925016275197</c:v>
                </c:pt>
                <c:pt idx="2">
                  <c:v>212.6269723242182</c:v>
                </c:pt>
                <c:pt idx="3">
                  <c:v>187.39717169068138</c:v>
                </c:pt>
                <c:pt idx="4">
                  <c:v>199.63985983065942</c:v>
                </c:pt>
                <c:pt idx="5">
                  <c:v>195.6746880734693</c:v>
                </c:pt>
                <c:pt idx="6">
                  <c:v>190.33206546168435</c:v>
                </c:pt>
                <c:pt idx="7">
                  <c:v>182.33005548154802</c:v>
                </c:pt>
                <c:pt idx="8">
                  <c:v>191.54674778883415</c:v>
                </c:pt>
                <c:pt idx="9">
                  <c:v>187.43144032911474</c:v>
                </c:pt>
                <c:pt idx="10">
                  <c:v>205.30516822725582</c:v>
                </c:pt>
                <c:pt idx="11">
                  <c:v>184.84246995775405</c:v>
                </c:pt>
                <c:pt idx="12">
                  <c:v>175.09710225612631</c:v>
                </c:pt>
                <c:pt idx="13">
                  <c:v>179.23542289962148</c:v>
                </c:pt>
                <c:pt idx="14">
                  <c:v>175.18890239164173</c:v>
                </c:pt>
                <c:pt idx="15">
                  <c:v>170.59307541962079</c:v>
                </c:pt>
                <c:pt idx="16">
                  <c:v>166.22585843866733</c:v>
                </c:pt>
                <c:pt idx="17">
                  <c:v>162.22807900239386</c:v>
                </c:pt>
                <c:pt idx="18">
                  <c:v>158.43000982631273</c:v>
                </c:pt>
                <c:pt idx="19">
                  <c:v>154.82229582509862</c:v>
                </c:pt>
                <c:pt idx="20">
                  <c:v>151.48202926082135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B-4AF5-BA54-0B96776899DB}"/>
            </c:ext>
          </c:extLst>
        </c:ser>
        <c:ser>
          <c:idx val="3"/>
          <c:order val="2"/>
          <c:tx>
            <c:strRef>
              <c:f>'Qual F1'!$L$8</c:f>
              <c:strCache>
                <c:ptCount val="1"/>
                <c:pt idx="0">
                  <c:v>RQF2 GCSE(A-C) &amp; equivalent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F1'!$M$8:$AG$8</c:f>
              <c:numCache>
                <c:formatCode>#,##0</c:formatCode>
                <c:ptCount val="21"/>
                <c:pt idx="0">
                  <c:v>339.99824750291674</c:v>
                </c:pt>
                <c:pt idx="1">
                  <c:v>336.40109263438859</c:v>
                </c:pt>
                <c:pt idx="2">
                  <c:v>310.11426921412698</c:v>
                </c:pt>
                <c:pt idx="3">
                  <c:v>311.36782478164446</c:v>
                </c:pt>
                <c:pt idx="4">
                  <c:v>330.23491276921965</c:v>
                </c:pt>
                <c:pt idx="5">
                  <c:v>312.71059561039328</c:v>
                </c:pt>
                <c:pt idx="6">
                  <c:v>310.90937400270445</c:v>
                </c:pt>
                <c:pt idx="7">
                  <c:v>291.28158852364447</c:v>
                </c:pt>
                <c:pt idx="8">
                  <c:v>292.48012971789188</c:v>
                </c:pt>
                <c:pt idx="9">
                  <c:v>329.42130495888318</c:v>
                </c:pt>
                <c:pt idx="10">
                  <c:v>318.87394294512256</c:v>
                </c:pt>
                <c:pt idx="11">
                  <c:v>305.14123949928739</c:v>
                </c:pt>
                <c:pt idx="12">
                  <c:v>325.98304259944422</c:v>
                </c:pt>
                <c:pt idx="13">
                  <c:v>296.63387421480491</c:v>
                </c:pt>
                <c:pt idx="14">
                  <c:v>301.59610012514486</c:v>
                </c:pt>
                <c:pt idx="15">
                  <c:v>297.95830680034157</c:v>
                </c:pt>
                <c:pt idx="16">
                  <c:v>294.72016650126199</c:v>
                </c:pt>
                <c:pt idx="17">
                  <c:v>291.57376675205637</c:v>
                </c:pt>
                <c:pt idx="18">
                  <c:v>287.976310886948</c:v>
                </c:pt>
                <c:pt idx="19">
                  <c:v>283.97989512234642</c:v>
                </c:pt>
                <c:pt idx="20">
                  <c:v>279.77576838287058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3B-4AF5-BA54-0B96776899DB}"/>
            </c:ext>
          </c:extLst>
        </c:ser>
        <c:ser>
          <c:idx val="0"/>
          <c:order val="3"/>
          <c:tx>
            <c:strRef>
              <c:f>'Qual F1'!$L$9</c:f>
              <c:strCache>
                <c:ptCount val="1"/>
                <c:pt idx="0">
                  <c:v>RQF3 A level &amp; equivalent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F1'!$M$9:$AG$9</c:f>
              <c:numCache>
                <c:formatCode>#,##0</c:formatCode>
                <c:ptCount val="21"/>
                <c:pt idx="0">
                  <c:v>283.75583025438806</c:v>
                </c:pt>
                <c:pt idx="1">
                  <c:v>292.98490060675124</c:v>
                </c:pt>
                <c:pt idx="2">
                  <c:v>255.6177327743211</c:v>
                </c:pt>
                <c:pt idx="3">
                  <c:v>281.3750970539096</c:v>
                </c:pt>
                <c:pt idx="4">
                  <c:v>263.90139842710909</c:v>
                </c:pt>
                <c:pt idx="5">
                  <c:v>283.56276072857861</c:v>
                </c:pt>
                <c:pt idx="6">
                  <c:v>300.11323642724864</c:v>
                </c:pt>
                <c:pt idx="7">
                  <c:v>299.30311879841622</c:v>
                </c:pt>
                <c:pt idx="8">
                  <c:v>292.69650618066635</c:v>
                </c:pt>
                <c:pt idx="9">
                  <c:v>296.18927935946289</c:v>
                </c:pt>
                <c:pt idx="10">
                  <c:v>326.7981784948139</c:v>
                </c:pt>
                <c:pt idx="11">
                  <c:v>310.47755021992191</c:v>
                </c:pt>
                <c:pt idx="12">
                  <c:v>310.28318081999174</c:v>
                </c:pt>
                <c:pt idx="13">
                  <c:v>324.54644787118048</c:v>
                </c:pt>
                <c:pt idx="14">
                  <c:v>314.54695583155166</c:v>
                </c:pt>
                <c:pt idx="15">
                  <c:v>314.76157062546645</c:v>
                </c:pt>
                <c:pt idx="16">
                  <c:v>315.81124145637995</c:v>
                </c:pt>
                <c:pt idx="17">
                  <c:v>317.42394736272263</c:v>
                </c:pt>
                <c:pt idx="18">
                  <c:v>319.51491360922853</c:v>
                </c:pt>
                <c:pt idx="19">
                  <c:v>321.82767360696027</c:v>
                </c:pt>
                <c:pt idx="20">
                  <c:v>323.65189471574394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A-4241-BDC7-CAD877B6E564}"/>
            </c:ext>
          </c:extLst>
        </c:ser>
        <c:ser>
          <c:idx val="4"/>
          <c:order val="4"/>
          <c:tx>
            <c:strRef>
              <c:f>'Qual F1'!$L$10</c:f>
              <c:strCache>
                <c:ptCount val="1"/>
                <c:pt idx="0">
                  <c:v>RQF4 HE below degree level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F1'!$M$10:$AG$10</c:f>
              <c:numCache>
                <c:formatCode>#,##0</c:formatCode>
                <c:ptCount val="21"/>
                <c:pt idx="0">
                  <c:v>60.8660423341571</c:v>
                </c:pt>
                <c:pt idx="1">
                  <c:v>59.583821804279026</c:v>
                </c:pt>
                <c:pt idx="2">
                  <c:v>72.712934295273328</c:v>
                </c:pt>
                <c:pt idx="3">
                  <c:v>68.208639968710145</c:v>
                </c:pt>
                <c:pt idx="4">
                  <c:v>67.831475537291382</c:v>
                </c:pt>
                <c:pt idx="5">
                  <c:v>67.372845244269087</c:v>
                </c:pt>
                <c:pt idx="6">
                  <c:v>65.26741244681871</c:v>
                </c:pt>
                <c:pt idx="7">
                  <c:v>76.085838054033488</c:v>
                </c:pt>
                <c:pt idx="8">
                  <c:v>78.412374123732462</c:v>
                </c:pt>
                <c:pt idx="9">
                  <c:v>74.92495309458765</c:v>
                </c:pt>
                <c:pt idx="10">
                  <c:v>75.342003447666045</c:v>
                </c:pt>
                <c:pt idx="11">
                  <c:v>86.484848987981152</c:v>
                </c:pt>
                <c:pt idx="12">
                  <c:v>84.719472752724698</c:v>
                </c:pt>
                <c:pt idx="13">
                  <c:v>88.427863211445668</c:v>
                </c:pt>
                <c:pt idx="14">
                  <c:v>88.207972865710047</c:v>
                </c:pt>
                <c:pt idx="15">
                  <c:v>89.595818707039754</c:v>
                </c:pt>
                <c:pt idx="16">
                  <c:v>90.971551848641226</c:v>
                </c:pt>
                <c:pt idx="17">
                  <c:v>92.197465332288786</c:v>
                </c:pt>
                <c:pt idx="18">
                  <c:v>93.407336751685733</c:v>
                </c:pt>
                <c:pt idx="19">
                  <c:v>94.648407170035341</c:v>
                </c:pt>
                <c:pt idx="20">
                  <c:v>95.82988828778835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A-4241-BDC7-CAD877B6E564}"/>
            </c:ext>
          </c:extLst>
        </c:ser>
        <c:ser>
          <c:idx val="5"/>
          <c:order val="5"/>
          <c:tx>
            <c:strRef>
              <c:f>'Qual F1'!$L$11</c:f>
              <c:strCache>
                <c:ptCount val="1"/>
                <c:pt idx="0">
                  <c:v>RQF5 Foundation degree;Nursing;Teaching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F1'!$M$11:$AG$11</c:f>
              <c:numCache>
                <c:formatCode>#,##0</c:formatCode>
                <c:ptCount val="21"/>
                <c:pt idx="0">
                  <c:v>79.946376098743087</c:v>
                </c:pt>
                <c:pt idx="1">
                  <c:v>85.379426007975056</c:v>
                </c:pt>
                <c:pt idx="2">
                  <c:v>92.11962236483491</c:v>
                </c:pt>
                <c:pt idx="3">
                  <c:v>90.110135761995636</c:v>
                </c:pt>
                <c:pt idx="4">
                  <c:v>85.855390665229478</c:v>
                </c:pt>
                <c:pt idx="5">
                  <c:v>86.036931415223975</c:v>
                </c:pt>
                <c:pt idx="6">
                  <c:v>82.865690701873376</c:v>
                </c:pt>
                <c:pt idx="7">
                  <c:v>90.216709099773439</c:v>
                </c:pt>
                <c:pt idx="8">
                  <c:v>91.79524350815457</c:v>
                </c:pt>
                <c:pt idx="9">
                  <c:v>85.079152339858254</c:v>
                </c:pt>
                <c:pt idx="10">
                  <c:v>86.386211363684026</c:v>
                </c:pt>
                <c:pt idx="11">
                  <c:v>97.145105342946451</c:v>
                </c:pt>
                <c:pt idx="12">
                  <c:v>92.604401175627501</c:v>
                </c:pt>
                <c:pt idx="13">
                  <c:v>93.712275777659926</c:v>
                </c:pt>
                <c:pt idx="14">
                  <c:v>91.672708244135933</c:v>
                </c:pt>
                <c:pt idx="15">
                  <c:v>90.964478940561662</c:v>
                </c:pt>
                <c:pt idx="16">
                  <c:v>90.759795618615343</c:v>
                </c:pt>
                <c:pt idx="17">
                  <c:v>90.499391086014853</c:v>
                </c:pt>
                <c:pt idx="18">
                  <c:v>90.30953780678422</c:v>
                </c:pt>
                <c:pt idx="19">
                  <c:v>90.15225523823662</c:v>
                </c:pt>
                <c:pt idx="20">
                  <c:v>90.032005748939611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0A-4241-BDC7-CAD877B6E564}"/>
            </c:ext>
          </c:extLst>
        </c:ser>
        <c:ser>
          <c:idx val="6"/>
          <c:order val="6"/>
          <c:tx>
            <c:strRef>
              <c:f>'Qual F1'!$L$12</c:f>
              <c:strCache>
                <c:ptCount val="1"/>
                <c:pt idx="0">
                  <c:v>RQF6 First degree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F1'!$M$12:$AG$12</c:f>
              <c:numCache>
                <c:formatCode>#,##0</c:formatCode>
                <c:ptCount val="21"/>
                <c:pt idx="0">
                  <c:v>166.70057077338143</c:v>
                </c:pt>
                <c:pt idx="1">
                  <c:v>179.81371409445907</c:v>
                </c:pt>
                <c:pt idx="2">
                  <c:v>211.72906855480403</c:v>
                </c:pt>
                <c:pt idx="3">
                  <c:v>209.70736470046205</c:v>
                </c:pt>
                <c:pt idx="4">
                  <c:v>211.03924726251634</c:v>
                </c:pt>
                <c:pt idx="5">
                  <c:v>219.96956839171375</c:v>
                </c:pt>
                <c:pt idx="6">
                  <c:v>216.81686024085795</c:v>
                </c:pt>
                <c:pt idx="7">
                  <c:v>240.65443254015986</c:v>
                </c:pt>
                <c:pt idx="8">
                  <c:v>255.56542795253966</c:v>
                </c:pt>
                <c:pt idx="9">
                  <c:v>248.90379932161275</c:v>
                </c:pt>
                <c:pt idx="10">
                  <c:v>261.04599758722259</c:v>
                </c:pt>
                <c:pt idx="11">
                  <c:v>299.01202876995643</c:v>
                </c:pt>
                <c:pt idx="12">
                  <c:v>295.34305735628305</c:v>
                </c:pt>
                <c:pt idx="13">
                  <c:v>309.24027779289736</c:v>
                </c:pt>
                <c:pt idx="14">
                  <c:v>310.17086408856397</c:v>
                </c:pt>
                <c:pt idx="15">
                  <c:v>317.08390786844461</c:v>
                </c:pt>
                <c:pt idx="16">
                  <c:v>323.16948834163628</c:v>
                </c:pt>
                <c:pt idx="17">
                  <c:v>328.76526674050808</c:v>
                </c:pt>
                <c:pt idx="18">
                  <c:v>334.18411295535049</c:v>
                </c:pt>
                <c:pt idx="19">
                  <c:v>339.34846887345208</c:v>
                </c:pt>
                <c:pt idx="20">
                  <c:v>344.08254430579285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0A-4241-BDC7-CAD877B6E564}"/>
            </c:ext>
          </c:extLst>
        </c:ser>
        <c:ser>
          <c:idx val="7"/>
          <c:order val="7"/>
          <c:tx>
            <c:strRef>
              <c:f>'Qual F1'!$L$13</c:f>
              <c:strCache>
                <c:ptCount val="1"/>
                <c:pt idx="0">
                  <c:v>RQF7 Other higher degree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F1'!$M$13:$AG$13</c:f>
              <c:numCache>
                <c:formatCode>#,##0</c:formatCode>
                <c:ptCount val="21"/>
                <c:pt idx="0">
                  <c:v>91.772170629246375</c:v>
                </c:pt>
                <c:pt idx="1">
                  <c:v>93.871045769631124</c:v>
                </c:pt>
                <c:pt idx="2">
                  <c:v>100.00468913159625</c:v>
                </c:pt>
                <c:pt idx="3">
                  <c:v>92.787678416614767</c:v>
                </c:pt>
                <c:pt idx="4">
                  <c:v>91.755040865408986</c:v>
                </c:pt>
                <c:pt idx="5">
                  <c:v>89.417565249186794</c:v>
                </c:pt>
                <c:pt idx="6">
                  <c:v>108.89146057866176</c:v>
                </c:pt>
                <c:pt idx="7">
                  <c:v>131.42182271112071</c:v>
                </c:pt>
                <c:pt idx="8">
                  <c:v>129.20036139980928</c:v>
                </c:pt>
                <c:pt idx="9">
                  <c:v>140.39944899283074</c:v>
                </c:pt>
                <c:pt idx="10">
                  <c:v>146.68740984979132</c:v>
                </c:pt>
                <c:pt idx="11">
                  <c:v>148.09805134708753</c:v>
                </c:pt>
                <c:pt idx="12">
                  <c:v>157.3455561588969</c:v>
                </c:pt>
                <c:pt idx="13">
                  <c:v>156.83585617841217</c:v>
                </c:pt>
                <c:pt idx="14">
                  <c:v>172.04974911128647</c:v>
                </c:pt>
                <c:pt idx="15">
                  <c:v>177.87229890985031</c:v>
                </c:pt>
                <c:pt idx="16">
                  <c:v>183.51795724174679</c:v>
                </c:pt>
                <c:pt idx="17">
                  <c:v>188.75436144810416</c:v>
                </c:pt>
                <c:pt idx="18">
                  <c:v>193.82567281880426</c:v>
                </c:pt>
                <c:pt idx="19">
                  <c:v>198.63621850593114</c:v>
                </c:pt>
                <c:pt idx="20">
                  <c:v>203.28927580091022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0A-4241-BDC7-CAD877B6E564}"/>
            </c:ext>
          </c:extLst>
        </c:ser>
        <c:ser>
          <c:idx val="8"/>
          <c:order val="8"/>
          <c:tx>
            <c:strRef>
              <c:f>'Qual F1'!$L$14</c:f>
              <c:strCache>
                <c:ptCount val="1"/>
                <c:pt idx="0">
                  <c:v>RQF8 Doctorate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ysClr val="windowText" lastClr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F1'!$M$14:$AG$14</c:f>
              <c:numCache>
                <c:formatCode>#,##0</c:formatCode>
                <c:ptCount val="21"/>
                <c:pt idx="0">
                  <c:v>13.451431779919853</c:v>
                </c:pt>
                <c:pt idx="1">
                  <c:v>14.899446453882732</c:v>
                </c:pt>
                <c:pt idx="2">
                  <c:v>16.881133623087749</c:v>
                </c:pt>
                <c:pt idx="3">
                  <c:v>14.62703835875609</c:v>
                </c:pt>
                <c:pt idx="4">
                  <c:v>14.656026108823255</c:v>
                </c:pt>
                <c:pt idx="5">
                  <c:v>14.577538609213944</c:v>
                </c:pt>
                <c:pt idx="6">
                  <c:v>17.081590738596507</c:v>
                </c:pt>
                <c:pt idx="7">
                  <c:v>20.812687244989785</c:v>
                </c:pt>
                <c:pt idx="8">
                  <c:v>21.554698254350569</c:v>
                </c:pt>
                <c:pt idx="9">
                  <c:v>23.55652944595073</c:v>
                </c:pt>
                <c:pt idx="10">
                  <c:v>24.298598186309171</c:v>
                </c:pt>
                <c:pt idx="11">
                  <c:v>24.757160161808716</c:v>
                </c:pt>
                <c:pt idx="12">
                  <c:v>26.274395032904195</c:v>
                </c:pt>
                <c:pt idx="13">
                  <c:v>26.104272933764776</c:v>
                </c:pt>
                <c:pt idx="14">
                  <c:v>28.662576137618011</c:v>
                </c:pt>
                <c:pt idx="15">
                  <c:v>29.757672156902121</c:v>
                </c:pt>
                <c:pt idx="16">
                  <c:v>30.809135120978773</c:v>
                </c:pt>
                <c:pt idx="17">
                  <c:v>31.793129742543712</c:v>
                </c:pt>
                <c:pt idx="18">
                  <c:v>32.770852610334863</c:v>
                </c:pt>
                <c:pt idx="19">
                  <c:v>33.712578374215028</c:v>
                </c:pt>
                <c:pt idx="20">
                  <c:v>34.635899854243135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0A-4241-BDC7-CAD877B6E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684752"/>
        <c:axId val="313685144"/>
      </c:areaChart>
      <c:catAx>
        <c:axId val="313684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685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6.3451776649747034E-3"/>
              <c:y val="9.0791295283235568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47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611294197620134"/>
          <c:y val="0.91619015180354346"/>
          <c:w val="0.87603013652070461"/>
          <c:h val="7.78340112066144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5634517767408E-2"/>
          <c:y val="5.3177758665893755E-2"/>
          <c:w val="0.8857868020304569"/>
          <c:h val="0.7763068929360929"/>
        </c:manualLayout>
      </c:layout>
      <c:areaChart>
        <c:grouping val="percentStacked"/>
        <c:varyColors val="0"/>
        <c:ser>
          <c:idx val="1"/>
          <c:order val="0"/>
          <c:tx>
            <c:strRef>
              <c:f>'Qual F1'!$L$6</c:f>
              <c:strCache>
                <c:ptCount val="1"/>
                <c:pt idx="0">
                  <c:v>No Qualification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F1'!$M$6:$AG$6</c:f>
              <c:numCache>
                <c:formatCode>#,##0</c:formatCode>
                <c:ptCount val="21"/>
                <c:pt idx="0">
                  <c:v>142.6351134422703</c:v>
                </c:pt>
                <c:pt idx="1">
                  <c:v>132.23530246759049</c:v>
                </c:pt>
                <c:pt idx="2">
                  <c:v>114.82257771914942</c:v>
                </c:pt>
                <c:pt idx="3">
                  <c:v>105.32604926831235</c:v>
                </c:pt>
                <c:pt idx="4">
                  <c:v>100.54864853474689</c:v>
                </c:pt>
                <c:pt idx="5">
                  <c:v>88.555506678938272</c:v>
                </c:pt>
                <c:pt idx="6">
                  <c:v>77.579309401582861</c:v>
                </c:pt>
                <c:pt idx="7">
                  <c:v>95.329747546321229</c:v>
                </c:pt>
                <c:pt idx="8">
                  <c:v>87.417511074259096</c:v>
                </c:pt>
                <c:pt idx="9">
                  <c:v>86.327092157993391</c:v>
                </c:pt>
                <c:pt idx="10">
                  <c:v>85.022489898973674</c:v>
                </c:pt>
                <c:pt idx="11">
                  <c:v>76.766545714782609</c:v>
                </c:pt>
                <c:pt idx="12">
                  <c:v>68.323791849379433</c:v>
                </c:pt>
                <c:pt idx="13">
                  <c:v>66.635709121650592</c:v>
                </c:pt>
                <c:pt idx="14">
                  <c:v>61.077171206038891</c:v>
                </c:pt>
                <c:pt idx="15">
                  <c:v>57.699870573937609</c:v>
                </c:pt>
                <c:pt idx="16">
                  <c:v>54.640805434035912</c:v>
                </c:pt>
                <c:pt idx="17">
                  <c:v>52.028592535675187</c:v>
                </c:pt>
                <c:pt idx="18">
                  <c:v>49.605252736418485</c:v>
                </c:pt>
                <c:pt idx="19">
                  <c:v>47.632207285923954</c:v>
                </c:pt>
                <c:pt idx="20">
                  <c:v>46.393693644773109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E-4884-8657-BD0E95BA20A8}"/>
            </c:ext>
          </c:extLst>
        </c:ser>
        <c:ser>
          <c:idx val="2"/>
          <c:order val="1"/>
          <c:tx>
            <c:strRef>
              <c:f>'Qual F1'!$L$7</c:f>
              <c:strCache>
                <c:ptCount val="1"/>
                <c:pt idx="0">
                  <c:v>RQF1 GCSE(below grade C) &amp; equivalent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F1'!$M$7:$AG$7</c:f>
              <c:numCache>
                <c:formatCode>#,##0</c:formatCode>
                <c:ptCount val="21"/>
                <c:pt idx="0">
                  <c:v>229.84121718691915</c:v>
                </c:pt>
                <c:pt idx="1">
                  <c:v>207.01925016275197</c:v>
                </c:pt>
                <c:pt idx="2">
                  <c:v>212.6269723242182</c:v>
                </c:pt>
                <c:pt idx="3">
                  <c:v>187.39717169068138</c:v>
                </c:pt>
                <c:pt idx="4">
                  <c:v>199.63985983065942</c:v>
                </c:pt>
                <c:pt idx="5">
                  <c:v>195.6746880734693</c:v>
                </c:pt>
                <c:pt idx="6">
                  <c:v>190.33206546168435</c:v>
                </c:pt>
                <c:pt idx="7">
                  <c:v>182.33005548154802</c:v>
                </c:pt>
                <c:pt idx="8">
                  <c:v>191.54674778883415</c:v>
                </c:pt>
                <c:pt idx="9">
                  <c:v>187.43144032911474</c:v>
                </c:pt>
                <c:pt idx="10">
                  <c:v>205.30516822725582</c:v>
                </c:pt>
                <c:pt idx="11">
                  <c:v>184.84246995775405</c:v>
                </c:pt>
                <c:pt idx="12">
                  <c:v>175.09710225612631</c:v>
                </c:pt>
                <c:pt idx="13">
                  <c:v>179.23542289962148</c:v>
                </c:pt>
                <c:pt idx="14">
                  <c:v>175.18890239164173</c:v>
                </c:pt>
                <c:pt idx="15">
                  <c:v>170.59307541962079</c:v>
                </c:pt>
                <c:pt idx="16">
                  <c:v>166.22585843866733</c:v>
                </c:pt>
                <c:pt idx="17">
                  <c:v>162.22807900239386</c:v>
                </c:pt>
                <c:pt idx="18">
                  <c:v>158.43000982631273</c:v>
                </c:pt>
                <c:pt idx="19">
                  <c:v>154.82229582509862</c:v>
                </c:pt>
                <c:pt idx="20">
                  <c:v>151.48202926082135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E-4884-8657-BD0E95BA20A8}"/>
            </c:ext>
          </c:extLst>
        </c:ser>
        <c:ser>
          <c:idx val="3"/>
          <c:order val="2"/>
          <c:tx>
            <c:strRef>
              <c:f>'Qual F1'!$L$8</c:f>
              <c:strCache>
                <c:ptCount val="1"/>
                <c:pt idx="0">
                  <c:v>RQF2 GCSE(A-C) &amp; equivalent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F1'!$M$8:$AG$8</c:f>
              <c:numCache>
                <c:formatCode>#,##0</c:formatCode>
                <c:ptCount val="21"/>
                <c:pt idx="0">
                  <c:v>339.99824750291674</c:v>
                </c:pt>
                <c:pt idx="1">
                  <c:v>336.40109263438859</c:v>
                </c:pt>
                <c:pt idx="2">
                  <c:v>310.11426921412698</c:v>
                </c:pt>
                <c:pt idx="3">
                  <c:v>311.36782478164446</c:v>
                </c:pt>
                <c:pt idx="4">
                  <c:v>330.23491276921965</c:v>
                </c:pt>
                <c:pt idx="5">
                  <c:v>312.71059561039328</c:v>
                </c:pt>
                <c:pt idx="6">
                  <c:v>310.90937400270445</c:v>
                </c:pt>
                <c:pt idx="7">
                  <c:v>291.28158852364447</c:v>
                </c:pt>
                <c:pt idx="8">
                  <c:v>292.48012971789188</c:v>
                </c:pt>
                <c:pt idx="9">
                  <c:v>329.42130495888318</c:v>
                </c:pt>
                <c:pt idx="10">
                  <c:v>318.87394294512256</c:v>
                </c:pt>
                <c:pt idx="11">
                  <c:v>305.14123949928739</c:v>
                </c:pt>
                <c:pt idx="12">
                  <c:v>325.98304259944422</c:v>
                </c:pt>
                <c:pt idx="13">
                  <c:v>296.63387421480491</c:v>
                </c:pt>
                <c:pt idx="14">
                  <c:v>301.59610012514486</c:v>
                </c:pt>
                <c:pt idx="15">
                  <c:v>297.95830680034157</c:v>
                </c:pt>
                <c:pt idx="16">
                  <c:v>294.72016650126199</c:v>
                </c:pt>
                <c:pt idx="17">
                  <c:v>291.57376675205637</c:v>
                </c:pt>
                <c:pt idx="18">
                  <c:v>287.976310886948</c:v>
                </c:pt>
                <c:pt idx="19">
                  <c:v>283.97989512234642</c:v>
                </c:pt>
                <c:pt idx="20">
                  <c:v>279.77576838287058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E-4884-8657-BD0E95BA20A8}"/>
            </c:ext>
          </c:extLst>
        </c:ser>
        <c:ser>
          <c:idx val="0"/>
          <c:order val="3"/>
          <c:tx>
            <c:strRef>
              <c:f>'Qual F1'!$L$9</c:f>
              <c:strCache>
                <c:ptCount val="1"/>
                <c:pt idx="0">
                  <c:v>RQF3 A level &amp; equivalent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F1'!$M$9:$AG$9</c:f>
              <c:numCache>
                <c:formatCode>#,##0</c:formatCode>
                <c:ptCount val="21"/>
                <c:pt idx="0">
                  <c:v>283.75583025438806</c:v>
                </c:pt>
                <c:pt idx="1">
                  <c:v>292.98490060675124</c:v>
                </c:pt>
                <c:pt idx="2">
                  <c:v>255.6177327743211</c:v>
                </c:pt>
                <c:pt idx="3">
                  <c:v>281.3750970539096</c:v>
                </c:pt>
                <c:pt idx="4">
                  <c:v>263.90139842710909</c:v>
                </c:pt>
                <c:pt idx="5">
                  <c:v>283.56276072857861</c:v>
                </c:pt>
                <c:pt idx="6">
                  <c:v>300.11323642724864</c:v>
                </c:pt>
                <c:pt idx="7">
                  <c:v>299.30311879841622</c:v>
                </c:pt>
                <c:pt idx="8">
                  <c:v>292.69650618066635</c:v>
                </c:pt>
                <c:pt idx="9">
                  <c:v>296.18927935946289</c:v>
                </c:pt>
                <c:pt idx="10">
                  <c:v>326.7981784948139</c:v>
                </c:pt>
                <c:pt idx="11">
                  <c:v>310.47755021992191</c:v>
                </c:pt>
                <c:pt idx="12">
                  <c:v>310.28318081999174</c:v>
                </c:pt>
                <c:pt idx="13">
                  <c:v>324.54644787118048</c:v>
                </c:pt>
                <c:pt idx="14">
                  <c:v>314.54695583155166</c:v>
                </c:pt>
                <c:pt idx="15">
                  <c:v>314.76157062546645</c:v>
                </c:pt>
                <c:pt idx="16">
                  <c:v>315.81124145637995</c:v>
                </c:pt>
                <c:pt idx="17">
                  <c:v>317.42394736272263</c:v>
                </c:pt>
                <c:pt idx="18">
                  <c:v>319.51491360922853</c:v>
                </c:pt>
                <c:pt idx="19">
                  <c:v>321.82767360696027</c:v>
                </c:pt>
                <c:pt idx="20">
                  <c:v>323.65189471574394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3-4AC5-AC3B-DF816665A51E}"/>
            </c:ext>
          </c:extLst>
        </c:ser>
        <c:ser>
          <c:idx val="4"/>
          <c:order val="4"/>
          <c:tx>
            <c:strRef>
              <c:f>'Qual F1'!$L$10</c:f>
              <c:strCache>
                <c:ptCount val="1"/>
                <c:pt idx="0">
                  <c:v>RQF4 HE below degree level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F1'!$M$10:$AG$10</c:f>
              <c:numCache>
                <c:formatCode>#,##0</c:formatCode>
                <c:ptCount val="21"/>
                <c:pt idx="0">
                  <c:v>60.8660423341571</c:v>
                </c:pt>
                <c:pt idx="1">
                  <c:v>59.583821804279026</c:v>
                </c:pt>
                <c:pt idx="2">
                  <c:v>72.712934295273328</c:v>
                </c:pt>
                <c:pt idx="3">
                  <c:v>68.208639968710145</c:v>
                </c:pt>
                <c:pt idx="4">
                  <c:v>67.831475537291382</c:v>
                </c:pt>
                <c:pt idx="5">
                  <c:v>67.372845244269087</c:v>
                </c:pt>
                <c:pt idx="6">
                  <c:v>65.26741244681871</c:v>
                </c:pt>
                <c:pt idx="7">
                  <c:v>76.085838054033488</c:v>
                </c:pt>
                <c:pt idx="8">
                  <c:v>78.412374123732462</c:v>
                </c:pt>
                <c:pt idx="9">
                  <c:v>74.92495309458765</c:v>
                </c:pt>
                <c:pt idx="10">
                  <c:v>75.342003447666045</c:v>
                </c:pt>
                <c:pt idx="11">
                  <c:v>86.484848987981152</c:v>
                </c:pt>
                <c:pt idx="12">
                  <c:v>84.719472752724698</c:v>
                </c:pt>
                <c:pt idx="13">
                  <c:v>88.427863211445668</c:v>
                </c:pt>
                <c:pt idx="14">
                  <c:v>88.207972865710047</c:v>
                </c:pt>
                <c:pt idx="15">
                  <c:v>89.595818707039754</c:v>
                </c:pt>
                <c:pt idx="16">
                  <c:v>90.971551848641226</c:v>
                </c:pt>
                <c:pt idx="17">
                  <c:v>92.197465332288786</c:v>
                </c:pt>
                <c:pt idx="18">
                  <c:v>93.407336751685733</c:v>
                </c:pt>
                <c:pt idx="19">
                  <c:v>94.648407170035341</c:v>
                </c:pt>
                <c:pt idx="20">
                  <c:v>95.82988828778835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3-4AC5-AC3B-DF816665A51E}"/>
            </c:ext>
          </c:extLst>
        </c:ser>
        <c:ser>
          <c:idx val="5"/>
          <c:order val="5"/>
          <c:tx>
            <c:strRef>
              <c:f>'Qual F1'!$L$11</c:f>
              <c:strCache>
                <c:ptCount val="1"/>
                <c:pt idx="0">
                  <c:v>RQF5 Foundation degree;Nursing;Teaching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F1'!$M$11:$AG$11</c:f>
              <c:numCache>
                <c:formatCode>#,##0</c:formatCode>
                <c:ptCount val="21"/>
                <c:pt idx="0">
                  <c:v>79.946376098743087</c:v>
                </c:pt>
                <c:pt idx="1">
                  <c:v>85.379426007975056</c:v>
                </c:pt>
                <c:pt idx="2">
                  <c:v>92.11962236483491</c:v>
                </c:pt>
                <c:pt idx="3">
                  <c:v>90.110135761995636</c:v>
                </c:pt>
                <c:pt idx="4">
                  <c:v>85.855390665229478</c:v>
                </c:pt>
                <c:pt idx="5">
                  <c:v>86.036931415223975</c:v>
                </c:pt>
                <c:pt idx="6">
                  <c:v>82.865690701873376</c:v>
                </c:pt>
                <c:pt idx="7">
                  <c:v>90.216709099773439</c:v>
                </c:pt>
                <c:pt idx="8">
                  <c:v>91.79524350815457</c:v>
                </c:pt>
                <c:pt idx="9">
                  <c:v>85.079152339858254</c:v>
                </c:pt>
                <c:pt idx="10">
                  <c:v>86.386211363684026</c:v>
                </c:pt>
                <c:pt idx="11">
                  <c:v>97.145105342946451</c:v>
                </c:pt>
                <c:pt idx="12">
                  <c:v>92.604401175627501</c:v>
                </c:pt>
                <c:pt idx="13">
                  <c:v>93.712275777659926</c:v>
                </c:pt>
                <c:pt idx="14">
                  <c:v>91.672708244135933</c:v>
                </c:pt>
                <c:pt idx="15">
                  <c:v>90.964478940561662</c:v>
                </c:pt>
                <c:pt idx="16">
                  <c:v>90.759795618615343</c:v>
                </c:pt>
                <c:pt idx="17">
                  <c:v>90.499391086014853</c:v>
                </c:pt>
                <c:pt idx="18">
                  <c:v>90.30953780678422</c:v>
                </c:pt>
                <c:pt idx="19">
                  <c:v>90.15225523823662</c:v>
                </c:pt>
                <c:pt idx="20">
                  <c:v>90.032005748939611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13-4AC5-AC3B-DF816665A51E}"/>
            </c:ext>
          </c:extLst>
        </c:ser>
        <c:ser>
          <c:idx val="6"/>
          <c:order val="6"/>
          <c:tx>
            <c:strRef>
              <c:f>'Qual F1'!$L$12</c:f>
              <c:strCache>
                <c:ptCount val="1"/>
                <c:pt idx="0">
                  <c:v>RQF6 First degree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F1'!$M$12:$AG$12</c:f>
              <c:numCache>
                <c:formatCode>#,##0</c:formatCode>
                <c:ptCount val="21"/>
                <c:pt idx="0">
                  <c:v>166.70057077338143</c:v>
                </c:pt>
                <c:pt idx="1">
                  <c:v>179.81371409445907</c:v>
                </c:pt>
                <c:pt idx="2">
                  <c:v>211.72906855480403</c:v>
                </c:pt>
                <c:pt idx="3">
                  <c:v>209.70736470046205</c:v>
                </c:pt>
                <c:pt idx="4">
                  <c:v>211.03924726251634</c:v>
                </c:pt>
                <c:pt idx="5">
                  <c:v>219.96956839171375</c:v>
                </c:pt>
                <c:pt idx="6">
                  <c:v>216.81686024085795</c:v>
                </c:pt>
                <c:pt idx="7">
                  <c:v>240.65443254015986</c:v>
                </c:pt>
                <c:pt idx="8">
                  <c:v>255.56542795253966</c:v>
                </c:pt>
                <c:pt idx="9">
                  <c:v>248.90379932161275</c:v>
                </c:pt>
                <c:pt idx="10">
                  <c:v>261.04599758722259</c:v>
                </c:pt>
                <c:pt idx="11">
                  <c:v>299.01202876995643</c:v>
                </c:pt>
                <c:pt idx="12">
                  <c:v>295.34305735628305</c:v>
                </c:pt>
                <c:pt idx="13">
                  <c:v>309.24027779289736</c:v>
                </c:pt>
                <c:pt idx="14">
                  <c:v>310.17086408856397</c:v>
                </c:pt>
                <c:pt idx="15">
                  <c:v>317.08390786844461</c:v>
                </c:pt>
                <c:pt idx="16">
                  <c:v>323.16948834163628</c:v>
                </c:pt>
                <c:pt idx="17">
                  <c:v>328.76526674050808</c:v>
                </c:pt>
                <c:pt idx="18">
                  <c:v>334.18411295535049</c:v>
                </c:pt>
                <c:pt idx="19">
                  <c:v>339.34846887345208</c:v>
                </c:pt>
                <c:pt idx="20">
                  <c:v>344.08254430579285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13-4AC5-AC3B-DF816665A51E}"/>
            </c:ext>
          </c:extLst>
        </c:ser>
        <c:ser>
          <c:idx val="7"/>
          <c:order val="7"/>
          <c:tx>
            <c:strRef>
              <c:f>'Qual F1'!$L$13</c:f>
              <c:strCache>
                <c:ptCount val="1"/>
                <c:pt idx="0">
                  <c:v>RQF7 Other higher degree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F1'!$M$13:$AG$13</c:f>
              <c:numCache>
                <c:formatCode>#,##0</c:formatCode>
                <c:ptCount val="21"/>
                <c:pt idx="0">
                  <c:v>91.772170629246375</c:v>
                </c:pt>
                <c:pt idx="1">
                  <c:v>93.871045769631124</c:v>
                </c:pt>
                <c:pt idx="2">
                  <c:v>100.00468913159625</c:v>
                </c:pt>
                <c:pt idx="3">
                  <c:v>92.787678416614767</c:v>
                </c:pt>
                <c:pt idx="4">
                  <c:v>91.755040865408986</c:v>
                </c:pt>
                <c:pt idx="5">
                  <c:v>89.417565249186794</c:v>
                </c:pt>
                <c:pt idx="6">
                  <c:v>108.89146057866176</c:v>
                </c:pt>
                <c:pt idx="7">
                  <c:v>131.42182271112071</c:v>
                </c:pt>
                <c:pt idx="8">
                  <c:v>129.20036139980928</c:v>
                </c:pt>
                <c:pt idx="9">
                  <c:v>140.39944899283074</c:v>
                </c:pt>
                <c:pt idx="10">
                  <c:v>146.68740984979132</c:v>
                </c:pt>
                <c:pt idx="11">
                  <c:v>148.09805134708753</c:v>
                </c:pt>
                <c:pt idx="12">
                  <c:v>157.3455561588969</c:v>
                </c:pt>
                <c:pt idx="13">
                  <c:v>156.83585617841217</c:v>
                </c:pt>
                <c:pt idx="14">
                  <c:v>172.04974911128647</c:v>
                </c:pt>
                <c:pt idx="15">
                  <c:v>177.87229890985031</c:v>
                </c:pt>
                <c:pt idx="16">
                  <c:v>183.51795724174679</c:v>
                </c:pt>
                <c:pt idx="17">
                  <c:v>188.75436144810416</c:v>
                </c:pt>
                <c:pt idx="18">
                  <c:v>193.82567281880426</c:v>
                </c:pt>
                <c:pt idx="19">
                  <c:v>198.63621850593114</c:v>
                </c:pt>
                <c:pt idx="20">
                  <c:v>203.28927580091022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13-4AC5-AC3B-DF816665A51E}"/>
            </c:ext>
          </c:extLst>
        </c:ser>
        <c:ser>
          <c:idx val="8"/>
          <c:order val="8"/>
          <c:tx>
            <c:strRef>
              <c:f>'Qual F1'!$L$14</c:f>
              <c:strCache>
                <c:ptCount val="1"/>
                <c:pt idx="0">
                  <c:v>RQF8 Doctorate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'Qual F1'!$M$4:$AG$4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'Qual F1'!$M$14:$AG$14</c:f>
              <c:numCache>
                <c:formatCode>#,##0</c:formatCode>
                <c:ptCount val="21"/>
                <c:pt idx="0">
                  <c:v>13.451431779919853</c:v>
                </c:pt>
                <c:pt idx="1">
                  <c:v>14.899446453882732</c:v>
                </c:pt>
                <c:pt idx="2">
                  <c:v>16.881133623087749</c:v>
                </c:pt>
                <c:pt idx="3">
                  <c:v>14.62703835875609</c:v>
                </c:pt>
                <c:pt idx="4">
                  <c:v>14.656026108823255</c:v>
                </c:pt>
                <c:pt idx="5">
                  <c:v>14.577538609213944</c:v>
                </c:pt>
                <c:pt idx="6">
                  <c:v>17.081590738596507</c:v>
                </c:pt>
                <c:pt idx="7">
                  <c:v>20.812687244989785</c:v>
                </c:pt>
                <c:pt idx="8">
                  <c:v>21.554698254350569</c:v>
                </c:pt>
                <c:pt idx="9">
                  <c:v>23.55652944595073</c:v>
                </c:pt>
                <c:pt idx="10">
                  <c:v>24.298598186309171</c:v>
                </c:pt>
                <c:pt idx="11">
                  <c:v>24.757160161808716</c:v>
                </c:pt>
                <c:pt idx="12">
                  <c:v>26.274395032904195</c:v>
                </c:pt>
                <c:pt idx="13">
                  <c:v>26.104272933764776</c:v>
                </c:pt>
                <c:pt idx="14">
                  <c:v>28.662576137618011</c:v>
                </c:pt>
                <c:pt idx="15">
                  <c:v>29.757672156902121</c:v>
                </c:pt>
                <c:pt idx="16">
                  <c:v>30.809135120978773</c:v>
                </c:pt>
                <c:pt idx="17">
                  <c:v>31.793129742543712</c:v>
                </c:pt>
                <c:pt idx="18">
                  <c:v>32.770852610334863</c:v>
                </c:pt>
                <c:pt idx="19">
                  <c:v>33.712578374215028</c:v>
                </c:pt>
                <c:pt idx="20">
                  <c:v>34.635899854243135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13-4AC5-AC3B-DF816665A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685928"/>
        <c:axId val="313686320"/>
      </c:areaChart>
      <c:catAx>
        <c:axId val="3136859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68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5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194451201428852E-2"/>
          <c:y val="0.88735215349989649"/>
          <c:w val="0.91665645899213932"/>
          <c:h val="9.31011867791335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787893154494418"/>
          <c:y val="4.3626565131883739E-2"/>
          <c:w val="0.58235719863626845"/>
          <c:h val="0.880588770541705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'ShiftShare T1'!$C$4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'ShiftShare T1'!$A$8:$A$32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'ShiftShare T1'!$B$8:$B$32</c:f>
              <c:numCache>
                <c:formatCode>#,##0</c:formatCode>
                <c:ptCount val="25"/>
                <c:pt idx="0">
                  <c:v>62.791080673241183</c:v>
                </c:pt>
                <c:pt idx="1">
                  <c:v>33.574909986255072</c:v>
                </c:pt>
                <c:pt idx="2">
                  <c:v>39.404062516743629</c:v>
                </c:pt>
                <c:pt idx="3">
                  <c:v>65.918325380874236</c:v>
                </c:pt>
                <c:pt idx="4">
                  <c:v>73.917574240407916</c:v>
                </c:pt>
                <c:pt idx="5">
                  <c:v>41.841572819713782</c:v>
                </c:pt>
                <c:pt idx="6">
                  <c:v>23.969208752827978</c:v>
                </c:pt>
                <c:pt idx="7">
                  <c:v>22.021237095591832</c:v>
                </c:pt>
                <c:pt idx="8">
                  <c:v>18.193573896604018</c:v>
                </c:pt>
                <c:pt idx="9">
                  <c:v>17.306171623307954</c:v>
                </c:pt>
                <c:pt idx="10">
                  <c:v>64.062602617111267</c:v>
                </c:pt>
                <c:pt idx="11">
                  <c:v>128.76139674940373</c:v>
                </c:pt>
                <c:pt idx="12">
                  <c:v>39.05845849832626</c:v>
                </c:pt>
                <c:pt idx="13">
                  <c:v>27.01228324618716</c:v>
                </c:pt>
                <c:pt idx="14">
                  <c:v>64.57909849455713</c:v>
                </c:pt>
                <c:pt idx="15">
                  <c:v>62.17438600693751</c:v>
                </c:pt>
                <c:pt idx="16">
                  <c:v>38.851814595191357</c:v>
                </c:pt>
                <c:pt idx="17">
                  <c:v>99.187958703714813</c:v>
                </c:pt>
                <c:pt idx="18">
                  <c:v>26.961171532317142</c:v>
                </c:pt>
                <c:pt idx="19">
                  <c:v>109.72479758960813</c:v>
                </c:pt>
                <c:pt idx="20">
                  <c:v>21.678479524059966</c:v>
                </c:pt>
                <c:pt idx="21">
                  <c:v>85.70514998203177</c:v>
                </c:pt>
                <c:pt idx="22">
                  <c:v>45.276922067123785</c:v>
                </c:pt>
                <c:pt idx="23">
                  <c:v>31.655920531721669</c:v>
                </c:pt>
                <c:pt idx="24">
                  <c:v>165.33884287808465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E-4752-A244-893F04CFF91E}"/>
            </c:ext>
          </c:extLst>
        </c:ser>
        <c:ser>
          <c:idx val="1"/>
          <c:order val="1"/>
          <c:tx>
            <c:strRef>
              <c:f>'ShiftShare T1'!$F$4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'ShiftShare T1'!$A$8:$A$32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'ShiftShare T1'!$E$8:$E$32</c:f>
              <c:numCache>
                <c:formatCode>#,##0</c:formatCode>
                <c:ptCount val="25"/>
                <c:pt idx="0">
                  <c:v>75.827297635181665</c:v>
                </c:pt>
                <c:pt idx="1">
                  <c:v>45.562422803506315</c:v>
                </c:pt>
                <c:pt idx="2">
                  <c:v>48.951367989588107</c:v>
                </c:pt>
                <c:pt idx="3">
                  <c:v>96.439442296228563</c:v>
                </c:pt>
                <c:pt idx="4">
                  <c:v>93.711316882436563</c:v>
                </c:pt>
                <c:pt idx="5">
                  <c:v>47.830198994488903</c:v>
                </c:pt>
                <c:pt idx="6">
                  <c:v>25.153076673906533</c:v>
                </c:pt>
                <c:pt idx="7">
                  <c:v>31.236630799272728</c:v>
                </c:pt>
                <c:pt idx="8">
                  <c:v>16.715828527620712</c:v>
                </c:pt>
                <c:pt idx="9">
                  <c:v>26.053726016084362</c:v>
                </c:pt>
                <c:pt idx="10">
                  <c:v>72.912857153089021</c:v>
                </c:pt>
                <c:pt idx="11">
                  <c:v>127.5213345098998</c:v>
                </c:pt>
                <c:pt idx="12">
                  <c:v>33.110290969005057</c:v>
                </c:pt>
                <c:pt idx="13">
                  <c:v>44.641992580529916</c:v>
                </c:pt>
                <c:pt idx="14">
                  <c:v>60.298327113758923</c:v>
                </c:pt>
                <c:pt idx="15">
                  <c:v>55.607063035219241</c:v>
                </c:pt>
                <c:pt idx="16">
                  <c:v>44.112533415690251</c:v>
                </c:pt>
                <c:pt idx="17">
                  <c:v>134.03418747801385</c:v>
                </c:pt>
                <c:pt idx="18">
                  <c:v>34.081983399938842</c:v>
                </c:pt>
                <c:pt idx="19">
                  <c:v>96.72865813780345</c:v>
                </c:pt>
                <c:pt idx="20">
                  <c:v>28.941220880813535</c:v>
                </c:pt>
                <c:pt idx="21">
                  <c:v>78.332378779529421</c:v>
                </c:pt>
                <c:pt idx="22">
                  <c:v>35.493360283060447</c:v>
                </c:pt>
                <c:pt idx="23">
                  <c:v>30.003578616580025</c:v>
                </c:pt>
                <c:pt idx="24">
                  <c:v>146.45892502959714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E-4752-A244-893F04CFF91E}"/>
            </c:ext>
          </c:extLst>
        </c:ser>
        <c:ser>
          <c:idx val="2"/>
          <c:order val="2"/>
          <c:tx>
            <c:strRef>
              <c:f>'ShiftShare T1'!$F$39</c:f>
              <c:strCache>
                <c:ptCount val="1"/>
                <c:pt idx="0">
                  <c:v>2027</c:v>
                </c:pt>
              </c:strCache>
            </c:strRef>
          </c:tx>
          <c:invertIfNegative val="0"/>
          <c:cat>
            <c:strRef>
              <c:f>'ShiftShare T1'!$A$8:$A$32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'ShiftShare T1'!$E$43:$E$67</c:f>
              <c:numCache>
                <c:formatCode>#,##0</c:formatCode>
                <c:ptCount val="25"/>
                <c:pt idx="0">
                  <c:v>86.787628928781672</c:v>
                </c:pt>
                <c:pt idx="1">
                  <c:v>49.930926503086525</c:v>
                </c:pt>
                <c:pt idx="2">
                  <c:v>53.238061977314004</c:v>
                </c:pt>
                <c:pt idx="3">
                  <c:v>112.3717737309305</c:v>
                </c:pt>
                <c:pt idx="4">
                  <c:v>104.26072423736112</c:v>
                </c:pt>
                <c:pt idx="5">
                  <c:v>54.894569880366987</c:v>
                </c:pt>
                <c:pt idx="6">
                  <c:v>25.291027134911744</c:v>
                </c:pt>
                <c:pt idx="7">
                  <c:v>36.336353610236586</c:v>
                </c:pt>
                <c:pt idx="8">
                  <c:v>15.812025383532305</c:v>
                </c:pt>
                <c:pt idx="9">
                  <c:v>28.887592472886212</c:v>
                </c:pt>
                <c:pt idx="10">
                  <c:v>82.682412933942729</c:v>
                </c:pt>
                <c:pt idx="11">
                  <c:v>120.00823804562896</c:v>
                </c:pt>
                <c:pt idx="12">
                  <c:v>18.72318856576376</c:v>
                </c:pt>
                <c:pt idx="13">
                  <c:v>43.56237546948261</c:v>
                </c:pt>
                <c:pt idx="14">
                  <c:v>52.816651683092545</c:v>
                </c:pt>
                <c:pt idx="15">
                  <c:v>55.864658178180079</c:v>
                </c:pt>
                <c:pt idx="16">
                  <c:v>38.141598610885424</c:v>
                </c:pt>
                <c:pt idx="17">
                  <c:v>156.37297615871555</c:v>
                </c:pt>
                <c:pt idx="18">
                  <c:v>32.422277716403407</c:v>
                </c:pt>
                <c:pt idx="19">
                  <c:v>88.415327050932888</c:v>
                </c:pt>
                <c:pt idx="20">
                  <c:v>33.733710674085017</c:v>
                </c:pt>
                <c:pt idx="21">
                  <c:v>66.345882238047054</c:v>
                </c:pt>
                <c:pt idx="22">
                  <c:v>36.641000948387891</c:v>
                </c:pt>
                <c:pt idx="23">
                  <c:v>30.056216538126861</c:v>
                </c:pt>
                <c:pt idx="24">
                  <c:v>145.57580133080234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E-4752-A244-893F04CF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00496"/>
        <c:axId val="320200888"/>
      </c:barChart>
      <c:catAx>
        <c:axId val="320200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320200888"/>
        <c:crosses val="autoZero"/>
        <c:auto val="1"/>
        <c:lblAlgn val="ctr"/>
        <c:lblOffset val="100"/>
        <c:noMultiLvlLbl val="0"/>
      </c:catAx>
      <c:valAx>
        <c:axId val="320200888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crossAx val="32020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54132763162669373"/>
          <c:y val="0.95527891662688502"/>
          <c:w val="0.17405791669497794"/>
          <c:h val="3.100449191369131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718540339964518"/>
          <c:y val="3.4908754382882691E-2"/>
          <c:w val="0.46370250563807996"/>
          <c:h val="0.88947796371950538"/>
        </c:manualLayout>
      </c:layout>
      <c:barChart>
        <c:barDir val="bar"/>
        <c:grouping val="clustered"/>
        <c:varyColors val="0"/>
        <c:ser>
          <c:idx val="4"/>
          <c:order val="0"/>
          <c:tx>
            <c:strRef>
              <c:f>'ShiftShare T1'!$I$4</c:f>
              <c:strCache>
                <c:ptCount val="1"/>
                <c:pt idx="0">
                  <c:v>2007-2017</c:v>
                </c:pt>
              </c:strCache>
            </c:strRef>
          </c:tx>
          <c:invertIfNegative val="0"/>
          <c:cat>
            <c:strRef>
              <c:f>'ShiftShare T1'!$A$8:$A$32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'ShiftShare T1'!$H$8:$H$32</c:f>
              <c:numCache>
                <c:formatCode>#,##0</c:formatCode>
                <c:ptCount val="25"/>
                <c:pt idx="0">
                  <c:v>13.036216961940482</c:v>
                </c:pt>
                <c:pt idx="1">
                  <c:v>11.987512817251243</c:v>
                </c:pt>
                <c:pt idx="2">
                  <c:v>9.5473054728444779</c:v>
                </c:pt>
                <c:pt idx="3">
                  <c:v>30.521116915354327</c:v>
                </c:pt>
                <c:pt idx="4">
                  <c:v>19.793742642028647</c:v>
                </c:pt>
                <c:pt idx="5">
                  <c:v>5.9886261747751206</c:v>
                </c:pt>
                <c:pt idx="6">
                  <c:v>1.183867921078555</c:v>
                </c:pt>
                <c:pt idx="7">
                  <c:v>9.2153937036808955</c:v>
                </c:pt>
                <c:pt idx="8">
                  <c:v>-1.4777453689833067</c:v>
                </c:pt>
                <c:pt idx="9">
                  <c:v>8.7475543927764079</c:v>
                </c:pt>
                <c:pt idx="10">
                  <c:v>8.8502545359777542</c:v>
                </c:pt>
                <c:pt idx="11">
                  <c:v>-1.2400622395039278</c:v>
                </c:pt>
                <c:pt idx="12">
                  <c:v>-5.9481675293212035</c:v>
                </c:pt>
                <c:pt idx="13">
                  <c:v>17.629709334342756</c:v>
                </c:pt>
                <c:pt idx="14">
                  <c:v>-4.2807713807982068</c:v>
                </c:pt>
                <c:pt idx="15">
                  <c:v>-6.5673229717182693</c:v>
                </c:pt>
                <c:pt idx="16">
                  <c:v>5.2607188204988944</c:v>
                </c:pt>
                <c:pt idx="17">
                  <c:v>34.846228774299036</c:v>
                </c:pt>
                <c:pt idx="18">
                  <c:v>7.1208118676217005</c:v>
                </c:pt>
                <c:pt idx="19">
                  <c:v>-12.99613945180468</c:v>
                </c:pt>
                <c:pt idx="20">
                  <c:v>7.262741356753569</c:v>
                </c:pt>
                <c:pt idx="21">
                  <c:v>-7.3727712025023493</c:v>
                </c:pt>
                <c:pt idx="22">
                  <c:v>-9.7835617840633375</c:v>
                </c:pt>
                <c:pt idx="23">
                  <c:v>-1.6523419151416441</c:v>
                </c:pt>
                <c:pt idx="24">
                  <c:v>-18.879917848487509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0-4246-8424-BFF62A2BAC31}"/>
            </c:ext>
          </c:extLst>
        </c:ser>
        <c:ser>
          <c:idx val="5"/>
          <c:order val="1"/>
          <c:tx>
            <c:strRef>
              <c:f>'ShiftShare T1'!$I$39</c:f>
              <c:strCache>
                <c:ptCount val="1"/>
                <c:pt idx="0">
                  <c:v>2017-2027</c:v>
                </c:pt>
              </c:strCache>
            </c:strRef>
          </c:tx>
          <c:invertIfNegative val="0"/>
          <c:cat>
            <c:strRef>
              <c:f>'ShiftShare T1'!$A$8:$A$32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'ShiftShare T1'!$H$43:$H$67</c:f>
              <c:numCache>
                <c:formatCode>#,##0</c:formatCode>
                <c:ptCount val="25"/>
                <c:pt idx="0">
                  <c:v>10.960331293600007</c:v>
                </c:pt>
                <c:pt idx="1">
                  <c:v>4.3685036995802093</c:v>
                </c:pt>
                <c:pt idx="2">
                  <c:v>4.2866939877258972</c:v>
                </c:pt>
                <c:pt idx="3">
                  <c:v>15.932331434701936</c:v>
                </c:pt>
                <c:pt idx="4">
                  <c:v>10.549407354924554</c:v>
                </c:pt>
                <c:pt idx="5">
                  <c:v>7.064370885878084</c:v>
                </c:pt>
                <c:pt idx="6">
                  <c:v>0.13795046100521091</c:v>
                </c:pt>
                <c:pt idx="7">
                  <c:v>5.0997228109638577</c:v>
                </c:pt>
                <c:pt idx="8">
                  <c:v>-0.9038031440884069</c:v>
                </c:pt>
                <c:pt idx="9">
                  <c:v>2.8338664568018501</c:v>
                </c:pt>
                <c:pt idx="10">
                  <c:v>9.7695557808537075</c:v>
                </c:pt>
                <c:pt idx="11">
                  <c:v>-7.5130964642708449</c:v>
                </c:pt>
                <c:pt idx="12">
                  <c:v>-14.387102403241297</c:v>
                </c:pt>
                <c:pt idx="13">
                  <c:v>-1.0796171110473054</c:v>
                </c:pt>
                <c:pt idx="14">
                  <c:v>-7.4816754306663782</c:v>
                </c:pt>
                <c:pt idx="15">
                  <c:v>0.25759514296083807</c:v>
                </c:pt>
                <c:pt idx="16">
                  <c:v>-5.970934804804827</c:v>
                </c:pt>
                <c:pt idx="17">
                  <c:v>22.338788680701697</c:v>
                </c:pt>
                <c:pt idx="18">
                  <c:v>-1.6597056835354351</c:v>
                </c:pt>
                <c:pt idx="19">
                  <c:v>-8.3133310868705621</c:v>
                </c:pt>
                <c:pt idx="20">
                  <c:v>4.7924897932714821</c:v>
                </c:pt>
                <c:pt idx="21">
                  <c:v>-11.986496541482367</c:v>
                </c:pt>
                <c:pt idx="22">
                  <c:v>1.1476406653274438</c:v>
                </c:pt>
                <c:pt idx="23">
                  <c:v>5.2637921546835997E-2</c:v>
                </c:pt>
                <c:pt idx="24">
                  <c:v>-0.88312369879480457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0-4246-8424-BFF62A2BA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01672"/>
        <c:axId val="320202064"/>
      </c:barChart>
      <c:catAx>
        <c:axId val="3202016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crossAx val="320202064"/>
        <c:crosses val="autoZero"/>
        <c:auto val="1"/>
        <c:lblAlgn val="ctr"/>
        <c:lblOffset val="1000"/>
        <c:noMultiLvlLbl val="0"/>
      </c:catAx>
      <c:valAx>
        <c:axId val="320202064"/>
        <c:scaling>
          <c:orientation val="minMax"/>
        </c:scaling>
        <c:delete val="0"/>
        <c:axPos val="t"/>
        <c:majorGridlines/>
        <c:numFmt formatCode="#,##0" sourceLinked="1"/>
        <c:majorTickMark val="out"/>
        <c:minorTickMark val="none"/>
        <c:tickLblPos val="nextTo"/>
        <c:crossAx val="320201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6164780852212991"/>
          <c:y val="0.94823266163463993"/>
          <c:w val="0.2106189753783651"/>
          <c:h val="3.111747468968972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905432017565845E-2"/>
          <c:y val="7.3221832118928271E-2"/>
          <c:w val="0.87539499596050963"/>
          <c:h val="0.76987526342190526"/>
        </c:manualLayout>
      </c:layout>
      <c:areaChart>
        <c:grouping val="stacked"/>
        <c:varyColors val="0"/>
        <c:ser>
          <c:idx val="1"/>
          <c:order val="0"/>
          <c:tx>
            <c:strRef>
              <c:f>'Ind F2'!$L$16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F2'!$M$16:$AG$16</c:f>
              <c:numCache>
                <c:formatCode>#,##0</c:formatCode>
                <c:ptCount val="21"/>
                <c:pt idx="0">
                  <c:v>114.4310000013799</c:v>
                </c:pt>
                <c:pt idx="1">
                  <c:v>97.246999999689649</c:v>
                </c:pt>
                <c:pt idx="2">
                  <c:v>110.63500000021129</c:v>
                </c:pt>
                <c:pt idx="3">
                  <c:v>101.10099999855892</c:v>
                </c:pt>
                <c:pt idx="4">
                  <c:v>97.704999998558776</c:v>
                </c:pt>
                <c:pt idx="5">
                  <c:v>85.689999998545687</c:v>
                </c:pt>
                <c:pt idx="6">
                  <c:v>85.78600000031436</c:v>
                </c:pt>
                <c:pt idx="7">
                  <c:v>103.85899999846478</c:v>
                </c:pt>
                <c:pt idx="8">
                  <c:v>92.423999999566433</c:v>
                </c:pt>
                <c:pt idx="9">
                  <c:v>102.53899999935958</c:v>
                </c:pt>
                <c:pt idx="10">
                  <c:v>107.09400000055047</c:v>
                </c:pt>
                <c:pt idx="11">
                  <c:v>106.38299999963802</c:v>
                </c:pt>
                <c:pt idx="12">
                  <c:v>106.88699999975593</c:v>
                </c:pt>
                <c:pt idx="13">
                  <c:v>107.21000000178981</c:v>
                </c:pt>
                <c:pt idx="14">
                  <c:v>107.26800000036928</c:v>
                </c:pt>
                <c:pt idx="15">
                  <c:v>107.3900000006698</c:v>
                </c:pt>
                <c:pt idx="16">
                  <c:v>107.5580000004738</c:v>
                </c:pt>
                <c:pt idx="17">
                  <c:v>107.70300000105374</c:v>
                </c:pt>
                <c:pt idx="18">
                  <c:v>107.82700000005377</c:v>
                </c:pt>
                <c:pt idx="19">
                  <c:v>108.04900000075175</c:v>
                </c:pt>
                <c:pt idx="20">
                  <c:v>108.10400000028811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833-92D7-C94527035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598616"/>
        <c:axId val="253599008"/>
      </c:areaChart>
      <c:catAx>
        <c:axId val="2535986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59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90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7.8864414050499442E-3"/>
              <c:y val="1.25523140775305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5986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1577326789024558"/>
          <c:y val="0.93514739877602659"/>
          <c:w val="0.12776035076180794"/>
          <c:h val="4.60251516176120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95888892981675E-2"/>
          <c:y val="3.5947604941935246E-2"/>
          <c:w val="0.90390271996709393"/>
          <c:h val="0.80496508415316914"/>
        </c:manualLayout>
      </c:layout>
      <c:lineChart>
        <c:grouping val="standard"/>
        <c:varyColors val="0"/>
        <c:ser>
          <c:idx val="1"/>
          <c:order val="0"/>
          <c:tx>
            <c:strRef>
              <c:f>'ShiftShare T1'!$A$8</c:f>
              <c:strCache>
                <c:ptCount val="1"/>
                <c:pt idx="0">
                  <c:v> 11 Corporate managers and directors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T1'!$C$8,'ShiftShare T1'!$F$8,'ShiftShare T1'!$F$43)</c:f>
              <c:numCache>
                <c:formatCode>0.0</c:formatCode>
                <c:ptCount val="3"/>
                <c:pt idx="0">
                  <c:v>4.4565330964568055</c:v>
                </c:pt>
                <c:pt idx="1">
                  <c:v>4.9568100640061115</c:v>
                </c:pt>
                <c:pt idx="2">
                  <c:v>5.5307878053393367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E-4072-ACC3-8D57D4851C1D}"/>
            </c:ext>
          </c:extLst>
        </c:ser>
        <c:ser>
          <c:idx val="2"/>
          <c:order val="1"/>
          <c:tx>
            <c:strRef>
              <c:f>'ShiftShare T1'!$A$9</c:f>
              <c:strCache>
                <c:ptCount val="1"/>
                <c:pt idx="0">
                  <c:v> 12 Other managers and proprietors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T1'!$C$9,'ShiftShare T1'!$F$9,'ShiftShare T1'!$F$44)</c:f>
              <c:numCache>
                <c:formatCode>0.0</c:formatCode>
                <c:ptCount val="3"/>
                <c:pt idx="0">
                  <c:v>2.3829450928381393</c:v>
                </c:pt>
                <c:pt idx="1">
                  <c:v>2.9784033314690679</c:v>
                </c:pt>
                <c:pt idx="2">
                  <c:v>3.1819899082527261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E-4072-ACC3-8D57D4851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02848"/>
        <c:axId val="320203240"/>
      </c:lineChart>
      <c:catAx>
        <c:axId val="3202028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203240"/>
        <c:crosses val="autoZero"/>
        <c:auto val="1"/>
        <c:lblAlgn val="ctr"/>
        <c:lblOffset val="100"/>
        <c:noMultiLvlLbl val="0"/>
      </c:catAx>
      <c:valAx>
        <c:axId val="3202032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20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67846311576052E-2"/>
          <c:y val="0.91788153826032881"/>
          <c:w val="0.95853017103776827"/>
          <c:h val="6.462140443005880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056854007996878E-2"/>
          <c:y val="3.1694845457226499E-2"/>
          <c:w val="0.89366434465146449"/>
          <c:h val="0.69172816728167286"/>
        </c:manualLayout>
      </c:layout>
      <c:lineChart>
        <c:grouping val="standard"/>
        <c:varyColors val="0"/>
        <c:ser>
          <c:idx val="3"/>
          <c:order val="0"/>
          <c:tx>
            <c:strRef>
              <c:f>'ShiftShare T1'!$A$14</c:f>
              <c:strCache>
                <c:ptCount val="1"/>
                <c:pt idx="0">
                  <c:v> 31 Science, engineering and technology associate professionals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T1'!$C$14,'ShiftShare T1'!$F$14,'ShiftShare T1'!$F$49)</c:f>
              <c:numCache>
                <c:formatCode>0.0</c:formatCode>
                <c:ptCount val="3"/>
                <c:pt idx="0">
                  <c:v>1.701190216150904</c:v>
                </c:pt>
                <c:pt idx="1">
                  <c:v>1.6442498610169356</c:v>
                </c:pt>
                <c:pt idx="2">
                  <c:v>1.6117424359762351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D-49CD-BB27-98A48CC6E552}"/>
            </c:ext>
          </c:extLst>
        </c:ser>
        <c:ser>
          <c:idx val="0"/>
          <c:order val="1"/>
          <c:tx>
            <c:strRef>
              <c:f>'ShiftShare T1'!$A$15</c:f>
              <c:strCache>
                <c:ptCount val="1"/>
                <c:pt idx="0">
                  <c:v> 32 Health and social care associate professionals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T1'!$C$15,'ShiftShare T1'!$F$15,'ShiftShare T1'!$F$50)</c:f>
              <c:numCache>
                <c:formatCode>0.0</c:formatCode>
                <c:ptCount val="3"/>
                <c:pt idx="0">
                  <c:v>1.5629349087353677</c:v>
                </c:pt>
                <c:pt idx="1">
                  <c:v>2.0419301589305197</c:v>
                </c:pt>
                <c:pt idx="2">
                  <c:v>2.3156371929795467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D-49CD-BB27-98A48CC6E552}"/>
            </c:ext>
          </c:extLst>
        </c:ser>
        <c:ser>
          <c:idx val="1"/>
          <c:order val="2"/>
          <c:tx>
            <c:strRef>
              <c:f>'ShiftShare T1'!$A$16</c:f>
              <c:strCache>
                <c:ptCount val="1"/>
                <c:pt idx="0">
                  <c:v> 33 Protective service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T1'!$C$16,'ShiftShare T1'!$F$16,'ShiftShare T1'!$F$51)</c:f>
              <c:numCache>
                <c:formatCode>0.0</c:formatCode>
                <c:ptCount val="3"/>
                <c:pt idx="0">
                  <c:v>1.2912704056644986</c:v>
                </c:pt>
                <c:pt idx="1">
                  <c:v>1.0927092176296611</c:v>
                </c:pt>
                <c:pt idx="2">
                  <c:v>1.0076661645027867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1D-49CD-BB27-98A48CC6E552}"/>
            </c:ext>
          </c:extLst>
        </c:ser>
        <c:ser>
          <c:idx val="4"/>
          <c:order val="3"/>
          <c:tx>
            <c:strRef>
              <c:f>'ShiftShare T1'!$A$17</c:f>
              <c:strCache>
                <c:ptCount val="1"/>
                <c:pt idx="0">
                  <c:v> 34 Culture, media and sports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T1'!$C$17,'ShiftShare T1'!$F$17,'ShiftShare T1'!$F$52)</c:f>
              <c:numCache>
                <c:formatCode>0.0</c:formatCode>
                <c:ptCount val="3"/>
                <c:pt idx="0">
                  <c:v>1.2282879317460293</c:v>
                </c:pt>
                <c:pt idx="1">
                  <c:v>1.7031250664202233</c:v>
                </c:pt>
                <c:pt idx="2">
                  <c:v>1.8409437629153393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1D-49CD-BB27-98A48CC6E552}"/>
            </c:ext>
          </c:extLst>
        </c:ser>
        <c:ser>
          <c:idx val="5"/>
          <c:order val="4"/>
          <c:tx>
            <c:strRef>
              <c:f>'ShiftShare T1'!$A$18</c:f>
              <c:strCache>
                <c:ptCount val="1"/>
                <c:pt idx="0">
                  <c:v> 35 Business and public service associate professionals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T1'!$C$18,'ShiftShare T1'!$F$18,'ShiftShare T1'!$F$53)</c:f>
              <c:numCache>
                <c:formatCode>0.0</c:formatCode>
                <c:ptCount val="3"/>
                <c:pt idx="0">
                  <c:v>4.5467780733702696</c:v>
                </c:pt>
                <c:pt idx="1">
                  <c:v>4.7662938730943969</c:v>
                </c:pt>
                <c:pt idx="2">
                  <c:v>5.2691712726285385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D-49CD-BB27-98A48CC6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04024"/>
        <c:axId val="320269064"/>
      </c:lineChart>
      <c:catAx>
        <c:axId val="3202040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269064"/>
        <c:crosses val="autoZero"/>
        <c:auto val="1"/>
        <c:lblAlgn val="ctr"/>
        <c:lblOffset val="100"/>
        <c:noMultiLvlLbl val="0"/>
      </c:catAx>
      <c:valAx>
        <c:axId val="3202690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204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124142788133807E-2"/>
          <c:y val="0.78352008300784759"/>
          <c:w val="0.84908255569149549"/>
          <c:h val="0.2079156866130064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847506889025924E-2"/>
          <c:y val="2.5974457843128223E-2"/>
          <c:w val="0.89314628400895379"/>
          <c:h val="0.78565359775118182"/>
        </c:manualLayout>
      </c:layout>
      <c:lineChart>
        <c:grouping val="standard"/>
        <c:varyColors val="0"/>
        <c:ser>
          <c:idx val="4"/>
          <c:order val="0"/>
          <c:tx>
            <c:strRef>
              <c:f>'ShiftShare T1'!$A$19</c:f>
              <c:strCache>
                <c:ptCount val="1"/>
                <c:pt idx="0">
                  <c:v> 41 Administrative occupations</c:v>
                </c:pt>
              </c:strCache>
            </c:strRef>
          </c:tx>
          <c:val>
            <c:numRef>
              <c:f>('ShiftShare T1'!$C$19,'ShiftShare T1'!$F$19,'ShiftShare T1'!$F$54)</c:f>
              <c:numCache>
                <c:formatCode>0.0</c:formatCode>
                <c:ptCount val="3"/>
                <c:pt idx="0">
                  <c:v>9.1387091925663331</c:v>
                </c:pt>
                <c:pt idx="1">
                  <c:v>8.336035359130161</c:v>
                </c:pt>
                <c:pt idx="2">
                  <c:v>7.6478653434315289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E-489B-AA3C-D474FCE6D67C}"/>
            </c:ext>
          </c:extLst>
        </c:ser>
        <c:ser>
          <c:idx val="1"/>
          <c:order val="1"/>
          <c:tx>
            <c:strRef>
              <c:f>'ShiftShare T1'!$A$20</c:f>
              <c:strCache>
                <c:ptCount val="1"/>
                <c:pt idx="0">
                  <c:v> 42 Secretarial and related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T1'!$C$20,'ShiftShare T1'!$F$20,'ShiftShare T1'!$F$55)</c:f>
              <c:numCache>
                <c:formatCode>0.0</c:formatCode>
                <c:ptCount val="3"/>
                <c:pt idx="0">
                  <c:v>2.7721343720805649</c:v>
                </c:pt>
                <c:pt idx="1">
                  <c:v>2.164410820585374</c:v>
                </c:pt>
                <c:pt idx="2">
                  <c:v>1.1931882950918269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E-489B-AA3C-D474FCE6D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69848"/>
        <c:axId val="320270240"/>
      </c:lineChart>
      <c:catAx>
        <c:axId val="3202698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270240"/>
        <c:crosses val="autoZero"/>
        <c:auto val="1"/>
        <c:lblAlgn val="ctr"/>
        <c:lblOffset val="100"/>
        <c:noMultiLvlLbl val="0"/>
      </c:catAx>
      <c:valAx>
        <c:axId val="3202702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269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4974248467898471E-2"/>
          <c:y val="0.89428044341365409"/>
          <c:w val="0.88541212612219578"/>
          <c:h val="9.604213968957588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098805656060376E-2"/>
          <c:y val="3.1694838332767254E-2"/>
          <c:w val="0.89724219155004581"/>
          <c:h val="0.7489724514245768"/>
        </c:manualLayout>
      </c:layout>
      <c:lineChart>
        <c:grouping val="standard"/>
        <c:varyColors val="0"/>
        <c:ser>
          <c:idx val="2"/>
          <c:order val="0"/>
          <c:tx>
            <c:strRef>
              <c:f>'ShiftShare T1'!$A$25</c:f>
              <c:strCache>
                <c:ptCount val="1"/>
                <c:pt idx="0">
                  <c:v> 61 Caring personal service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T1'!$C$25,'ShiftShare T1'!$F$25,'ShiftShare T1'!$F$60)</c:f>
              <c:numCache>
                <c:formatCode>0.0</c:formatCode>
                <c:ptCount val="3"/>
                <c:pt idx="0">
                  <c:v>7.0397645014807271</c:v>
                </c:pt>
                <c:pt idx="1">
                  <c:v>8.7617788069984837</c:v>
                </c:pt>
                <c:pt idx="2">
                  <c:v>9.9653114193608818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8-4F4F-9A85-289A2A78C237}"/>
            </c:ext>
          </c:extLst>
        </c:ser>
        <c:ser>
          <c:idx val="3"/>
          <c:order val="1"/>
          <c:tx>
            <c:strRef>
              <c:f>'ShiftShare T1'!$A$26</c:f>
              <c:strCache>
                <c:ptCount val="1"/>
                <c:pt idx="0">
                  <c:v> 62 Leisure, travel and related personal service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T1'!$C$26,'ShiftShare T1'!$F$26,'ShiftShare T1'!$F$61)</c:f>
              <c:numCache>
                <c:formatCode>0.0</c:formatCode>
                <c:ptCount val="3"/>
                <c:pt idx="0">
                  <c:v>1.9135417317992502</c:v>
                </c:pt>
                <c:pt idx="1">
                  <c:v>2.2279300936042299</c:v>
                </c:pt>
                <c:pt idx="2">
                  <c:v>2.0662016053274219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8-4F4F-9A85-289A2A78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71024"/>
        <c:axId val="320271416"/>
      </c:lineChart>
      <c:catAx>
        <c:axId val="3202710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271416"/>
        <c:crosses val="autoZero"/>
        <c:auto val="1"/>
        <c:lblAlgn val="ctr"/>
        <c:lblOffset val="100"/>
        <c:noMultiLvlLbl val="0"/>
      </c:catAx>
      <c:valAx>
        <c:axId val="3202714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271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3354350200792061E-2"/>
          <c:y val="0.84966379700769423"/>
          <c:w val="0.95131374961304194"/>
          <c:h val="0.1189338965310140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098876564146626E-2"/>
          <c:y val="3.7432015198227891E-2"/>
          <c:w val="0.89724219155004581"/>
          <c:h val="0.82011132728884228"/>
        </c:manualLayout>
      </c:layout>
      <c:lineChart>
        <c:grouping val="standard"/>
        <c:varyColors val="0"/>
        <c:ser>
          <c:idx val="0"/>
          <c:order val="0"/>
          <c:tx>
            <c:strRef>
              <c:f>'ShiftShare T1'!$A$27</c:f>
              <c:strCache>
                <c:ptCount val="1"/>
                <c:pt idx="0">
                  <c:v> 71 Sales occupations</c:v>
                </c:pt>
              </c:strCache>
            </c:strRef>
          </c:tx>
          <c:val>
            <c:numRef>
              <c:f>('ShiftShare T1'!$C$27,'ShiftShare T1'!$F$27,'ShiftShare T1'!$F$62)</c:f>
              <c:numCache>
                <c:formatCode>0.0</c:formatCode>
                <c:ptCount val="3"/>
                <c:pt idx="0">
                  <c:v>7.7876059261470818</c:v>
                </c:pt>
                <c:pt idx="1">
                  <c:v>6.3231263817690451</c:v>
                </c:pt>
                <c:pt idx="2">
                  <c:v>5.6345174847404778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0-4934-A6E0-AD279657781B}"/>
            </c:ext>
          </c:extLst>
        </c:ser>
        <c:ser>
          <c:idx val="1"/>
          <c:order val="1"/>
          <c:tx>
            <c:strRef>
              <c:f>'ShiftShare T1'!$A$28</c:f>
              <c:strCache>
                <c:ptCount val="1"/>
                <c:pt idx="0">
                  <c:v> 72 Customer service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T1'!$C$28,'ShiftShare T1'!$F$28,'ShiftShare T1'!$F$63)</c:f>
              <c:numCache>
                <c:formatCode>0.0</c:formatCode>
                <c:ptCount val="3"/>
                <c:pt idx="0">
                  <c:v>1.5386080386574035</c:v>
                </c:pt>
                <c:pt idx="1">
                  <c:v>1.8918798295678791</c:v>
                </c:pt>
                <c:pt idx="2">
                  <c:v>2.1497763901140603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0-4934-A6E0-AD2796577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72200"/>
        <c:axId val="320272592"/>
      </c:lineChart>
      <c:catAx>
        <c:axId val="3202722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272592"/>
        <c:crosses val="autoZero"/>
        <c:auto val="1"/>
        <c:lblAlgn val="ctr"/>
        <c:lblOffset val="100"/>
        <c:noMultiLvlLbl val="0"/>
      </c:catAx>
      <c:valAx>
        <c:axId val="320272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272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934200636663143"/>
          <c:y val="0.91484329410538578"/>
          <c:w val="0.71469576168901416"/>
          <c:h val="5.89124498157947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'ShiftShare T1'!$A$29</c:f>
              <c:strCache>
                <c:ptCount val="1"/>
                <c:pt idx="0">
                  <c:v> 81 Process, plant and machine operatives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T1'!$C$29,'ShiftShare T1'!$F$29,'ShiftShare T1'!$F$64)</c:f>
              <c:numCache>
                <c:formatCode>0.0</c:formatCode>
                <c:ptCount val="3"/>
                <c:pt idx="0">
                  <c:v>6.0828358635733499</c:v>
                </c:pt>
                <c:pt idx="1">
                  <c:v>5.1205665450453841</c:v>
                </c:pt>
                <c:pt idx="2">
                  <c:v>4.2280795194645444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3-4921-A6ED-19CFEF663EF3}"/>
            </c:ext>
          </c:extLst>
        </c:ser>
        <c:ser>
          <c:idx val="4"/>
          <c:order val="1"/>
          <c:tx>
            <c:strRef>
              <c:f>'ShiftShare T1'!$A$30</c:f>
              <c:strCache>
                <c:ptCount val="1"/>
                <c:pt idx="0">
                  <c:v> 82 Transport and mobile machine drivers and operatives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T1'!$C$30,'ShiftShare T1'!$F$30,'ShiftShare T1'!$F$65)</c:f>
              <c:numCache>
                <c:formatCode>0.0</c:formatCode>
                <c:ptCount val="3"/>
                <c:pt idx="0">
                  <c:v>3.2134835001147168</c:v>
                </c:pt>
                <c:pt idx="1">
                  <c:v>2.3201914210752594</c:v>
                </c:pt>
                <c:pt idx="2">
                  <c:v>2.3350517086607967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3-4921-A6ED-19CFEF663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66712"/>
        <c:axId val="320367104"/>
      </c:lineChart>
      <c:catAx>
        <c:axId val="320366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367104"/>
        <c:crosses val="autoZero"/>
        <c:auto val="1"/>
        <c:lblAlgn val="ctr"/>
        <c:lblOffset val="100"/>
        <c:noMultiLvlLbl val="0"/>
      </c:catAx>
      <c:valAx>
        <c:axId val="3203671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366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948318894961647"/>
          <c:y val="0.88079660216829048"/>
          <c:w val="0.78098456447296272"/>
          <c:h val="0.1191950843514912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056854007996878E-2"/>
          <c:y val="3.1694845457226499E-2"/>
          <c:w val="0.89366434465146449"/>
          <c:h val="0.69172816728167286"/>
        </c:manualLayout>
      </c:layout>
      <c:lineChart>
        <c:grouping val="standard"/>
        <c:varyColors val="0"/>
        <c:ser>
          <c:idx val="2"/>
          <c:order val="0"/>
          <c:tx>
            <c:strRef>
              <c:f>'ShiftShare T1'!$A$10</c:f>
              <c:strCache>
                <c:ptCount val="1"/>
                <c:pt idx="0">
                  <c:v> 21 Science, research, engineering and technology professionals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T1'!$C$10,'ShiftShare T1'!$F$10,'ShiftShare T1'!$F$45)</c:f>
              <c:numCache>
                <c:formatCode>0.0</c:formatCode>
                <c:ptCount val="3"/>
                <c:pt idx="0">
                  <c:v>2.7966632658315822</c:v>
                </c:pt>
                <c:pt idx="1">
                  <c:v>3.1999377673335121</c:v>
                </c:pt>
                <c:pt idx="2">
                  <c:v>3.3927464962276348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D-49CD-BB27-98A48CC6E552}"/>
            </c:ext>
          </c:extLst>
        </c:ser>
        <c:ser>
          <c:idx val="3"/>
          <c:order val="1"/>
          <c:tx>
            <c:strRef>
              <c:f>'ShiftShare T1'!$A$11</c:f>
              <c:strCache>
                <c:ptCount val="1"/>
                <c:pt idx="0">
                  <c:v> 22 Health professionals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T1'!$C$11,'ShiftShare T1'!$F$11,'ShiftShare T1'!$F$46)</c:f>
              <c:numCache>
                <c:formatCode>0.0</c:formatCode>
                <c:ptCount val="3"/>
                <c:pt idx="0">
                  <c:v>4.6784861093824972</c:v>
                </c:pt>
                <c:pt idx="1">
                  <c:v>6.3042204199466214</c:v>
                </c:pt>
                <c:pt idx="2">
                  <c:v>7.1612099960167246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D-49CD-BB27-98A48CC6E552}"/>
            </c:ext>
          </c:extLst>
        </c:ser>
        <c:ser>
          <c:idx val="0"/>
          <c:order val="2"/>
          <c:tx>
            <c:strRef>
              <c:f>'ShiftShare T1'!$A$12</c:f>
              <c:strCache>
                <c:ptCount val="1"/>
                <c:pt idx="0">
                  <c:v> 23 Teaching and educational professionals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T1'!$C$12,'ShiftShare T1'!$F$12,'ShiftShare T1'!$F$47)</c:f>
              <c:numCache>
                <c:formatCode>0.0</c:formatCode>
                <c:ptCount val="3"/>
                <c:pt idx="0">
                  <c:v>5.2462246624871938</c:v>
                </c:pt>
                <c:pt idx="1">
                  <c:v>6.12588359496816</c:v>
                </c:pt>
                <c:pt idx="2">
                  <c:v>6.6443103620337522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D-49CD-BB27-98A48CC6E552}"/>
            </c:ext>
          </c:extLst>
        </c:ser>
        <c:ser>
          <c:idx val="1"/>
          <c:order val="3"/>
          <c:tx>
            <c:strRef>
              <c:f>'ShiftShare T1'!$A$13</c:f>
              <c:strCache>
                <c:ptCount val="1"/>
                <c:pt idx="0">
                  <c:v> 24 Business, media and public service professionals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T1'!$C$13,'ShiftShare T1'!$F$13,'ShiftShare T1'!$F$48)</c:f>
              <c:numCache>
                <c:formatCode>0.0</c:formatCode>
                <c:ptCount val="3"/>
                <c:pt idx="0">
                  <c:v>2.9696630808000508</c:v>
                </c:pt>
                <c:pt idx="1">
                  <c:v>3.1266472514945187</c:v>
                </c:pt>
                <c:pt idx="2">
                  <c:v>3.4983121606286276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8-46B4-8BF5-03AE8948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67888"/>
        <c:axId val="320368280"/>
      </c:lineChart>
      <c:catAx>
        <c:axId val="320367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368280"/>
        <c:crosses val="autoZero"/>
        <c:auto val="1"/>
        <c:lblAlgn val="ctr"/>
        <c:lblOffset val="100"/>
        <c:noMultiLvlLbl val="0"/>
      </c:catAx>
      <c:valAx>
        <c:axId val="3203682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367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124142788133807E-2"/>
          <c:y val="0.78352008300784759"/>
          <c:w val="0.67585879198024412"/>
          <c:h val="0.2164798207425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847506889025924E-2"/>
          <c:y val="2.5974457843128223E-2"/>
          <c:w val="0.89314628400895379"/>
          <c:h val="0.68242781751896942"/>
        </c:manualLayout>
      </c:layout>
      <c:lineChart>
        <c:grouping val="standard"/>
        <c:varyColors val="0"/>
        <c:ser>
          <c:idx val="2"/>
          <c:order val="0"/>
          <c:tx>
            <c:strRef>
              <c:f>'ShiftShare T1'!$A$21</c:f>
              <c:strCache>
                <c:ptCount val="1"/>
                <c:pt idx="0">
                  <c:v> 51 Skilled agricultural and related trades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T1'!$C$21,'ShiftShare T1'!$F$21,'ShiftShare T1'!$F$56)</c:f>
              <c:numCache>
                <c:formatCode>0.0</c:formatCode>
                <c:ptCount val="3"/>
                <c:pt idx="0">
                  <c:v>1.9171693337139826</c:v>
                </c:pt>
                <c:pt idx="1">
                  <c:v>2.9182350552050855</c:v>
                </c:pt>
                <c:pt idx="2">
                  <c:v>2.7761359308011473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E-489B-AA3C-D474FCE6D67C}"/>
            </c:ext>
          </c:extLst>
        </c:ser>
        <c:ser>
          <c:idx val="3"/>
          <c:order val="1"/>
          <c:tx>
            <c:strRef>
              <c:f>'ShiftShare T1'!$A$22</c:f>
              <c:strCache>
                <c:ptCount val="1"/>
                <c:pt idx="0">
                  <c:v> 52 Skilled metal, electrical and electronic trades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T1'!$C$22,'ShiftShare T1'!$F$22,'ShiftShare T1'!$F$57)</c:f>
              <c:numCache>
                <c:formatCode>0.0</c:formatCode>
                <c:ptCount val="3"/>
                <c:pt idx="0">
                  <c:v>4.5834358430302506</c:v>
                </c:pt>
                <c:pt idx="1">
                  <c:v>3.9416854352137398</c:v>
                </c:pt>
                <c:pt idx="2">
                  <c:v>3.3658909300012878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4E-489B-AA3C-D474FCE6D67C}"/>
            </c:ext>
          </c:extLst>
        </c:ser>
        <c:ser>
          <c:idx val="0"/>
          <c:order val="2"/>
          <c:tx>
            <c:strRef>
              <c:f>'ShiftShare T1'!$A$23</c:f>
              <c:strCache>
                <c:ptCount val="1"/>
                <c:pt idx="0">
                  <c:v> 53 Skilled construction and building trades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T1'!$C$23,'ShiftShare T1'!$F$23,'ShiftShare T1'!$F$58)</c:f>
              <c:numCache>
                <c:formatCode>0.0</c:formatCode>
                <c:ptCount val="3"/>
                <c:pt idx="0">
                  <c:v>4.4127638196531027</c:v>
                </c:pt>
                <c:pt idx="1">
                  <c:v>3.6350187634131239</c:v>
                </c:pt>
                <c:pt idx="2">
                  <c:v>3.5601337888246216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4E-489B-AA3C-D474FCE6D67C}"/>
            </c:ext>
          </c:extLst>
        </c:ser>
        <c:ser>
          <c:idx val="1"/>
          <c:order val="3"/>
          <c:tx>
            <c:strRef>
              <c:f>'ShiftShare T1'!$A$24</c:f>
              <c:strCache>
                <c:ptCount val="1"/>
                <c:pt idx="0">
                  <c:v> 54 Textiles, printing and other skilled trades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T1'!$C$24,'ShiftShare T1'!$F$24,'ShiftShare T1'!$F$59)</c:f>
              <c:numCache>
                <c:formatCode>0.0</c:formatCode>
                <c:ptCount val="3"/>
                <c:pt idx="0">
                  <c:v>2.757468031198584</c:v>
                </c:pt>
                <c:pt idx="1">
                  <c:v>2.8836244519183367</c:v>
                </c:pt>
                <c:pt idx="2">
                  <c:v>2.4306815507811832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E-4A90-85D0-2B206F59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69064"/>
        <c:axId val="320369456"/>
      </c:lineChart>
      <c:catAx>
        <c:axId val="3203690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369456"/>
        <c:crosses val="autoZero"/>
        <c:auto val="1"/>
        <c:lblAlgn val="ctr"/>
        <c:lblOffset val="100"/>
        <c:noMultiLvlLbl val="0"/>
      </c:catAx>
      <c:valAx>
        <c:axId val="3203694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369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1071051195981773E-2"/>
          <c:y val="0.80073229115401567"/>
          <c:w val="0.53487078385524123"/>
          <c:h val="0.1992679199217881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'ShiftShare T1'!$A$31</c:f>
              <c:strCache>
                <c:ptCount val="1"/>
                <c:pt idx="0">
                  <c:v> 91 Elementary trades and related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T1'!$C$31,'ShiftShare T1'!$F$31,'ShiftShare T1'!$F$66)</c:f>
              <c:numCache>
                <c:formatCode>0.0</c:formatCode>
                <c:ptCount val="3"/>
                <c:pt idx="0">
                  <c:v>2.2467467677864699</c:v>
                </c:pt>
                <c:pt idx="1">
                  <c:v>1.9613258691927815</c:v>
                </c:pt>
                <c:pt idx="2">
                  <c:v>1.9154176459887318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3-4921-A6ED-19CFEF663EF3}"/>
            </c:ext>
          </c:extLst>
        </c:ser>
        <c:ser>
          <c:idx val="4"/>
          <c:order val="1"/>
          <c:tx>
            <c:strRef>
              <c:f>'ShiftShare T1'!$A$32</c:f>
              <c:strCache>
                <c:ptCount val="1"/>
                <c:pt idx="0">
                  <c:v> 92 Elementary administration and service occupations</c:v>
                </c:pt>
              </c:strCache>
            </c:strRef>
          </c:tx>
          <c:cat>
            <c:numRef>
              <c:f>('ShiftShare T1'!$C$4,'ShiftShare T1'!$F$4,'ShiftShare T1'!$F$39)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('ShiftShare T1'!$C$32,'ShiftShare T1'!$F$32,'ShiftShare T1'!$F$67)</c:f>
              <c:numCache>
                <c:formatCode>0.0</c:formatCode>
                <c:ptCount val="3"/>
                <c:pt idx="0">
                  <c:v>11.734756234734848</c:v>
                </c:pt>
                <c:pt idx="1">
                  <c:v>9.5739805609714228</c:v>
                </c:pt>
                <c:pt idx="2">
                  <c:v>9.2772308299102448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3-4921-A6ED-19CFEF663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597792"/>
        <c:axId val="320598184"/>
      </c:lineChart>
      <c:catAx>
        <c:axId val="320597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20598184"/>
        <c:crosses val="autoZero"/>
        <c:auto val="1"/>
        <c:lblAlgn val="ctr"/>
        <c:lblOffset val="100"/>
        <c:noMultiLvlLbl val="0"/>
      </c:catAx>
      <c:valAx>
        <c:axId val="3205981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59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948318894961647"/>
          <c:y val="0.88079660216829048"/>
          <c:w val="0.78098456447296272"/>
          <c:h val="0.1191950843514912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195838515216912"/>
          <c:y val="3.420523138833001E-2"/>
          <c:w val="0.71932160735152795"/>
          <c:h val="0.837022132796780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'RD F1'!$P$5</c:f>
              <c:strCache>
                <c:ptCount val="1"/>
                <c:pt idx="0">
                  <c:v>Net Change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'RD F1'!$O$7:$O$15</c:f>
              <c:strCache>
                <c:ptCount val="9"/>
                <c:pt idx="0">
                  <c:v>Elementary occupations</c:v>
                </c:pt>
                <c:pt idx="1">
                  <c:v>Process, plant and machine operatives</c:v>
                </c:pt>
                <c:pt idx="2">
                  <c:v>Sales and customer service</c:v>
                </c:pt>
                <c:pt idx="3">
                  <c:v>Caring, leisure and other service</c:v>
                </c:pt>
                <c:pt idx="4">
                  <c:v>Skilled trades occupations</c:v>
                </c:pt>
                <c:pt idx="5">
                  <c:v>Administrative and secretarial</c:v>
                </c:pt>
                <c:pt idx="6">
                  <c:v>Associate professional and technical</c:v>
                </c:pt>
                <c:pt idx="7">
                  <c:v>Professional occupations</c:v>
                </c:pt>
                <c:pt idx="8">
                  <c:v>Managers, directors and senior officials</c:v>
                </c:pt>
              </c:strCache>
            </c:strRef>
          </c:cat>
          <c:val>
            <c:numRef>
              <c:f>'RD F1'!$P$7:$P$15</c:f>
              <c:numCache>
                <c:formatCode>#,##0</c:formatCode>
                <c:ptCount val="9"/>
                <c:pt idx="0">
                  <c:v>-0.83048577724795791</c:v>
                </c:pt>
                <c:pt idx="1">
                  <c:v>-10.838855876154923</c:v>
                </c:pt>
                <c:pt idx="2">
                  <c:v>-3.5208412935990765</c:v>
                </c:pt>
                <c:pt idx="3">
                  <c:v>20.679082997166262</c:v>
                </c:pt>
                <c:pt idx="4">
                  <c:v>-14.274632203557672</c:v>
                </c:pt>
                <c:pt idx="5">
                  <c:v>-21.900198867512131</c:v>
                </c:pt>
                <c:pt idx="6">
                  <c:v>16.937292365536223</c:v>
                </c:pt>
                <c:pt idx="7">
                  <c:v>37.832803663230493</c:v>
                </c:pt>
                <c:pt idx="8">
                  <c:v>15.328834993180209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C-463B-A3CC-2301F74E2AFA}"/>
            </c:ext>
          </c:extLst>
        </c:ser>
        <c:ser>
          <c:idx val="1"/>
          <c:order val="1"/>
          <c:tx>
            <c:strRef>
              <c:f>'RD F1'!$Q$5</c:f>
              <c:strCache>
                <c:ptCount val="1"/>
                <c:pt idx="0">
                  <c:v>Total Requirement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'RD F1'!$O$7:$O$15</c:f>
              <c:strCache>
                <c:ptCount val="9"/>
                <c:pt idx="0">
                  <c:v>Elementary occupations</c:v>
                </c:pt>
                <c:pt idx="1">
                  <c:v>Process, plant and machine operatives</c:v>
                </c:pt>
                <c:pt idx="2">
                  <c:v>Sales and customer service</c:v>
                </c:pt>
                <c:pt idx="3">
                  <c:v>Caring, leisure and other service</c:v>
                </c:pt>
                <c:pt idx="4">
                  <c:v>Skilled trades occupations</c:v>
                </c:pt>
                <c:pt idx="5">
                  <c:v>Administrative and secretarial</c:v>
                </c:pt>
                <c:pt idx="6">
                  <c:v>Associate professional and technical</c:v>
                </c:pt>
                <c:pt idx="7">
                  <c:v>Professional occupations</c:v>
                </c:pt>
                <c:pt idx="8">
                  <c:v>Managers, directors and senior officials</c:v>
                </c:pt>
              </c:strCache>
            </c:strRef>
          </c:cat>
          <c:val>
            <c:numRef>
              <c:f>'RD F1'!$Q$7:$Q$15</c:f>
              <c:numCache>
                <c:formatCode>#,##0</c:formatCode>
                <c:ptCount val="9"/>
                <c:pt idx="0">
                  <c:v>54.908583444048475</c:v>
                </c:pt>
                <c:pt idx="1">
                  <c:v>21.059461248847324</c:v>
                </c:pt>
                <c:pt idx="2">
                  <c:v>36.420716708350795</c:v>
                </c:pt>
                <c:pt idx="3">
                  <c:v>85.687342501351708</c:v>
                </c:pt>
                <c:pt idx="4">
                  <c:v>42.609750205321191</c:v>
                </c:pt>
                <c:pt idx="5">
                  <c:v>28.220395441305229</c:v>
                </c:pt>
                <c:pt idx="6">
                  <c:v>73.432760771548359</c:v>
                </c:pt>
                <c:pt idx="7">
                  <c:v>138.18971199335004</c:v>
                </c:pt>
                <c:pt idx="8">
                  <c:v>62.351918496649759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C-463B-A3CC-2301F74E2A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313683184"/>
        <c:axId val="313683576"/>
      </c:barChart>
      <c:catAx>
        <c:axId val="313683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12700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68357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spPr>
          <a:ln w="12700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31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3387492920127439"/>
          <c:y val="0.94214950973126332"/>
          <c:w val="0.55287045856034256"/>
          <c:h val="4.024144869215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32874972819527E-2"/>
          <c:y val="7.3221832118928271E-2"/>
          <c:w val="0.8795569405248217"/>
          <c:h val="0.7719673157681296"/>
        </c:manualLayout>
      </c:layout>
      <c:areaChart>
        <c:grouping val="stacked"/>
        <c:varyColors val="0"/>
        <c:ser>
          <c:idx val="1"/>
          <c:order val="0"/>
          <c:tx>
            <c:strRef>
              <c:f>'Ind F2'!$L$19</c:f>
              <c:strCache>
                <c:ptCount val="1"/>
                <c:pt idx="0">
                  <c:v>Wholesale and retail trade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F2'!$M$19:$AG$19</c:f>
              <c:numCache>
                <c:formatCode>#,##0</c:formatCode>
                <c:ptCount val="21"/>
                <c:pt idx="0">
                  <c:v>212.9010000000618</c:v>
                </c:pt>
                <c:pt idx="1">
                  <c:v>220.11000000281945</c:v>
                </c:pt>
                <c:pt idx="2">
                  <c:v>208.7880000015212</c:v>
                </c:pt>
                <c:pt idx="3">
                  <c:v>211.20799999823069</c:v>
                </c:pt>
                <c:pt idx="4">
                  <c:v>204.13300000019859</c:v>
                </c:pt>
                <c:pt idx="5">
                  <c:v>200.64199999911983</c:v>
                </c:pt>
                <c:pt idx="6">
                  <c:v>207.19800000201926</c:v>
                </c:pt>
                <c:pt idx="7">
                  <c:v>192.91799999859131</c:v>
                </c:pt>
                <c:pt idx="8">
                  <c:v>204.64500000140964</c:v>
                </c:pt>
                <c:pt idx="9">
                  <c:v>204.04400000241165</c:v>
                </c:pt>
                <c:pt idx="10">
                  <c:v>201.97900000434544</c:v>
                </c:pt>
                <c:pt idx="11">
                  <c:v>201.80800000153559</c:v>
                </c:pt>
                <c:pt idx="12">
                  <c:v>202.03900000237243</c:v>
                </c:pt>
                <c:pt idx="13">
                  <c:v>202.40200000380113</c:v>
                </c:pt>
                <c:pt idx="14">
                  <c:v>202.28600000157576</c:v>
                </c:pt>
                <c:pt idx="15">
                  <c:v>202.46000000162195</c:v>
                </c:pt>
                <c:pt idx="16">
                  <c:v>202.72400000225088</c:v>
                </c:pt>
                <c:pt idx="17">
                  <c:v>203.01200000229031</c:v>
                </c:pt>
                <c:pt idx="18">
                  <c:v>203.31000000257359</c:v>
                </c:pt>
                <c:pt idx="19">
                  <c:v>203.58300000126567</c:v>
                </c:pt>
                <c:pt idx="20">
                  <c:v>203.89500000126876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F-44B2-8BA6-32F17547BDD2}"/>
            </c:ext>
          </c:extLst>
        </c:ser>
        <c:ser>
          <c:idx val="2"/>
          <c:order val="1"/>
          <c:tx>
            <c:strRef>
              <c:f>'Ind F2'!$L$20</c:f>
              <c:strCache>
                <c:ptCount val="1"/>
                <c:pt idx="0">
                  <c:v>Transport and storage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F2'!$M$20:$AG$20</c:f>
              <c:numCache>
                <c:formatCode>#,##0</c:formatCode>
                <c:ptCount val="21"/>
                <c:pt idx="0">
                  <c:v>49.102000000026393</c:v>
                </c:pt>
                <c:pt idx="1">
                  <c:v>53.409000000698335</c:v>
                </c:pt>
                <c:pt idx="2">
                  <c:v>53.083000001063525</c:v>
                </c:pt>
                <c:pt idx="3">
                  <c:v>49.542999999775013</c:v>
                </c:pt>
                <c:pt idx="4">
                  <c:v>55.802999999860901</c:v>
                </c:pt>
                <c:pt idx="5">
                  <c:v>44.79399999970483</c:v>
                </c:pt>
                <c:pt idx="6">
                  <c:v>44.929000000552584</c:v>
                </c:pt>
                <c:pt idx="7">
                  <c:v>52.948999999808422</c:v>
                </c:pt>
                <c:pt idx="8">
                  <c:v>54.078999999409646</c:v>
                </c:pt>
                <c:pt idx="9">
                  <c:v>45.154999999981065</c:v>
                </c:pt>
                <c:pt idx="10">
                  <c:v>40.442000000595684</c:v>
                </c:pt>
                <c:pt idx="11">
                  <c:v>39.553000000062752</c:v>
                </c:pt>
                <c:pt idx="12">
                  <c:v>39.492000000000452</c:v>
                </c:pt>
                <c:pt idx="13">
                  <c:v>39.431000000435148</c:v>
                </c:pt>
                <c:pt idx="14">
                  <c:v>39.464999999800277</c:v>
                </c:pt>
                <c:pt idx="15">
                  <c:v>39.508999999785857</c:v>
                </c:pt>
                <c:pt idx="16">
                  <c:v>39.581999999766396</c:v>
                </c:pt>
                <c:pt idx="17">
                  <c:v>39.689999999801991</c:v>
                </c:pt>
                <c:pt idx="18">
                  <c:v>39.800999999618995</c:v>
                </c:pt>
                <c:pt idx="19">
                  <c:v>39.91599999962726</c:v>
                </c:pt>
                <c:pt idx="20">
                  <c:v>40.036999999636869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F-44B2-8BA6-32F17547BDD2}"/>
            </c:ext>
          </c:extLst>
        </c:ser>
        <c:ser>
          <c:idx val="3"/>
          <c:order val="2"/>
          <c:tx>
            <c:strRef>
              <c:f>'Ind F2'!$L$21</c:f>
              <c:strCache>
                <c:ptCount val="1"/>
                <c:pt idx="0">
                  <c:v>Accommodation and food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F2'!$M$21:$AG$21</c:f>
              <c:numCache>
                <c:formatCode>#,##0</c:formatCode>
                <c:ptCount val="21"/>
                <c:pt idx="0">
                  <c:v>96.099999999428334</c:v>
                </c:pt>
                <c:pt idx="1">
                  <c:v>100.09700000085519</c:v>
                </c:pt>
                <c:pt idx="2">
                  <c:v>90.004999999481171</c:v>
                </c:pt>
                <c:pt idx="3">
                  <c:v>100.90899999848544</c:v>
                </c:pt>
                <c:pt idx="4">
                  <c:v>87.109999999450253</c:v>
                </c:pt>
                <c:pt idx="5">
                  <c:v>99.764999998870479</c:v>
                </c:pt>
                <c:pt idx="6">
                  <c:v>94.144000000045693</c:v>
                </c:pt>
                <c:pt idx="7">
                  <c:v>88.705999998762564</c:v>
                </c:pt>
                <c:pt idx="8">
                  <c:v>102.03400000044883</c:v>
                </c:pt>
                <c:pt idx="9">
                  <c:v>124.49500000088804</c:v>
                </c:pt>
                <c:pt idx="10">
                  <c:v>138.07300000208028</c:v>
                </c:pt>
                <c:pt idx="11">
                  <c:v>137.37200000048855</c:v>
                </c:pt>
                <c:pt idx="12">
                  <c:v>137.37500000113178</c:v>
                </c:pt>
                <c:pt idx="13">
                  <c:v>137.56000000176005</c:v>
                </c:pt>
                <c:pt idx="14">
                  <c:v>138.28000000079743</c:v>
                </c:pt>
                <c:pt idx="15">
                  <c:v>139.20400000087986</c:v>
                </c:pt>
                <c:pt idx="16">
                  <c:v>140.23300000121921</c:v>
                </c:pt>
                <c:pt idx="17">
                  <c:v>141.09700000135072</c:v>
                </c:pt>
                <c:pt idx="18">
                  <c:v>142.10200000168609</c:v>
                </c:pt>
                <c:pt idx="19">
                  <c:v>143.14700000076286</c:v>
                </c:pt>
                <c:pt idx="20">
                  <c:v>143.93700000091351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2F-44B2-8BA6-32F17547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599792"/>
        <c:axId val="253600184"/>
      </c:areaChart>
      <c:catAx>
        <c:axId val="253599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60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00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7.9239364011245532E-3"/>
              <c:y val="1.04602617312754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5997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427915780318149"/>
          <c:y val="0.93514739877602659"/>
          <c:w val="0.55467554807872665"/>
          <c:h val="4.60251516176120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195838515216912"/>
          <c:y val="3.420523138833001E-2"/>
          <c:w val="0.71932160735152795"/>
          <c:h val="0.881601233118707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'RD F1'!$P$5</c:f>
              <c:strCache>
                <c:ptCount val="1"/>
                <c:pt idx="0">
                  <c:v>Net Change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'RD F1'!$O$37:$O$61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'RD F1'!$P$37:$P$61</c:f>
              <c:numCache>
                <c:formatCode>#,##0</c:formatCode>
                <c:ptCount val="25"/>
                <c:pt idx="0">
                  <c:v>10.960331293600007</c:v>
                </c:pt>
                <c:pt idx="1">
                  <c:v>4.3685036995802093</c:v>
                </c:pt>
                <c:pt idx="2">
                  <c:v>4.2866939877258972</c:v>
                </c:pt>
                <c:pt idx="3">
                  <c:v>15.932331434701936</c:v>
                </c:pt>
                <c:pt idx="4">
                  <c:v>10.549407354924554</c:v>
                </c:pt>
                <c:pt idx="5">
                  <c:v>7.064370885878084</c:v>
                </c:pt>
                <c:pt idx="6">
                  <c:v>0.13795046100521091</c:v>
                </c:pt>
                <c:pt idx="7">
                  <c:v>5.0997228109638577</c:v>
                </c:pt>
                <c:pt idx="8">
                  <c:v>-0.9038031440884069</c:v>
                </c:pt>
                <c:pt idx="9">
                  <c:v>2.8338664568018501</c:v>
                </c:pt>
                <c:pt idx="10">
                  <c:v>9.7695557808537075</c:v>
                </c:pt>
                <c:pt idx="11">
                  <c:v>-7.5130964642708449</c:v>
                </c:pt>
                <c:pt idx="12">
                  <c:v>-14.387102403241297</c:v>
                </c:pt>
                <c:pt idx="13">
                  <c:v>-1.0796171110473054</c:v>
                </c:pt>
                <c:pt idx="14">
                  <c:v>-7.4816754306663782</c:v>
                </c:pt>
                <c:pt idx="15">
                  <c:v>0.25759514296083807</c:v>
                </c:pt>
                <c:pt idx="16">
                  <c:v>-5.970934804804827</c:v>
                </c:pt>
                <c:pt idx="17">
                  <c:v>22.338788680701697</c:v>
                </c:pt>
                <c:pt idx="18">
                  <c:v>-1.6597056835354351</c:v>
                </c:pt>
                <c:pt idx="19">
                  <c:v>-8.3133310868705621</c:v>
                </c:pt>
                <c:pt idx="20">
                  <c:v>4.7924897932714821</c:v>
                </c:pt>
                <c:pt idx="21">
                  <c:v>-11.986496541482367</c:v>
                </c:pt>
                <c:pt idx="22">
                  <c:v>1.1476406653274438</c:v>
                </c:pt>
                <c:pt idx="23">
                  <c:v>5.2637921546835997E-2</c:v>
                </c:pt>
                <c:pt idx="24">
                  <c:v>-0.88312369879480457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9-4190-A82C-A7B3F7C4586D}"/>
            </c:ext>
          </c:extLst>
        </c:ser>
        <c:ser>
          <c:idx val="1"/>
          <c:order val="1"/>
          <c:tx>
            <c:strRef>
              <c:f>'RD F1'!$Q$5</c:f>
              <c:strCache>
                <c:ptCount val="1"/>
                <c:pt idx="0">
                  <c:v>Total Requirement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'RD F1'!$O$37:$O$61</c:f>
              <c:strCache>
                <c:ptCount val="25"/>
                <c:pt idx="0">
                  <c:v> 11 Corporate managers and directors</c:v>
                </c:pt>
                <c:pt idx="1">
                  <c:v> 12 Other managers and proprietors</c:v>
                </c:pt>
                <c:pt idx="2">
                  <c:v> 21 Science, research, engineering and technology professionals</c:v>
                </c:pt>
                <c:pt idx="3">
                  <c:v> 22 Health professionals</c:v>
                </c:pt>
                <c:pt idx="4">
                  <c:v> 23 Teaching and educational professionals</c:v>
                </c:pt>
                <c:pt idx="5">
                  <c:v> 24 Business, media and public service professionals</c:v>
                </c:pt>
                <c:pt idx="6">
                  <c:v> 31 Science, engineering and technology associate professionals</c:v>
                </c:pt>
                <c:pt idx="7">
                  <c:v> 32 Health and social care associate professionals</c:v>
                </c:pt>
                <c:pt idx="8">
                  <c:v> 33 Protective service occupations</c:v>
                </c:pt>
                <c:pt idx="9">
                  <c:v> 34 Culture, media and sports occupations</c:v>
                </c:pt>
                <c:pt idx="10">
                  <c:v> 35 Business and public service associate professionals</c:v>
                </c:pt>
                <c:pt idx="11">
                  <c:v> 41 Administrative occupations</c:v>
                </c:pt>
                <c:pt idx="12">
                  <c:v> 42 Secretarial and related occupations</c:v>
                </c:pt>
                <c:pt idx="13">
                  <c:v> 51 Skilled agricultural and related trades</c:v>
                </c:pt>
                <c:pt idx="14">
                  <c:v> 52 Skilled metal, electrical and electronic trades</c:v>
                </c:pt>
                <c:pt idx="15">
                  <c:v> 53 Skilled construction and building trades</c:v>
                </c:pt>
                <c:pt idx="16">
                  <c:v> 54 Textiles, printing and other skilled trades</c:v>
                </c:pt>
                <c:pt idx="17">
                  <c:v> 61 Caring personal service occupations</c:v>
                </c:pt>
                <c:pt idx="18">
                  <c:v> 62 Leisure, travel and related personal service occupations</c:v>
                </c:pt>
                <c:pt idx="19">
                  <c:v> 71 Sales occupations</c:v>
                </c:pt>
                <c:pt idx="20">
                  <c:v> 72 Customer service occupations</c:v>
                </c:pt>
                <c:pt idx="21">
                  <c:v> 81 Process, plant and machine operatives</c:v>
                </c:pt>
                <c:pt idx="22">
                  <c:v> 82 Transport and mobile machine drivers and operatives</c:v>
                </c:pt>
                <c:pt idx="23">
                  <c:v> 91 Elementary trades and related occupations</c:v>
                </c:pt>
                <c:pt idx="24">
                  <c:v> 92 Elementary administration and service occupations</c:v>
                </c:pt>
              </c:strCache>
            </c:strRef>
          </c:cat>
          <c:val>
            <c:numRef>
              <c:f>'RD F1'!$Q$37:$Q$61</c:f>
              <c:numCache>
                <c:formatCode>#,##0</c:formatCode>
                <c:ptCount val="25"/>
                <c:pt idx="0">
                  <c:v>39.367410091413021</c:v>
                </c:pt>
                <c:pt idx="1">
                  <c:v>22.984508405236738</c:v>
                </c:pt>
                <c:pt idx="2">
                  <c:v>17.022916580487195</c:v>
                </c:pt>
                <c:pt idx="3">
                  <c:v>52.994272794840981</c:v>
                </c:pt>
                <c:pt idx="4">
                  <c:v>43.817629307267275</c:v>
                </c:pt>
                <c:pt idx="5">
                  <c:v>24.354893310754562</c:v>
                </c:pt>
                <c:pt idx="6">
                  <c:v>6.8530605676687211</c:v>
                </c:pt>
                <c:pt idx="7">
                  <c:v>17.96148592238368</c:v>
                </c:pt>
                <c:pt idx="8">
                  <c:v>2.7171458451239849</c:v>
                </c:pt>
                <c:pt idx="9">
                  <c:v>11.722318065501387</c:v>
                </c:pt>
                <c:pt idx="10">
                  <c:v>34.178750370870588</c:v>
                </c:pt>
                <c:pt idx="11">
                  <c:v>33.936684290838421</c:v>
                </c:pt>
                <c:pt idx="12">
                  <c:v>-5.7162888495332052</c:v>
                </c:pt>
                <c:pt idx="13">
                  <c:v>14.319380697708771</c:v>
                </c:pt>
                <c:pt idx="14">
                  <c:v>6.9361560413975294</c:v>
                </c:pt>
                <c:pt idx="15">
                  <c:v>16.123377410617749</c:v>
                </c:pt>
                <c:pt idx="16">
                  <c:v>5.2308360555971429</c:v>
                </c:pt>
                <c:pt idx="17">
                  <c:v>76.249915404136459</c:v>
                </c:pt>
                <c:pt idx="18">
                  <c:v>9.4374270972152488</c:v>
                </c:pt>
                <c:pt idx="19">
                  <c:v>21.906769739254948</c:v>
                </c:pt>
                <c:pt idx="20">
                  <c:v>14.513946969095848</c:v>
                </c:pt>
                <c:pt idx="21">
                  <c:v>6.9556807342646039</c:v>
                </c:pt>
                <c:pt idx="22">
                  <c:v>14.10378051458272</c:v>
                </c:pt>
                <c:pt idx="23">
                  <c:v>8.5132509935500646</c:v>
                </c:pt>
                <c:pt idx="24">
                  <c:v>46.395332450498401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9-4190-A82C-A7B3F7C458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313683184"/>
        <c:axId val="313683576"/>
      </c:barChart>
      <c:catAx>
        <c:axId val="3136831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12700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68357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12700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683184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1775285466260869"/>
          <c:y val="0.9476861167002012"/>
          <c:w val="0.55287045856034256"/>
          <c:h val="4.024144869215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05432017565845E-2"/>
          <c:y val="7.337541227605042E-2"/>
          <c:w val="0.87381770767952038"/>
          <c:h val="0.7777793701261565"/>
        </c:manualLayout>
      </c:layout>
      <c:areaChart>
        <c:grouping val="stacked"/>
        <c:varyColors val="0"/>
        <c:ser>
          <c:idx val="1"/>
          <c:order val="0"/>
          <c:tx>
            <c:strRef>
              <c:f>'Ind F2'!$L$24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F2'!$M$24:$AG$24</c:f>
              <c:numCache>
                <c:formatCode>#,##0</c:formatCode>
                <c:ptCount val="21"/>
                <c:pt idx="0">
                  <c:v>11.754999999961091</c:v>
                </c:pt>
                <c:pt idx="1">
                  <c:v>10.333999999955813</c:v>
                </c:pt>
                <c:pt idx="2">
                  <c:v>7.5059999999698563</c:v>
                </c:pt>
                <c:pt idx="3">
                  <c:v>9.3330000000171793</c:v>
                </c:pt>
                <c:pt idx="4">
                  <c:v>9.5320000000146941</c:v>
                </c:pt>
                <c:pt idx="5">
                  <c:v>6.8449999999778317</c:v>
                </c:pt>
                <c:pt idx="6">
                  <c:v>8.4150000000312755</c:v>
                </c:pt>
                <c:pt idx="7">
                  <c:v>11.06200000004967</c:v>
                </c:pt>
                <c:pt idx="8">
                  <c:v>9.3259999999784089</c:v>
                </c:pt>
                <c:pt idx="9">
                  <c:v>8.0509999999734205</c:v>
                </c:pt>
                <c:pt idx="10">
                  <c:v>8.7239999999658</c:v>
                </c:pt>
                <c:pt idx="11">
                  <c:v>8.5829999999621922</c:v>
                </c:pt>
                <c:pt idx="12">
                  <c:v>8.5899999999634691</c:v>
                </c:pt>
                <c:pt idx="13">
                  <c:v>8.5619999999578038</c:v>
                </c:pt>
                <c:pt idx="14">
                  <c:v>8.6039999999604966</c:v>
                </c:pt>
                <c:pt idx="15">
                  <c:v>8.6489999999559277</c:v>
                </c:pt>
                <c:pt idx="16">
                  <c:v>8.6909999999620595</c:v>
                </c:pt>
                <c:pt idx="17">
                  <c:v>8.7359999999530977</c:v>
                </c:pt>
                <c:pt idx="18">
                  <c:v>8.7749999999633861</c:v>
                </c:pt>
                <c:pt idx="19">
                  <c:v>8.8149999999540594</c:v>
                </c:pt>
                <c:pt idx="20">
                  <c:v>8.8549999999627378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B-4588-829A-546C63534D57}"/>
            </c:ext>
          </c:extLst>
        </c:ser>
        <c:ser>
          <c:idx val="2"/>
          <c:order val="1"/>
          <c:tx>
            <c:strRef>
              <c:f>'Ind F2'!$L$25</c:f>
              <c:strCache>
                <c:ptCount val="1"/>
                <c:pt idx="0">
                  <c:v>Information technology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F2'!$M$25:$AG$25</c:f>
              <c:numCache>
                <c:formatCode>#,##0</c:formatCode>
                <c:ptCount val="21"/>
                <c:pt idx="0">
                  <c:v>21.024999999846443</c:v>
                </c:pt>
                <c:pt idx="1">
                  <c:v>20.481999999820498</c:v>
                </c:pt>
                <c:pt idx="2">
                  <c:v>20.893999999650323</c:v>
                </c:pt>
                <c:pt idx="3">
                  <c:v>17.983000000197894</c:v>
                </c:pt>
                <c:pt idx="4">
                  <c:v>17.92000000014848</c:v>
                </c:pt>
                <c:pt idx="5">
                  <c:v>20.421000000217287</c:v>
                </c:pt>
                <c:pt idx="6">
                  <c:v>16.779999999853743</c:v>
                </c:pt>
                <c:pt idx="7">
                  <c:v>21.803000000275215</c:v>
                </c:pt>
                <c:pt idx="8">
                  <c:v>20.186000000225292</c:v>
                </c:pt>
                <c:pt idx="9">
                  <c:v>22.877000000101692</c:v>
                </c:pt>
                <c:pt idx="10">
                  <c:v>28.974999999652741</c:v>
                </c:pt>
                <c:pt idx="11">
                  <c:v>29.196000000118897</c:v>
                </c:pt>
                <c:pt idx="12">
                  <c:v>29.316000000201523</c:v>
                </c:pt>
                <c:pt idx="13">
                  <c:v>29.278999999592401</c:v>
                </c:pt>
                <c:pt idx="14">
                  <c:v>29.393000000245181</c:v>
                </c:pt>
                <c:pt idx="15">
                  <c:v>29.542000000157678</c:v>
                </c:pt>
                <c:pt idx="16">
                  <c:v>29.728000000147283</c:v>
                </c:pt>
                <c:pt idx="17">
                  <c:v>29.887000000084992</c:v>
                </c:pt>
                <c:pt idx="18">
                  <c:v>30.003000000313996</c:v>
                </c:pt>
                <c:pt idx="19">
                  <c:v>30.083000000197469</c:v>
                </c:pt>
                <c:pt idx="20">
                  <c:v>30.173000000246176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7B-4588-829A-546C63534D57}"/>
            </c:ext>
          </c:extLst>
        </c:ser>
        <c:ser>
          <c:idx val="3"/>
          <c:order val="2"/>
          <c:tx>
            <c:strRef>
              <c:f>'Ind F2'!$L$26</c:f>
              <c:strCache>
                <c:ptCount val="1"/>
                <c:pt idx="0">
                  <c:v>Finance and insurance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F2'!$M$26:$AG$26</c:f>
              <c:numCache>
                <c:formatCode>#,##0</c:formatCode>
                <c:ptCount val="21"/>
                <c:pt idx="0">
                  <c:v>37.085999999674023</c:v>
                </c:pt>
                <c:pt idx="1">
                  <c:v>34.494999999813842</c:v>
                </c:pt>
                <c:pt idx="2">
                  <c:v>33.546999999555176</c:v>
                </c:pt>
                <c:pt idx="3">
                  <c:v>28.408999999998525</c:v>
                </c:pt>
                <c:pt idx="4">
                  <c:v>29.41099999999512</c:v>
                </c:pt>
                <c:pt idx="5">
                  <c:v>31.358000000035776</c:v>
                </c:pt>
                <c:pt idx="6">
                  <c:v>31.547999999731019</c:v>
                </c:pt>
                <c:pt idx="7">
                  <c:v>30.344000000096433</c:v>
                </c:pt>
                <c:pt idx="8">
                  <c:v>30.788000000123532</c:v>
                </c:pt>
                <c:pt idx="9">
                  <c:v>33.474000000016169</c:v>
                </c:pt>
                <c:pt idx="10">
                  <c:v>32.219999999786531</c:v>
                </c:pt>
                <c:pt idx="11">
                  <c:v>32.496999999909242</c:v>
                </c:pt>
                <c:pt idx="12">
                  <c:v>32.956999999949957</c:v>
                </c:pt>
                <c:pt idx="13">
                  <c:v>33.510999999697333</c:v>
                </c:pt>
                <c:pt idx="14">
                  <c:v>33.779999999955848</c:v>
                </c:pt>
                <c:pt idx="15">
                  <c:v>34.034999999877677</c:v>
                </c:pt>
                <c:pt idx="16">
                  <c:v>34.291999999881568</c:v>
                </c:pt>
                <c:pt idx="17">
                  <c:v>34.560999999826585</c:v>
                </c:pt>
                <c:pt idx="18">
                  <c:v>34.82899999992231</c:v>
                </c:pt>
                <c:pt idx="19">
                  <c:v>35.099999999894003</c:v>
                </c:pt>
                <c:pt idx="20">
                  <c:v>35.385999999912187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7B-4588-829A-546C63534D57}"/>
            </c:ext>
          </c:extLst>
        </c:ser>
        <c:ser>
          <c:idx val="0"/>
          <c:order val="3"/>
          <c:tx>
            <c:strRef>
              <c:f>'Ind F2'!$L$27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F2'!$M$27:$AG$27</c:f>
              <c:numCache>
                <c:formatCode>#,##0</c:formatCode>
                <c:ptCount val="21"/>
                <c:pt idx="0">
                  <c:v>13.451999999970582</c:v>
                </c:pt>
                <c:pt idx="1">
                  <c:v>12.666999999967091</c:v>
                </c:pt>
                <c:pt idx="2">
                  <c:v>14.204999999899103</c:v>
                </c:pt>
                <c:pt idx="3">
                  <c:v>13.01999999998004</c:v>
                </c:pt>
                <c:pt idx="4">
                  <c:v>16.385999999970096</c:v>
                </c:pt>
                <c:pt idx="5">
                  <c:v>17.004999999951604</c:v>
                </c:pt>
                <c:pt idx="6">
                  <c:v>18.045999999921758</c:v>
                </c:pt>
                <c:pt idx="7">
                  <c:v>23.128999999926446</c:v>
                </c:pt>
                <c:pt idx="8">
                  <c:v>20.806000000051064</c:v>
                </c:pt>
                <c:pt idx="9">
                  <c:v>20.846000000024084</c:v>
                </c:pt>
                <c:pt idx="10">
                  <c:v>22.313000000007275</c:v>
                </c:pt>
                <c:pt idx="11">
                  <c:v>22.537000000009279</c:v>
                </c:pt>
                <c:pt idx="12">
                  <c:v>22.709000000043197</c:v>
                </c:pt>
                <c:pt idx="13">
                  <c:v>22.901000000013298</c:v>
                </c:pt>
                <c:pt idx="14">
                  <c:v>23.062000000062511</c:v>
                </c:pt>
                <c:pt idx="15">
                  <c:v>23.22400000005284</c:v>
                </c:pt>
                <c:pt idx="16">
                  <c:v>23.401000000063835</c:v>
                </c:pt>
                <c:pt idx="17">
                  <c:v>23.593000000073527</c:v>
                </c:pt>
                <c:pt idx="18">
                  <c:v>23.796000000094175</c:v>
                </c:pt>
                <c:pt idx="19">
                  <c:v>24.014000000055507</c:v>
                </c:pt>
                <c:pt idx="20">
                  <c:v>24.245000000057065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0CB-8490-F63AF969C3B0}"/>
            </c:ext>
          </c:extLst>
        </c:ser>
        <c:ser>
          <c:idx val="4"/>
          <c:order val="4"/>
          <c:tx>
            <c:strRef>
              <c:f>'Ind F2'!$L$28</c:f>
              <c:strCache>
                <c:ptCount val="1"/>
                <c:pt idx="0">
                  <c:v>Professional services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F2'!$M$28:$AG$28</c:f>
              <c:numCache>
                <c:formatCode>#,##0</c:formatCode>
                <c:ptCount val="21"/>
                <c:pt idx="0">
                  <c:v>69.732999999341118</c:v>
                </c:pt>
                <c:pt idx="1">
                  <c:v>65.054999999193882</c:v>
                </c:pt>
                <c:pt idx="2">
                  <c:v>64.000999999133768</c:v>
                </c:pt>
                <c:pt idx="3">
                  <c:v>71.309000000854823</c:v>
                </c:pt>
                <c:pt idx="4">
                  <c:v>61.148000000660993</c:v>
                </c:pt>
                <c:pt idx="5">
                  <c:v>56.251000000647593</c:v>
                </c:pt>
                <c:pt idx="6">
                  <c:v>72.38999999931805</c:v>
                </c:pt>
                <c:pt idx="7">
                  <c:v>65.93200000074998</c:v>
                </c:pt>
                <c:pt idx="8">
                  <c:v>69.572000000294878</c:v>
                </c:pt>
                <c:pt idx="9">
                  <c:v>74.434999999684592</c:v>
                </c:pt>
                <c:pt idx="10">
                  <c:v>71.550999998979776</c:v>
                </c:pt>
                <c:pt idx="11">
                  <c:v>72.932999999793154</c:v>
                </c:pt>
                <c:pt idx="12">
                  <c:v>73.465999999729448</c:v>
                </c:pt>
                <c:pt idx="13">
                  <c:v>74.222999998826623</c:v>
                </c:pt>
                <c:pt idx="14">
                  <c:v>74.735999999862045</c:v>
                </c:pt>
                <c:pt idx="15">
                  <c:v>75.140999999684226</c:v>
                </c:pt>
                <c:pt idx="16">
                  <c:v>75.515999999646041</c:v>
                </c:pt>
                <c:pt idx="17">
                  <c:v>75.846999999455704</c:v>
                </c:pt>
                <c:pt idx="18">
                  <c:v>76.181999999780686</c:v>
                </c:pt>
                <c:pt idx="19">
                  <c:v>76.478999999890604</c:v>
                </c:pt>
                <c:pt idx="20">
                  <c:v>76.769999999921225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0CB-8490-F63AF969C3B0}"/>
            </c:ext>
          </c:extLst>
        </c:ser>
        <c:ser>
          <c:idx val="5"/>
          <c:order val="5"/>
          <c:tx>
            <c:strRef>
              <c:f>'Ind F2'!$L$29</c:f>
              <c:strCache>
                <c:ptCount val="1"/>
                <c:pt idx="0">
                  <c:v>Support services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F2'!$M$29:$AG$29</c:f>
              <c:numCache>
                <c:formatCode>#,##0</c:formatCode>
                <c:ptCount val="21"/>
                <c:pt idx="0">
                  <c:v>80.051999999719968</c:v>
                </c:pt>
                <c:pt idx="1">
                  <c:v>84.986000000079898</c:v>
                </c:pt>
                <c:pt idx="2">
                  <c:v>80.23799999979046</c:v>
                </c:pt>
                <c:pt idx="3">
                  <c:v>85.158999999187827</c:v>
                </c:pt>
                <c:pt idx="4">
                  <c:v>83.732999999325727</c:v>
                </c:pt>
                <c:pt idx="5">
                  <c:v>88.461999999298598</c:v>
                </c:pt>
                <c:pt idx="6">
                  <c:v>75.67999999989614</c:v>
                </c:pt>
                <c:pt idx="7">
                  <c:v>97.392999999139775</c:v>
                </c:pt>
                <c:pt idx="8">
                  <c:v>88.465999999787471</c:v>
                </c:pt>
                <c:pt idx="9">
                  <c:v>91.37699999999424</c:v>
                </c:pt>
                <c:pt idx="10">
                  <c:v>86.802000000201033</c:v>
                </c:pt>
                <c:pt idx="11">
                  <c:v>88.898999999758118</c:v>
                </c:pt>
                <c:pt idx="12">
                  <c:v>89.322999999796139</c:v>
                </c:pt>
                <c:pt idx="13">
                  <c:v>89.639000000176168</c:v>
                </c:pt>
                <c:pt idx="14">
                  <c:v>89.864999999729591</c:v>
                </c:pt>
                <c:pt idx="15">
                  <c:v>90.184999999776267</c:v>
                </c:pt>
                <c:pt idx="16">
                  <c:v>90.573999999818838</c:v>
                </c:pt>
                <c:pt idx="17">
                  <c:v>90.995999999859578</c:v>
                </c:pt>
                <c:pt idx="18">
                  <c:v>91.436999999781719</c:v>
                </c:pt>
                <c:pt idx="19">
                  <c:v>91.874999999698545</c:v>
                </c:pt>
                <c:pt idx="20">
                  <c:v>92.315999999748001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6-40CB-8490-F63AF969C3B0}"/>
            </c:ext>
          </c:extLst>
        </c:ser>
        <c:ser>
          <c:idx val="6"/>
          <c:order val="6"/>
          <c:tx>
            <c:strRef>
              <c:f>'Ind F2'!$L$30</c:f>
              <c:strCache>
                <c:ptCount val="1"/>
                <c:pt idx="0">
                  <c:v>Arts and entertainment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rgbClr val="000000"/>
              </a:solidFill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F2'!$M$30:$AG$30</c:f>
              <c:numCache>
                <c:formatCode>#,##0</c:formatCode>
                <c:ptCount val="21"/>
                <c:pt idx="0">
                  <c:v>37.150999999954934</c:v>
                </c:pt>
                <c:pt idx="1">
                  <c:v>37.689999999950331</c:v>
                </c:pt>
                <c:pt idx="2">
                  <c:v>35.795000000007697</c:v>
                </c:pt>
                <c:pt idx="3">
                  <c:v>38.213000000132553</c:v>
                </c:pt>
                <c:pt idx="4">
                  <c:v>39.756000000087312</c:v>
                </c:pt>
                <c:pt idx="5">
                  <c:v>40.745000000021477</c:v>
                </c:pt>
                <c:pt idx="6">
                  <c:v>45.285999999948594</c:v>
                </c:pt>
                <c:pt idx="7">
                  <c:v>35.369000000002934</c:v>
                </c:pt>
                <c:pt idx="8">
                  <c:v>43.328999999915119</c:v>
                </c:pt>
                <c:pt idx="9">
                  <c:v>43.94899999984937</c:v>
                </c:pt>
                <c:pt idx="10">
                  <c:v>41.617999999771435</c:v>
                </c:pt>
                <c:pt idx="11">
                  <c:v>43.227999999807636</c:v>
                </c:pt>
                <c:pt idx="12">
                  <c:v>43.718999999680221</c:v>
                </c:pt>
                <c:pt idx="13">
                  <c:v>43.848999999691273</c:v>
                </c:pt>
                <c:pt idx="14">
                  <c:v>44.051999999671423</c:v>
                </c:pt>
                <c:pt idx="15">
                  <c:v>44.214999999691386</c:v>
                </c:pt>
                <c:pt idx="16">
                  <c:v>44.418999999714856</c:v>
                </c:pt>
                <c:pt idx="17">
                  <c:v>44.702999999640745</c:v>
                </c:pt>
                <c:pt idx="18">
                  <c:v>45.033999999676688</c:v>
                </c:pt>
                <c:pt idx="19">
                  <c:v>45.325999999742095</c:v>
                </c:pt>
                <c:pt idx="20">
                  <c:v>45.592999999764025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6-40CB-8490-F63AF969C3B0}"/>
            </c:ext>
          </c:extLst>
        </c:ser>
        <c:ser>
          <c:idx val="7"/>
          <c:order val="7"/>
          <c:tx>
            <c:strRef>
              <c:f>'Ind F2'!$L$31</c:f>
              <c:strCache>
                <c:ptCount val="1"/>
                <c:pt idx="0">
                  <c:v>Other services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F2'!$M$31:$AG$31</c:f>
              <c:numCache>
                <c:formatCode>#,##0</c:formatCode>
                <c:ptCount val="21"/>
                <c:pt idx="0">
                  <c:v>36.887999999980018</c:v>
                </c:pt>
                <c:pt idx="1">
                  <c:v>30.46200000007747</c:v>
                </c:pt>
                <c:pt idx="2">
                  <c:v>34.485999999970836</c:v>
                </c:pt>
                <c:pt idx="3">
                  <c:v>37.718000000135603</c:v>
                </c:pt>
                <c:pt idx="4">
                  <c:v>38.39800000011676</c:v>
                </c:pt>
                <c:pt idx="5">
                  <c:v>37.932000000093566</c:v>
                </c:pt>
                <c:pt idx="6">
                  <c:v>38.113000000135102</c:v>
                </c:pt>
                <c:pt idx="7">
                  <c:v>48.168000000148517</c:v>
                </c:pt>
                <c:pt idx="8">
                  <c:v>31.82100000012375</c:v>
                </c:pt>
                <c:pt idx="9">
                  <c:v>41.001000000002747</c:v>
                </c:pt>
                <c:pt idx="10">
                  <c:v>43.949000000151678</c:v>
                </c:pt>
                <c:pt idx="11">
                  <c:v>44.533000000127899</c:v>
                </c:pt>
                <c:pt idx="12">
                  <c:v>44.831999999995041</c:v>
                </c:pt>
                <c:pt idx="13">
                  <c:v>45.05300000006288</c:v>
                </c:pt>
                <c:pt idx="14">
                  <c:v>45.062999999982097</c:v>
                </c:pt>
                <c:pt idx="15">
                  <c:v>45.06000000002475</c:v>
                </c:pt>
                <c:pt idx="16">
                  <c:v>45.025000000003431</c:v>
                </c:pt>
                <c:pt idx="17">
                  <c:v>45.015999999994747</c:v>
                </c:pt>
                <c:pt idx="18">
                  <c:v>45.007999999954919</c:v>
                </c:pt>
                <c:pt idx="19">
                  <c:v>44.994000000040906</c:v>
                </c:pt>
                <c:pt idx="20">
                  <c:v>44.984000000014653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F6-40CB-8490-F63AF969C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600968"/>
        <c:axId val="313462488"/>
      </c:areaChart>
      <c:catAx>
        <c:axId val="2536009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46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462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7.8864414050499442E-3"/>
              <c:y val="1.04822017537214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36009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075731401976695"/>
          <c:y val="0.93501239643194956"/>
          <c:w val="0.71924266962684369"/>
          <c:h val="6.49876681795858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05432017565845E-2"/>
          <c:y val="7.3068893528183729E-2"/>
          <c:w val="0.87539499596050963"/>
          <c:h val="0.78079331941544883"/>
        </c:manualLayout>
      </c:layout>
      <c:areaChart>
        <c:grouping val="stacked"/>
        <c:varyColors val="0"/>
        <c:ser>
          <c:idx val="1"/>
          <c:order val="0"/>
          <c:tx>
            <c:strRef>
              <c:f>'Ind F2'!$L$34</c:f>
              <c:strCache>
                <c:ptCount val="1"/>
                <c:pt idx="0">
                  <c:v>Public admin. and defence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F2'!$M$34:$AG$34</c:f>
              <c:numCache>
                <c:formatCode>#,##0</c:formatCode>
                <c:ptCount val="21"/>
                <c:pt idx="0">
                  <c:v>95.69900000025271</c:v>
                </c:pt>
                <c:pt idx="1">
                  <c:v>93.185999999666052</c:v>
                </c:pt>
                <c:pt idx="2">
                  <c:v>88.150999999765332</c:v>
                </c:pt>
                <c:pt idx="3">
                  <c:v>88.217000000773069</c:v>
                </c:pt>
                <c:pt idx="4">
                  <c:v>83.05100000042026</c:v>
                </c:pt>
                <c:pt idx="5">
                  <c:v>84.479000000545554</c:v>
                </c:pt>
                <c:pt idx="6">
                  <c:v>91.141999999707167</c:v>
                </c:pt>
                <c:pt idx="7">
                  <c:v>86.503000000837318</c:v>
                </c:pt>
                <c:pt idx="8">
                  <c:v>84.3830000001266</c:v>
                </c:pt>
                <c:pt idx="9">
                  <c:v>84.242999999867934</c:v>
                </c:pt>
                <c:pt idx="10">
                  <c:v>83.569999999351111</c:v>
                </c:pt>
                <c:pt idx="11">
                  <c:v>83.298000000030825</c:v>
                </c:pt>
                <c:pt idx="12">
                  <c:v>83.247999999918079</c:v>
                </c:pt>
                <c:pt idx="13">
                  <c:v>83.107999999380453</c:v>
                </c:pt>
                <c:pt idx="14">
                  <c:v>82.927000000052857</c:v>
                </c:pt>
                <c:pt idx="15">
                  <c:v>82.748000000022728</c:v>
                </c:pt>
                <c:pt idx="16">
                  <c:v>82.749999999963379</c:v>
                </c:pt>
                <c:pt idx="17">
                  <c:v>82.733999999880837</c:v>
                </c:pt>
                <c:pt idx="18">
                  <c:v>82.715000000004352</c:v>
                </c:pt>
                <c:pt idx="19">
                  <c:v>82.694000000179486</c:v>
                </c:pt>
                <c:pt idx="20">
                  <c:v>82.666000000152565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2-44C2-845B-192CC1F663B9}"/>
            </c:ext>
          </c:extLst>
        </c:ser>
        <c:ser>
          <c:idx val="2"/>
          <c:order val="1"/>
          <c:tx>
            <c:strRef>
              <c:f>'Ind F2'!$L$35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F2'!$M$35:$AG$35</c:f>
              <c:numCache>
                <c:formatCode>#,##0</c:formatCode>
                <c:ptCount val="21"/>
                <c:pt idx="0">
                  <c:v>121.45400000386623</c:v>
                </c:pt>
                <c:pt idx="1">
                  <c:v>129.48700000154099</c:v>
                </c:pt>
                <c:pt idx="2">
                  <c:v>139.59600000276095</c:v>
                </c:pt>
                <c:pt idx="3">
                  <c:v>137.69200000660098</c:v>
                </c:pt>
                <c:pt idx="4">
                  <c:v>135.09200000505157</c:v>
                </c:pt>
                <c:pt idx="5">
                  <c:v>140.01000000615451</c:v>
                </c:pt>
                <c:pt idx="6">
                  <c:v>133.23400000114648</c:v>
                </c:pt>
                <c:pt idx="7">
                  <c:v>140.8770000063023</c:v>
                </c:pt>
                <c:pt idx="8">
                  <c:v>137.05500000299483</c:v>
                </c:pt>
                <c:pt idx="9">
                  <c:v>137.76300000170858</c:v>
                </c:pt>
                <c:pt idx="10">
                  <c:v>139.44299999864344</c:v>
                </c:pt>
                <c:pt idx="11">
                  <c:v>137.72400000291074</c:v>
                </c:pt>
                <c:pt idx="12">
                  <c:v>136.59000000164536</c:v>
                </c:pt>
                <c:pt idx="13">
                  <c:v>135.64499999852026</c:v>
                </c:pt>
                <c:pt idx="14">
                  <c:v>135.32500000177779</c:v>
                </c:pt>
                <c:pt idx="15">
                  <c:v>135.1790000018849</c:v>
                </c:pt>
                <c:pt idx="16">
                  <c:v>135.42200000118402</c:v>
                </c:pt>
                <c:pt idx="17">
                  <c:v>135.80800000085026</c:v>
                </c:pt>
                <c:pt idx="18">
                  <c:v>136.2780000005688</c:v>
                </c:pt>
                <c:pt idx="19">
                  <c:v>136.53300000201014</c:v>
                </c:pt>
                <c:pt idx="20">
                  <c:v>136.8230000014685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2-44C2-845B-192CC1F663B9}"/>
            </c:ext>
          </c:extLst>
        </c:ser>
        <c:ser>
          <c:idx val="3"/>
          <c:order val="2"/>
          <c:tx>
            <c:strRef>
              <c:f>'Ind F2'!$L$36</c:f>
              <c:strCache>
                <c:ptCount val="1"/>
                <c:pt idx="0">
                  <c:v>Health and social work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F2'!$M$36:$AG$36</c:f>
              <c:numCache>
                <c:formatCode>#,##0</c:formatCode>
                <c:ptCount val="21"/>
                <c:pt idx="0">
                  <c:v>187.65199999911388</c:v>
                </c:pt>
                <c:pt idx="1">
                  <c:v>193.218999997498</c:v>
                </c:pt>
                <c:pt idx="2">
                  <c:v>198.05299999820906</c:v>
                </c:pt>
                <c:pt idx="3">
                  <c:v>188.37400000061487</c:v>
                </c:pt>
                <c:pt idx="4">
                  <c:v>209.17199999937802</c:v>
                </c:pt>
                <c:pt idx="5">
                  <c:v>202.82100000029169</c:v>
                </c:pt>
                <c:pt idx="6">
                  <c:v>210.88799999751194</c:v>
                </c:pt>
                <c:pt idx="7">
                  <c:v>213.88799999999392</c:v>
                </c:pt>
                <c:pt idx="8">
                  <c:v>223.62999999812635</c:v>
                </c:pt>
                <c:pt idx="9">
                  <c:v>221.13299999781211</c:v>
                </c:pt>
                <c:pt idx="10">
                  <c:v>254.61999999600462</c:v>
                </c:pt>
                <c:pt idx="11">
                  <c:v>257.54299999850554</c:v>
                </c:pt>
                <c:pt idx="12">
                  <c:v>259.9839999984838</c:v>
                </c:pt>
                <c:pt idx="13">
                  <c:v>262.74699999659725</c:v>
                </c:pt>
                <c:pt idx="14">
                  <c:v>264.86199999915192</c:v>
                </c:pt>
                <c:pt idx="15">
                  <c:v>267.01899999903384</c:v>
                </c:pt>
                <c:pt idx="16">
                  <c:v>269.29699999882632</c:v>
                </c:pt>
                <c:pt idx="17">
                  <c:v>271.55999999878469</c:v>
                </c:pt>
                <c:pt idx="18">
                  <c:v>273.76699999925921</c:v>
                </c:pt>
                <c:pt idx="19">
                  <c:v>276.04399999927239</c:v>
                </c:pt>
                <c:pt idx="20">
                  <c:v>278.33999999963254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92-44C2-845B-192CC1F66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463272"/>
        <c:axId val="313463664"/>
      </c:areaChart>
      <c:catAx>
        <c:axId val="313463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46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4636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9.4637296860595726E-3"/>
              <c:y val="1.252609603340292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4632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16103512624344"/>
          <c:y val="0.93528183716075164"/>
          <c:w val="0.68769769052034602"/>
          <c:h val="4.59290187891439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34248861974835E-2"/>
          <c:y val="5.2464228934819425E-2"/>
          <c:w val="0.87959010384091241"/>
          <c:h val="0.77705763910488324"/>
        </c:manualLayout>
      </c:layout>
      <c:lineChart>
        <c:grouping val="standard"/>
        <c:varyColors val="0"/>
        <c:ser>
          <c:idx val="0"/>
          <c:order val="0"/>
          <c:tx>
            <c:strRef>
              <c:f>'Ind F2'!$L$5</c:f>
              <c:strCache>
                <c:ptCount val="1"/>
                <c:pt idx="0">
                  <c:v>Primary sector and utilities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F2'!$M$5:$AG$5</c:f>
              <c:numCache>
                <c:formatCode>#,##0</c:formatCode>
                <c:ptCount val="21"/>
                <c:pt idx="0">
                  <c:v>52.324999999974622</c:v>
                </c:pt>
                <c:pt idx="1">
                  <c:v>52.018000000270085</c:v>
                </c:pt>
                <c:pt idx="2">
                  <c:v>57.636000000471256</c:v>
                </c:pt>
                <c:pt idx="3">
                  <c:v>49.886999999539036</c:v>
                </c:pt>
                <c:pt idx="4">
                  <c:v>54.904999999627414</c:v>
                </c:pt>
                <c:pt idx="5">
                  <c:v>58.374999999603311</c:v>
                </c:pt>
                <c:pt idx="6">
                  <c:v>51.45699999999546</c:v>
                </c:pt>
                <c:pt idx="7">
                  <c:v>55.819999999490562</c:v>
                </c:pt>
                <c:pt idx="8">
                  <c:v>69.474999999537815</c:v>
                </c:pt>
                <c:pt idx="9">
                  <c:v>57.315999999832215</c:v>
                </c:pt>
                <c:pt idx="10">
                  <c:v>81.569000000387007</c:v>
                </c:pt>
                <c:pt idx="11">
                  <c:v>81.296999999939999</c:v>
                </c:pt>
                <c:pt idx="12">
                  <c:v>81.54199999987145</c:v>
                </c:pt>
                <c:pt idx="13">
                  <c:v>81.798000000533747</c:v>
                </c:pt>
                <c:pt idx="14">
                  <c:v>81.913999999946753</c:v>
                </c:pt>
                <c:pt idx="15">
                  <c:v>82.016000000124336</c:v>
                </c:pt>
                <c:pt idx="16">
                  <c:v>82.186000000099042</c:v>
                </c:pt>
                <c:pt idx="17">
                  <c:v>82.343000000294239</c:v>
                </c:pt>
                <c:pt idx="18">
                  <c:v>82.4770000000415</c:v>
                </c:pt>
                <c:pt idx="19">
                  <c:v>82.607000000144836</c:v>
                </c:pt>
                <c:pt idx="20">
                  <c:v>82.742000000101328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5-44CD-8692-A81F93CACC92}"/>
            </c:ext>
          </c:extLst>
        </c:ser>
        <c:ser>
          <c:idx val="1"/>
          <c:order val="1"/>
          <c:tx>
            <c:strRef>
              <c:f>'Ind F2'!$L$11</c:f>
              <c:strCache>
                <c:ptCount val="1"/>
                <c:pt idx="0">
                  <c:v>Manufacturing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F2'!$M$11:$AG$11</c:f>
              <c:numCache>
                <c:formatCode>#,##0</c:formatCode>
                <c:ptCount val="21"/>
                <c:pt idx="0">
                  <c:v>172.16099999939223</c:v>
                </c:pt>
                <c:pt idx="1">
                  <c:v>167.24399999980912</c:v>
                </c:pt>
                <c:pt idx="2">
                  <c:v>150.00999999995122</c:v>
                </c:pt>
                <c:pt idx="3">
                  <c:v>132.83199999800422</c:v>
                </c:pt>
                <c:pt idx="4">
                  <c:v>142.20699999814002</c:v>
                </c:pt>
                <c:pt idx="5">
                  <c:v>142.28299999790551</c:v>
                </c:pt>
                <c:pt idx="6">
                  <c:v>144.82099999989916</c:v>
                </c:pt>
                <c:pt idx="7">
                  <c:v>158.71599999736583</c:v>
                </c:pt>
                <c:pt idx="8">
                  <c:v>158.64999999812102</c:v>
                </c:pt>
                <c:pt idx="9">
                  <c:v>159.53499999878895</c:v>
                </c:pt>
                <c:pt idx="10">
                  <c:v>146.81800000036867</c:v>
                </c:pt>
                <c:pt idx="11">
                  <c:v>145.34099999892939</c:v>
                </c:pt>
                <c:pt idx="12">
                  <c:v>143.90499999884014</c:v>
                </c:pt>
                <c:pt idx="13">
                  <c:v>144.45400000060093</c:v>
                </c:pt>
                <c:pt idx="14">
                  <c:v>142.29099999875262</c:v>
                </c:pt>
                <c:pt idx="15">
                  <c:v>140.71099999892368</c:v>
                </c:pt>
                <c:pt idx="16">
                  <c:v>139.22799999894059</c:v>
                </c:pt>
                <c:pt idx="17">
                  <c:v>137.97799999911396</c:v>
                </c:pt>
                <c:pt idx="18">
                  <c:v>136.6829999985741</c:v>
                </c:pt>
                <c:pt idx="19">
                  <c:v>135.50099999871165</c:v>
                </c:pt>
                <c:pt idx="20">
                  <c:v>134.30699999879783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5-44CD-8692-A81F93CACC92}"/>
            </c:ext>
          </c:extLst>
        </c:ser>
        <c:ser>
          <c:idx val="2"/>
          <c:order val="2"/>
          <c:tx>
            <c:strRef>
              <c:f>'Ind F2'!$L$16</c:f>
              <c:strCache>
                <c:ptCount val="1"/>
                <c:pt idx="0">
                  <c:v>Construction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F2'!$M$16:$AG$16</c:f>
              <c:numCache>
                <c:formatCode>#,##0</c:formatCode>
                <c:ptCount val="21"/>
                <c:pt idx="0">
                  <c:v>114.4310000013799</c:v>
                </c:pt>
                <c:pt idx="1">
                  <c:v>97.246999999689649</c:v>
                </c:pt>
                <c:pt idx="2">
                  <c:v>110.63500000021129</c:v>
                </c:pt>
                <c:pt idx="3">
                  <c:v>101.10099999855892</c:v>
                </c:pt>
                <c:pt idx="4">
                  <c:v>97.704999998558776</c:v>
                </c:pt>
                <c:pt idx="5">
                  <c:v>85.689999998545687</c:v>
                </c:pt>
                <c:pt idx="6">
                  <c:v>85.78600000031436</c:v>
                </c:pt>
                <c:pt idx="7">
                  <c:v>103.85899999846478</c:v>
                </c:pt>
                <c:pt idx="8">
                  <c:v>92.423999999566433</c:v>
                </c:pt>
                <c:pt idx="9">
                  <c:v>102.53899999935958</c:v>
                </c:pt>
                <c:pt idx="10">
                  <c:v>107.09400000055047</c:v>
                </c:pt>
                <c:pt idx="11">
                  <c:v>106.38299999963802</c:v>
                </c:pt>
                <c:pt idx="12">
                  <c:v>106.88699999975593</c:v>
                </c:pt>
                <c:pt idx="13">
                  <c:v>107.21000000178981</c:v>
                </c:pt>
                <c:pt idx="14">
                  <c:v>107.26800000036928</c:v>
                </c:pt>
                <c:pt idx="15">
                  <c:v>107.3900000006698</c:v>
                </c:pt>
                <c:pt idx="16">
                  <c:v>107.5580000004738</c:v>
                </c:pt>
                <c:pt idx="17">
                  <c:v>107.70300000105374</c:v>
                </c:pt>
                <c:pt idx="18">
                  <c:v>107.82700000005377</c:v>
                </c:pt>
                <c:pt idx="19">
                  <c:v>108.04900000075175</c:v>
                </c:pt>
                <c:pt idx="20">
                  <c:v>108.10400000028811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5-44CD-8692-A81F93CACC92}"/>
            </c:ext>
          </c:extLst>
        </c:ser>
        <c:ser>
          <c:idx val="3"/>
          <c:order val="3"/>
          <c:tx>
            <c:strRef>
              <c:f>'Ind F2'!$L$18</c:f>
              <c:strCache>
                <c:ptCount val="1"/>
                <c:pt idx="0">
                  <c:v>Trade, accomod. and transport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F2'!$M$18:$AG$18</c:f>
              <c:numCache>
                <c:formatCode>#,##0</c:formatCode>
                <c:ptCount val="21"/>
                <c:pt idx="0">
                  <c:v>358.10299999951656</c:v>
                </c:pt>
                <c:pt idx="1">
                  <c:v>373.61600000437295</c:v>
                </c:pt>
                <c:pt idx="2">
                  <c:v>351.87600000206589</c:v>
                </c:pt>
                <c:pt idx="3">
                  <c:v>361.65999999649114</c:v>
                </c:pt>
                <c:pt idx="4">
                  <c:v>347.04599999950972</c:v>
                </c:pt>
                <c:pt idx="5">
                  <c:v>345.20099999769513</c:v>
                </c:pt>
                <c:pt idx="6">
                  <c:v>346.27100000261754</c:v>
                </c:pt>
                <c:pt idx="7">
                  <c:v>334.5729999971623</c:v>
                </c:pt>
                <c:pt idx="8">
                  <c:v>360.7580000012681</c:v>
                </c:pt>
                <c:pt idx="9">
                  <c:v>373.69400000328073</c:v>
                </c:pt>
                <c:pt idx="10">
                  <c:v>380.49400000702138</c:v>
                </c:pt>
                <c:pt idx="11">
                  <c:v>378.7330000020869</c:v>
                </c:pt>
                <c:pt idx="12">
                  <c:v>378.90600000350469</c:v>
                </c:pt>
                <c:pt idx="13">
                  <c:v>379.39300000599633</c:v>
                </c:pt>
                <c:pt idx="14">
                  <c:v>380.03100000217347</c:v>
                </c:pt>
                <c:pt idx="15">
                  <c:v>381.17300000228767</c:v>
                </c:pt>
                <c:pt idx="16">
                  <c:v>382.53900000323648</c:v>
                </c:pt>
                <c:pt idx="17">
                  <c:v>383.79900000344298</c:v>
                </c:pt>
                <c:pt idx="18">
                  <c:v>385.21300000387868</c:v>
                </c:pt>
                <c:pt idx="19">
                  <c:v>386.64600000165581</c:v>
                </c:pt>
                <c:pt idx="20">
                  <c:v>387.86900000181913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5-44CD-8692-A81F93CACC92}"/>
            </c:ext>
          </c:extLst>
        </c:ser>
        <c:ser>
          <c:idx val="4"/>
          <c:order val="4"/>
          <c:tx>
            <c:strRef>
              <c:f>'Ind F2'!$L$23</c:f>
              <c:strCache>
                <c:ptCount val="1"/>
                <c:pt idx="0">
                  <c:v>Business and other services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F2'!$M$23:$AG$23</c:f>
              <c:numCache>
                <c:formatCode>#,##0</c:formatCode>
                <c:ptCount val="21"/>
                <c:pt idx="0">
                  <c:v>307.14199999844817</c:v>
                </c:pt>
                <c:pt idx="1">
                  <c:v>296.1709999988588</c:v>
                </c:pt>
                <c:pt idx="2">
                  <c:v>290.6719999979772</c:v>
                </c:pt>
                <c:pt idx="3">
                  <c:v>301.14400000050443</c:v>
                </c:pt>
                <c:pt idx="4">
                  <c:v>296.28400000031922</c:v>
                </c:pt>
                <c:pt idx="5">
                  <c:v>299.01900000024375</c:v>
                </c:pt>
                <c:pt idx="6">
                  <c:v>306.25799999883571</c:v>
                </c:pt>
                <c:pt idx="7">
                  <c:v>333.20000000038897</c:v>
                </c:pt>
                <c:pt idx="8">
                  <c:v>314.29400000049952</c:v>
                </c:pt>
                <c:pt idx="9">
                  <c:v>336.00999999964631</c:v>
                </c:pt>
                <c:pt idx="10">
                  <c:v>336.15199999851626</c:v>
                </c:pt>
                <c:pt idx="11">
                  <c:v>342.40599999948648</c:v>
                </c:pt>
                <c:pt idx="12">
                  <c:v>344.91199999935901</c:v>
                </c:pt>
                <c:pt idx="13">
                  <c:v>347.01699999801775</c:v>
                </c:pt>
                <c:pt idx="14">
                  <c:v>348.55499999946915</c:v>
                </c:pt>
                <c:pt idx="15">
                  <c:v>350.05099999922072</c:v>
                </c:pt>
                <c:pt idx="16">
                  <c:v>351.64599999923792</c:v>
                </c:pt>
                <c:pt idx="17">
                  <c:v>353.33899999888894</c:v>
                </c:pt>
                <c:pt idx="18">
                  <c:v>355.06399999948786</c:v>
                </c:pt>
                <c:pt idx="19">
                  <c:v>356.68599999947315</c:v>
                </c:pt>
                <c:pt idx="20">
                  <c:v>358.32199999962603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5-44CD-8692-A81F93CACC92}"/>
            </c:ext>
          </c:extLst>
        </c:ser>
        <c:ser>
          <c:idx val="5"/>
          <c:order val="5"/>
          <c:tx>
            <c:strRef>
              <c:f>'Ind F2'!$L$33</c:f>
              <c:strCache>
                <c:ptCount val="1"/>
                <c:pt idx="0">
                  <c:v>Non-marketed services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'Ind F2'!$M$4:$AG$4</c:f>
              <c:numCache>
                <c:formatCode>0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  <c:pt idx="18">
                  <c:v>2025</c:v>
                </c:pt>
                <c:pt idx="19">
                  <c:v>2026</c:v>
                </c:pt>
                <c:pt idx="20">
                  <c:v>2027</c:v>
                </c:pt>
              </c:numCache>
            </c:numRef>
          </c:cat>
          <c:val>
            <c:numRef>
              <c:f>'Ind F2'!$M$33:$AG$33</c:f>
              <c:numCache>
                <c:formatCode>#,##0</c:formatCode>
                <c:ptCount val="21"/>
                <c:pt idx="0">
                  <c:v>404.80500000323286</c:v>
                </c:pt>
                <c:pt idx="1">
                  <c:v>415.89199999870505</c:v>
                </c:pt>
                <c:pt idx="2">
                  <c:v>425.80000000073534</c:v>
                </c:pt>
                <c:pt idx="3">
                  <c:v>414.2830000079889</c:v>
                </c:pt>
                <c:pt idx="4">
                  <c:v>427.31500000484982</c:v>
                </c:pt>
                <c:pt idx="5">
                  <c:v>427.31000000699174</c:v>
                </c:pt>
                <c:pt idx="6">
                  <c:v>435.26399999836559</c:v>
                </c:pt>
                <c:pt idx="7">
                  <c:v>441.26800000713354</c:v>
                </c:pt>
                <c:pt idx="8">
                  <c:v>445.06800000124781</c:v>
                </c:pt>
                <c:pt idx="9">
                  <c:v>443.1389999993886</c:v>
                </c:pt>
                <c:pt idx="10">
                  <c:v>477.63299999399919</c:v>
                </c:pt>
                <c:pt idx="11">
                  <c:v>478.56500000144712</c:v>
                </c:pt>
                <c:pt idx="12">
                  <c:v>479.82200000004724</c:v>
                </c:pt>
                <c:pt idx="13">
                  <c:v>481.49999999449795</c:v>
                </c:pt>
                <c:pt idx="14">
                  <c:v>483.11400000098257</c:v>
                </c:pt>
                <c:pt idx="15">
                  <c:v>484.94600000094147</c:v>
                </c:pt>
                <c:pt idx="16">
                  <c:v>487.46899999997373</c:v>
                </c:pt>
                <c:pt idx="17">
                  <c:v>490.10199999951578</c:v>
                </c:pt>
                <c:pt idx="18">
                  <c:v>492.75999999983236</c:v>
                </c:pt>
                <c:pt idx="19">
                  <c:v>495.27100000146203</c:v>
                </c:pt>
                <c:pt idx="20">
                  <c:v>497.82900000125358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5-44CD-8692-A81F93CAC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464448"/>
        <c:axId val="313464840"/>
      </c:lineChart>
      <c:catAx>
        <c:axId val="3134644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46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464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000"/>
                  <a:t>thousands</a:t>
                </a:r>
              </a:p>
            </c:rich>
          </c:tx>
          <c:layout>
            <c:manualLayout>
              <c:xMode val="edge"/>
              <c:yMode val="edge"/>
              <c:x val="7.8864414050499442E-3"/>
              <c:y val="7.9491255961844434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4644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8855016216081883E-2"/>
          <c:y val="0.90754563164012003"/>
          <c:w val="0.88489191349766172"/>
          <c:h val="7.97357866649205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17476310572159"/>
          <c:y val="3.9501079600076011E-2"/>
          <c:w val="0.62857240292101169"/>
          <c:h val="0.8960508056648991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'Ind F2'!$L$231</c:f>
              <c:strCache>
                <c:ptCount val="1"/>
                <c:pt idx="0">
                  <c:v>Non-marketed services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'Ind F2'!$M$230:$O$230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'Ind F2'!$M$231:$O$231</c:f>
              <c:numCache>
                <c:formatCode>0.0</c:formatCode>
                <c:ptCount val="3"/>
                <c:pt idx="0">
                  <c:v>28.730623215637713</c:v>
                </c:pt>
                <c:pt idx="1">
                  <c:v>31.222740821680254</c:v>
                </c:pt>
                <c:pt idx="2">
                  <c:v>31.72556499510603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3-4130-A9FF-BEAED71CB078}"/>
            </c:ext>
          </c:extLst>
        </c:ser>
        <c:ser>
          <c:idx val="1"/>
          <c:order val="1"/>
          <c:tx>
            <c:strRef>
              <c:f>'Ind F2'!$L$232</c:f>
              <c:strCache>
                <c:ptCount val="1"/>
                <c:pt idx="0">
                  <c:v>Business and other services</c:v>
                </c:pt>
              </c:strCache>
            </c:strRef>
          </c:tx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'Ind F2'!$M$230:$O$230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'Ind F2'!$M$232:$O$232</c:f>
              <c:numCache>
                <c:formatCode>0.0</c:formatCode>
                <c:ptCount val="3"/>
                <c:pt idx="0">
                  <c:v>21.799091107032623</c:v>
                </c:pt>
                <c:pt idx="1">
                  <c:v>21.974165882120793</c:v>
                </c:pt>
                <c:pt idx="2">
                  <c:v>22.835085742566012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3-4130-A9FF-BEAED71CB078}"/>
            </c:ext>
          </c:extLst>
        </c:ser>
        <c:ser>
          <c:idx val="2"/>
          <c:order val="2"/>
          <c:tx>
            <c:strRef>
              <c:f>'Ind F2'!$L$233</c:f>
              <c:strCache>
                <c:ptCount val="1"/>
                <c:pt idx="0">
                  <c:v>Trade, accomod. and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'Ind F2'!$M$230:$O$230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'Ind F2'!$M$233:$O$233</c:f>
              <c:numCache>
                <c:formatCode>0.0</c:formatCode>
                <c:ptCount val="3"/>
                <c:pt idx="0">
                  <c:v>25.415996258182226</c:v>
                </c:pt>
                <c:pt idx="1">
                  <c:v>24.87279050353073</c:v>
                </c:pt>
                <c:pt idx="2">
                  <c:v>24.718052120534377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03-4130-A9FF-BEAED71CB078}"/>
            </c:ext>
          </c:extLst>
        </c:ser>
        <c:ser>
          <c:idx val="3"/>
          <c:order val="3"/>
          <c:tx>
            <c:strRef>
              <c:f>'Ind F2'!$L$234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'Ind F2'!$M$230:$O$230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'Ind F2'!$M$234:$O$234</c:f>
              <c:numCache>
                <c:formatCode>0.0</c:formatCode>
                <c:ptCount val="3"/>
                <c:pt idx="0">
                  <c:v>8.121623856429709</c:v>
                </c:pt>
                <c:pt idx="1">
                  <c:v>7.000705993129082</c:v>
                </c:pt>
                <c:pt idx="2">
                  <c:v>6.8892340105366445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03-4130-A9FF-BEAED71CB078}"/>
            </c:ext>
          </c:extLst>
        </c:ser>
        <c:ser>
          <c:idx val="4"/>
          <c:order val="4"/>
          <c:tx>
            <c:strRef>
              <c:f>'Ind F2'!$L$235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'Ind F2'!$M$230:$O$230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'Ind F2'!$M$235:$O$235</c:f>
              <c:numCache>
                <c:formatCode>0.0</c:formatCode>
                <c:ptCount val="3"/>
                <c:pt idx="0">
                  <c:v>12.218951898742461</c:v>
                </c:pt>
                <c:pt idx="1">
                  <c:v>9.5974531952912709</c:v>
                </c:pt>
                <c:pt idx="2">
                  <c:v>8.5590945038333164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03-4130-A9FF-BEAED71CB078}"/>
            </c:ext>
          </c:extLst>
        </c:ser>
        <c:ser>
          <c:idx val="5"/>
          <c:order val="5"/>
          <c:tx>
            <c:strRef>
              <c:f>'Ind F2'!$L$236</c:f>
              <c:strCache>
                <c:ptCount val="1"/>
                <c:pt idx="0">
                  <c:v>Primary sector and utilities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'Ind F2'!$M$230:$O$230</c:f>
              <c:numCache>
                <c:formatCode>0</c:formatCode>
                <c:ptCount val="3"/>
                <c:pt idx="0">
                  <c:v>2007</c:v>
                </c:pt>
                <c:pt idx="1">
                  <c:v>2017</c:v>
                </c:pt>
                <c:pt idx="2">
                  <c:v>2027</c:v>
                </c:pt>
              </c:numCache>
            </c:numRef>
          </c:cat>
          <c:val>
            <c:numRef>
              <c:f>'Ind F2'!$M$236:$O$236</c:f>
              <c:numCache>
                <c:formatCode>0.0</c:formatCode>
                <c:ptCount val="3"/>
                <c:pt idx="0">
                  <c:v>3.7137136639752684</c:v>
                </c:pt>
                <c:pt idx="1">
                  <c:v>5.3321436042478592</c:v>
                </c:pt>
                <c:pt idx="2">
                  <c:v>5.2729686274236096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03-4130-A9FF-BEAED71CB0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313465624"/>
        <c:axId val="313466016"/>
      </c:barChart>
      <c:catAx>
        <c:axId val="313465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46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466016"/>
        <c:scaling>
          <c:orientation val="minMax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34656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38211864787763"/>
          <c:y val="0.34095668707435578"/>
          <c:w val="0.23174639097593544"/>
          <c:h val="0.23908548178993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3.png"/><Relationship Id="rId5" Type="http://schemas.openxmlformats.org/officeDocument/2006/relationships/chart" Target="../charts/chart6.xml"/><Relationship Id="rId10" Type="http://schemas.openxmlformats.org/officeDocument/2006/relationships/hyperlink" Target="#Contents!A1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ts!A1"/><Relationship Id="rId1" Type="http://schemas.openxmlformats.org/officeDocument/2006/relationships/chart" Target="../charts/chart11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7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image" Target="../media/image3.png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image" Target="../media/image3.png"/><Relationship Id="rId5" Type="http://schemas.openxmlformats.org/officeDocument/2006/relationships/hyperlink" Target="#Contents!A1"/><Relationship Id="rId4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ts!A1"/><Relationship Id="rId1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ts!A1"/><Relationship Id="rId1" Type="http://schemas.openxmlformats.org/officeDocument/2006/relationships/chart" Target="../charts/chart33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48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12" Type="http://schemas.openxmlformats.org/officeDocument/2006/relationships/chart" Target="../charts/chart47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6.xml"/><Relationship Id="rId5" Type="http://schemas.openxmlformats.org/officeDocument/2006/relationships/chart" Target="../charts/chart42.xml"/><Relationship Id="rId10" Type="http://schemas.openxmlformats.org/officeDocument/2006/relationships/image" Target="../media/image3.png"/><Relationship Id="rId4" Type="http://schemas.openxmlformats.org/officeDocument/2006/relationships/chart" Target="../charts/chart41.xml"/><Relationship Id="rId9" Type="http://schemas.openxmlformats.org/officeDocument/2006/relationships/hyperlink" Target="#Contents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ts!A1"/><Relationship Id="rId1" Type="http://schemas.openxmlformats.org/officeDocument/2006/relationships/chart" Target="../charts/chart49.xml"/><Relationship Id="rId4" Type="http://schemas.openxmlformats.org/officeDocument/2006/relationships/chart" Target="../charts/chart5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ts!A1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10</xdr:row>
          <xdr:rowOff>95250</xdr:rowOff>
        </xdr:from>
        <xdr:to>
          <xdr:col>7</xdr:col>
          <xdr:colOff>609600</xdr:colOff>
          <xdr:row>12</xdr:row>
          <xdr:rowOff>76200</xdr:rowOff>
        </xdr:to>
        <xdr:sp macro="" textlink="">
          <xdr:nvSpPr>
            <xdr:cNvPr id="1025" name="SummaryTablesA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6</xdr:row>
          <xdr:rowOff>85725</xdr:rowOff>
        </xdr:from>
        <xdr:to>
          <xdr:col>1</xdr:col>
          <xdr:colOff>657225</xdr:colOff>
          <xdr:row>7</xdr:row>
          <xdr:rowOff>190500</xdr:rowOff>
        </xdr:to>
        <xdr:sp macro="" textlink="">
          <xdr:nvSpPr>
            <xdr:cNvPr id="1029" name="installDataButton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47</xdr:row>
      <xdr:rowOff>28575</xdr:rowOff>
    </xdr:from>
    <xdr:to>
      <xdr:col>9</xdr:col>
      <xdr:colOff>38100</xdr:colOff>
      <xdr:row>75</xdr:row>
      <xdr:rowOff>38100</xdr:rowOff>
    </xdr:to>
    <xdr:graphicFrame macro="">
      <xdr:nvGraphicFramePr>
        <xdr:cNvPr id="3082" name="Sector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77</xdr:row>
      <xdr:rowOff>28575</xdr:rowOff>
    </xdr:from>
    <xdr:to>
      <xdr:col>9</xdr:col>
      <xdr:colOff>38100</xdr:colOff>
      <xdr:row>105</xdr:row>
      <xdr:rowOff>47625</xdr:rowOff>
    </xdr:to>
    <xdr:graphicFrame macro="">
      <xdr:nvGraphicFramePr>
        <xdr:cNvPr id="3083" name="Sector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107</xdr:row>
      <xdr:rowOff>9525</xdr:rowOff>
    </xdr:from>
    <xdr:to>
      <xdr:col>9</xdr:col>
      <xdr:colOff>57150</xdr:colOff>
      <xdr:row>135</xdr:row>
      <xdr:rowOff>28575</xdr:rowOff>
    </xdr:to>
    <xdr:graphicFrame macro="">
      <xdr:nvGraphicFramePr>
        <xdr:cNvPr id="3084" name="Secto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137</xdr:row>
      <xdr:rowOff>28575</xdr:rowOff>
    </xdr:from>
    <xdr:to>
      <xdr:col>9</xdr:col>
      <xdr:colOff>28575</xdr:colOff>
      <xdr:row>165</xdr:row>
      <xdr:rowOff>47625</xdr:rowOff>
    </xdr:to>
    <xdr:graphicFrame macro="">
      <xdr:nvGraphicFramePr>
        <xdr:cNvPr id="3085" name="Sector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167</xdr:row>
      <xdr:rowOff>9525</xdr:rowOff>
    </xdr:from>
    <xdr:to>
      <xdr:col>9</xdr:col>
      <xdr:colOff>28575</xdr:colOff>
      <xdr:row>195</xdr:row>
      <xdr:rowOff>19050</xdr:rowOff>
    </xdr:to>
    <xdr:graphicFrame macro="">
      <xdr:nvGraphicFramePr>
        <xdr:cNvPr id="3086" name="Sector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197</xdr:row>
      <xdr:rowOff>0</xdr:rowOff>
    </xdr:from>
    <xdr:to>
      <xdr:col>9</xdr:col>
      <xdr:colOff>28575</xdr:colOff>
      <xdr:row>225</xdr:row>
      <xdr:rowOff>28575</xdr:rowOff>
    </xdr:to>
    <xdr:graphicFrame macro="">
      <xdr:nvGraphicFramePr>
        <xdr:cNvPr id="3087" name="Sector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</xdr:row>
      <xdr:rowOff>9525</xdr:rowOff>
    </xdr:from>
    <xdr:to>
      <xdr:col>9</xdr:col>
      <xdr:colOff>28575</xdr:colOff>
      <xdr:row>44</xdr:row>
      <xdr:rowOff>9525</xdr:rowOff>
    </xdr:to>
    <xdr:graphicFrame macro="">
      <xdr:nvGraphicFramePr>
        <xdr:cNvPr id="3088" name="Sector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</xdr:colOff>
      <xdr:row>226</xdr:row>
      <xdr:rowOff>177800</xdr:rowOff>
    </xdr:from>
    <xdr:to>
      <xdr:col>9</xdr:col>
      <xdr:colOff>28575</xdr:colOff>
      <xdr:row>255</xdr:row>
      <xdr:rowOff>22225</xdr:rowOff>
    </xdr:to>
    <xdr:graphicFrame macro="">
      <xdr:nvGraphicFramePr>
        <xdr:cNvPr id="308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257</xdr:row>
      <xdr:rowOff>0</xdr:rowOff>
    </xdr:from>
    <xdr:to>
      <xdr:col>8</xdr:col>
      <xdr:colOff>600075</xdr:colOff>
      <xdr:row>285</xdr:row>
      <xdr:rowOff>28575</xdr:rowOff>
    </xdr:to>
    <xdr:graphicFrame macro="">
      <xdr:nvGraphicFramePr>
        <xdr:cNvPr id="309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228600</xdr:colOff>
      <xdr:row>0</xdr:row>
      <xdr:rowOff>0</xdr:rowOff>
    </xdr:from>
    <xdr:to>
      <xdr:col>10</xdr:col>
      <xdr:colOff>598394</xdr:colOff>
      <xdr:row>2</xdr:row>
      <xdr:rowOff>1494</xdr:rowOff>
    </xdr:to>
    <xdr:pic>
      <xdr:nvPicPr>
        <xdr:cNvPr id="11" name="Picture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0"/>
          <a:ext cx="369794" cy="3697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367926</xdr:colOff>
      <xdr:row>2</xdr:row>
      <xdr:rowOff>11206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059" y="0"/>
          <a:ext cx="367926" cy="3697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44824</xdr:colOff>
      <xdr:row>0</xdr:row>
      <xdr:rowOff>78441</xdr:rowOff>
    </xdr:from>
    <xdr:to>
      <xdr:col>15</xdr:col>
      <xdr:colOff>412750</xdr:colOff>
      <xdr:row>2</xdr:row>
      <xdr:rowOff>89647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5353" y="78441"/>
          <a:ext cx="367926" cy="3697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257736</xdr:colOff>
      <xdr:row>0</xdr:row>
      <xdr:rowOff>0</xdr:rowOff>
    </xdr:from>
    <xdr:to>
      <xdr:col>34</xdr:col>
      <xdr:colOff>22412</xdr:colOff>
      <xdr:row>2</xdr:row>
      <xdr:rowOff>11206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4177" y="0"/>
          <a:ext cx="369794" cy="36979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112058</xdr:colOff>
      <xdr:row>0</xdr:row>
      <xdr:rowOff>11206</xdr:rowOff>
    </xdr:from>
    <xdr:to>
      <xdr:col>32</xdr:col>
      <xdr:colOff>481852</xdr:colOff>
      <xdr:row>2</xdr:row>
      <xdr:rowOff>22412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79029" y="11206"/>
          <a:ext cx="369794" cy="36979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235323</xdr:colOff>
      <xdr:row>0</xdr:row>
      <xdr:rowOff>0</xdr:rowOff>
    </xdr:from>
    <xdr:to>
      <xdr:col>13</xdr:col>
      <xdr:colOff>1867</xdr:colOff>
      <xdr:row>2</xdr:row>
      <xdr:rowOff>11206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3558" y="0"/>
          <a:ext cx="369794" cy="36979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89647</xdr:colOff>
      <xdr:row>0</xdr:row>
      <xdr:rowOff>56029</xdr:rowOff>
    </xdr:from>
    <xdr:to>
      <xdr:col>21</xdr:col>
      <xdr:colOff>457573</xdr:colOff>
      <xdr:row>2</xdr:row>
      <xdr:rowOff>67235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0853" y="56029"/>
          <a:ext cx="367926" cy="36979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145677</xdr:colOff>
      <xdr:row>0</xdr:row>
      <xdr:rowOff>22413</xdr:rowOff>
    </xdr:from>
    <xdr:to>
      <xdr:col>47</xdr:col>
      <xdr:colOff>515471</xdr:colOff>
      <xdr:row>2</xdr:row>
      <xdr:rowOff>33619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1736" y="22413"/>
          <a:ext cx="369794" cy="3697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38100</xdr:rowOff>
    </xdr:from>
    <xdr:to>
      <xdr:col>9</xdr:col>
      <xdr:colOff>1057275</xdr:colOff>
      <xdr:row>77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371662</xdr:colOff>
      <xdr:row>2</xdr:row>
      <xdr:rowOff>1494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0"/>
          <a:ext cx="371662" cy="3697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25401</xdr:rowOff>
    </xdr:from>
    <xdr:to>
      <xdr:col>9</xdr:col>
      <xdr:colOff>1057275</xdr:colOff>
      <xdr:row>147</xdr:row>
      <xdr:rowOff>139701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150</xdr:row>
      <xdr:rowOff>0</xdr:rowOff>
    </xdr:from>
    <xdr:to>
      <xdr:col>9</xdr:col>
      <xdr:colOff>1057275</xdr:colOff>
      <xdr:row>184</xdr:row>
      <xdr:rowOff>101600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162</xdr:row>
      <xdr:rowOff>9525</xdr:rowOff>
    </xdr:from>
    <xdr:to>
      <xdr:col>9</xdr:col>
      <xdr:colOff>9525</xdr:colOff>
      <xdr:row>194</xdr:row>
      <xdr:rowOff>57150</xdr:rowOff>
    </xdr:to>
    <xdr:graphicFrame macro="">
      <xdr:nvGraphicFramePr>
        <xdr:cNvPr id="2" name="OccGroup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196</xdr:row>
      <xdr:rowOff>190500</xdr:rowOff>
    </xdr:from>
    <xdr:to>
      <xdr:col>9</xdr:col>
      <xdr:colOff>9525</xdr:colOff>
      <xdr:row>229</xdr:row>
      <xdr:rowOff>28575</xdr:rowOff>
    </xdr:to>
    <xdr:graphicFrame macro="">
      <xdr:nvGraphicFramePr>
        <xdr:cNvPr id="3" name="OccGroup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232</xdr:row>
      <xdr:rowOff>63500</xdr:rowOff>
    </xdr:from>
    <xdr:to>
      <xdr:col>8</xdr:col>
      <xdr:colOff>2114550</xdr:colOff>
      <xdr:row>264</xdr:row>
      <xdr:rowOff>82550</xdr:rowOff>
    </xdr:to>
    <xdr:graphicFrame macro="">
      <xdr:nvGraphicFramePr>
        <xdr:cNvPr id="4" name="OccGroup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267</xdr:row>
      <xdr:rowOff>0</xdr:rowOff>
    </xdr:from>
    <xdr:to>
      <xdr:col>9</xdr:col>
      <xdr:colOff>9525</xdr:colOff>
      <xdr:row>299</xdr:row>
      <xdr:rowOff>47625</xdr:rowOff>
    </xdr:to>
    <xdr:graphicFrame macro="">
      <xdr:nvGraphicFramePr>
        <xdr:cNvPr id="5" name="OccGroup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</xdr:colOff>
      <xdr:row>301</xdr:row>
      <xdr:rowOff>190500</xdr:rowOff>
    </xdr:from>
    <xdr:to>
      <xdr:col>8</xdr:col>
      <xdr:colOff>2117725</xdr:colOff>
      <xdr:row>334</xdr:row>
      <xdr:rowOff>25400</xdr:rowOff>
    </xdr:to>
    <xdr:graphicFrame macro="">
      <xdr:nvGraphicFramePr>
        <xdr:cNvPr id="6" name="OccGroup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337</xdr:row>
      <xdr:rowOff>0</xdr:rowOff>
    </xdr:from>
    <xdr:to>
      <xdr:col>8</xdr:col>
      <xdr:colOff>2114550</xdr:colOff>
      <xdr:row>369</xdr:row>
      <xdr:rowOff>9525</xdr:rowOff>
    </xdr:to>
    <xdr:graphicFrame macro="">
      <xdr:nvGraphicFramePr>
        <xdr:cNvPr id="7" name="OccGroup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372</xdr:row>
      <xdr:rowOff>0</xdr:rowOff>
    </xdr:from>
    <xdr:to>
      <xdr:col>9</xdr:col>
      <xdr:colOff>9525</xdr:colOff>
      <xdr:row>404</xdr:row>
      <xdr:rowOff>38100</xdr:rowOff>
    </xdr:to>
    <xdr:graphicFrame macro="">
      <xdr:nvGraphicFramePr>
        <xdr:cNvPr id="8" name="OccGroup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12700</xdr:colOff>
      <xdr:row>407</xdr:row>
      <xdr:rowOff>22225</xdr:rowOff>
    </xdr:from>
    <xdr:to>
      <xdr:col>9</xdr:col>
      <xdr:colOff>12700</xdr:colOff>
      <xdr:row>437</xdr:row>
      <xdr:rowOff>139700</xdr:rowOff>
    </xdr:to>
    <xdr:graphicFrame macro="">
      <xdr:nvGraphicFramePr>
        <xdr:cNvPr id="9" name="OccGroup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28575</xdr:colOff>
      <xdr:row>442</xdr:row>
      <xdr:rowOff>0</xdr:rowOff>
    </xdr:from>
    <xdr:to>
      <xdr:col>9</xdr:col>
      <xdr:colOff>9525</xdr:colOff>
      <xdr:row>474</xdr:row>
      <xdr:rowOff>0</xdr:rowOff>
    </xdr:to>
    <xdr:graphicFrame macro="">
      <xdr:nvGraphicFramePr>
        <xdr:cNvPr id="10" name="OccGroup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12700</xdr:colOff>
      <xdr:row>1</xdr:row>
      <xdr:rowOff>0</xdr:rowOff>
    </xdr:from>
    <xdr:to>
      <xdr:col>9</xdr:col>
      <xdr:colOff>12700</xdr:colOff>
      <xdr:row>55</xdr:row>
      <xdr:rowOff>142875</xdr:rowOff>
    </xdr:to>
    <xdr:graphicFrame macro="">
      <xdr:nvGraphicFramePr>
        <xdr:cNvPr id="12" name="OccGroup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12700</xdr:colOff>
      <xdr:row>116</xdr:row>
      <xdr:rowOff>0</xdr:rowOff>
    </xdr:from>
    <xdr:to>
      <xdr:col>9</xdr:col>
      <xdr:colOff>12700</xdr:colOff>
      <xdr:row>159</xdr:row>
      <xdr:rowOff>142875</xdr:rowOff>
    </xdr:to>
    <xdr:graphicFrame macro="">
      <xdr:nvGraphicFramePr>
        <xdr:cNvPr id="13" name="OccGroup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12700</xdr:colOff>
      <xdr:row>477</xdr:row>
      <xdr:rowOff>12700</xdr:rowOff>
    </xdr:from>
    <xdr:to>
      <xdr:col>9</xdr:col>
      <xdr:colOff>0</xdr:colOff>
      <xdr:row>501</xdr:row>
      <xdr:rowOff>127000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12700</xdr:colOff>
      <xdr:row>504</xdr:row>
      <xdr:rowOff>190500</xdr:rowOff>
    </xdr:from>
    <xdr:to>
      <xdr:col>8</xdr:col>
      <xdr:colOff>2095500</xdr:colOff>
      <xdr:row>530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371662</xdr:colOff>
      <xdr:row>2</xdr:row>
      <xdr:rowOff>1494</xdr:rowOff>
    </xdr:to>
    <xdr:pic>
      <xdr:nvPicPr>
        <xdr:cNvPr id="16" name="Picture 15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4100" y="0"/>
          <a:ext cx="371662" cy="369794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</xdr:row>
      <xdr:rowOff>63500</xdr:rowOff>
    </xdr:from>
    <xdr:to>
      <xdr:col>9</xdr:col>
      <xdr:colOff>12700</xdr:colOff>
      <xdr:row>113</xdr:row>
      <xdr:rowOff>41275</xdr:rowOff>
    </xdr:to>
    <xdr:graphicFrame macro="">
      <xdr:nvGraphicFramePr>
        <xdr:cNvPr id="17" name="OccGroup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2609850</xdr:colOff>
      <xdr:row>1</xdr:row>
      <xdr:rowOff>9525</xdr:rowOff>
    </xdr:from>
    <xdr:to>
      <xdr:col>1</xdr:col>
      <xdr:colOff>2771775</xdr:colOff>
      <xdr:row>2</xdr:row>
      <xdr:rowOff>9525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200025"/>
          <a:ext cx="161925" cy="1619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76200</xdr:rowOff>
    </xdr:from>
    <xdr:to>
      <xdr:col>18</xdr:col>
      <xdr:colOff>622300</xdr:colOff>
      <xdr:row>28</xdr:row>
      <xdr:rowOff>50800</xdr:rowOff>
    </xdr:to>
    <xdr:grpSp>
      <xdr:nvGrpSpPr>
        <xdr:cNvPr id="17" name="Group 16"/>
        <xdr:cNvGrpSpPr/>
      </xdr:nvGrpSpPr>
      <xdr:grpSpPr>
        <a:xfrm>
          <a:off x="0" y="279400"/>
          <a:ext cx="11582400" cy="4432300"/>
          <a:chOff x="0" y="279400"/>
          <a:chExt cx="11582400" cy="4432300"/>
        </a:xfrm>
      </xdr:grpSpPr>
      <xdr:grpSp>
        <xdr:nvGrpSpPr>
          <xdr:cNvPr id="15" name="Group 14"/>
          <xdr:cNvGrpSpPr/>
        </xdr:nvGrpSpPr>
        <xdr:grpSpPr>
          <a:xfrm>
            <a:off x="0" y="279400"/>
            <a:ext cx="11582400" cy="4432300"/>
            <a:chOff x="38100" y="292100"/>
            <a:chExt cx="11582400" cy="4432300"/>
          </a:xfrm>
        </xdr:grpSpPr>
        <xdr:grpSp>
          <xdr:nvGrpSpPr>
            <xdr:cNvPr id="11" name="Group 10"/>
            <xdr:cNvGrpSpPr/>
          </xdr:nvGrpSpPr>
          <xdr:grpSpPr>
            <a:xfrm>
              <a:off x="76200" y="368300"/>
              <a:ext cx="11366500" cy="4229100"/>
              <a:chOff x="76200" y="368300"/>
              <a:chExt cx="11366500" cy="4229100"/>
            </a:xfrm>
            <a:noFill/>
          </xdr:grpSpPr>
          <xdr:graphicFrame macro="">
            <xdr:nvGraphicFramePr>
              <xdr:cNvPr id="7" name="Chart 6"/>
              <xdr:cNvGraphicFramePr/>
            </xdr:nvGraphicFramePr>
            <xdr:xfrm>
              <a:off x="76200" y="368300"/>
              <a:ext cx="4533900" cy="42291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graphicFrame macro="">
            <xdr:nvGraphicFramePr>
              <xdr:cNvPr id="8" name="Chart 7"/>
              <xdr:cNvGraphicFramePr>
                <a:graphicFrameLocks/>
              </xdr:cNvGraphicFramePr>
            </xdr:nvGraphicFramePr>
            <xdr:xfrm>
              <a:off x="4597400" y="368300"/>
              <a:ext cx="2286000" cy="42291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  <xdr:graphicFrame macro="">
            <xdr:nvGraphicFramePr>
              <xdr:cNvPr id="9" name="Chart 8"/>
              <xdr:cNvGraphicFramePr>
                <a:graphicFrameLocks/>
              </xdr:cNvGraphicFramePr>
            </xdr:nvGraphicFramePr>
            <xdr:xfrm>
              <a:off x="6870700" y="368300"/>
              <a:ext cx="2286000" cy="42291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"/>
              </a:graphicData>
            </a:graphic>
          </xdr:graphicFrame>
          <xdr:graphicFrame macro="">
            <xdr:nvGraphicFramePr>
              <xdr:cNvPr id="10" name="Chart 9"/>
              <xdr:cNvGraphicFramePr>
                <a:graphicFrameLocks/>
              </xdr:cNvGraphicFramePr>
            </xdr:nvGraphicFramePr>
            <xdr:xfrm>
              <a:off x="9156700" y="368300"/>
              <a:ext cx="2286000" cy="42291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</xdr:grpSp>
        <xdr:sp macro="" textlink="">
          <xdr:nvSpPr>
            <xdr:cNvPr id="14" name="Rectangle 13"/>
            <xdr:cNvSpPr/>
          </xdr:nvSpPr>
          <xdr:spPr>
            <a:xfrm>
              <a:off x="38100" y="292100"/>
              <a:ext cx="11582400" cy="4432300"/>
            </a:xfrm>
            <a:prstGeom prst="rect">
              <a:avLst/>
            </a:prstGeom>
            <a:noFill/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16" name="TextBox 15"/>
          <xdr:cNvSpPr txBox="1"/>
        </xdr:nvSpPr>
        <xdr:spPr>
          <a:xfrm>
            <a:off x="10744200" y="279400"/>
            <a:ext cx="835806" cy="2545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100">
                <a:latin typeface="Arial" panose="020B0604020202020204" pitchFamily="34" charset="0"/>
                <a:cs typeface="Arial" panose="020B0604020202020204" pitchFamily="34" charset="0"/>
              </a:rPr>
              <a:t>thousands</a:t>
            </a:r>
          </a:p>
        </xdr:txBody>
      </xdr:sp>
    </xdr:grpSp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371662</xdr:colOff>
      <xdr:row>2</xdr:row>
      <xdr:rowOff>1494</xdr:rowOff>
    </xdr:to>
    <xdr:pic>
      <xdr:nvPicPr>
        <xdr:cNvPr id="21" name="Picture 2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0" y="0"/>
          <a:ext cx="371662" cy="36979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1</xdr:row>
      <xdr:rowOff>38100</xdr:rowOff>
    </xdr:from>
    <xdr:to>
      <xdr:col>9</xdr:col>
      <xdr:colOff>260351</xdr:colOff>
      <xdr:row>37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371662</xdr:colOff>
      <xdr:row>2</xdr:row>
      <xdr:rowOff>1494</xdr:rowOff>
    </xdr:to>
    <xdr:pic>
      <xdr:nvPicPr>
        <xdr:cNvPr id="5" name="Picture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0"/>
          <a:ext cx="371662" cy="36979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</xdr:row>
      <xdr:rowOff>50800</xdr:rowOff>
    </xdr:from>
    <xdr:to>
      <xdr:col>9</xdr:col>
      <xdr:colOff>247651</xdr:colOff>
      <xdr:row>37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371662</xdr:colOff>
      <xdr:row>2</xdr:row>
      <xdr:rowOff>1494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800" y="0"/>
          <a:ext cx="371662" cy="369794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</xdr:row>
      <xdr:rowOff>0</xdr:rowOff>
    </xdr:from>
    <xdr:to>
      <xdr:col>9</xdr:col>
      <xdr:colOff>247651</xdr:colOff>
      <xdr:row>76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</xdr:colOff>
      <xdr:row>79</xdr:row>
      <xdr:rowOff>0</xdr:rowOff>
    </xdr:from>
    <xdr:to>
      <xdr:col>9</xdr:col>
      <xdr:colOff>247651</xdr:colOff>
      <xdr:row>115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371662</xdr:colOff>
      <xdr:row>2</xdr:row>
      <xdr:rowOff>11206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9971" y="0"/>
          <a:ext cx="371662" cy="36979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28575</xdr:rowOff>
    </xdr:from>
    <xdr:to>
      <xdr:col>8</xdr:col>
      <xdr:colOff>2114550</xdr:colOff>
      <xdr:row>47</xdr:row>
      <xdr:rowOff>85725</xdr:rowOff>
    </xdr:to>
    <xdr:graphicFrame macro="">
      <xdr:nvGraphicFramePr>
        <xdr:cNvPr id="29708" name="Qual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52</xdr:row>
      <xdr:rowOff>0</xdr:rowOff>
    </xdr:from>
    <xdr:to>
      <xdr:col>8</xdr:col>
      <xdr:colOff>2117725</xdr:colOff>
      <xdr:row>97</xdr:row>
      <xdr:rowOff>57150</xdr:rowOff>
    </xdr:to>
    <xdr:graphicFrame macro="">
      <xdr:nvGraphicFramePr>
        <xdr:cNvPr id="3" name="Qual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371662</xdr:colOff>
      <xdr:row>2</xdr:row>
      <xdr:rowOff>1494</xdr:rowOff>
    </xdr:to>
    <xdr:pic>
      <xdr:nvPicPr>
        <xdr:cNvPr id="4" name="Picture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0"/>
          <a:ext cx="371662" cy="36979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35252</xdr:colOff>
      <xdr:row>2</xdr:row>
      <xdr:rowOff>11206</xdr:rowOff>
    </xdr:from>
    <xdr:to>
      <xdr:col>35</xdr:col>
      <xdr:colOff>381000</xdr:colOff>
      <xdr:row>53</xdr:row>
      <xdr:rowOff>44824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547079</xdr:colOff>
      <xdr:row>2</xdr:row>
      <xdr:rowOff>38099</xdr:rowOff>
    </xdr:from>
    <xdr:to>
      <xdr:col>48</xdr:col>
      <xdr:colOff>582706</xdr:colOff>
      <xdr:row>53</xdr:row>
      <xdr:rowOff>44823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134471</xdr:colOff>
      <xdr:row>55</xdr:row>
      <xdr:rowOff>122892</xdr:rowOff>
    </xdr:from>
    <xdr:to>
      <xdr:col>30</xdr:col>
      <xdr:colOff>505946</xdr:colOff>
      <xdr:row>81</xdr:row>
      <xdr:rowOff>123264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5041</xdr:colOff>
      <xdr:row>56</xdr:row>
      <xdr:rowOff>14382</xdr:rowOff>
    </xdr:from>
    <xdr:to>
      <xdr:col>49</xdr:col>
      <xdr:colOff>480172</xdr:colOff>
      <xdr:row>81</xdr:row>
      <xdr:rowOff>156881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99359</xdr:colOff>
      <xdr:row>82</xdr:row>
      <xdr:rowOff>85910</xdr:rowOff>
    </xdr:from>
    <xdr:to>
      <xdr:col>30</xdr:col>
      <xdr:colOff>493058</xdr:colOff>
      <xdr:row>107</xdr:row>
      <xdr:rowOff>100852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82</xdr:row>
      <xdr:rowOff>142688</xdr:rowOff>
    </xdr:from>
    <xdr:to>
      <xdr:col>49</xdr:col>
      <xdr:colOff>489698</xdr:colOff>
      <xdr:row>108</xdr:row>
      <xdr:rowOff>44824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38659</xdr:colOff>
      <xdr:row>109</xdr:row>
      <xdr:rowOff>53041</xdr:rowOff>
    </xdr:from>
    <xdr:to>
      <xdr:col>30</xdr:col>
      <xdr:colOff>518271</xdr:colOff>
      <xdr:row>137</xdr:row>
      <xdr:rowOff>112434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267449</xdr:colOff>
      <xdr:row>109</xdr:row>
      <xdr:rowOff>53041</xdr:rowOff>
    </xdr:from>
    <xdr:to>
      <xdr:col>40</xdr:col>
      <xdr:colOff>120464</xdr:colOff>
      <xdr:row>137</xdr:row>
      <xdr:rowOff>110939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18</xdr:col>
      <xdr:colOff>33618</xdr:colOff>
      <xdr:row>0</xdr:row>
      <xdr:rowOff>56029</xdr:rowOff>
    </xdr:from>
    <xdr:to>
      <xdr:col>18</xdr:col>
      <xdr:colOff>405280</xdr:colOff>
      <xdr:row>1</xdr:row>
      <xdr:rowOff>190499</xdr:rowOff>
    </xdr:to>
    <xdr:pic>
      <xdr:nvPicPr>
        <xdr:cNvPr id="28" name="Picture 2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177" y="56029"/>
          <a:ext cx="371662" cy="369794"/>
        </a:xfrm>
        <a:prstGeom prst="rect">
          <a:avLst/>
        </a:prstGeom>
      </xdr:spPr>
    </xdr:pic>
    <xdr:clientData/>
  </xdr:twoCellAnchor>
  <xdr:twoCellAnchor>
    <xdr:from>
      <xdr:col>31</xdr:col>
      <xdr:colOff>336177</xdr:colOff>
      <xdr:row>55</xdr:row>
      <xdr:rowOff>134470</xdr:rowOff>
    </xdr:from>
    <xdr:to>
      <xdr:col>40</xdr:col>
      <xdr:colOff>206190</xdr:colOff>
      <xdr:row>81</xdr:row>
      <xdr:rowOff>120087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313765</xdr:colOff>
      <xdr:row>82</xdr:row>
      <xdr:rowOff>134470</xdr:rowOff>
    </xdr:from>
    <xdr:to>
      <xdr:col>40</xdr:col>
      <xdr:colOff>102346</xdr:colOff>
      <xdr:row>107</xdr:row>
      <xdr:rowOff>149412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41</xdr:col>
      <xdr:colOff>0</xdr:colOff>
      <xdr:row>109</xdr:row>
      <xdr:rowOff>56029</xdr:rowOff>
    </xdr:from>
    <xdr:to>
      <xdr:col>49</xdr:col>
      <xdr:colOff>458133</xdr:colOff>
      <xdr:row>137</xdr:row>
      <xdr:rowOff>113927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291353</xdr:colOff>
      <xdr:row>0</xdr:row>
      <xdr:rowOff>89648</xdr:rowOff>
    </xdr:from>
    <xdr:to>
      <xdr:col>31</xdr:col>
      <xdr:colOff>57897</xdr:colOff>
      <xdr:row>2</xdr:row>
      <xdr:rowOff>100854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62706" y="89648"/>
          <a:ext cx="371662" cy="36979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28575</xdr:rowOff>
    </xdr:from>
    <xdr:to>
      <xdr:col>12</xdr:col>
      <xdr:colOff>0</xdr:colOff>
      <xdr:row>30</xdr:row>
      <xdr:rowOff>66675</xdr:rowOff>
    </xdr:to>
    <xdr:graphicFrame macro="">
      <xdr:nvGraphicFramePr>
        <xdr:cNvPr id="19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22411</xdr:colOff>
      <xdr:row>0</xdr:row>
      <xdr:rowOff>0</xdr:rowOff>
    </xdr:from>
    <xdr:to>
      <xdr:col>14</xdr:col>
      <xdr:colOff>394073</xdr:colOff>
      <xdr:row>2</xdr:row>
      <xdr:rowOff>11206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4058" y="0"/>
          <a:ext cx="371662" cy="3697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22412</xdr:rowOff>
    </xdr:from>
    <xdr:to>
      <xdr:col>11</xdr:col>
      <xdr:colOff>586068</xdr:colOff>
      <xdr:row>77</xdr:row>
      <xdr:rowOff>112059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0.00652</cdr:x>
      <cdr:y>0.02964</cdr:y>
    </cdr:from>
    <cdr:to>
      <cdr:x>0.00652</cdr:x>
      <cdr:y>0.05659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143764"/>
          <a:ext cx="0" cy="1278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1" i="0" u="none" strike="noStrike" baseline="0">
              <a:solidFill>
                <a:srgbClr val="000080"/>
              </a:solidFill>
              <a:latin typeface="Arial"/>
              <a:cs typeface="Arial"/>
            </a:rPr>
            <a:t>by SOC 2000 Sub-Major Group</a:t>
          </a:r>
        </a:p>
      </cdr:txBody>
    </cdr:sp>
  </cdr:relSizeAnchor>
  <cdr:relSizeAnchor xmlns:cdr="http://schemas.openxmlformats.org/drawingml/2006/chartDrawing">
    <cdr:from>
      <cdr:x>0.00652</cdr:x>
      <cdr:y>0.05659</cdr:y>
    </cdr:from>
    <cdr:to>
      <cdr:x>0.00652</cdr:x>
      <cdr:y>0.08329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71590"/>
          <a:ext cx="0" cy="1266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0.00652</cdr:x>
      <cdr:y>0.02964</cdr:y>
    </cdr:from>
    <cdr:to>
      <cdr:x>0.00652</cdr:x>
      <cdr:y>0.05659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143764"/>
          <a:ext cx="0" cy="1278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1" i="0" u="none" strike="noStrike" baseline="0">
              <a:solidFill>
                <a:srgbClr val="000080"/>
              </a:solidFill>
              <a:latin typeface="Arial"/>
              <a:cs typeface="Arial"/>
            </a:rPr>
            <a:t>by SOC 2000 Sub-Major Group</a:t>
          </a:r>
        </a:p>
      </cdr:txBody>
    </cdr:sp>
  </cdr:relSizeAnchor>
  <cdr:relSizeAnchor xmlns:cdr="http://schemas.openxmlformats.org/drawingml/2006/chartDrawing">
    <cdr:from>
      <cdr:x>0.00652</cdr:x>
      <cdr:y>0.05659</cdr:y>
    </cdr:from>
    <cdr:to>
      <cdr:x>0.00652</cdr:x>
      <cdr:y>0.08329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71590"/>
          <a:ext cx="0" cy="1266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67236</xdr:colOff>
      <xdr:row>0</xdr:row>
      <xdr:rowOff>33618</xdr:rowOff>
    </xdr:from>
    <xdr:to>
      <xdr:col>19</xdr:col>
      <xdr:colOff>437030</xdr:colOff>
      <xdr:row>2</xdr:row>
      <xdr:rowOff>44824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177" y="33618"/>
          <a:ext cx="369794" cy="3697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105522</xdr:colOff>
      <xdr:row>0</xdr:row>
      <xdr:rowOff>0</xdr:rowOff>
    </xdr:from>
    <xdr:to>
      <xdr:col>40</xdr:col>
      <xdr:colOff>477184</xdr:colOff>
      <xdr:row>2</xdr:row>
      <xdr:rowOff>11206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8397" y="0"/>
          <a:ext cx="371662" cy="3763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98</xdr:col>
      <xdr:colOff>93381</xdr:colOff>
      <xdr:row>0</xdr:row>
      <xdr:rowOff>331508</xdr:rowOff>
    </xdr:from>
    <xdr:to>
      <xdr:col>98</xdr:col>
      <xdr:colOff>462242</xdr:colOff>
      <xdr:row>1</xdr:row>
      <xdr:rowOff>73773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1006" y="331508"/>
          <a:ext cx="368861" cy="37726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92449</xdr:colOff>
      <xdr:row>0</xdr:row>
      <xdr:rowOff>15875</xdr:rowOff>
    </xdr:from>
    <xdr:to>
      <xdr:col>33</xdr:col>
      <xdr:colOff>464111</xdr:colOff>
      <xdr:row>1</xdr:row>
      <xdr:rowOff>183963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11824" y="15875"/>
          <a:ext cx="371662" cy="3744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44825</xdr:colOff>
      <xdr:row>0</xdr:row>
      <xdr:rowOff>22412</xdr:rowOff>
    </xdr:from>
    <xdr:to>
      <xdr:col>7</xdr:col>
      <xdr:colOff>414619</xdr:colOff>
      <xdr:row>2</xdr:row>
      <xdr:rowOff>33618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737" y="22412"/>
          <a:ext cx="369794" cy="3697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224118</xdr:colOff>
      <xdr:row>0</xdr:row>
      <xdr:rowOff>0</xdr:rowOff>
    </xdr:from>
    <xdr:to>
      <xdr:col>6</xdr:col>
      <xdr:colOff>593912</xdr:colOff>
      <xdr:row>2</xdr:row>
      <xdr:rowOff>11206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7912" y="0"/>
          <a:ext cx="369794" cy="3697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235323</xdr:colOff>
      <xdr:row>0</xdr:row>
      <xdr:rowOff>0</xdr:rowOff>
    </xdr:from>
    <xdr:to>
      <xdr:col>12</xdr:col>
      <xdr:colOff>603249</xdr:colOff>
      <xdr:row>2</xdr:row>
      <xdr:rowOff>11206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176" y="0"/>
          <a:ext cx="369794" cy="3697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112060</xdr:colOff>
      <xdr:row>0</xdr:row>
      <xdr:rowOff>33618</xdr:rowOff>
    </xdr:from>
    <xdr:to>
      <xdr:col>14</xdr:col>
      <xdr:colOff>479986</xdr:colOff>
      <xdr:row>2</xdr:row>
      <xdr:rowOff>44824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2089" y="33618"/>
          <a:ext cx="367926" cy="3697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89647</xdr:colOff>
      <xdr:row>0</xdr:row>
      <xdr:rowOff>56029</xdr:rowOff>
    </xdr:from>
    <xdr:to>
      <xdr:col>25</xdr:col>
      <xdr:colOff>457573</xdr:colOff>
      <xdr:row>2</xdr:row>
      <xdr:rowOff>67235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2294" y="56029"/>
          <a:ext cx="367926" cy="3697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38100</xdr:rowOff>
    </xdr:from>
    <xdr:to>
      <xdr:col>9</xdr:col>
      <xdr:colOff>990600</xdr:colOff>
      <xdr:row>61</xdr:row>
      <xdr:rowOff>76200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76200</xdr:colOff>
      <xdr:row>0</xdr:row>
      <xdr:rowOff>0</xdr:rowOff>
    </xdr:from>
    <xdr:to>
      <xdr:col>11</xdr:col>
      <xdr:colOff>445994</xdr:colOff>
      <xdr:row>2</xdr:row>
      <xdr:rowOff>1494</xdr:rowOff>
    </xdr:to>
    <xdr:pic>
      <xdr:nvPicPr>
        <xdr:cNvPr id="3" name="Picture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6800" y="0"/>
          <a:ext cx="369794" cy="3697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feesudb\stfdir\output\roee_c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e_c01"/>
      <sheetName val="Contents"/>
      <sheetName val="Chapter 7 - Charts"/>
      <sheetName val="Chapter 5 - Charts"/>
      <sheetName val="Chapter 3 - Charts"/>
      <sheetName val="Chapter 4 - Charts"/>
      <sheetName val="Chapter 2 - Charts"/>
    </sheetNames>
    <sheetDataSet>
      <sheetData sheetId="0" refreshError="1"/>
      <sheetData sheetId="1" refreshError="1"/>
      <sheetData sheetId="2" refreshError="1">
        <row r="25">
          <cell r="D25" t="str">
            <v>Chart 7.1.   Regional economic activity rates, 1971-2010</v>
          </cell>
        </row>
        <row r="26">
          <cell r="D26" t="str">
            <v>All Regions</v>
          </cell>
        </row>
        <row r="27">
          <cell r="D27" t="str">
            <v>Total Employment</v>
          </cell>
        </row>
        <row r="67">
          <cell r="D67" t="str">
            <v>Chart 7.2.   Regional unemployment rates, 1971-2010</v>
          </cell>
        </row>
        <row r="68">
          <cell r="D68" t="str">
            <v>All Regions</v>
          </cell>
        </row>
        <row r="69">
          <cell r="D69" t="str">
            <v>Total Employment</v>
          </cell>
        </row>
        <row r="366">
          <cell r="D366" t="str">
            <v>Chart 7.6.b. (a)   Employment Levels by Broad Industrial Sector</v>
          </cell>
        </row>
        <row r="367">
          <cell r="D367" t="str">
            <v>East</v>
          </cell>
        </row>
        <row r="368">
          <cell r="D368" t="str">
            <v>Total Employment</v>
          </cell>
        </row>
        <row r="410">
          <cell r="D410" t="str">
            <v>Chart 7.7.b. (a)   Employment Levels by Broad Industrial Sector</v>
          </cell>
        </row>
        <row r="411">
          <cell r="D411" t="str">
            <v>North West</v>
          </cell>
        </row>
        <row r="412">
          <cell r="D412" t="str">
            <v>Total Employment</v>
          </cell>
        </row>
        <row r="454">
          <cell r="D454" t="str">
            <v>Chart 7.5.b. (b)   Employment Growth by Broad Industrial Sector</v>
          </cell>
        </row>
        <row r="455">
          <cell r="D455" t="str">
            <v>London</v>
          </cell>
        </row>
        <row r="456">
          <cell r="D456" t="str">
            <v>Total Employment</v>
          </cell>
        </row>
        <row r="499">
          <cell r="D499" t="str">
            <v>Chart 7.6.b. (b)   Employment Growth by Broad Industrial Sector</v>
          </cell>
        </row>
        <row r="500">
          <cell r="D500" t="str">
            <v>East</v>
          </cell>
        </row>
        <row r="501">
          <cell r="D501" t="str">
            <v>Total Employment</v>
          </cell>
        </row>
        <row r="543">
          <cell r="D543" t="str">
            <v>Chart 7.7.b. (b)   Employment Growth by Broad Industrial Sector</v>
          </cell>
        </row>
        <row r="544">
          <cell r="D544" t="str">
            <v>North West</v>
          </cell>
        </row>
        <row r="545">
          <cell r="D545" t="str">
            <v>Total Employment</v>
          </cell>
        </row>
        <row r="843">
          <cell r="D843" t="str">
            <v xml:space="preserve">Chart 7.10.a  Employment profiles by gender in the 'Distribution &amp; Transport, etc.' sector. </v>
          </cell>
        </row>
        <row r="844">
          <cell r="D844" t="str">
            <v>South West</v>
          </cell>
        </row>
        <row r="845">
          <cell r="D845" t="str">
            <v>Males</v>
          </cell>
        </row>
        <row r="886">
          <cell r="D886" t="str">
            <v xml:space="preserve">Chart 7.10.b  Employment profiles by gender in the 'Distribution &amp; Transport, etc.' sector. </v>
          </cell>
        </row>
        <row r="887">
          <cell r="D887" t="str">
            <v>South West</v>
          </cell>
        </row>
        <row r="888">
          <cell r="D888" t="str">
            <v>Females</v>
          </cell>
        </row>
        <row r="931">
          <cell r="D931" t="str">
            <v>Chart 7.11.a  Changing Occupational Profile of employment in Banking &amp; Business Services</v>
          </cell>
        </row>
        <row r="932">
          <cell r="D932" t="str">
            <v>London</v>
          </cell>
        </row>
        <row r="976">
          <cell r="D976" t="str">
            <v>Chart 7.11.b  Changing Occupational Profile of employment in Banking &amp; Business Services</v>
          </cell>
        </row>
        <row r="977">
          <cell r="D977" t="str">
            <v>Yorkshire &amp; the Humber</v>
          </cell>
        </row>
        <row r="1021">
          <cell r="D1021" t="str">
            <v>Chart 7.12.a.  Changing occupational profile of employment in Engineering</v>
          </cell>
        </row>
        <row r="1022">
          <cell r="D1022" t="str">
            <v>South East</v>
          </cell>
        </row>
        <row r="1065">
          <cell r="D1065" t="str">
            <v>Chart 7.12.b.  Changing occupational profile of employment in Engineering</v>
          </cell>
        </row>
        <row r="1066">
          <cell r="D1066" t="str">
            <v>West Midlands</v>
          </cell>
        </row>
        <row r="1110">
          <cell r="D1110" t="str">
            <v>Chart 7.12.c.  Changing occupational profile of employment in Engineering</v>
          </cell>
        </row>
        <row r="1111">
          <cell r="D1111" t="str">
            <v>Wales</v>
          </cell>
        </row>
      </sheetData>
      <sheetData sheetId="3" refreshError="1">
        <row r="25">
          <cell r="D25" t="str">
            <v>Chart 5.1.  Qualification Structure, 1979-1998 [% of total employment]</v>
          </cell>
        </row>
        <row r="26">
          <cell r="D26" t="str">
            <v>United Kingdom</v>
          </cell>
        </row>
        <row r="27">
          <cell r="D27" t="str">
            <v>Total Employment</v>
          </cell>
        </row>
        <row r="62">
          <cell r="D62" t="str">
            <v>Source: Labour Force Survey</v>
          </cell>
        </row>
        <row r="71">
          <cell r="D71" t="str">
            <v>Chart 5.2. (a)  Change in Employment Shares, 1979 - 1998 [% of total employment]</v>
          </cell>
        </row>
        <row r="72">
          <cell r="D72" t="str">
            <v>United Kingdom</v>
          </cell>
        </row>
        <row r="73">
          <cell r="D73" t="str">
            <v>Total Employment</v>
          </cell>
        </row>
        <row r="75">
          <cell r="AJ75">
            <v>2531.5990000000002</v>
          </cell>
          <cell r="AK75">
            <v>4287.2929999999997</v>
          </cell>
        </row>
        <row r="76">
          <cell r="AJ76">
            <v>1804.5730000000001</v>
          </cell>
          <cell r="AK76">
            <v>2817.6059999999998</v>
          </cell>
        </row>
        <row r="77">
          <cell r="AJ77">
            <v>1520.395</v>
          </cell>
          <cell r="AK77">
            <v>2662.07</v>
          </cell>
        </row>
        <row r="78">
          <cell r="AJ78">
            <v>4189.2690000000002</v>
          </cell>
          <cell r="AK78">
            <v>3973.6420000000007</v>
          </cell>
        </row>
        <row r="79">
          <cell r="AJ79">
            <v>4706.652</v>
          </cell>
          <cell r="AK79">
            <v>3247.0230000000001</v>
          </cell>
        </row>
        <row r="80">
          <cell r="AJ80">
            <v>1555.508</v>
          </cell>
          <cell r="AK80">
            <v>2827.058</v>
          </cell>
        </row>
        <row r="81">
          <cell r="AJ81">
            <v>999.12599999999998</v>
          </cell>
          <cell r="AK81">
            <v>1782.453</v>
          </cell>
        </row>
        <row r="82">
          <cell r="AJ82">
            <v>3585.4629999999997</v>
          </cell>
          <cell r="AK82">
            <v>2524.634</v>
          </cell>
        </row>
        <row r="83">
          <cell r="AJ83">
            <v>2810.288</v>
          </cell>
          <cell r="AK83">
            <v>2123.3029999999999</v>
          </cell>
        </row>
        <row r="84">
          <cell r="AJ84">
            <v>0</v>
          </cell>
          <cell r="AK84">
            <v>115.41700000000002</v>
          </cell>
        </row>
        <row r="85">
          <cell r="AJ85">
            <v>23702.873</v>
          </cell>
          <cell r="AK85">
            <v>26360.499000000003</v>
          </cell>
        </row>
        <row r="108">
          <cell r="D108" t="str">
            <v>Source: Labour Force Survey</v>
          </cell>
        </row>
        <row r="118">
          <cell r="D118" t="str">
            <v>Chart 5.2. (b)  Change in Employment Shares, 1983 - 1998 [% of total employment]</v>
          </cell>
        </row>
        <row r="119">
          <cell r="D119" t="str">
            <v>United Kingdom</v>
          </cell>
        </row>
        <row r="120">
          <cell r="D120" t="str">
            <v>Total Employment</v>
          </cell>
        </row>
        <row r="530">
          <cell r="D530" t="str">
            <v>Chart 5.3.  Change in Employment by Qualification, 1983 - 1998</v>
          </cell>
        </row>
        <row r="531">
          <cell r="D531" t="str">
            <v>United Kingdom</v>
          </cell>
        </row>
        <row r="532">
          <cell r="D532" t="str">
            <v>Total Employment</v>
          </cell>
        </row>
        <row r="567">
          <cell r="D567" t="str">
            <v>Source: Labour Force Survey</v>
          </cell>
        </row>
      </sheetData>
      <sheetData sheetId="4" refreshError="1">
        <row r="118">
          <cell r="D118" t="str">
            <v>Chart 3.4.  Change in Employment Structure, 1981-2010</v>
          </cell>
        </row>
        <row r="119">
          <cell r="D119" t="str">
            <v>United Kingdom</v>
          </cell>
        </row>
        <row r="120">
          <cell r="D120" t="str">
            <v>Total Employment</v>
          </cell>
        </row>
        <row r="599">
          <cell r="D599" t="str">
            <v>Chart 3.4.  Change in Employmend Broad by sector, 1981 - 2010</v>
          </cell>
        </row>
      </sheetData>
      <sheetData sheetId="5" refreshError="1">
        <row r="25">
          <cell r="D25" t="str">
            <v>Chart 4.2.(a)  Occupational Change, 1999-2010</v>
          </cell>
        </row>
        <row r="26">
          <cell r="D26" t="str">
            <v>United Kingdom</v>
          </cell>
        </row>
        <row r="27">
          <cell r="D27" t="str">
            <v>Total Employment</v>
          </cell>
        </row>
        <row r="62">
          <cell r="D62" t="str">
            <v>Source: CE/IER estimates, F92F9 Forecast</v>
          </cell>
        </row>
        <row r="71">
          <cell r="D71" t="str">
            <v>Chart 4.3.(a)  Occupational Change, 1999-2010</v>
          </cell>
        </row>
        <row r="72">
          <cell r="D72" t="str">
            <v>United Kingdom</v>
          </cell>
        </row>
        <row r="73">
          <cell r="D73" t="str">
            <v>Male Employment</v>
          </cell>
        </row>
        <row r="108">
          <cell r="D108" t="str">
            <v>Source: CE/IER estimates, F92F9 Forecast</v>
          </cell>
        </row>
        <row r="118">
          <cell r="D118" t="str">
            <v>Chart 4.4.(a)  Occupational Change, 1999-2010</v>
          </cell>
        </row>
        <row r="119">
          <cell r="D119" t="str">
            <v>United Kingdom</v>
          </cell>
        </row>
        <row r="120">
          <cell r="D120" t="str">
            <v>Female Employment</v>
          </cell>
        </row>
        <row r="155">
          <cell r="D155" t="str">
            <v>Source: CE/IER estimates, F92F9 Forecast</v>
          </cell>
        </row>
        <row r="165">
          <cell r="D165" t="str">
            <v>Chart 4.2.(b)  Occupational Change by Status, 1999-2010</v>
          </cell>
        </row>
        <row r="166">
          <cell r="D166" t="str">
            <v>United Kingdom</v>
          </cell>
        </row>
        <row r="167">
          <cell r="D167" t="str">
            <v>Total Employment</v>
          </cell>
        </row>
        <row r="209">
          <cell r="D209" t="str">
            <v>Source: CE/IER estimates, F92F9 Forecast</v>
          </cell>
        </row>
        <row r="216">
          <cell r="D216" t="str">
            <v>Chart 4.3.(b)  Occupational Change by Status, 1999-2010</v>
          </cell>
        </row>
        <row r="217">
          <cell r="D217" t="str">
            <v>United Kingdom</v>
          </cell>
        </row>
        <row r="218">
          <cell r="D218" t="str">
            <v>Male Employment</v>
          </cell>
        </row>
        <row r="260">
          <cell r="D260" t="str">
            <v>Source: CE/IER estimates, F92F9 Forecast</v>
          </cell>
        </row>
        <row r="267">
          <cell r="D267" t="str">
            <v>Chart 4.4.(b)  Occupational Change by Status, 1999-2010</v>
          </cell>
        </row>
        <row r="268">
          <cell r="D268" t="str">
            <v>United Kingdom</v>
          </cell>
        </row>
        <row r="269">
          <cell r="D269" t="str">
            <v>Female Employment</v>
          </cell>
        </row>
        <row r="311">
          <cell r="D311" t="str">
            <v>Source: CE/IER estimates, F92F9 Forecast</v>
          </cell>
        </row>
      </sheetData>
      <sheetData sheetId="6" refreshError="1">
        <row r="71">
          <cell r="D71" t="str">
            <v>Chart 2.2.  Growth in  Unemployment, Employment &amp; Labour Force, 1999-2010</v>
          </cell>
        </row>
        <row r="72">
          <cell r="D72" t="str">
            <v>United Kingdom</v>
          </cell>
        </row>
        <row r="73">
          <cell r="D73" t="str">
            <v>Total Employment</v>
          </cell>
        </row>
        <row r="108">
          <cell r="D108" t="str">
            <v>Source: CE/IER estimates, F02F9 Forecast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.a.wilson@warwick.ac.uk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13"/>
  <sheetViews>
    <sheetView workbookViewId="0">
      <selection activeCell="B2" sqref="B2"/>
    </sheetView>
  </sheetViews>
  <sheetFormatPr defaultRowHeight="12.75" x14ac:dyDescent="0.2"/>
  <cols>
    <col min="1" max="1" width="16.42578125" customWidth="1"/>
  </cols>
  <sheetData>
    <row r="1" spans="1:10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</row>
    <row r="2" spans="1:10" x14ac:dyDescent="0.2">
      <c r="A2" t="s">
        <v>140</v>
      </c>
      <c r="B2" s="106" t="s">
        <v>524</v>
      </c>
      <c r="C2" t="s">
        <v>416</v>
      </c>
      <c r="D2" t="s">
        <v>415</v>
      </c>
    </row>
    <row r="3" spans="1:10" x14ac:dyDescent="0.2">
      <c r="B3" s="106"/>
    </row>
    <row r="4" spans="1:10" x14ac:dyDescent="0.2">
      <c r="B4" s="170"/>
    </row>
    <row r="11" spans="1:10" x14ac:dyDescent="0.2">
      <c r="A11" t="s">
        <v>141</v>
      </c>
      <c r="B11" s="106" t="s">
        <v>524</v>
      </c>
    </row>
    <row r="12" spans="1:10" x14ac:dyDescent="0.2">
      <c r="B12" s="106"/>
    </row>
    <row r="13" spans="1:10" x14ac:dyDescent="0.2">
      <c r="B13" s="170"/>
    </row>
  </sheetData>
  <phoneticPr fontId="5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Q577"/>
  <sheetViews>
    <sheetView showGridLines="0" zoomScale="85" zoomScaleNormal="85" workbookViewId="0"/>
  </sheetViews>
  <sheetFormatPr defaultColWidth="9.140625" defaultRowHeight="12.75" x14ac:dyDescent="0.2"/>
  <cols>
    <col min="1" max="1" width="22.140625" style="417" customWidth="1"/>
    <col min="2" max="2" width="9.140625" style="418"/>
    <col min="3" max="3" width="9.28515625" style="417" customWidth="1"/>
    <col min="4" max="4" width="9.140625" style="418"/>
    <col min="5" max="5" width="9.28515625" style="417" customWidth="1"/>
    <col min="6" max="6" width="9.140625" style="418"/>
    <col min="7" max="7" width="9.28515625" style="417" customWidth="1"/>
    <col min="8" max="8" width="9.140625" style="418"/>
    <col min="9" max="9" width="9.28515625" style="417" customWidth="1"/>
    <col min="10" max="10" width="5.5703125" style="408" customWidth="1"/>
    <col min="11" max="14" width="9.28515625" style="418" customWidth="1"/>
    <col min="15" max="16384" width="9.140625" style="407"/>
  </cols>
  <sheetData>
    <row r="1" spans="1:17" ht="15.75" x14ac:dyDescent="0.25">
      <c r="A1" s="265" t="str">
        <f>CONCATENATE("Industry Table 5  Employment status by Industry (SIC 2007) and Gender, ",A$8,"-",A$18)</f>
        <v>Industry Table 5  Employment status by Industry (SIC 2007) and Gender, 2017-2027</v>
      </c>
    </row>
    <row r="5" spans="1:17" x14ac:dyDescent="0.2">
      <c r="A5" s="419"/>
      <c r="B5" s="420" t="s">
        <v>414</v>
      </c>
      <c r="C5" s="419"/>
      <c r="D5" s="420"/>
      <c r="E5" s="419"/>
      <c r="F5" s="420" t="str">
        <f>name!B3</f>
        <v>All industries</v>
      </c>
      <c r="G5" s="419"/>
      <c r="H5" s="422"/>
      <c r="I5" s="419"/>
      <c r="J5" s="421"/>
      <c r="K5" s="422"/>
      <c r="L5" s="422"/>
      <c r="M5" s="422"/>
      <c r="N5" s="422"/>
    </row>
    <row r="6" spans="1:17" x14ac:dyDescent="0.2">
      <c r="A6" s="408"/>
      <c r="B6" s="409"/>
      <c r="C6" s="408"/>
      <c r="D6" s="409"/>
      <c r="E6" s="408"/>
      <c r="F6" s="409"/>
      <c r="G6" s="408"/>
      <c r="H6" s="409"/>
      <c r="I6" s="408"/>
      <c r="K6" s="409"/>
      <c r="L6" s="409"/>
      <c r="M6" s="409"/>
      <c r="N6" s="415" t="s">
        <v>412</v>
      </c>
    </row>
    <row r="7" spans="1:17" x14ac:dyDescent="0.2">
      <c r="A7" s="433" t="s">
        <v>413</v>
      </c>
      <c r="B7" s="515" t="s">
        <v>411</v>
      </c>
      <c r="C7" s="515"/>
      <c r="D7" s="515" t="s">
        <v>410</v>
      </c>
      <c r="E7" s="515"/>
      <c r="F7" s="515" t="s">
        <v>409</v>
      </c>
      <c r="G7" s="515"/>
      <c r="H7" s="515" t="s">
        <v>32</v>
      </c>
      <c r="I7" s="515"/>
      <c r="J7" s="433"/>
      <c r="K7" s="434" t="s">
        <v>371</v>
      </c>
      <c r="L7" s="434" t="s">
        <v>373</v>
      </c>
      <c r="M7" s="434" t="s">
        <v>369</v>
      </c>
      <c r="N7" s="434" t="s">
        <v>32</v>
      </c>
    </row>
    <row r="8" spans="1:17" x14ac:dyDescent="0.2">
      <c r="A8" s="426">
        <f>'Ind T6'!L5</f>
        <v>2017</v>
      </c>
      <c r="B8" s="424" t="s">
        <v>60</v>
      </c>
      <c r="C8" s="425" t="s">
        <v>408</v>
      </c>
      <c r="D8" s="424" t="s">
        <v>60</v>
      </c>
      <c r="E8" s="425" t="s">
        <v>408</v>
      </c>
      <c r="F8" s="424" t="s">
        <v>60</v>
      </c>
      <c r="G8" s="425" t="s">
        <v>408</v>
      </c>
      <c r="H8" s="424" t="s">
        <v>60</v>
      </c>
      <c r="I8" s="425" t="s">
        <v>408</v>
      </c>
      <c r="J8" s="413"/>
      <c r="K8" s="426" t="str">
        <f>CONCATENATE(A8," - ",A13)</f>
        <v>2017 - 2022</v>
      </c>
      <c r="L8" s="427"/>
      <c r="M8" s="427"/>
    </row>
    <row r="9" spans="1:17" x14ac:dyDescent="0.2">
      <c r="A9" s="417" t="s">
        <v>390</v>
      </c>
      <c r="B9" s="363">
        <f>SUM(B30,B51,B72,B93,B114,B135,B156,B177,B198,B219,B240,B261,B282,B303,B324,B345,B366,B387,B408,B429,B450,B471)</f>
        <v>516.45600000009074</v>
      </c>
      <c r="C9" s="436" t="str">
        <f>CONCATENATE("(",ROUND((B9/$H11)*100,1),")")</f>
        <v>(33.8)</v>
      </c>
      <c r="D9" s="363">
        <f>SUM(D30,D51,D72,D93,D114,D135,D156,D177,D198,D219,D240,D261,D282,D303,D324,D345,D366,D387,D408,D429,D450,D471)</f>
        <v>115.74000000021454</v>
      </c>
      <c r="E9" s="436" t="str">
        <f>CONCATENATE("(",ROUND((D9/$H11)*100,1),")")</f>
        <v>(7.6)</v>
      </c>
      <c r="F9" s="363">
        <f>SUM(F30,F51,F72,F93,F114,F135,F156,F177,F198,F219,F240,F261,F282,F303,F324,F345,F366,F387,F408,F429,F450,F471)</f>
        <v>139.30999999979815</v>
      </c>
      <c r="G9" s="436" t="str">
        <f>CONCATENATE("(",ROUND((F9/$H11)*100,1),")")</f>
        <v>(9.1)</v>
      </c>
      <c r="H9" s="363">
        <f>SUM(H30,H51,H72,H93,H114,H135,H156,H177,H198,H219,H240,H261,H282,H303,H324,H345,H366,H387,H408,H429,H450,H471)</f>
        <v>771.50600000010331</v>
      </c>
      <c r="I9" s="436" t="str">
        <f>CONCATENATE("(",ROUND((H9/$H11)*100,1),")")</f>
        <v>(50.4)</v>
      </c>
      <c r="K9" s="363">
        <f>B14-B9</f>
        <v>-5.038999999462078</v>
      </c>
      <c r="L9" s="363">
        <f>D14-D9</f>
        <v>8.4279999999177164</v>
      </c>
      <c r="M9" s="363">
        <f>F14-F9</f>
        <v>-3.9659999996378588</v>
      </c>
      <c r="N9" s="363">
        <f>SUM(K9:M9)</f>
        <v>-0.57699999918222034</v>
      </c>
      <c r="O9" s="435"/>
      <c r="P9" s="435"/>
      <c r="Q9" s="435"/>
    </row>
    <row r="10" spans="1:17" x14ac:dyDescent="0.2">
      <c r="A10" s="417" t="s">
        <v>391</v>
      </c>
      <c r="B10" s="363">
        <f t="shared" ref="B10:B21" si="0">SUM(B31,B52,B73,B94,B115,B136,B157,B178,B199,B220,B241,B262,B283,B304,B325,B346,B367,B388,B409,B430,B451,B472)</f>
        <v>346.07599999896462</v>
      </c>
      <c r="C10" s="436" t="str">
        <f>CONCATENATE("(",ROUND((B10/$H11)*100,1),")")</f>
        <v>(22.6)</v>
      </c>
      <c r="D10" s="363">
        <f t="shared" ref="D10" si="1">SUM(D31,D52,D73,D94,D115,D136,D157,D178,D199,D220,D241,D262,D283,D304,D325,D346,D367,D388,D409,D430,D451,D472)</f>
        <v>334.3310000012699</v>
      </c>
      <c r="E10" s="436" t="str">
        <f>CONCATENATE("(",ROUND((D10/$H11)*100,1),")")</f>
        <v>(21.9)</v>
      </c>
      <c r="F10" s="363">
        <f t="shared" ref="F10" si="2">SUM(F31,F52,F73,F94,F115,F136,F157,F178,F199,F220,F241,F262,F283,F304,F325,F346,F367,F388,F409,F430,F451,F472)</f>
        <v>77.847000000504551</v>
      </c>
      <c r="G10" s="436" t="str">
        <f>CONCATENATE("(",ROUND((F10/$H11)*100,1),")")</f>
        <v>(5.1)</v>
      </c>
      <c r="H10" s="363">
        <f t="shared" ref="H10" si="3">SUM(H31,H52,H73,H94,H115,H136,H157,H178,H199,H220,H241,H262,H283,H304,H325,H346,H367,H388,H409,H430,H451,H472)</f>
        <v>758.25400000073921</v>
      </c>
      <c r="I10" s="436" t="str">
        <f>CONCATENATE("(",ROUND((H10/$H11)*100,1),")")</f>
        <v>(49.6)</v>
      </c>
      <c r="K10" s="363">
        <f t="shared" ref="K10:K11" si="4">B15-B10</f>
        <v>7.4050000005844367</v>
      </c>
      <c r="L10" s="363">
        <f t="shared" ref="L10:L11" si="5">D15-D10</f>
        <v>9.8589999998999929</v>
      </c>
      <c r="M10" s="363">
        <f t="shared" ref="M10:M11" si="6">F15-F10</f>
        <v>-0.15999999997757186</v>
      </c>
      <c r="N10" s="363">
        <f t="shared" ref="N10:N11" si="7">SUM(K10:M10)</f>
        <v>17.104000000506858</v>
      </c>
      <c r="O10" s="435"/>
      <c r="P10" s="435"/>
      <c r="Q10" s="435"/>
    </row>
    <row r="11" spans="1:17" x14ac:dyDescent="0.2">
      <c r="A11" s="417" t="s">
        <v>389</v>
      </c>
      <c r="B11" s="363">
        <f t="shared" si="0"/>
        <v>862.53199999905519</v>
      </c>
      <c r="C11" s="436" t="str">
        <f>CONCATENATE("(",ROUND((B11/$H11)*100,1),")")</f>
        <v>(56.4)</v>
      </c>
      <c r="D11" s="363">
        <f t="shared" ref="D11" si="8">SUM(D32,D53,D74,D95,D116,D137,D158,D179,D200,D221,D242,D263,D284,D305,D326,D347,D368,D389,D410,D431,D452,D473)</f>
        <v>450.07100000148455</v>
      </c>
      <c r="E11" s="436" t="str">
        <f>CONCATENATE("(",ROUND((D11/$H11)*100,1),")")</f>
        <v>(29.4)</v>
      </c>
      <c r="F11" s="363">
        <f t="shared" ref="F11" si="9">SUM(F32,F53,F74,F95,F116,F137,F158,F179,F200,F221,F242,F263,F284,F305,F326,F347,F368,F389,F410,F431,F452,F473)</f>
        <v>217.15700000030273</v>
      </c>
      <c r="G11" s="436" t="str">
        <f>CONCATENATE("(",ROUND((F11/$H11)*100,1),")")</f>
        <v>(14.2)</v>
      </c>
      <c r="H11" s="363">
        <f t="shared" ref="H11" si="10">SUM(H32,H53,H74,H95,H116,H137,H158,H179,H200,H221,H242,H263,H284,H305,H326,H347,H368,H389,H410,H431,H452,H473)</f>
        <v>1529.7600000008429</v>
      </c>
      <c r="I11" s="436" t="str">
        <f>CONCATENATE("(",ROUND((H11/$H11)*100,1),")")</f>
        <v>(100)</v>
      </c>
      <c r="K11" s="363">
        <f t="shared" si="4"/>
        <v>2.3660000011224156</v>
      </c>
      <c r="L11" s="363">
        <f t="shared" si="5"/>
        <v>18.28699999981751</v>
      </c>
      <c r="M11" s="363">
        <f t="shared" si="6"/>
        <v>-4.1259999996155159</v>
      </c>
      <c r="N11" s="363">
        <f t="shared" si="7"/>
        <v>16.52700000132441</v>
      </c>
      <c r="O11" s="435"/>
      <c r="P11" s="435"/>
      <c r="Q11" s="435"/>
    </row>
    <row r="12" spans="1:17" x14ac:dyDescent="0.2">
      <c r="B12" s="363"/>
      <c r="C12" s="428"/>
      <c r="D12" s="363"/>
      <c r="E12" s="428"/>
      <c r="F12" s="363"/>
      <c r="G12" s="428"/>
      <c r="H12" s="363"/>
      <c r="I12" s="428"/>
    </row>
    <row r="13" spans="1:17" x14ac:dyDescent="0.2">
      <c r="A13" s="426">
        <f>'Ind T6'!Q5</f>
        <v>2022</v>
      </c>
      <c r="B13" s="363"/>
      <c r="C13" s="428"/>
      <c r="D13" s="363"/>
      <c r="E13" s="428"/>
      <c r="F13" s="363"/>
      <c r="G13" s="428"/>
      <c r="H13" s="363"/>
      <c r="I13" s="428"/>
      <c r="K13" s="426" t="str">
        <f>CONCATENATE(A13," - ",A18)</f>
        <v>2022 - 2027</v>
      </c>
    </row>
    <row r="14" spans="1:17" x14ac:dyDescent="0.2">
      <c r="A14" s="417" t="s">
        <v>390</v>
      </c>
      <c r="B14" s="363">
        <f>SUM(B35,B56,B77,B98,B119,B140,B161,B182,B203,B224,B245,B266,B287,B308,B329,B350,B371,B392,B413,B434,B455,B476)</f>
        <v>511.41700000062866</v>
      </c>
      <c r="C14" s="436" t="str">
        <f>CONCATENATE("(",ROUND((B14/$H16)*100,1),")")</f>
        <v>(33.1)</v>
      </c>
      <c r="D14" s="363">
        <f t="shared" ref="D14" si="11">SUM(D35,D56,D77,D98,D119,D140,D161,D182,D203,D224,D245,D266,D287,D308,D329,D350,D371,D392,D413,D434,D455,D476)</f>
        <v>124.16800000013225</v>
      </c>
      <c r="E14" s="436" t="str">
        <f>CONCATENATE("(",ROUND((D14/$H16)*100,1),")")</f>
        <v>(8)</v>
      </c>
      <c r="F14" s="363">
        <f t="shared" ref="F14" si="12">SUM(F35,F56,F77,F98,F119,F140,F161,F182,F203,F224,F245,F266,F287,F308,F329,F350,F371,F392,F413,F434,F455,F476)</f>
        <v>135.34400000016029</v>
      </c>
      <c r="G14" s="436" t="str">
        <f>CONCATENATE("(",ROUND((F14/$H16)*100,1),")")</f>
        <v>(8.8)</v>
      </c>
      <c r="H14" s="363">
        <f t="shared" ref="H14" si="13">SUM(H35,H56,H77,H98,H119,H140,H161,H182,H203,H224,H245,H266,H287,H308,H329,H350,H371,H392,H413,H434,H455,H476)</f>
        <v>770.92900000092118</v>
      </c>
      <c r="I14" s="436" t="str">
        <f>CONCATENATE("(",ROUND((H14/$H16)*100,1),")")</f>
        <v>(49.9)</v>
      </c>
      <c r="K14" s="363">
        <f>B19-B14</f>
        <v>-3.1850000000681575</v>
      </c>
      <c r="L14" s="363">
        <f>D19-D14</f>
        <v>9.5070000001409198</v>
      </c>
      <c r="M14" s="363">
        <f>F19-F14</f>
        <v>-3.8039999999463703</v>
      </c>
      <c r="N14" s="363">
        <f>SUM(K14:M14)</f>
        <v>2.518000000126392</v>
      </c>
    </row>
    <row r="15" spans="1:17" x14ac:dyDescent="0.2">
      <c r="A15" s="417" t="s">
        <v>391</v>
      </c>
      <c r="B15" s="363">
        <f t="shared" si="0"/>
        <v>353.48099999954906</v>
      </c>
      <c r="C15" s="436" t="str">
        <f>CONCATENATE("(",ROUND((B15/$H16)*100,1),")")</f>
        <v>(22.9)</v>
      </c>
      <c r="D15" s="363">
        <f t="shared" ref="D15" si="14">SUM(D36,D57,D78,D99,D120,D141,D162,D183,D204,D225,D246,D267,D288,D309,D330,D351,D372,D393,D414,D435,D456,D477)</f>
        <v>344.19000000116989</v>
      </c>
      <c r="E15" s="436" t="str">
        <f>CONCATENATE("(",ROUND((D15/$H16)*100,1),")")</f>
        <v>(22.3)</v>
      </c>
      <c r="F15" s="363">
        <f t="shared" ref="F15" si="15">SUM(F36,F57,F78,F99,F120,F141,F162,F183,F204,F225,F246,F267,F288,F309,F330,F351,F372,F393,F414,F435,F456,F477)</f>
        <v>77.687000000526979</v>
      </c>
      <c r="G15" s="436" t="str">
        <f>CONCATENATE("(",ROUND((F15/$H16)*100,1),")")</f>
        <v>(5)</v>
      </c>
      <c r="H15" s="363">
        <f t="shared" ref="H15" si="16">SUM(H36,H57,H78,H99,H120,H141,H162,H183,H204,H225,H246,H267,H288,H309,H330,H351,H372,H393,H414,H435,H456,H477)</f>
        <v>775.35800000124595</v>
      </c>
      <c r="I15" s="436" t="str">
        <f>CONCATENATE("(",ROUND((H15/$H16)*100,1),")")</f>
        <v>(50.1)</v>
      </c>
      <c r="K15" s="363">
        <f t="shared" ref="K15:K16" si="17">B20-B15</f>
        <v>8.9160000001160142</v>
      </c>
      <c r="L15" s="363">
        <f t="shared" ref="L15:L16" si="18">D20-D15</f>
        <v>11.91499999954749</v>
      </c>
      <c r="M15" s="363">
        <f t="shared" ref="M15:M16" si="19">F20-F15</f>
        <v>-0.46300000007131814</v>
      </c>
      <c r="N15" s="363">
        <f t="shared" ref="N15:N16" si="20">SUM(K15:M15)</f>
        <v>20.367999999592186</v>
      </c>
    </row>
    <row r="16" spans="1:17" x14ac:dyDescent="0.2">
      <c r="A16" s="417" t="s">
        <v>389</v>
      </c>
      <c r="B16" s="363">
        <f t="shared" si="0"/>
        <v>864.8980000001776</v>
      </c>
      <c r="C16" s="436" t="str">
        <f>CONCATENATE("(",ROUND((B16/$H16)*100,1),")")</f>
        <v>(55.9)</v>
      </c>
      <c r="D16" s="363">
        <f t="shared" ref="D16" si="21">SUM(D37,D58,D79,D100,D121,D142,D163,D184,D205,D226,D247,D268,D289,D310,D331,D352,D373,D394,D415,D436,D457,D478)</f>
        <v>468.35800000130206</v>
      </c>
      <c r="E16" s="436" t="str">
        <f>CONCATENATE("(",ROUND((D16/$H16)*100,1),")")</f>
        <v>(30.3)</v>
      </c>
      <c r="F16" s="363">
        <f t="shared" ref="F16" si="22">SUM(F37,F58,F79,F100,F121,F142,F163,F184,F205,F226,F247,F268,F289,F310,F331,F352,F373,F394,F415,F436,F457,F478)</f>
        <v>213.03100000068721</v>
      </c>
      <c r="G16" s="436" t="str">
        <f>CONCATENATE("(",ROUND((F16/$H16)*100,1),")")</f>
        <v>(13.8)</v>
      </c>
      <c r="H16" s="363">
        <f t="shared" ref="H16" si="23">SUM(H37,H58,H79,H100,H121,H142,H163,H184,H205,H226,H247,H268,H289,H310,H331,H352,H373,H394,H415,H436,H457,H478)</f>
        <v>1546.2870000021669</v>
      </c>
      <c r="I16" s="436" t="str">
        <f>CONCATENATE("(",ROUND((H16/$H16)*100,1),")")</f>
        <v>(100)</v>
      </c>
      <c r="K16" s="363">
        <f t="shared" si="17"/>
        <v>5.7310000000479704</v>
      </c>
      <c r="L16" s="363">
        <f t="shared" si="18"/>
        <v>21.421999999688467</v>
      </c>
      <c r="M16" s="363">
        <f t="shared" si="19"/>
        <v>-4.2670000000176174</v>
      </c>
      <c r="N16" s="363">
        <f t="shared" si="20"/>
        <v>22.88599999971882</v>
      </c>
    </row>
    <row r="17" spans="1:14" x14ac:dyDescent="0.2">
      <c r="B17" s="363"/>
      <c r="C17" s="428"/>
      <c r="D17" s="363"/>
      <c r="E17" s="428"/>
      <c r="F17" s="363"/>
      <c r="G17" s="428"/>
      <c r="H17" s="363"/>
      <c r="I17" s="428"/>
    </row>
    <row r="18" spans="1:14" x14ac:dyDescent="0.2">
      <c r="A18" s="426">
        <f>'Ind T6'!V5</f>
        <v>2027</v>
      </c>
      <c r="B18" s="363"/>
      <c r="C18" s="428"/>
      <c r="D18" s="363"/>
      <c r="E18" s="428"/>
      <c r="F18" s="363"/>
      <c r="G18" s="428"/>
      <c r="H18" s="363"/>
      <c r="I18" s="428"/>
      <c r="K18" s="426" t="str">
        <f>CONCATENATE(A8," - ",A18)</f>
        <v>2017 - 2027</v>
      </c>
    </row>
    <row r="19" spans="1:14" x14ac:dyDescent="0.2">
      <c r="A19" s="417" t="s">
        <v>390</v>
      </c>
      <c r="B19" s="363">
        <f t="shared" si="0"/>
        <v>508.2320000005605</v>
      </c>
      <c r="C19" s="436" t="str">
        <f>CONCATENATE("(",ROUND((B19/$H21)*100,1),")")</f>
        <v>(32.4)</v>
      </c>
      <c r="D19" s="363">
        <f t="shared" ref="D19" si="24">SUM(D40,D61,D82,D103,D124,D145,D166,D187,D208,D229,D250,D271,D292,D313,D334,D355,D376,D397,D418,D439,D460,D481)</f>
        <v>133.67500000027317</v>
      </c>
      <c r="E19" s="436" t="str">
        <f>CONCATENATE("(",ROUND((D19/$H21)*100,1),")")</f>
        <v>(8.5)</v>
      </c>
      <c r="F19" s="363">
        <f t="shared" ref="F19" si="25">SUM(F40,F61,F82,F103,F124,F145,F166,F187,F208,F229,F250,F271,F292,F313,F334,F355,F376,F397,F418,F439,F460,F481)</f>
        <v>131.54000000021392</v>
      </c>
      <c r="G19" s="436" t="str">
        <f>CONCATENATE("(",ROUND((F19/$H21)*100,1),")")</f>
        <v>(8.4)</v>
      </c>
      <c r="H19" s="363">
        <f t="shared" ref="H19" si="26">SUM(H40,H61,H82,H103,H124,H145,H166,H187,H208,H229,H250,H271,H292,H313,H334,H355,H376,H397,H418,H439,H460,H481)</f>
        <v>773.44700000104763</v>
      </c>
      <c r="I19" s="436" t="str">
        <f>CONCATENATE("(",ROUND((H19/$H21)*100,1),")")</f>
        <v>(49.3)</v>
      </c>
      <c r="K19" s="363">
        <f>B19-B9</f>
        <v>-8.2239999995302355</v>
      </c>
      <c r="L19" s="363">
        <f>D19-D9</f>
        <v>17.935000000058636</v>
      </c>
      <c r="M19" s="363">
        <f>F19-F9</f>
        <v>-7.769999999584229</v>
      </c>
      <c r="N19" s="363">
        <f>SUM(K19:M19)</f>
        <v>1.9410000009441717</v>
      </c>
    </row>
    <row r="20" spans="1:14" x14ac:dyDescent="0.2">
      <c r="A20" s="417" t="s">
        <v>391</v>
      </c>
      <c r="B20" s="363">
        <f t="shared" si="0"/>
        <v>362.39699999966507</v>
      </c>
      <c r="C20" s="436" t="str">
        <f>CONCATENATE("(",ROUND((B20/$H21)*100,1),")")</f>
        <v>(23.1)</v>
      </c>
      <c r="D20" s="363">
        <f t="shared" ref="D20" si="27">SUM(D41,D62,D83,D104,D125,D146,D167,D188,D209,D230,D251,D272,D293,D314,D335,D356,D377,D398,D419,D440,D461,D482)</f>
        <v>356.10500000071738</v>
      </c>
      <c r="E20" s="436" t="str">
        <f>CONCATENATE("(",ROUND((D20/$H21)*100,1),")")</f>
        <v>(22.7)</v>
      </c>
      <c r="F20" s="363">
        <f t="shared" ref="F20" si="28">SUM(F41,F62,F83,F104,F125,F146,F167,F188,F209,F230,F251,F272,F293,F314,F335,F356,F377,F398,F419,F440,F461,F482)</f>
        <v>77.224000000455661</v>
      </c>
      <c r="G20" s="436" t="str">
        <f>CONCATENATE("(",ROUND((F20/$H21)*100,1),")")</f>
        <v>(4.9)</v>
      </c>
      <c r="H20" s="363">
        <f t="shared" ref="H20" si="29">SUM(H41,H62,H83,H104,H125,H146,H167,H188,H209,H230,H251,H272,H293,H314,H335,H356,H377,H398,H419,H440,H461,H482)</f>
        <v>795.7260000008381</v>
      </c>
      <c r="I20" s="436" t="str">
        <f>CONCATENATE("(",ROUND((H20/$H21)*100,1),")")</f>
        <v>(50.7)</v>
      </c>
      <c r="K20" s="363">
        <f t="shared" ref="K20:K21" si="30">B20-B10</f>
        <v>16.321000000700451</v>
      </c>
      <c r="L20" s="363">
        <f t="shared" ref="L20:L21" si="31">D20-D10</f>
        <v>21.773999999447483</v>
      </c>
      <c r="M20" s="363">
        <f t="shared" ref="M20:M21" si="32">F20-F10</f>
        <v>-0.62300000004889</v>
      </c>
      <c r="N20" s="363">
        <f t="shared" ref="N20:N21" si="33">SUM(K20:M20)</f>
        <v>37.472000000099044</v>
      </c>
    </row>
    <row r="21" spans="1:14" x14ac:dyDescent="0.2">
      <c r="A21" s="408" t="s">
        <v>389</v>
      </c>
      <c r="B21" s="363">
        <f t="shared" si="0"/>
        <v>870.62900000022557</v>
      </c>
      <c r="C21" s="436" t="str">
        <f>CONCATENATE("(",ROUND((B21/$H21)*100,1),")")</f>
        <v>(55.5)</v>
      </c>
      <c r="D21" s="363">
        <f t="shared" ref="D21" si="34">SUM(D42,D63,D84,D105,D126,D147,D168,D189,D210,D231,D252,D273,D294,D315,D336,D357,D378,D399,D420,D441,D462,D483)</f>
        <v>489.78000000099053</v>
      </c>
      <c r="E21" s="436" t="str">
        <f>CONCATENATE("(",ROUND((D21/$H21)*100,1),")")</f>
        <v>(31.2)</v>
      </c>
      <c r="F21" s="363">
        <f>SUM(F42,F63,F84,F105,F126,F147,F168,F189,F210,F231,F252,F273,F294,F315,F336,F357,F378,F399,F420,F441,F462,F483)</f>
        <v>208.7640000006696</v>
      </c>
      <c r="G21" s="436" t="str">
        <f>CONCATENATE("(",ROUND((F21/$H21)*100,1),")")</f>
        <v>(13.3)</v>
      </c>
      <c r="H21" s="363">
        <f t="shared" ref="H21" si="35">SUM(H42,H63,H84,H105,H126,H147,H168,H189,H210,H231,H252,H273,H294,H315,H336,H357,H378,H399,H420,H441,H462,H483)</f>
        <v>1569.1730000018858</v>
      </c>
      <c r="I21" s="436" t="str">
        <f>CONCATENATE("(",ROUND((H21/$H21)*100,1),")")</f>
        <v>(100)</v>
      </c>
      <c r="K21" s="363">
        <f t="shared" si="30"/>
        <v>8.097000001170386</v>
      </c>
      <c r="L21" s="363">
        <f t="shared" si="31"/>
        <v>39.708999999505977</v>
      </c>
      <c r="M21" s="363">
        <f t="shared" si="32"/>
        <v>-8.3929999996331333</v>
      </c>
      <c r="N21" s="363">
        <f t="shared" si="33"/>
        <v>39.41300000104323</v>
      </c>
    </row>
    <row r="22" spans="1:14" x14ac:dyDescent="0.2">
      <c r="A22" s="429"/>
      <c r="B22" s="430"/>
      <c r="C22" s="429"/>
      <c r="D22" s="430"/>
      <c r="E22" s="429"/>
      <c r="F22" s="430"/>
      <c r="G22" s="429"/>
      <c r="H22" s="430"/>
      <c r="I22" s="429"/>
      <c r="J22" s="429"/>
      <c r="K22" s="430"/>
      <c r="L22" s="430"/>
      <c r="M22" s="430"/>
      <c r="N22" s="430"/>
    </row>
    <row r="26" spans="1:14" x14ac:dyDescent="0.2">
      <c r="A26" s="419"/>
      <c r="B26" s="420" t="s">
        <v>414</v>
      </c>
      <c r="C26" s="419"/>
      <c r="D26" s="420"/>
      <c r="E26" s="419"/>
      <c r="F26" s="420" t="str">
        <f>name!B4</f>
        <v>Agriculture</v>
      </c>
      <c r="G26" s="419"/>
      <c r="H26" s="422"/>
      <c r="I26" s="419"/>
      <c r="J26" s="421"/>
      <c r="K26" s="422"/>
      <c r="L26" s="422"/>
      <c r="M26" s="422"/>
      <c r="N26" s="422"/>
    </row>
    <row r="27" spans="1:14" x14ac:dyDescent="0.2">
      <c r="A27" s="408"/>
      <c r="B27" s="409"/>
      <c r="C27" s="408"/>
      <c r="D27" s="409"/>
      <c r="E27" s="408"/>
      <c r="F27" s="409"/>
      <c r="G27" s="408"/>
      <c r="H27" s="409"/>
      <c r="I27" s="408"/>
      <c r="K27" s="409"/>
      <c r="L27" s="409"/>
      <c r="M27" s="409"/>
      <c r="N27" s="415" t="s">
        <v>412</v>
      </c>
    </row>
    <row r="28" spans="1:14" x14ac:dyDescent="0.2">
      <c r="A28" s="433" t="s">
        <v>413</v>
      </c>
      <c r="B28" s="515" t="s">
        <v>411</v>
      </c>
      <c r="C28" s="515"/>
      <c r="D28" s="515" t="s">
        <v>410</v>
      </c>
      <c r="E28" s="515"/>
      <c r="F28" s="515" t="s">
        <v>409</v>
      </c>
      <c r="G28" s="515"/>
      <c r="H28" s="515" t="s">
        <v>32</v>
      </c>
      <c r="I28" s="515"/>
      <c r="J28" s="433"/>
      <c r="K28" s="434" t="s">
        <v>371</v>
      </c>
      <c r="L28" s="434" t="s">
        <v>373</v>
      </c>
      <c r="M28" s="434" t="s">
        <v>369</v>
      </c>
      <c r="N28" s="434" t="s">
        <v>32</v>
      </c>
    </row>
    <row r="29" spans="1:14" x14ac:dyDescent="0.2">
      <c r="A29" s="423">
        <f>$A$8</f>
        <v>2017</v>
      </c>
      <c r="B29" s="424" t="s">
        <v>60</v>
      </c>
      <c r="C29" s="425" t="s">
        <v>408</v>
      </c>
      <c r="D29" s="424" t="s">
        <v>60</v>
      </c>
      <c r="E29" s="425" t="s">
        <v>408</v>
      </c>
      <c r="F29" s="424" t="s">
        <v>60</v>
      </c>
      <c r="G29" s="425" t="s">
        <v>408</v>
      </c>
      <c r="H29" s="424" t="s">
        <v>60</v>
      </c>
      <c r="I29" s="425" t="s">
        <v>408</v>
      </c>
      <c r="J29" s="413"/>
      <c r="K29" s="426" t="str">
        <f>CONCATENATE(A29," - ",A34)</f>
        <v>2017 - 2022</v>
      </c>
      <c r="L29" s="427"/>
      <c r="M29" s="427"/>
    </row>
    <row r="30" spans="1:14" x14ac:dyDescent="0.2">
      <c r="A30" s="417" t="s">
        <v>390</v>
      </c>
      <c r="B30" s="440">
        <f>'Ind T6'!L10</f>
        <v>16.702000000009445</v>
      </c>
      <c r="C30" s="436" t="str">
        <f>CONCATENATE("(",ROUND((B30/$H32)*100,1),")")</f>
        <v>(27.9)</v>
      </c>
      <c r="D30" s="440">
        <f>'Ind T6'!M10</f>
        <v>0.27400000000043229</v>
      </c>
      <c r="E30" s="436" t="str">
        <f>CONCATENATE("(",ROUND((D30/$H32)*100,1),")")</f>
        <v>(0.5)</v>
      </c>
      <c r="F30" s="440">
        <f>'Ind T6'!N10</f>
        <v>26.806000000021722</v>
      </c>
      <c r="G30" s="436" t="str">
        <f>CONCATENATE("(",ROUND((F30/$H32)*100,1),")")</f>
        <v>(44.8)</v>
      </c>
      <c r="H30" s="440">
        <f>SUM(B30,D30,F30)</f>
        <v>43.782000000031601</v>
      </c>
      <c r="I30" s="436" t="str">
        <f>CONCATENATE("(",ROUND((H30/$H32)*100,1),")")</f>
        <v>(73.2)</v>
      </c>
      <c r="K30" s="440">
        <f>B35-B30</f>
        <v>0.2699999998375624</v>
      </c>
      <c r="L30" s="440">
        <f>D35-D30</f>
        <v>9.9999999967983477E-3</v>
      </c>
      <c r="M30" s="440">
        <f>F35-F30</f>
        <v>-1.4320000000780979</v>
      </c>
      <c r="N30" s="440">
        <f>SUM(K30:M30)</f>
        <v>-1.1520000002437372</v>
      </c>
    </row>
    <row r="31" spans="1:14" x14ac:dyDescent="0.2">
      <c r="A31" s="417" t="s">
        <v>391</v>
      </c>
      <c r="B31" s="440">
        <f>'Ind T6'!L9</f>
        <v>0.16499999999852402</v>
      </c>
      <c r="C31" s="436" t="str">
        <f>CONCATENATE("(",ROUND((B31/$H32)*100,1),")")</f>
        <v>(0.3)</v>
      </c>
      <c r="D31" s="440">
        <f>'Ind T6'!M9</f>
        <v>5.8350000000762332</v>
      </c>
      <c r="E31" s="436" t="str">
        <f>CONCATENATE("(",ROUND((D31/$H32)*100,1),")")</f>
        <v>(9.8)</v>
      </c>
      <c r="F31" s="440">
        <f>'Ind T6'!N9</f>
        <v>10.039000000426594</v>
      </c>
      <c r="G31" s="436" t="str">
        <f>CONCATENATE("(",ROUND((F31/$H32)*100,1),")")</f>
        <v>(16.8)</v>
      </c>
      <c r="H31" s="440">
        <f t="shared" ref="H31" si="36">SUM(B31,D31,F31)</f>
        <v>16.03900000050135</v>
      </c>
      <c r="I31" s="436" t="str">
        <f>CONCATENATE("(",ROUND((H31/$H32)*100,1),")")</f>
        <v>(26.8)</v>
      </c>
      <c r="K31" s="440">
        <f t="shared" ref="K31:K32" si="37">B36-B31</f>
        <v>1.4999999999000674E-2</v>
      </c>
      <c r="L31" s="440">
        <f t="shared" ref="L31:L32" si="38">D36-D31</f>
        <v>1.0560000000213794</v>
      </c>
      <c r="M31" s="440">
        <f t="shared" ref="M31:M32" si="39">F36-F31</f>
        <v>-5.19999999764309E-2</v>
      </c>
      <c r="N31" s="440">
        <f t="shared" ref="N31:N32" si="40">SUM(K31:M31)</f>
        <v>1.0190000000439492</v>
      </c>
    </row>
    <row r="32" spans="1:14" x14ac:dyDescent="0.2">
      <c r="A32" s="417" t="s">
        <v>389</v>
      </c>
      <c r="B32" s="440">
        <f>SUM(B30:B31)</f>
        <v>16.86700000000797</v>
      </c>
      <c r="C32" s="436" t="str">
        <f>CONCATENATE("(",ROUND((B32/$H32)*100,1),")")</f>
        <v>(28.2)</v>
      </c>
      <c r="D32" s="440">
        <f>SUM(D30:D31)</f>
        <v>6.1090000000766658</v>
      </c>
      <c r="E32" s="436" t="str">
        <f>CONCATENATE("(",ROUND((D32/$H32)*100,1),")")</f>
        <v>(10.2)</v>
      </c>
      <c r="F32" s="440">
        <f>SUM(F30:F31)</f>
        <v>36.845000000448316</v>
      </c>
      <c r="G32" s="436" t="str">
        <f>CONCATENATE("(",ROUND((F32/$H32)*100,1),")")</f>
        <v>(61.6)</v>
      </c>
      <c r="H32" s="440">
        <f>SUM(H30:H31)</f>
        <v>59.821000000532948</v>
      </c>
      <c r="I32" s="436" t="str">
        <f>CONCATENATE("(",ROUND((H32/$H32)*100,1),")")</f>
        <v>(100)</v>
      </c>
      <c r="K32" s="440">
        <f t="shared" si="37"/>
        <v>0.2849999998365611</v>
      </c>
      <c r="L32" s="440">
        <f t="shared" si="38"/>
        <v>1.0660000000181773</v>
      </c>
      <c r="M32" s="440">
        <f t="shared" si="39"/>
        <v>-1.4840000000545288</v>
      </c>
      <c r="N32" s="440">
        <f t="shared" si="40"/>
        <v>-0.13300000019979041</v>
      </c>
    </row>
    <row r="33" spans="1:14" x14ac:dyDescent="0.2">
      <c r="B33" s="440"/>
      <c r="C33" s="428"/>
      <c r="D33" s="440"/>
      <c r="E33" s="428"/>
      <c r="F33" s="440"/>
      <c r="G33" s="428"/>
      <c r="H33" s="440"/>
      <c r="I33" s="428"/>
    </row>
    <row r="34" spans="1:14" x14ac:dyDescent="0.2">
      <c r="A34" s="423">
        <f>$A$13</f>
        <v>2022</v>
      </c>
      <c r="B34" s="440"/>
      <c r="C34" s="428"/>
      <c r="D34" s="440"/>
      <c r="E34" s="428"/>
      <c r="F34" s="440"/>
      <c r="G34" s="428"/>
      <c r="H34" s="440"/>
      <c r="I34" s="428"/>
      <c r="K34" s="426" t="str">
        <f>CONCATENATE(A34," - ",A39)</f>
        <v>2022 - 2027</v>
      </c>
    </row>
    <row r="35" spans="1:14" x14ac:dyDescent="0.2">
      <c r="A35" s="417" t="s">
        <v>390</v>
      </c>
      <c r="B35" s="440">
        <f>'Ind T6'!Q10</f>
        <v>16.971999999847007</v>
      </c>
      <c r="C35" s="436" t="str">
        <f>CONCATENATE("(",ROUND((B35/$H37)*100,1),")")</f>
        <v>(28.4)</v>
      </c>
      <c r="D35" s="440">
        <f>'Ind T6'!R10</f>
        <v>0.28399999999723063</v>
      </c>
      <c r="E35" s="436" t="str">
        <f>CONCATENATE("(",ROUND((D35/$H37)*100,1),")")</f>
        <v>(0.5)</v>
      </c>
      <c r="F35" s="440">
        <f>'Ind T6'!S10</f>
        <v>25.373999999943624</v>
      </c>
      <c r="G35" s="436" t="str">
        <f>CONCATENATE("(",ROUND((F35/$H37)*100,1),")")</f>
        <v>(42.5)</v>
      </c>
      <c r="H35" s="440">
        <f>SUM(B35,D35,F35)</f>
        <v>42.629999999787863</v>
      </c>
      <c r="I35" s="436" t="str">
        <f>CONCATENATE("(",ROUND((H35/$H37)*100,1),")")</f>
        <v>(71.4)</v>
      </c>
      <c r="K35" s="440">
        <f>B40-B35</f>
        <v>0.37599999998940348</v>
      </c>
      <c r="L35" s="440">
        <f>D40-D35</f>
        <v>1.3999999998637658E-2</v>
      </c>
      <c r="M35" s="440">
        <f>F40-F35</f>
        <v>-1.4269999999167808</v>
      </c>
      <c r="N35" s="440">
        <f>SUM(K35:M35)</f>
        <v>-1.0369999999287396</v>
      </c>
    </row>
    <row r="36" spans="1:14" x14ac:dyDescent="0.2">
      <c r="A36" s="417" t="s">
        <v>391</v>
      </c>
      <c r="B36" s="440">
        <f>'Ind T6'!Q9</f>
        <v>0.1799999999975247</v>
      </c>
      <c r="C36" s="436" t="str">
        <f>CONCATENATE("(",ROUND((B36/$H37)*100,1),")")</f>
        <v>(0.3)</v>
      </c>
      <c r="D36" s="440">
        <f>'Ind T6'!R9</f>
        <v>6.8910000000976126</v>
      </c>
      <c r="E36" s="436" t="str">
        <f>CONCATENATE("(",ROUND((D36/$H37)*100,1),")")</f>
        <v>(11.5)</v>
      </c>
      <c r="F36" s="440">
        <f>'Ind T6'!S9</f>
        <v>9.9870000004501627</v>
      </c>
      <c r="G36" s="436" t="str">
        <f>CONCATENATE("(",ROUND((F36/$H37)*100,1),")")</f>
        <v>(16.7)</v>
      </c>
      <c r="H36" s="440">
        <f t="shared" ref="H36" si="41">SUM(B36,D36,F36)</f>
        <v>17.058000000545299</v>
      </c>
      <c r="I36" s="436" t="str">
        <f>CONCATENATE("(",ROUND((H36/$H37)*100,1),")")</f>
        <v>(28.6)</v>
      </c>
      <c r="K36" s="440">
        <f t="shared" ref="K36:K37" si="42">B41-B36</f>
        <v>1.8000000001138688E-2</v>
      </c>
      <c r="L36" s="440">
        <f t="shared" ref="L36:L37" si="43">D41-D36</f>
        <v>1.3040000000019329</v>
      </c>
      <c r="M36" s="440">
        <f t="shared" ref="M36:M37" si="44">F41-F36</f>
        <v>3.2999999918317258E-2</v>
      </c>
      <c r="N36" s="440">
        <f t="shared" ref="N36:N37" si="45">SUM(K36:M36)</f>
        <v>1.3549999999213889</v>
      </c>
    </row>
    <row r="37" spans="1:14" x14ac:dyDescent="0.2">
      <c r="A37" s="417" t="s">
        <v>389</v>
      </c>
      <c r="B37" s="440">
        <f>SUM(B35:B36)</f>
        <v>17.151999999844531</v>
      </c>
      <c r="C37" s="436" t="str">
        <f>CONCATENATE("(",ROUND((B37/$H37)*100,1),")")</f>
        <v>(28.7)</v>
      </c>
      <c r="D37" s="440">
        <f>SUM(D35:D36)</f>
        <v>7.1750000000948431</v>
      </c>
      <c r="E37" s="436" t="str">
        <f>CONCATENATE("(",ROUND((D37/$H37)*100,1),")")</f>
        <v>(12)</v>
      </c>
      <c r="F37" s="440">
        <f>SUM(F35:F36)</f>
        <v>35.361000000393787</v>
      </c>
      <c r="G37" s="436" t="str">
        <f>CONCATENATE("(",ROUND((F37/$H37)*100,1),")")</f>
        <v>(59.2)</v>
      </c>
      <c r="H37" s="440">
        <f>SUM(H35:H36)</f>
        <v>59.688000000333162</v>
      </c>
      <c r="I37" s="436" t="str">
        <f>CONCATENATE("(",ROUND((H37/$H37)*100,1),")")</f>
        <v>(100)</v>
      </c>
      <c r="K37" s="440">
        <f t="shared" si="42"/>
        <v>0.39399999999054458</v>
      </c>
      <c r="L37" s="440">
        <f t="shared" si="43"/>
        <v>1.3180000000005707</v>
      </c>
      <c r="M37" s="440">
        <f t="shared" si="44"/>
        <v>-1.3939999999984636</v>
      </c>
      <c r="N37" s="440">
        <f t="shared" si="45"/>
        <v>0.31799999999265172</v>
      </c>
    </row>
    <row r="38" spans="1:14" x14ac:dyDescent="0.2">
      <c r="B38" s="440"/>
      <c r="C38" s="428"/>
      <c r="D38" s="440"/>
      <c r="E38" s="428"/>
      <c r="F38" s="440"/>
      <c r="G38" s="428"/>
      <c r="H38" s="440"/>
      <c r="I38" s="428"/>
    </row>
    <row r="39" spans="1:14" x14ac:dyDescent="0.2">
      <c r="A39" s="423">
        <f>$A$18</f>
        <v>2027</v>
      </c>
      <c r="B39" s="440"/>
      <c r="C39" s="428"/>
      <c r="D39" s="440"/>
      <c r="E39" s="428"/>
      <c r="F39" s="440"/>
      <c r="G39" s="428"/>
      <c r="H39" s="440"/>
      <c r="I39" s="428"/>
      <c r="K39" s="426" t="str">
        <f>CONCATENATE(A29," - ",A39)</f>
        <v>2017 - 2027</v>
      </c>
    </row>
    <row r="40" spans="1:14" x14ac:dyDescent="0.2">
      <c r="A40" s="417" t="s">
        <v>390</v>
      </c>
      <c r="B40" s="440">
        <f>'Ind T6'!V10</f>
        <v>17.347999999836411</v>
      </c>
      <c r="C40" s="436" t="str">
        <f>CONCATENATE("(",ROUND((B40/$H42)*100,1),")")</f>
        <v>(28.9)</v>
      </c>
      <c r="D40" s="440">
        <f>'Ind T6'!W10</f>
        <v>0.29799999999586829</v>
      </c>
      <c r="E40" s="436" t="str">
        <f>CONCATENATE("(",ROUND((D40/$H42)*100,1),")")</f>
        <v>(0.5)</v>
      </c>
      <c r="F40" s="440">
        <f>'Ind T6'!X10</f>
        <v>23.947000000026843</v>
      </c>
      <c r="G40" s="436" t="str">
        <f>CONCATENATE("(",ROUND((F40/$H42)*100,1),")")</f>
        <v>(39.9)</v>
      </c>
      <c r="H40" s="440">
        <f>SUM(B40,D40,F40)</f>
        <v>41.592999999859124</v>
      </c>
      <c r="I40" s="436" t="str">
        <f>CONCATENATE("(",ROUND((H40/$H42)*100,1),")")</f>
        <v>(69.3)</v>
      </c>
      <c r="K40" s="440">
        <f>B40-B30</f>
        <v>0.64599999982696588</v>
      </c>
      <c r="L40" s="440">
        <f>D40-D30</f>
        <v>2.3999999995436005E-2</v>
      </c>
      <c r="M40" s="440">
        <f>F40-F30</f>
        <v>-2.8589999999948787</v>
      </c>
      <c r="N40" s="440">
        <f>SUM(K40:M40)</f>
        <v>-2.1890000001724768</v>
      </c>
    </row>
    <row r="41" spans="1:14" x14ac:dyDescent="0.2">
      <c r="A41" s="417" t="s">
        <v>391</v>
      </c>
      <c r="B41" s="440">
        <f>'Ind T6'!V9</f>
        <v>0.19799999999866338</v>
      </c>
      <c r="C41" s="436" t="str">
        <f>CONCATENATE("(",ROUND((B41/$H42)*100,1),")")</f>
        <v>(0.3)</v>
      </c>
      <c r="D41" s="440">
        <f>'Ind T6'!W9</f>
        <v>8.1950000000995455</v>
      </c>
      <c r="E41" s="436" t="str">
        <f>CONCATENATE("(",ROUND((D41/$H42)*100,1),")")</f>
        <v>(13.7)</v>
      </c>
      <c r="F41" s="440">
        <f>'Ind T6'!X9</f>
        <v>10.02000000036848</v>
      </c>
      <c r="G41" s="436" t="str">
        <f>CONCATENATE("(",ROUND((F41/$H42)*100,1),")")</f>
        <v>(16.7)</v>
      </c>
      <c r="H41" s="440">
        <f t="shared" ref="H41" si="46">SUM(B41,D41,F41)</f>
        <v>18.413000000466688</v>
      </c>
      <c r="I41" s="436" t="str">
        <f>CONCATENATE("(",ROUND((H41/$H42)*100,1),")")</f>
        <v>(30.7)</v>
      </c>
      <c r="K41" s="440">
        <f t="shared" ref="K41:K42" si="47">B41-B31</f>
        <v>3.3000000000139362E-2</v>
      </c>
      <c r="L41" s="440">
        <f t="shared" ref="L41:L42" si="48">D41-D31</f>
        <v>2.3600000000233123</v>
      </c>
      <c r="M41" s="440">
        <f t="shared" ref="M41:M42" si="49">F41-F31</f>
        <v>-1.9000000058113642E-2</v>
      </c>
      <c r="N41" s="440">
        <f t="shared" ref="N41:N42" si="50">SUM(K41:M41)</f>
        <v>2.3739999999653381</v>
      </c>
    </row>
    <row r="42" spans="1:14" x14ac:dyDescent="0.2">
      <c r="A42" s="408" t="s">
        <v>389</v>
      </c>
      <c r="B42" s="440">
        <f>SUM(B40:B41)</f>
        <v>17.545999999835075</v>
      </c>
      <c r="C42" s="436" t="str">
        <f>CONCATENATE("(",ROUND((B42/$H42)*100,1),")")</f>
        <v>(29.2)</v>
      </c>
      <c r="D42" s="440">
        <f>SUM(D40:D41)</f>
        <v>8.4930000000954138</v>
      </c>
      <c r="E42" s="436" t="str">
        <f>CONCATENATE("(",ROUND((D42/$H42)*100,1),")")</f>
        <v>(14.2)</v>
      </c>
      <c r="F42" s="440">
        <f>SUM(F40:F41)</f>
        <v>33.967000000395323</v>
      </c>
      <c r="G42" s="436" t="str">
        <f>CONCATENATE("(",ROUND((F42/$H42)*100,1),")")</f>
        <v>(56.6)</v>
      </c>
      <c r="H42" s="440">
        <f>SUM(H40:H41)</f>
        <v>60.006000000325812</v>
      </c>
      <c r="I42" s="436" t="str">
        <f>CONCATENATE("(",ROUND((H42/$H42)*100,1),")")</f>
        <v>(100)</v>
      </c>
      <c r="K42" s="440">
        <f t="shared" si="47"/>
        <v>0.67899999982710568</v>
      </c>
      <c r="L42" s="440">
        <f t="shared" si="48"/>
        <v>2.384000000018748</v>
      </c>
      <c r="M42" s="440">
        <f t="shared" si="49"/>
        <v>-2.8780000000529924</v>
      </c>
      <c r="N42" s="440">
        <f t="shared" si="50"/>
        <v>0.1849999997928613</v>
      </c>
    </row>
    <row r="43" spans="1:14" x14ac:dyDescent="0.2">
      <c r="A43" s="429"/>
      <c r="B43" s="430"/>
      <c r="C43" s="429"/>
      <c r="D43" s="430"/>
      <c r="E43" s="429"/>
      <c r="F43" s="430"/>
      <c r="G43" s="429"/>
      <c r="H43" s="430"/>
      <c r="I43" s="429"/>
      <c r="J43" s="429"/>
      <c r="K43" s="430"/>
      <c r="L43" s="430"/>
      <c r="M43" s="430"/>
      <c r="N43" s="430"/>
    </row>
    <row r="46" spans="1:14" x14ac:dyDescent="0.2">
      <c r="C46" s="267"/>
      <c r="E46" s="267"/>
      <c r="G46" s="267"/>
      <c r="I46" s="267"/>
    </row>
    <row r="47" spans="1:14" x14ac:dyDescent="0.2">
      <c r="A47" s="419"/>
      <c r="B47" s="420" t="s">
        <v>414</v>
      </c>
      <c r="C47" s="419"/>
      <c r="D47" s="420"/>
      <c r="E47" s="419"/>
      <c r="F47" s="420" t="str">
        <f>name!B5</f>
        <v>Mining and quarrying</v>
      </c>
      <c r="G47" s="419"/>
      <c r="H47" s="422"/>
      <c r="I47" s="419"/>
      <c r="J47" s="421"/>
      <c r="K47" s="422"/>
      <c r="L47" s="422"/>
      <c r="M47" s="422"/>
      <c r="N47" s="422"/>
    </row>
    <row r="48" spans="1:14" x14ac:dyDescent="0.2">
      <c r="A48" s="408"/>
      <c r="B48" s="409"/>
      <c r="C48" s="408"/>
      <c r="D48" s="409"/>
      <c r="E48" s="408"/>
      <c r="F48" s="409"/>
      <c r="G48" s="408"/>
      <c r="H48" s="409"/>
      <c r="I48" s="408"/>
      <c r="K48" s="409"/>
      <c r="L48" s="409"/>
      <c r="M48" s="409"/>
      <c r="N48" s="415" t="s">
        <v>412</v>
      </c>
    </row>
    <row r="49" spans="1:14" x14ac:dyDescent="0.2">
      <c r="A49" s="413" t="s">
        <v>413</v>
      </c>
      <c r="B49" s="514" t="s">
        <v>411</v>
      </c>
      <c r="C49" s="514"/>
      <c r="D49" s="514" t="s">
        <v>410</v>
      </c>
      <c r="E49" s="514"/>
      <c r="F49" s="514" t="s">
        <v>409</v>
      </c>
      <c r="G49" s="514"/>
      <c r="H49" s="514" t="s">
        <v>32</v>
      </c>
      <c r="I49" s="514"/>
      <c r="J49" s="413"/>
      <c r="K49" s="434" t="s">
        <v>371</v>
      </c>
      <c r="L49" s="434" t="s">
        <v>373</v>
      </c>
      <c r="M49" s="434" t="s">
        <v>369</v>
      </c>
      <c r="N49" s="434" t="s">
        <v>32</v>
      </c>
    </row>
    <row r="50" spans="1:14" x14ac:dyDescent="0.2">
      <c r="A50" s="423">
        <f>$A$8</f>
        <v>2017</v>
      </c>
      <c r="B50" s="424" t="s">
        <v>60</v>
      </c>
      <c r="C50" s="425" t="s">
        <v>408</v>
      </c>
      <c r="D50" s="424" t="s">
        <v>60</v>
      </c>
      <c r="E50" s="425" t="s">
        <v>408</v>
      </c>
      <c r="F50" s="424" t="s">
        <v>60</v>
      </c>
      <c r="G50" s="425" t="s">
        <v>408</v>
      </c>
      <c r="H50" s="424" t="s">
        <v>60</v>
      </c>
      <c r="I50" s="425" t="s">
        <v>408</v>
      </c>
      <c r="J50" s="413"/>
      <c r="K50" s="426" t="str">
        <f>CONCATENATE(A50," - ",A55)</f>
        <v>2017 - 2022</v>
      </c>
      <c r="L50" s="427"/>
      <c r="M50" s="427"/>
    </row>
    <row r="51" spans="1:14" x14ac:dyDescent="0.2">
      <c r="A51" s="417" t="s">
        <v>390</v>
      </c>
      <c r="B51" s="440">
        <f>'Ind T6'!L20</f>
        <v>2.4729999999931316</v>
      </c>
      <c r="C51" s="436" t="str">
        <f>CONCATENATE("(",ROUND((B51/$H53)*100,1),")")</f>
        <v>(90.8)</v>
      </c>
      <c r="D51" s="440">
        <f>'Ind T6'!M20</f>
        <v>2.9999999999960063E-3</v>
      </c>
      <c r="E51" s="436" t="str">
        <f>CONCATENATE("(",ROUND((D51/$H53)*100,1),")")</f>
        <v>(0.1)</v>
      </c>
      <c r="F51" s="440">
        <f>'Ind T6'!N20</f>
        <v>0</v>
      </c>
      <c r="G51" s="436" t="str">
        <f>CONCATENATE("(",ROUND((F51/$H53)*100,1),")")</f>
        <v>(0)</v>
      </c>
      <c r="H51" s="440">
        <f>SUM(B51,D51,F51)</f>
        <v>2.4759999999931277</v>
      </c>
      <c r="I51" s="436" t="str">
        <f>CONCATENATE("(",ROUND((H51/$H53)*100,1),")")</f>
        <v>(90.9)</v>
      </c>
      <c r="K51" s="440">
        <f>B56-B51</f>
        <v>-0.15800000000144943</v>
      </c>
      <c r="L51" s="440">
        <f>D56-D51</f>
        <v>-3.4599059728357417E-14</v>
      </c>
      <c r="M51" s="440">
        <f>F56-F51</f>
        <v>0</v>
      </c>
      <c r="N51" s="440">
        <f>SUM(K51:M51)</f>
        <v>-0.15800000000148404</v>
      </c>
    </row>
    <row r="52" spans="1:14" x14ac:dyDescent="0.2">
      <c r="A52" s="417" t="s">
        <v>391</v>
      </c>
      <c r="B52" s="440">
        <f>'Ind T6'!L19</f>
        <v>0.14800000000095653</v>
      </c>
      <c r="C52" s="436" t="str">
        <f>CONCATENATE("(",ROUND((B52/$H53)*100,1),")")</f>
        <v>(5.4)</v>
      </c>
      <c r="D52" s="440">
        <f>'Ind T6'!M19</f>
        <v>2.5999999999953217E-2</v>
      </c>
      <c r="E52" s="436" t="str">
        <f>CONCATENATE("(",ROUND((D52/$H53)*100,1),")")</f>
        <v>(1)</v>
      </c>
      <c r="F52" s="440">
        <f>'Ind T6'!N19</f>
        <v>7.4000000000016178E-2</v>
      </c>
      <c r="G52" s="436" t="str">
        <f>CONCATENATE("(",ROUND((F52/$H53)*100,1),")")</f>
        <v>(2.7)</v>
      </c>
      <c r="H52" s="440">
        <f t="shared" ref="H52" si="51">SUM(B52,D52,F52)</f>
        <v>0.24800000000092592</v>
      </c>
      <c r="I52" s="436" t="str">
        <f>CONCATENATE("(",ROUND((H52/$H53)*100,1),")")</f>
        <v>(9.1)</v>
      </c>
      <c r="K52" s="440">
        <f t="shared" ref="K52:K53" si="52">B57-B52</f>
        <v>-6.0000000031915079E-3</v>
      </c>
      <c r="L52" s="440">
        <f t="shared" ref="L52:L53" si="53">D57-D52</f>
        <v>-1.9999999999588507E-3</v>
      </c>
      <c r="M52" s="440">
        <f t="shared" ref="M52:M53" si="54">F57-F52</f>
        <v>1.0000000001403331E-3</v>
      </c>
      <c r="N52" s="440">
        <f t="shared" ref="N52:N53" si="55">SUM(K52:M52)</f>
        <v>-7.0000000030100255E-3</v>
      </c>
    </row>
    <row r="53" spans="1:14" x14ac:dyDescent="0.2">
      <c r="A53" s="417" t="s">
        <v>389</v>
      </c>
      <c r="B53" s="440">
        <f>SUM(B51:B52)</f>
        <v>2.6209999999940883</v>
      </c>
      <c r="C53" s="436" t="str">
        <f>CONCATENATE("(",ROUND((B53/$H53)*100,1),")")</f>
        <v>(96.2)</v>
      </c>
      <c r="D53" s="440">
        <f>SUM(D51:D52)</f>
        <v>2.8999999999949223E-2</v>
      </c>
      <c r="E53" s="436" t="str">
        <f>CONCATENATE("(",ROUND((D53/$H53)*100,1),")")</f>
        <v>(1.1)</v>
      </c>
      <c r="F53" s="440">
        <f>SUM(F51:F52)</f>
        <v>7.4000000000016178E-2</v>
      </c>
      <c r="G53" s="436" t="str">
        <f>CONCATENATE("(",ROUND((F53/$H53)*100,1),")")</f>
        <v>(2.7)</v>
      </c>
      <c r="H53" s="440">
        <f>SUM(H51:H52)</f>
        <v>2.7239999999940538</v>
      </c>
      <c r="I53" s="436" t="str">
        <f>CONCATENATE("(",ROUND((H53/$H53)*100,1),")")</f>
        <v>(100)</v>
      </c>
      <c r="K53" s="440">
        <f t="shared" si="52"/>
        <v>-0.16400000000464088</v>
      </c>
      <c r="L53" s="440">
        <f t="shared" si="53"/>
        <v>-1.999999999993448E-3</v>
      </c>
      <c r="M53" s="440">
        <f t="shared" si="54"/>
        <v>1.0000000001403331E-3</v>
      </c>
      <c r="N53" s="440">
        <f t="shared" si="55"/>
        <v>-0.165000000004494</v>
      </c>
    </row>
    <row r="54" spans="1:14" x14ac:dyDescent="0.2">
      <c r="B54" s="440"/>
      <c r="C54" s="428"/>
      <c r="D54" s="440"/>
      <c r="E54" s="428"/>
      <c r="F54" s="440"/>
      <c r="G54" s="428"/>
      <c r="H54" s="440"/>
      <c r="I54" s="428"/>
    </row>
    <row r="55" spans="1:14" x14ac:dyDescent="0.2">
      <c r="A55" s="423">
        <f>$A$13</f>
        <v>2022</v>
      </c>
      <c r="B55" s="440"/>
      <c r="C55" s="428"/>
      <c r="D55" s="440"/>
      <c r="E55" s="428"/>
      <c r="F55" s="440"/>
      <c r="G55" s="428"/>
      <c r="H55" s="440"/>
      <c r="I55" s="428"/>
      <c r="K55" s="426" t="str">
        <f>CONCATENATE(A55," - ",A60)</f>
        <v>2022 - 2027</v>
      </c>
    </row>
    <row r="56" spans="1:14" x14ac:dyDescent="0.2">
      <c r="A56" s="417" t="s">
        <v>390</v>
      </c>
      <c r="B56" s="440">
        <f>'Ind T6'!Q20</f>
        <v>2.3149999999916822</v>
      </c>
      <c r="C56" s="436" t="str">
        <f>CONCATENATE("(",ROUND((B56/$H58)*100,1),")")</f>
        <v>(90.5)</v>
      </c>
      <c r="D56" s="440">
        <f>'Ind T6'!R20</f>
        <v>2.9999999999614072E-3</v>
      </c>
      <c r="E56" s="436" t="str">
        <f>CONCATENATE("(",ROUND((D56/$H58)*100,1),")")</f>
        <v>(0.1)</v>
      </c>
      <c r="F56" s="440">
        <f>'Ind T6'!S20</f>
        <v>0</v>
      </c>
      <c r="G56" s="436" t="str">
        <f>CONCATENATE("(",ROUND((F56/$H58)*100,1),")")</f>
        <v>(0)</v>
      </c>
      <c r="H56" s="440">
        <f>SUM(B56,D56,F56)</f>
        <v>2.3179999999916436</v>
      </c>
      <c r="I56" s="436" t="str">
        <f>CONCATENATE("(",ROUND((H56/$H58)*100,1),")")</f>
        <v>(90.6)</v>
      </c>
      <c r="K56" s="440">
        <f>B61-B56</f>
        <v>-0.31700000000116768</v>
      </c>
      <c r="L56" s="440">
        <f>D61-D56</f>
        <v>-9.7886108940681282E-15</v>
      </c>
      <c r="M56" s="440">
        <f>F61-F56</f>
        <v>0</v>
      </c>
      <c r="N56" s="440">
        <f>SUM(K56:M56)</f>
        <v>-0.31700000000117745</v>
      </c>
    </row>
    <row r="57" spans="1:14" x14ac:dyDescent="0.2">
      <c r="A57" s="417" t="s">
        <v>391</v>
      </c>
      <c r="B57" s="440">
        <f>'Ind T6'!Q19</f>
        <v>0.14199999999776503</v>
      </c>
      <c r="C57" s="436" t="str">
        <f>CONCATENATE("(",ROUND((B57/$H58)*100,1),")")</f>
        <v>(5.5)</v>
      </c>
      <c r="D57" s="440">
        <f>'Ind T6'!R19</f>
        <v>2.3999999999994366E-2</v>
      </c>
      <c r="E57" s="436" t="str">
        <f>CONCATENATE("(",ROUND((D57/$H58)*100,1),")")</f>
        <v>(0.9)</v>
      </c>
      <c r="F57" s="440">
        <f>'Ind T6'!S19</f>
        <v>7.5000000000156511E-2</v>
      </c>
      <c r="G57" s="436" t="str">
        <f>CONCATENATE("(",ROUND((F57/$H58)*100,1),")")</f>
        <v>(2.9)</v>
      </c>
      <c r="H57" s="440">
        <f t="shared" ref="H57" si="56">SUM(B57,D57,F57)</f>
        <v>0.24099999999791588</v>
      </c>
      <c r="I57" s="436" t="str">
        <f>CONCATENATE("(",ROUND((H57/$H58)*100,1),")")</f>
        <v>(9.4)</v>
      </c>
      <c r="K57" s="440">
        <f t="shared" ref="K57:K58" si="57">B62-B57</f>
        <v>-1.8999999999109271E-2</v>
      </c>
      <c r="L57" s="440">
        <f t="shared" ref="L57:L58" si="58">D62-D57</f>
        <v>-2.9999999999455636E-3</v>
      </c>
      <c r="M57" s="440">
        <f t="shared" ref="M57:M58" si="59">F62-F57</f>
        <v>-4.0000000000480762E-3</v>
      </c>
      <c r="N57" s="440">
        <f t="shared" ref="N57:N58" si="60">SUM(K57:M57)</f>
        <v>-2.5999999999102911E-2</v>
      </c>
    </row>
    <row r="58" spans="1:14" x14ac:dyDescent="0.2">
      <c r="A58" s="417" t="s">
        <v>389</v>
      </c>
      <c r="B58" s="440">
        <f>SUM(B56:B57)</f>
        <v>2.4569999999894474</v>
      </c>
      <c r="C58" s="436" t="str">
        <f>CONCATENATE("(",ROUND((B58/$H58)*100,1),")")</f>
        <v>(96)</v>
      </c>
      <c r="D58" s="440">
        <f>SUM(D56:D57)</f>
        <v>2.6999999999955775E-2</v>
      </c>
      <c r="E58" s="436" t="str">
        <f>CONCATENATE("(",ROUND((D58/$H58)*100,1),")")</f>
        <v>(1.1)</v>
      </c>
      <c r="F58" s="440">
        <f>SUM(F56:F57)</f>
        <v>7.5000000000156511E-2</v>
      </c>
      <c r="G58" s="436" t="str">
        <f>CONCATENATE("(",ROUND((F58/$H58)*100,1),")")</f>
        <v>(2.9)</v>
      </c>
      <c r="H58" s="440">
        <f>SUM(H56:H57)</f>
        <v>2.5589999999895596</v>
      </c>
      <c r="I58" s="436" t="str">
        <f>CONCATENATE("(",ROUND((H58/$H58)*100,1),")")</f>
        <v>(100)</v>
      </c>
      <c r="K58" s="440">
        <f t="shared" si="57"/>
        <v>-0.33600000000027697</v>
      </c>
      <c r="L58" s="440">
        <f t="shared" si="58"/>
        <v>-2.9999999999553544E-3</v>
      </c>
      <c r="M58" s="440">
        <f t="shared" si="59"/>
        <v>-4.0000000000480762E-3</v>
      </c>
      <c r="N58" s="440">
        <f t="shared" si="60"/>
        <v>-0.34300000000028041</v>
      </c>
    </row>
    <row r="59" spans="1:14" x14ac:dyDescent="0.2">
      <c r="B59" s="440"/>
      <c r="C59" s="428"/>
      <c r="D59" s="440"/>
      <c r="E59" s="428"/>
      <c r="F59" s="440"/>
      <c r="G59" s="428"/>
      <c r="H59" s="440"/>
      <c r="I59" s="428"/>
    </row>
    <row r="60" spans="1:14" x14ac:dyDescent="0.2">
      <c r="A60" s="423">
        <f>$A$18</f>
        <v>2027</v>
      </c>
      <c r="B60" s="440"/>
      <c r="C60" s="428"/>
      <c r="D60" s="440"/>
      <c r="E60" s="428"/>
      <c r="F60" s="440"/>
      <c r="G60" s="428"/>
      <c r="H60" s="440"/>
      <c r="I60" s="428"/>
      <c r="K60" s="426" t="str">
        <f>CONCATENATE(A50," - ",A60)</f>
        <v>2017 - 2027</v>
      </c>
    </row>
    <row r="61" spans="1:14" x14ac:dyDescent="0.2">
      <c r="A61" s="417" t="s">
        <v>390</v>
      </c>
      <c r="B61" s="440">
        <f>'Ind T6'!V20</f>
        <v>1.9979999999905145</v>
      </c>
      <c r="C61" s="436" t="str">
        <f>CONCATENATE("(",ROUND((B61/$H63)*100,1),")")</f>
        <v>(90.2)</v>
      </c>
      <c r="D61" s="440">
        <f>'Ind T6'!W20</f>
        <v>2.9999999999516186E-3</v>
      </c>
      <c r="E61" s="436" t="str">
        <f>CONCATENATE("(",ROUND((D61/$H63)*100,1),")")</f>
        <v>(0.1)</v>
      </c>
      <c r="F61" s="440">
        <f>'Ind T6'!X20</f>
        <v>0</v>
      </c>
      <c r="G61" s="436" t="str">
        <f>CONCATENATE("(",ROUND((F61/$H63)*100,1),")")</f>
        <v>(0)</v>
      </c>
      <c r="H61" s="440">
        <f>SUM(B61,D61,F61)</f>
        <v>2.0009999999904662</v>
      </c>
      <c r="I61" s="436" t="str">
        <f>CONCATENATE("(",ROUND((H61/$H63)*100,1),")")</f>
        <v>(90.3)</v>
      </c>
      <c r="K61" s="440">
        <f>B61-B51</f>
        <v>-0.47500000000261711</v>
      </c>
      <c r="L61" s="440">
        <f>D61-D51</f>
        <v>-4.4387670622425546E-14</v>
      </c>
      <c r="M61" s="440">
        <f>F61-F51</f>
        <v>0</v>
      </c>
      <c r="N61" s="440">
        <f>SUM(K61:M61)</f>
        <v>-0.47500000000266152</v>
      </c>
    </row>
    <row r="62" spans="1:14" x14ac:dyDescent="0.2">
      <c r="A62" s="417" t="s">
        <v>391</v>
      </c>
      <c r="B62" s="440">
        <f>'Ind T6'!V19</f>
        <v>0.12299999999865575</v>
      </c>
      <c r="C62" s="436" t="str">
        <f>CONCATENATE("(",ROUND((B62/$H63)*100,1),")")</f>
        <v>(5.6)</v>
      </c>
      <c r="D62" s="440">
        <f>'Ind T6'!W19</f>
        <v>2.1000000000048803E-2</v>
      </c>
      <c r="E62" s="436" t="str">
        <f>CONCATENATE("(",ROUND((D62/$H63)*100,1),")")</f>
        <v>(0.9)</v>
      </c>
      <c r="F62" s="440">
        <f>'Ind T6'!X19</f>
        <v>7.1000000000108435E-2</v>
      </c>
      <c r="G62" s="436" t="str">
        <f>CONCATENATE("(",ROUND((F62/$H63)*100,1),")")</f>
        <v>(3.2)</v>
      </c>
      <c r="H62" s="440">
        <f t="shared" ref="H62" si="61">SUM(B62,D62,F62)</f>
        <v>0.21499999999881297</v>
      </c>
      <c r="I62" s="436" t="str">
        <f>CONCATENATE("(",ROUND((H62/$H63)*100,1),")")</f>
        <v>(9.7)</v>
      </c>
      <c r="K62" s="440">
        <f t="shared" ref="K62:K63" si="62">B62-B52</f>
        <v>-2.5000000002300779E-2</v>
      </c>
      <c r="L62" s="440">
        <f t="shared" ref="L62:L63" si="63">D62-D52</f>
        <v>-4.9999999999044142E-3</v>
      </c>
      <c r="M62" s="440">
        <f t="shared" ref="M62:M63" si="64">F62-F52</f>
        <v>-2.9999999999077431E-3</v>
      </c>
      <c r="N62" s="440">
        <f t="shared" ref="N62:N63" si="65">SUM(K62:M62)</f>
        <v>-3.3000000002112936E-2</v>
      </c>
    </row>
    <row r="63" spans="1:14" x14ac:dyDescent="0.2">
      <c r="A63" s="408" t="s">
        <v>389</v>
      </c>
      <c r="B63" s="440">
        <f>SUM(B61:B62)</f>
        <v>2.1209999999891704</v>
      </c>
      <c r="C63" s="436" t="str">
        <f>CONCATENATE("(",ROUND((B63/$H63)*100,1),")")</f>
        <v>(95.7)</v>
      </c>
      <c r="D63" s="440">
        <f>SUM(D61:D62)</f>
        <v>2.400000000000042E-2</v>
      </c>
      <c r="E63" s="436" t="str">
        <f>CONCATENATE("(",ROUND((D63/$H63)*100,1),")")</f>
        <v>(1.1)</v>
      </c>
      <c r="F63" s="440">
        <f>SUM(F61:F62)</f>
        <v>7.1000000000108435E-2</v>
      </c>
      <c r="G63" s="436" t="str">
        <f>CONCATENATE("(",ROUND((F63/$H63)*100,1),")")</f>
        <v>(3.2)</v>
      </c>
      <c r="H63" s="440">
        <f>SUM(H61:H62)</f>
        <v>2.215999999989279</v>
      </c>
      <c r="I63" s="436" t="str">
        <f>CONCATENATE("(",ROUND((H63/$H63)*100,1),")")</f>
        <v>(100)</v>
      </c>
      <c r="K63" s="440">
        <f t="shared" si="62"/>
        <v>-0.50000000000491784</v>
      </c>
      <c r="L63" s="440">
        <f t="shared" si="63"/>
        <v>-4.9999999999488023E-3</v>
      </c>
      <c r="M63" s="440">
        <f t="shared" si="64"/>
        <v>-2.9999999999077431E-3</v>
      </c>
      <c r="N63" s="440">
        <f t="shared" si="65"/>
        <v>-0.50800000000477441</v>
      </c>
    </row>
    <row r="64" spans="1:14" x14ac:dyDescent="0.2">
      <c r="A64" s="429"/>
      <c r="B64" s="430"/>
      <c r="C64" s="429"/>
      <c r="D64" s="430"/>
      <c r="E64" s="429"/>
      <c r="F64" s="430"/>
      <c r="G64" s="429"/>
      <c r="H64" s="430"/>
      <c r="I64" s="429"/>
      <c r="J64" s="429"/>
      <c r="K64" s="430"/>
      <c r="L64" s="430"/>
      <c r="M64" s="430"/>
      <c r="N64" s="430"/>
    </row>
    <row r="68" spans="1:14" x14ac:dyDescent="0.2">
      <c r="A68" s="419"/>
      <c r="B68" s="420" t="s">
        <v>414</v>
      </c>
      <c r="C68" s="419"/>
      <c r="D68" s="420"/>
      <c r="E68" s="419"/>
      <c r="F68" s="420" t="str">
        <f>name!B6</f>
        <v>Food drink and tobacco</v>
      </c>
      <c r="G68" s="419"/>
      <c r="H68" s="422"/>
      <c r="I68" s="419"/>
      <c r="J68" s="421"/>
      <c r="K68" s="422"/>
      <c r="L68" s="422"/>
      <c r="M68" s="422"/>
      <c r="N68" s="422"/>
    </row>
    <row r="69" spans="1:14" x14ac:dyDescent="0.2">
      <c r="A69" s="408"/>
      <c r="B69" s="409"/>
      <c r="C69" s="408"/>
      <c r="D69" s="409"/>
      <c r="E69" s="408"/>
      <c r="F69" s="409"/>
      <c r="G69" s="408"/>
      <c r="H69" s="409"/>
      <c r="I69" s="408"/>
      <c r="K69" s="409"/>
      <c r="L69" s="409"/>
      <c r="M69" s="409"/>
      <c r="N69" s="415" t="s">
        <v>412</v>
      </c>
    </row>
    <row r="70" spans="1:14" x14ac:dyDescent="0.2">
      <c r="A70" s="413" t="s">
        <v>413</v>
      </c>
      <c r="B70" s="514" t="s">
        <v>411</v>
      </c>
      <c r="C70" s="514"/>
      <c r="D70" s="514" t="s">
        <v>410</v>
      </c>
      <c r="E70" s="514"/>
      <c r="F70" s="514" t="s">
        <v>409</v>
      </c>
      <c r="G70" s="514"/>
      <c r="H70" s="514" t="s">
        <v>32</v>
      </c>
      <c r="I70" s="514"/>
      <c r="J70" s="413"/>
      <c r="K70" s="434" t="s">
        <v>371</v>
      </c>
      <c r="L70" s="434" t="s">
        <v>373</v>
      </c>
      <c r="M70" s="434" t="s">
        <v>369</v>
      </c>
      <c r="N70" s="434" t="s">
        <v>32</v>
      </c>
    </row>
    <row r="71" spans="1:14" x14ac:dyDescent="0.2">
      <c r="A71" s="423">
        <f>$A$8</f>
        <v>2017</v>
      </c>
      <c r="B71" s="424" t="s">
        <v>60</v>
      </c>
      <c r="C71" s="425" t="s">
        <v>408</v>
      </c>
      <c r="D71" s="424" t="s">
        <v>60</v>
      </c>
      <c r="E71" s="425" t="s">
        <v>408</v>
      </c>
      <c r="F71" s="424" t="s">
        <v>60</v>
      </c>
      <c r="G71" s="425" t="s">
        <v>408</v>
      </c>
      <c r="H71" s="424" t="s">
        <v>60</v>
      </c>
      <c r="I71" s="425" t="s">
        <v>408</v>
      </c>
      <c r="J71" s="413"/>
      <c r="K71" s="426" t="str">
        <f>CONCATENATE(A71," - ",A76)</f>
        <v>2017 - 2022</v>
      </c>
      <c r="L71" s="427"/>
      <c r="M71" s="427"/>
    </row>
    <row r="72" spans="1:14" x14ac:dyDescent="0.2">
      <c r="A72" s="417" t="s">
        <v>390</v>
      </c>
      <c r="B72" s="440">
        <f>'Ind T6'!L40</f>
        <v>12.43800000001824</v>
      </c>
      <c r="C72" s="436" t="str">
        <f>CONCATENATE("(",ROUND((B72/$H74)*100,1),")")</f>
        <v>(61.6)</v>
      </c>
      <c r="D72" s="440">
        <f>'Ind T6'!M40</f>
        <v>0.64299999999338642</v>
      </c>
      <c r="E72" s="436" t="str">
        <f>CONCATENATE("(",ROUND((D72/$H74)*100,1),")")</f>
        <v>(3.2)</v>
      </c>
      <c r="F72" s="440">
        <f>'Ind T6'!N40</f>
        <v>0.38399999999472212</v>
      </c>
      <c r="G72" s="436" t="str">
        <f>CONCATENATE("(",ROUND((F72/$H74)*100,1),")")</f>
        <v>(1.9)</v>
      </c>
      <c r="H72" s="440">
        <f>SUM(B72,D72,F72)</f>
        <v>13.46500000000635</v>
      </c>
      <c r="I72" s="436" t="str">
        <f>CONCATENATE("(",ROUND((H72/$H74)*100,1),")")</f>
        <v>(66.7)</v>
      </c>
      <c r="K72" s="440">
        <f>B77-B72</f>
        <v>-0.84100000021084753</v>
      </c>
      <c r="L72" s="440">
        <f>D77-D72</f>
        <v>7.30000000069706E-2</v>
      </c>
      <c r="M72" s="440">
        <f>F77-F72</f>
        <v>-2.6999999995846236E-2</v>
      </c>
      <c r="N72" s="440">
        <f>SUM(K72:M72)</f>
        <v>-0.79500000019972317</v>
      </c>
    </row>
    <row r="73" spans="1:14" x14ac:dyDescent="0.2">
      <c r="A73" s="417" t="s">
        <v>391</v>
      </c>
      <c r="B73" s="440">
        <f>'Ind T6'!L39</f>
        <v>4.5870000000228863</v>
      </c>
      <c r="C73" s="436" t="str">
        <f>CONCATENATE("(",ROUND((B73/$H74)*100,1),")")</f>
        <v>(22.7)</v>
      </c>
      <c r="D73" s="440">
        <f>'Ind T6'!M39</f>
        <v>1.2490000000464978</v>
      </c>
      <c r="E73" s="436" t="str">
        <f>CONCATENATE("(",ROUND((D73/$H74)*100,1),")")</f>
        <v>(6.2)</v>
      </c>
      <c r="F73" s="440">
        <f>'Ind T6'!N39</f>
        <v>0.88200000002903556</v>
      </c>
      <c r="G73" s="436" t="str">
        <f>CONCATENATE("(",ROUND((F73/$H74)*100,1),")")</f>
        <v>(4.4)</v>
      </c>
      <c r="H73" s="440">
        <f t="shared" ref="H73" si="66">SUM(B73,D73,F73)</f>
        <v>6.718000000098419</v>
      </c>
      <c r="I73" s="436" t="str">
        <f>CONCATENATE("(",ROUND((H73/$H74)*100,1),")")</f>
        <v>(33.3)</v>
      </c>
      <c r="K73" s="440">
        <f t="shared" ref="K73:K74" si="67">B78-B73</f>
        <v>-0.24000000003335575</v>
      </c>
      <c r="L73" s="440">
        <f t="shared" ref="L73:L74" si="68">D78-D73</f>
        <v>-4.2000000015981698E-2</v>
      </c>
      <c r="M73" s="440">
        <f t="shared" ref="M73:M74" si="69">F78-F73</f>
        <v>-6.400000000478967E-2</v>
      </c>
      <c r="N73" s="440">
        <f t="shared" ref="N73:N74" si="70">SUM(K73:M73)</f>
        <v>-0.34600000005412712</v>
      </c>
    </row>
    <row r="74" spans="1:14" x14ac:dyDescent="0.2">
      <c r="A74" s="417" t="s">
        <v>389</v>
      </c>
      <c r="B74" s="440">
        <f>SUM(B72:B73)</f>
        <v>17.025000000041125</v>
      </c>
      <c r="C74" s="436" t="str">
        <f>CONCATENATE("(",ROUND((B74/$H74)*100,1),")")</f>
        <v>(84.4)</v>
      </c>
      <c r="D74" s="440">
        <f>SUM(D72:D73)</f>
        <v>1.8920000000398842</v>
      </c>
      <c r="E74" s="436" t="str">
        <f>CONCATENATE("(",ROUND((D74/$H74)*100,1),")")</f>
        <v>(9.4)</v>
      </c>
      <c r="F74" s="440">
        <f>SUM(F72:F73)</f>
        <v>1.2660000000237577</v>
      </c>
      <c r="G74" s="436" t="str">
        <f>CONCATENATE("(",ROUND((F74/$H74)*100,1),")")</f>
        <v>(6.3)</v>
      </c>
      <c r="H74" s="440">
        <f>SUM(H72:H73)</f>
        <v>20.183000000104769</v>
      </c>
      <c r="I74" s="436" t="str">
        <f>CONCATENATE("(",ROUND((H74/$H74)*100,1),")")</f>
        <v>(100)</v>
      </c>
      <c r="K74" s="440">
        <f t="shared" si="67"/>
        <v>-1.0810000002442024</v>
      </c>
      <c r="L74" s="440">
        <f t="shared" si="68"/>
        <v>3.0999999990988902E-2</v>
      </c>
      <c r="M74" s="440">
        <f t="shared" si="69"/>
        <v>-9.1000000000635906E-2</v>
      </c>
      <c r="N74" s="440">
        <f t="shared" si="70"/>
        <v>-1.1410000002538494</v>
      </c>
    </row>
    <row r="75" spans="1:14" x14ac:dyDescent="0.2">
      <c r="B75" s="440"/>
      <c r="C75" s="428"/>
      <c r="D75" s="440"/>
      <c r="E75" s="428"/>
      <c r="F75" s="440"/>
      <c r="G75" s="428"/>
      <c r="H75" s="440"/>
      <c r="I75" s="428"/>
    </row>
    <row r="76" spans="1:14" x14ac:dyDescent="0.2">
      <c r="A76" s="423">
        <f>$A$13</f>
        <v>2022</v>
      </c>
      <c r="B76" s="440"/>
      <c r="C76" s="428"/>
      <c r="D76" s="440"/>
      <c r="E76" s="428"/>
      <c r="F76" s="440"/>
      <c r="G76" s="428"/>
      <c r="H76" s="440"/>
      <c r="I76" s="428"/>
      <c r="K76" s="426" t="str">
        <f>CONCATENATE(A76," - ",A81)</f>
        <v>2022 - 2027</v>
      </c>
    </row>
    <row r="77" spans="1:14" x14ac:dyDescent="0.2">
      <c r="A77" s="417" t="s">
        <v>390</v>
      </c>
      <c r="B77" s="440">
        <f>'Ind T6'!Q40</f>
        <v>11.596999999807393</v>
      </c>
      <c r="C77" s="436" t="str">
        <f>CONCATENATE("(",ROUND((B77/$H79)*100,1),")")</f>
        <v>(60.9)</v>
      </c>
      <c r="D77" s="440">
        <f>'Ind T6'!R40</f>
        <v>0.71600000000035702</v>
      </c>
      <c r="E77" s="436" t="str">
        <f>CONCATENATE("(",ROUND((D77/$H79)*100,1),")")</f>
        <v>(3.8)</v>
      </c>
      <c r="F77" s="440">
        <f>'Ind T6'!S40</f>
        <v>0.35699999999887588</v>
      </c>
      <c r="G77" s="436" t="str">
        <f>CONCATENATE("(",ROUND((F77/$H79)*100,1),")")</f>
        <v>(1.9)</v>
      </c>
      <c r="H77" s="440">
        <f>SUM(B77,D77,F77)</f>
        <v>12.669999999806626</v>
      </c>
      <c r="I77" s="436" t="str">
        <f>CONCATENATE("(",ROUND((H77/$H79)*100,1),")")</f>
        <v>(66.5)</v>
      </c>
      <c r="K77" s="440">
        <f>B82-B77</f>
        <v>-0.71000000000731767</v>
      </c>
      <c r="L77" s="440">
        <f>D82-D77</f>
        <v>6.5000000000908775E-2</v>
      </c>
      <c r="M77" s="440">
        <f>F82-F77</f>
        <v>-2.0999999999301744E-2</v>
      </c>
      <c r="N77" s="440">
        <f>SUM(K77:M77)</f>
        <v>-0.66600000000571069</v>
      </c>
    </row>
    <row r="78" spans="1:14" x14ac:dyDescent="0.2">
      <c r="A78" s="417" t="s">
        <v>391</v>
      </c>
      <c r="B78" s="440">
        <f>'Ind T6'!Q39</f>
        <v>4.3469999999895306</v>
      </c>
      <c r="C78" s="436" t="str">
        <f>CONCATENATE("(",ROUND((B78/$H79)*100,1),")")</f>
        <v>(22.8)</v>
      </c>
      <c r="D78" s="440">
        <f>'Ind T6'!R39</f>
        <v>1.2070000000305161</v>
      </c>
      <c r="E78" s="436" t="str">
        <f>CONCATENATE("(",ROUND((D78/$H79)*100,1),")")</f>
        <v>(6.3)</v>
      </c>
      <c r="F78" s="440">
        <f>'Ind T6'!S39</f>
        <v>0.81800000002424589</v>
      </c>
      <c r="G78" s="436" t="str">
        <f>CONCATENATE("(",ROUND((F78/$H79)*100,1),")")</f>
        <v>(4.3)</v>
      </c>
      <c r="H78" s="440">
        <f t="shared" ref="H78" si="71">SUM(B78,D78,F78)</f>
        <v>6.3720000000442925</v>
      </c>
      <c r="I78" s="436" t="str">
        <f>CONCATENATE("(",ROUND((H78/$H79)*100,1),")")</f>
        <v>(33.5)</v>
      </c>
      <c r="K78" s="440">
        <f t="shared" ref="K78:K79" si="72">B83-B78</f>
        <v>-0.20300000000240281</v>
      </c>
      <c r="L78" s="440">
        <f t="shared" ref="L78:L79" si="73">D83-D78</f>
        <v>-3.4000000004501318E-2</v>
      </c>
      <c r="M78" s="440">
        <f t="shared" ref="M78:M79" si="74">F83-F78</f>
        <v>-5.500000000721128E-2</v>
      </c>
      <c r="N78" s="440">
        <f t="shared" ref="N78:N79" si="75">SUM(K78:M78)</f>
        <v>-0.29200000001411541</v>
      </c>
    </row>
    <row r="79" spans="1:14" x14ac:dyDescent="0.2">
      <c r="A79" s="417" t="s">
        <v>389</v>
      </c>
      <c r="B79" s="440">
        <f>SUM(B77:B78)</f>
        <v>15.943999999796922</v>
      </c>
      <c r="C79" s="436" t="str">
        <f>CONCATENATE("(",ROUND((B79/$H79)*100,1),")")</f>
        <v>(83.7)</v>
      </c>
      <c r="D79" s="440">
        <f>SUM(D77:D78)</f>
        <v>1.9230000000308731</v>
      </c>
      <c r="E79" s="436" t="str">
        <f>CONCATENATE("(",ROUND((D79/$H79)*100,1),")")</f>
        <v>(10.1)</v>
      </c>
      <c r="F79" s="440">
        <f>SUM(F77:F78)</f>
        <v>1.1750000000231218</v>
      </c>
      <c r="G79" s="436" t="str">
        <f>CONCATENATE("(",ROUND((F79/$H79)*100,1),")")</f>
        <v>(6.2)</v>
      </c>
      <c r="H79" s="440">
        <f>SUM(H77:H78)</f>
        <v>19.041999999850919</v>
      </c>
      <c r="I79" s="436" t="str">
        <f>CONCATENATE("(",ROUND((H79/$H79)*100,1),")")</f>
        <v>(100)</v>
      </c>
      <c r="K79" s="440">
        <f t="shared" si="72"/>
        <v>-0.91300000000972048</v>
      </c>
      <c r="L79" s="440">
        <f t="shared" si="73"/>
        <v>3.0999999996407457E-2</v>
      </c>
      <c r="M79" s="440">
        <f t="shared" si="74"/>
        <v>-7.600000000651308E-2</v>
      </c>
      <c r="N79" s="440">
        <f t="shared" si="75"/>
        <v>-0.9580000000198261</v>
      </c>
    </row>
    <row r="80" spans="1:14" x14ac:dyDescent="0.2">
      <c r="B80" s="440"/>
      <c r="C80" s="428"/>
      <c r="D80" s="440"/>
      <c r="E80" s="428"/>
      <c r="F80" s="440"/>
      <c r="G80" s="428"/>
      <c r="H80" s="440"/>
      <c r="I80" s="428"/>
    </row>
    <row r="81" spans="1:14" x14ac:dyDescent="0.2">
      <c r="A81" s="423">
        <f>$A$18</f>
        <v>2027</v>
      </c>
      <c r="B81" s="440"/>
      <c r="C81" s="428"/>
      <c r="D81" s="440"/>
      <c r="E81" s="428"/>
      <c r="F81" s="440"/>
      <c r="G81" s="428"/>
      <c r="H81" s="440"/>
      <c r="I81" s="428"/>
      <c r="K81" s="426" t="str">
        <f>CONCATENATE(A71," - ",A81)</f>
        <v>2017 - 2027</v>
      </c>
    </row>
    <row r="82" spans="1:14" x14ac:dyDescent="0.2">
      <c r="A82" s="417" t="s">
        <v>390</v>
      </c>
      <c r="B82" s="440">
        <f>'Ind T6'!V40</f>
        <v>10.886999999800075</v>
      </c>
      <c r="C82" s="436" t="str">
        <f>CONCATENATE("(",ROUND((B82/$H84)*100,1),")")</f>
        <v>(60.2)</v>
      </c>
      <c r="D82" s="440">
        <f>'Ind T6'!W40</f>
        <v>0.78100000000126579</v>
      </c>
      <c r="E82" s="436" t="str">
        <f>CONCATENATE("(",ROUND((D82/$H84)*100,1),")")</f>
        <v>(4.3)</v>
      </c>
      <c r="F82" s="440">
        <f>'Ind T6'!X40</f>
        <v>0.33599999999957414</v>
      </c>
      <c r="G82" s="436" t="str">
        <f>CONCATENATE("(",ROUND((F82/$H84)*100,1),")")</f>
        <v>(1.9)</v>
      </c>
      <c r="H82" s="440">
        <f>SUM(B82,D82,F82)</f>
        <v>12.003999999800914</v>
      </c>
      <c r="I82" s="436" t="str">
        <f>CONCATENATE("(",ROUND((H82/$H84)*100,1),")")</f>
        <v>(66.4)</v>
      </c>
      <c r="K82" s="440">
        <f>B82-B72</f>
        <v>-1.5510000002181652</v>
      </c>
      <c r="L82" s="440">
        <f>D82-D72</f>
        <v>0.13800000000787938</v>
      </c>
      <c r="M82" s="440">
        <f>F82-F72</f>
        <v>-4.7999999995147979E-2</v>
      </c>
      <c r="N82" s="440">
        <f>SUM(K82:M82)</f>
        <v>-1.4610000002054337</v>
      </c>
    </row>
    <row r="83" spans="1:14" x14ac:dyDescent="0.2">
      <c r="A83" s="417" t="s">
        <v>391</v>
      </c>
      <c r="B83" s="440">
        <f>'Ind T6'!V39</f>
        <v>4.1439999999871278</v>
      </c>
      <c r="C83" s="436" t="str">
        <f>CONCATENATE("(",ROUND((B83/$H84)*100,1),")")</f>
        <v>(22.9)</v>
      </c>
      <c r="D83" s="440">
        <f>'Ind T6'!W39</f>
        <v>1.1730000000260148</v>
      </c>
      <c r="E83" s="436" t="str">
        <f>CONCATENATE("(",ROUND((D83/$H84)*100,1),")")</f>
        <v>(6.5)</v>
      </c>
      <c r="F83" s="440">
        <f>'Ind T6'!X39</f>
        <v>0.76300000001703461</v>
      </c>
      <c r="G83" s="436" t="str">
        <f>CONCATENATE("(",ROUND((F83/$H84)*100,1),")")</f>
        <v>(4.2)</v>
      </c>
      <c r="H83" s="440">
        <f t="shared" ref="H83" si="76">SUM(B83,D83,F83)</f>
        <v>6.0800000000301768</v>
      </c>
      <c r="I83" s="436" t="str">
        <f>CONCATENATE("(",ROUND((H83/$H84)*100,1),")")</f>
        <v>(33.6)</v>
      </c>
      <c r="K83" s="440">
        <f t="shared" ref="K83:K84" si="77">B83-B73</f>
        <v>-0.44300000003575857</v>
      </c>
      <c r="L83" s="440">
        <f t="shared" ref="L83:L84" si="78">D83-D73</f>
        <v>-7.6000000020483016E-2</v>
      </c>
      <c r="M83" s="440">
        <f t="shared" ref="M83:M84" si="79">F83-F73</f>
        <v>-0.11900000001200095</v>
      </c>
      <c r="N83" s="440">
        <f t="shared" ref="N83:N84" si="80">SUM(K83:M83)</f>
        <v>-0.63800000006824253</v>
      </c>
    </row>
    <row r="84" spans="1:14" x14ac:dyDescent="0.2">
      <c r="A84" s="408" t="s">
        <v>389</v>
      </c>
      <c r="B84" s="440">
        <f>SUM(B82:B83)</f>
        <v>15.030999999787202</v>
      </c>
      <c r="C84" s="436" t="str">
        <f>CONCATENATE("(",ROUND((B84/$H84)*100,1),")")</f>
        <v>(83.1)</v>
      </c>
      <c r="D84" s="440">
        <f>SUM(D82:D83)</f>
        <v>1.9540000000272806</v>
      </c>
      <c r="E84" s="436" t="str">
        <f>CONCATENATE("(",ROUND((D84/$H84)*100,1),")")</f>
        <v>(10.8)</v>
      </c>
      <c r="F84" s="440">
        <f>SUM(F82:F83)</f>
        <v>1.0990000000166087</v>
      </c>
      <c r="G84" s="436" t="str">
        <f>CONCATENATE("(",ROUND((F84/$H84)*100,1),")")</f>
        <v>(6.1)</v>
      </c>
      <c r="H84" s="440">
        <f>SUM(H82:H83)</f>
        <v>18.083999999831093</v>
      </c>
      <c r="I84" s="436" t="str">
        <f>CONCATENATE("(",ROUND((H84/$H84)*100,1),")")</f>
        <v>(100)</v>
      </c>
      <c r="K84" s="440">
        <f t="shared" si="77"/>
        <v>-1.9940000002539229</v>
      </c>
      <c r="L84" s="440">
        <f t="shared" si="78"/>
        <v>6.1999999987396359E-2</v>
      </c>
      <c r="M84" s="440">
        <f t="shared" si="79"/>
        <v>-0.16700000000714899</v>
      </c>
      <c r="N84" s="440">
        <f t="shared" si="80"/>
        <v>-2.0990000002736755</v>
      </c>
    </row>
    <row r="85" spans="1:14" x14ac:dyDescent="0.2">
      <c r="A85" s="429"/>
      <c r="B85" s="430"/>
      <c r="C85" s="429"/>
      <c r="D85" s="430"/>
      <c r="E85" s="429"/>
      <c r="F85" s="430"/>
      <c r="G85" s="429"/>
      <c r="H85" s="430"/>
      <c r="I85" s="429"/>
      <c r="J85" s="429"/>
      <c r="K85" s="430"/>
      <c r="L85" s="430"/>
      <c r="M85" s="430"/>
      <c r="N85" s="430"/>
    </row>
    <row r="89" spans="1:14" x14ac:dyDescent="0.2">
      <c r="A89" s="419"/>
      <c r="B89" s="420" t="s">
        <v>414</v>
      </c>
      <c r="C89" s="419"/>
      <c r="D89" s="420"/>
      <c r="E89" s="419"/>
      <c r="F89" s="420" t="str">
        <f>name!B7</f>
        <v>Engineering</v>
      </c>
      <c r="G89" s="419"/>
      <c r="H89" s="422"/>
      <c r="I89" s="419"/>
      <c r="J89" s="421"/>
      <c r="K89" s="422"/>
      <c r="L89" s="422"/>
      <c r="M89" s="422"/>
      <c r="N89" s="422"/>
    </row>
    <row r="90" spans="1:14" x14ac:dyDescent="0.2">
      <c r="A90" s="408"/>
      <c r="B90" s="409"/>
      <c r="C90" s="408"/>
      <c r="D90" s="409"/>
      <c r="E90" s="408"/>
      <c r="F90" s="409"/>
      <c r="G90" s="408"/>
      <c r="H90" s="409"/>
      <c r="I90" s="408"/>
      <c r="K90" s="409"/>
      <c r="L90" s="409"/>
      <c r="M90" s="409"/>
      <c r="N90" s="415" t="s">
        <v>412</v>
      </c>
    </row>
    <row r="91" spans="1:14" x14ac:dyDescent="0.2">
      <c r="A91" s="413" t="s">
        <v>413</v>
      </c>
      <c r="B91" s="514" t="s">
        <v>411</v>
      </c>
      <c r="C91" s="514"/>
      <c r="D91" s="514" t="s">
        <v>410</v>
      </c>
      <c r="E91" s="514"/>
      <c r="F91" s="514" t="s">
        <v>409</v>
      </c>
      <c r="G91" s="514"/>
      <c r="H91" s="514" t="s">
        <v>32</v>
      </c>
      <c r="I91" s="514"/>
      <c r="J91" s="413"/>
      <c r="K91" s="434" t="s">
        <v>371</v>
      </c>
      <c r="L91" s="434" t="s">
        <v>373</v>
      </c>
      <c r="M91" s="434" t="s">
        <v>369</v>
      </c>
      <c r="N91" s="434" t="s">
        <v>32</v>
      </c>
    </row>
    <row r="92" spans="1:14" x14ac:dyDescent="0.2">
      <c r="A92" s="423">
        <f>$A$8</f>
        <v>2017</v>
      </c>
      <c r="B92" s="424" t="s">
        <v>60</v>
      </c>
      <c r="C92" s="425" t="s">
        <v>408</v>
      </c>
      <c r="D92" s="424" t="s">
        <v>60</v>
      </c>
      <c r="E92" s="425" t="s">
        <v>408</v>
      </c>
      <c r="F92" s="424" t="s">
        <v>60</v>
      </c>
      <c r="G92" s="425" t="s">
        <v>408</v>
      </c>
      <c r="H92" s="424" t="s">
        <v>60</v>
      </c>
      <c r="I92" s="425" t="s">
        <v>408</v>
      </c>
      <c r="J92" s="413"/>
      <c r="K92" s="426" t="str">
        <f>CONCATENATE(A92," - ",A97)</f>
        <v>2017 - 2022</v>
      </c>
      <c r="L92" s="427"/>
      <c r="M92" s="427"/>
    </row>
    <row r="93" spans="1:14" x14ac:dyDescent="0.2">
      <c r="A93" s="417" t="s">
        <v>390</v>
      </c>
      <c r="B93" s="440">
        <f>'Ind T6'!L65</f>
        <v>11.045999999985593</v>
      </c>
      <c r="C93" s="436" t="str">
        <f>CONCATENATE("(",ROUND((B93/$H95)*100,1),")")</f>
        <v>(65.7)</v>
      </c>
      <c r="D93" s="440">
        <f>'Ind T6'!M65</f>
        <v>0.359999999998805</v>
      </c>
      <c r="E93" s="436" t="str">
        <f>CONCATENATE("(",ROUND((D93/$H95)*100,1),")")</f>
        <v>(2.1)</v>
      </c>
      <c r="F93" s="440">
        <f>'Ind T6'!N65</f>
        <v>0.35199999999818132</v>
      </c>
      <c r="G93" s="436" t="str">
        <f>CONCATENATE("(",ROUND((F93/$H95)*100,1),")")</f>
        <v>(2.1)</v>
      </c>
      <c r="H93" s="440">
        <f>SUM(B93,D93,F93)</f>
        <v>11.75799999998258</v>
      </c>
      <c r="I93" s="436" t="str">
        <f>CONCATENATE("(",ROUND((H93/$H95)*100,1),")")</f>
        <v>(69.9)</v>
      </c>
      <c r="K93" s="440">
        <f>B98-B93</f>
        <v>-9.0000000071434272E-2</v>
      </c>
      <c r="L93" s="440">
        <f>D98-D93</f>
        <v>8.000000000038493E-2</v>
      </c>
      <c r="M93" s="440">
        <f>F98-F93</f>
        <v>3.3000000000164842E-2</v>
      </c>
      <c r="N93" s="440">
        <f>SUM(K93:M93)</f>
        <v>2.29999999291155E-2</v>
      </c>
    </row>
    <row r="94" spans="1:14" x14ac:dyDescent="0.2">
      <c r="A94" s="417" t="s">
        <v>391</v>
      </c>
      <c r="B94" s="440">
        <f>'Ind T6'!L64</f>
        <v>3.7460000000156719</v>
      </c>
      <c r="C94" s="436" t="str">
        <f>CONCATENATE("(",ROUND((B94/$H95)*100,1),")")</f>
        <v>(22.3)</v>
      </c>
      <c r="D94" s="440">
        <f>'Ind T6'!M64</f>
        <v>0.9460000000305463</v>
      </c>
      <c r="E94" s="436" t="str">
        <f>CONCATENATE("(",ROUND((D94/$H95)*100,1),")")</f>
        <v>(5.6)</v>
      </c>
      <c r="F94" s="440">
        <f>'Ind T6'!N64</f>
        <v>0.37200000001018019</v>
      </c>
      <c r="G94" s="436" t="str">
        <f>CONCATENATE("(",ROUND((F94/$H95)*100,1),")")</f>
        <v>(2.2)</v>
      </c>
      <c r="H94" s="440">
        <f t="shared" ref="H94" si="81">SUM(B94,D94,F94)</f>
        <v>5.0640000000563985</v>
      </c>
      <c r="I94" s="436" t="str">
        <f>CONCATENATE("(",ROUND((H94/$H95)*100,1),")")</f>
        <v>(30.1)</v>
      </c>
      <c r="K94" s="440">
        <f t="shared" ref="K94:K95" si="82">B99-B94</f>
        <v>0.11599999996922827</v>
      </c>
      <c r="L94" s="440">
        <f t="shared" ref="L94:L95" si="83">D99-D94</f>
        <v>0.13299999999651335</v>
      </c>
      <c r="M94" s="440">
        <f t="shared" ref="M94:M95" si="84">F99-F94</f>
        <v>1.3000000001538892E-2</v>
      </c>
      <c r="N94" s="440">
        <f t="shared" ref="N94:N95" si="85">SUM(K94:M94)</f>
        <v>0.26199999996728052</v>
      </c>
    </row>
    <row r="95" spans="1:14" x14ac:dyDescent="0.2">
      <c r="A95" s="417" t="s">
        <v>389</v>
      </c>
      <c r="B95" s="440">
        <f>SUM(B93:B94)</f>
        <v>14.792000000001265</v>
      </c>
      <c r="C95" s="436" t="str">
        <f>CONCATENATE("(",ROUND((B95/$H95)*100,1),")")</f>
        <v>(87.9)</v>
      </c>
      <c r="D95" s="440">
        <f>SUM(D93:D94)</f>
        <v>1.3060000000293512</v>
      </c>
      <c r="E95" s="436" t="str">
        <f>CONCATENATE("(",ROUND((D95/$H95)*100,1),")")</f>
        <v>(7.8)</v>
      </c>
      <c r="F95" s="440">
        <f>SUM(F93:F94)</f>
        <v>0.72400000000836151</v>
      </c>
      <c r="G95" s="436" t="str">
        <f>CONCATENATE("(",ROUND((F95/$H95)*100,1),")")</f>
        <v>(4.3)</v>
      </c>
      <c r="H95" s="440">
        <f>SUM(H93:H94)</f>
        <v>16.82200000003898</v>
      </c>
      <c r="I95" s="436" t="str">
        <f>CONCATENATE("(",ROUND((H95/$H95)*100,1),")")</f>
        <v>(100)</v>
      </c>
      <c r="K95" s="440">
        <f t="shared" si="82"/>
        <v>2.5999999897793558E-2</v>
      </c>
      <c r="L95" s="440">
        <f t="shared" si="83"/>
        <v>0.21299999999689834</v>
      </c>
      <c r="M95" s="440">
        <f t="shared" si="84"/>
        <v>4.6000000001703789E-2</v>
      </c>
      <c r="N95" s="440">
        <f t="shared" si="85"/>
        <v>0.28499999989639568</v>
      </c>
    </row>
    <row r="96" spans="1:14" x14ac:dyDescent="0.2">
      <c r="B96" s="440"/>
      <c r="C96" s="428"/>
      <c r="D96" s="440"/>
      <c r="E96" s="428"/>
      <c r="F96" s="440"/>
      <c r="G96" s="428"/>
      <c r="H96" s="440"/>
      <c r="I96" s="428"/>
    </row>
    <row r="97" spans="1:14" x14ac:dyDescent="0.2">
      <c r="A97" s="423">
        <f>$A$13</f>
        <v>2022</v>
      </c>
      <c r="B97" s="440"/>
      <c r="C97" s="428"/>
      <c r="D97" s="440"/>
      <c r="E97" s="428"/>
      <c r="F97" s="440"/>
      <c r="G97" s="428"/>
      <c r="H97" s="440"/>
      <c r="I97" s="428"/>
      <c r="K97" s="426" t="str">
        <f>CONCATENATE(A97," - ",A102)</f>
        <v>2022 - 2027</v>
      </c>
    </row>
    <row r="98" spans="1:14" x14ac:dyDescent="0.2">
      <c r="A98" s="417" t="s">
        <v>390</v>
      </c>
      <c r="B98" s="440">
        <f>'Ind T6'!Q65</f>
        <v>10.955999999914159</v>
      </c>
      <c r="C98" s="436" t="str">
        <f>CONCATENATE("(",ROUND((B98/$H100)*100,1),")")</f>
        <v>(64)</v>
      </c>
      <c r="D98" s="440">
        <f>'Ind T6'!R65</f>
        <v>0.43999999999918993</v>
      </c>
      <c r="E98" s="436" t="str">
        <f>CONCATENATE("(",ROUND((D98/$H100)*100,1),")")</f>
        <v>(2.6)</v>
      </c>
      <c r="F98" s="440">
        <f>'Ind T6'!S65</f>
        <v>0.38499999999834617</v>
      </c>
      <c r="G98" s="436" t="str">
        <f>CONCATENATE("(",ROUND((F98/$H100)*100,1),")")</f>
        <v>(2.3)</v>
      </c>
      <c r="H98" s="440">
        <f>SUM(B98,D98,F98)</f>
        <v>11.780999999911694</v>
      </c>
      <c r="I98" s="436" t="str">
        <f>CONCATENATE("(",ROUND((H98/$H100)*100,1),")")</f>
        <v>(68.9)</v>
      </c>
      <c r="K98" s="440">
        <f>B103-B98</f>
        <v>-0.98000000000218357</v>
      </c>
      <c r="L98" s="440">
        <f>D103-D98</f>
        <v>4.6000000000406605E-2</v>
      </c>
      <c r="M98" s="440">
        <f>F103-F98</f>
        <v>-9.9999999993405364E-4</v>
      </c>
      <c r="N98" s="440">
        <f>SUM(K98:M98)</f>
        <v>-0.93500000000171102</v>
      </c>
    </row>
    <row r="99" spans="1:14" x14ac:dyDescent="0.2">
      <c r="A99" s="417" t="s">
        <v>391</v>
      </c>
      <c r="B99" s="440">
        <f>'Ind T6'!Q64</f>
        <v>3.8619999999849002</v>
      </c>
      <c r="C99" s="436" t="str">
        <f>CONCATENATE("(",ROUND((B99/$H100)*100,1),")")</f>
        <v>(22.6)</v>
      </c>
      <c r="D99" s="440">
        <f>'Ind T6'!R64</f>
        <v>1.0790000000270596</v>
      </c>
      <c r="E99" s="436" t="str">
        <f>CONCATENATE("(",ROUND((D99/$H100)*100,1),")")</f>
        <v>(6.3)</v>
      </c>
      <c r="F99" s="440">
        <f>'Ind T6'!S64</f>
        <v>0.38500000001171908</v>
      </c>
      <c r="G99" s="436" t="str">
        <f>CONCATENATE("(",ROUND((F99/$H100)*100,1),")")</f>
        <v>(2.3)</v>
      </c>
      <c r="H99" s="440">
        <f t="shared" ref="H99" si="86">SUM(B99,D99,F99)</f>
        <v>5.3260000000236793</v>
      </c>
      <c r="I99" s="436" t="str">
        <f>CONCATENATE("(",ROUND((H99/$H100)*100,1),")")</f>
        <v>(31.1)</v>
      </c>
      <c r="K99" s="440">
        <f t="shared" ref="K99:K100" si="87">B104-B99</f>
        <v>-0.20699999999925112</v>
      </c>
      <c r="L99" s="440">
        <f t="shared" ref="L99:L100" si="88">D104-D99</f>
        <v>4.9999999998202815E-2</v>
      </c>
      <c r="M99" s="440">
        <f t="shared" ref="M99:M100" si="89">F104-F99</f>
        <v>-6.0000000014611699E-3</v>
      </c>
      <c r="N99" s="440">
        <f t="shared" ref="N99:N100" si="90">SUM(K99:M99)</f>
        <v>-0.16300000000250947</v>
      </c>
    </row>
    <row r="100" spans="1:14" x14ac:dyDescent="0.2">
      <c r="A100" s="417" t="s">
        <v>389</v>
      </c>
      <c r="B100" s="440">
        <f>SUM(B98:B99)</f>
        <v>14.817999999899058</v>
      </c>
      <c r="C100" s="436" t="str">
        <f>CONCATENATE("(",ROUND((B100/$H100)*100,1),")")</f>
        <v>(86.6)</v>
      </c>
      <c r="D100" s="440">
        <f>SUM(D98:D99)</f>
        <v>1.5190000000262496</v>
      </c>
      <c r="E100" s="436" t="str">
        <f>CONCATENATE("(",ROUND((D100/$H100)*100,1),")")</f>
        <v>(8.9)</v>
      </c>
      <c r="F100" s="440">
        <f>SUM(F98:F99)</f>
        <v>0.7700000000100653</v>
      </c>
      <c r="G100" s="436" t="str">
        <f>CONCATENATE("(",ROUND((F100/$H100)*100,1),")")</f>
        <v>(4.5)</v>
      </c>
      <c r="H100" s="440">
        <f>SUM(H98:H99)</f>
        <v>17.106999999935375</v>
      </c>
      <c r="I100" s="436" t="str">
        <f>CONCATENATE("(",ROUND((H100/$H100)*100,1),")")</f>
        <v>(100)</v>
      </c>
      <c r="K100" s="440">
        <f t="shared" si="87"/>
        <v>-1.1870000000014329</v>
      </c>
      <c r="L100" s="440">
        <f t="shared" si="88"/>
        <v>9.599999999860942E-2</v>
      </c>
      <c r="M100" s="440">
        <f t="shared" si="89"/>
        <v>-7.0000000013952235E-3</v>
      </c>
      <c r="N100" s="440">
        <f t="shared" si="90"/>
        <v>-1.0980000000042187</v>
      </c>
    </row>
    <row r="101" spans="1:14" x14ac:dyDescent="0.2">
      <c r="B101" s="440"/>
      <c r="C101" s="428"/>
      <c r="D101" s="440"/>
      <c r="E101" s="428"/>
      <c r="F101" s="440"/>
      <c r="G101" s="428"/>
      <c r="H101" s="440"/>
      <c r="I101" s="428"/>
    </row>
    <row r="102" spans="1:14" x14ac:dyDescent="0.2">
      <c r="A102" s="423">
        <f>$A$18</f>
        <v>2027</v>
      </c>
      <c r="B102" s="440"/>
      <c r="C102" s="428"/>
      <c r="D102" s="440"/>
      <c r="E102" s="428"/>
      <c r="F102" s="440"/>
      <c r="G102" s="428"/>
      <c r="H102" s="440"/>
      <c r="I102" s="428"/>
      <c r="K102" s="426" t="str">
        <f>CONCATENATE(A92," - ",A102)</f>
        <v>2017 - 2027</v>
      </c>
    </row>
    <row r="103" spans="1:14" x14ac:dyDescent="0.2">
      <c r="A103" s="417" t="s">
        <v>390</v>
      </c>
      <c r="B103" s="440">
        <f>'Ind T6'!V65</f>
        <v>9.9759999999119753</v>
      </c>
      <c r="C103" s="436" t="str">
        <f>CONCATENATE("(",ROUND((B103/$H105)*100,1),")")</f>
        <v>(62.3)</v>
      </c>
      <c r="D103" s="440">
        <f>'Ind T6'!W65</f>
        <v>0.48599999999959653</v>
      </c>
      <c r="E103" s="436" t="str">
        <f>CONCATENATE("(",ROUND((D103/$H105)*100,1),")")</f>
        <v>(3)</v>
      </c>
      <c r="F103" s="440">
        <f>'Ind T6'!X65</f>
        <v>0.38399999999841211</v>
      </c>
      <c r="G103" s="436" t="str">
        <f>CONCATENATE("(",ROUND((F103/$H105)*100,1),")")</f>
        <v>(2.4)</v>
      </c>
      <c r="H103" s="440">
        <f>SUM(B103,D103,F103)</f>
        <v>10.845999999909985</v>
      </c>
      <c r="I103" s="436" t="str">
        <f>CONCATENATE("(",ROUND((H103/$H105)*100,1),")")</f>
        <v>(67.7)</v>
      </c>
      <c r="K103" s="440">
        <f>B103-B93</f>
        <v>-1.0700000000736178</v>
      </c>
      <c r="L103" s="440">
        <f>D103-D93</f>
        <v>0.12600000000079153</v>
      </c>
      <c r="M103" s="440">
        <f>F103-F93</f>
        <v>3.2000000000230788E-2</v>
      </c>
      <c r="N103" s="440">
        <f>SUM(K103:M103)</f>
        <v>-0.91200000007259563</v>
      </c>
    </row>
    <row r="104" spans="1:14" x14ac:dyDescent="0.2">
      <c r="A104" s="417" t="s">
        <v>391</v>
      </c>
      <c r="B104" s="440">
        <f>'Ind T6'!V64</f>
        <v>3.6549999999856491</v>
      </c>
      <c r="C104" s="436" t="str">
        <f>CONCATENATE("(",ROUND((B104/$H105)*100,1),")")</f>
        <v>(22.8)</v>
      </c>
      <c r="D104" s="440">
        <f>'Ind T6'!W64</f>
        <v>1.1290000000252625</v>
      </c>
      <c r="E104" s="436" t="str">
        <f>CONCATENATE("(",ROUND((D104/$H105)*100,1),")")</f>
        <v>(7.1)</v>
      </c>
      <c r="F104" s="440">
        <f>'Ind T6'!X64</f>
        <v>0.37900000001025791</v>
      </c>
      <c r="G104" s="436" t="str">
        <f>CONCATENATE("(",ROUND((F104/$H105)*100,1),")")</f>
        <v>(2.4)</v>
      </c>
      <c r="H104" s="440">
        <f t="shared" ref="H104" si="91">SUM(B104,D104,F104)</f>
        <v>5.1630000000211691</v>
      </c>
      <c r="I104" s="436" t="str">
        <f>CONCATENATE("(",ROUND((H104/$H105)*100,1),")")</f>
        <v>(32.3)</v>
      </c>
      <c r="K104" s="440">
        <f t="shared" ref="K104:K105" si="92">B104-B94</f>
        <v>-9.1000000030022843E-2</v>
      </c>
      <c r="L104" s="440">
        <f t="shared" ref="L104:L105" si="93">D104-D94</f>
        <v>0.18299999999471617</v>
      </c>
      <c r="M104" s="440">
        <f t="shared" ref="M104:M105" si="94">F104-F94</f>
        <v>7.0000000000777218E-3</v>
      </c>
      <c r="N104" s="440">
        <f t="shared" ref="N104:N105" si="95">SUM(K104:M104)</f>
        <v>9.8999999964771046E-2</v>
      </c>
    </row>
    <row r="105" spans="1:14" x14ac:dyDescent="0.2">
      <c r="A105" s="408" t="s">
        <v>389</v>
      </c>
      <c r="B105" s="440">
        <f>SUM(B103:B104)</f>
        <v>13.630999999897625</v>
      </c>
      <c r="C105" s="436" t="str">
        <f>CONCATENATE("(",ROUND((B105/$H105)*100,1),")")</f>
        <v>(85.1)</v>
      </c>
      <c r="D105" s="440">
        <f>SUM(D103:D104)</f>
        <v>1.615000000024859</v>
      </c>
      <c r="E105" s="436" t="str">
        <f>CONCATENATE("(",ROUND((D105/$H105)*100,1),")")</f>
        <v>(10.1)</v>
      </c>
      <c r="F105" s="440">
        <f>SUM(F103:F104)</f>
        <v>0.76300000000867008</v>
      </c>
      <c r="G105" s="436" t="str">
        <f>CONCATENATE("(",ROUND((F105/$H105)*100,1),")")</f>
        <v>(4.8)</v>
      </c>
      <c r="H105" s="440">
        <f>SUM(H103:H104)</f>
        <v>16.008999999931156</v>
      </c>
      <c r="I105" s="436" t="str">
        <f>CONCATENATE("(",ROUND((H105/$H105)*100,1),")")</f>
        <v>(100)</v>
      </c>
      <c r="K105" s="440">
        <f t="shared" si="92"/>
        <v>-1.1610000001036394</v>
      </c>
      <c r="L105" s="440">
        <f t="shared" si="93"/>
        <v>0.30899999999550776</v>
      </c>
      <c r="M105" s="440">
        <f t="shared" si="94"/>
        <v>3.9000000000308566E-2</v>
      </c>
      <c r="N105" s="440">
        <f t="shared" si="95"/>
        <v>-0.81300000010782303</v>
      </c>
    </row>
    <row r="106" spans="1:14" x14ac:dyDescent="0.2">
      <c r="A106" s="429"/>
      <c r="B106" s="430"/>
      <c r="C106" s="429"/>
      <c r="D106" s="430"/>
      <c r="E106" s="429"/>
      <c r="F106" s="430"/>
      <c r="G106" s="429"/>
      <c r="H106" s="430"/>
      <c r="I106" s="429"/>
      <c r="J106" s="429"/>
      <c r="K106" s="430"/>
      <c r="L106" s="430"/>
      <c r="M106" s="430"/>
      <c r="N106" s="430"/>
    </row>
    <row r="107" spans="1:14" x14ac:dyDescent="0.2">
      <c r="A107" s="431"/>
    </row>
    <row r="109" spans="1:14" x14ac:dyDescent="0.2">
      <c r="C109" s="267"/>
      <c r="E109" s="267"/>
      <c r="G109" s="267"/>
      <c r="I109" s="267"/>
    </row>
    <row r="110" spans="1:14" x14ac:dyDescent="0.2">
      <c r="A110" s="419"/>
      <c r="B110" s="420" t="s">
        <v>414</v>
      </c>
      <c r="C110" s="419"/>
      <c r="D110" s="420"/>
      <c r="E110" s="419"/>
      <c r="F110" s="420" t="str">
        <f>name!B8</f>
        <v>Rest of manufacturing</v>
      </c>
      <c r="G110" s="419"/>
      <c r="H110" s="422"/>
      <c r="I110" s="419"/>
      <c r="J110" s="421"/>
      <c r="K110" s="422"/>
      <c r="L110" s="422"/>
      <c r="M110" s="422"/>
      <c r="N110" s="422"/>
    </row>
    <row r="111" spans="1:14" x14ac:dyDescent="0.2">
      <c r="A111" s="408"/>
      <c r="B111" s="409"/>
      <c r="C111" s="408"/>
      <c r="D111" s="409"/>
      <c r="E111" s="408"/>
      <c r="F111" s="409"/>
      <c r="G111" s="408"/>
      <c r="H111" s="409"/>
      <c r="I111" s="408"/>
      <c r="K111" s="409"/>
      <c r="L111" s="409"/>
      <c r="M111" s="409"/>
      <c r="N111" s="415" t="s">
        <v>412</v>
      </c>
    </row>
    <row r="112" spans="1:14" x14ac:dyDescent="0.2">
      <c r="A112" s="413" t="s">
        <v>413</v>
      </c>
      <c r="B112" s="514" t="s">
        <v>411</v>
      </c>
      <c r="C112" s="514"/>
      <c r="D112" s="514" t="s">
        <v>410</v>
      </c>
      <c r="E112" s="514"/>
      <c r="F112" s="514" t="s">
        <v>409</v>
      </c>
      <c r="G112" s="514"/>
      <c r="H112" s="514" t="s">
        <v>32</v>
      </c>
      <c r="I112" s="514"/>
      <c r="J112" s="413"/>
      <c r="K112" s="434" t="s">
        <v>371</v>
      </c>
      <c r="L112" s="434" t="s">
        <v>373</v>
      </c>
      <c r="M112" s="434" t="s">
        <v>369</v>
      </c>
      <c r="N112" s="434" t="s">
        <v>32</v>
      </c>
    </row>
    <row r="113" spans="1:14" x14ac:dyDescent="0.2">
      <c r="A113" s="423">
        <f>$A$8</f>
        <v>2017</v>
      </c>
      <c r="B113" s="424" t="s">
        <v>60</v>
      </c>
      <c r="C113" s="425" t="s">
        <v>408</v>
      </c>
      <c r="D113" s="424" t="s">
        <v>60</v>
      </c>
      <c r="E113" s="425" t="s">
        <v>408</v>
      </c>
      <c r="F113" s="424" t="s">
        <v>60</v>
      </c>
      <c r="G113" s="425" t="s">
        <v>408</v>
      </c>
      <c r="H113" s="424" t="s">
        <v>60</v>
      </c>
      <c r="I113" s="425" t="s">
        <v>408</v>
      </c>
      <c r="J113" s="413"/>
      <c r="K113" s="426" t="str">
        <f>CONCATENATE(A113," - ",A118)</f>
        <v>2017 - 2022</v>
      </c>
      <c r="L113" s="427"/>
      <c r="M113" s="427"/>
    </row>
    <row r="114" spans="1:14" x14ac:dyDescent="0.2">
      <c r="A114" s="417" t="s">
        <v>390</v>
      </c>
      <c r="B114" s="440">
        <f>'Ind T6'!L155</f>
        <v>79.420000000008059</v>
      </c>
      <c r="C114" s="436" t="str">
        <f>CONCATENATE("(",ROUND((B114/$H116)*100,1),")")</f>
        <v>(72.3)</v>
      </c>
      <c r="D114" s="440">
        <f>'Ind T6'!M155</f>
        <v>2.6260000000048374</v>
      </c>
      <c r="E114" s="436" t="str">
        <f>CONCATENATE("(",ROUND((D114/$H116)*100,1),")")</f>
        <v>(2.4)</v>
      </c>
      <c r="F114" s="440">
        <f>'Ind T6'!N155</f>
        <v>3.6950000000016257</v>
      </c>
      <c r="G114" s="436" t="str">
        <f>CONCATENATE("(",ROUND((F114/$H116)*100,1),")")</f>
        <v>(3.4)</v>
      </c>
      <c r="H114" s="440">
        <f>SUM(B114,D114,F114)</f>
        <v>85.741000000014523</v>
      </c>
      <c r="I114" s="436" t="str">
        <f>CONCATENATE("(",ROUND((H114/$H116)*100,1),")")</f>
        <v>(78.1)</v>
      </c>
      <c r="K114" s="440">
        <f>B119-B114</f>
        <v>-5.1480000009185574</v>
      </c>
      <c r="L114" s="440">
        <f>D119-D114</f>
        <v>0.21099999997626728</v>
      </c>
      <c r="M114" s="440">
        <f>F119-F114</f>
        <v>4.9000000004304489E-2</v>
      </c>
      <c r="N114" s="440">
        <f>SUM(K114:M114)</f>
        <v>-4.8880000009379856</v>
      </c>
    </row>
    <row r="115" spans="1:14" x14ac:dyDescent="0.2">
      <c r="A115" s="417" t="s">
        <v>391</v>
      </c>
      <c r="B115" s="440">
        <f>'Ind T6'!L154</f>
        <v>15.994000000007334</v>
      </c>
      <c r="C115" s="436" t="str">
        <f>CONCATENATE("(",ROUND((B115/$H116)*100,1),")")</f>
        <v>(14.6)</v>
      </c>
      <c r="D115" s="440">
        <f>'Ind T6'!M154</f>
        <v>4.9230000001465299</v>
      </c>
      <c r="E115" s="436" t="str">
        <f>CONCATENATE("(",ROUND((D115/$H116)*100,1),")")</f>
        <v>(4.5)</v>
      </c>
      <c r="F115" s="440">
        <f>'Ind T6'!N154</f>
        <v>3.1550000000565896</v>
      </c>
      <c r="G115" s="436" t="str">
        <f>CONCATENATE("(",ROUND((F115/$H116)*100,1),")")</f>
        <v>(2.9)</v>
      </c>
      <c r="H115" s="440">
        <f t="shared" ref="H115" si="96">SUM(B115,D115,F115)</f>
        <v>24.072000000210451</v>
      </c>
      <c r="I115" s="436" t="str">
        <f>CONCATENATE("(",ROUND((H115/$H116)*100,1),")")</f>
        <v>(21.9)</v>
      </c>
      <c r="K115" s="440">
        <f t="shared" ref="K115:K116" si="97">B120-B115</f>
        <v>-3.7000000112076492E-2</v>
      </c>
      <c r="L115" s="440">
        <f t="shared" ref="L115:L116" si="98">D120-D115</f>
        <v>-3.7000000033609481E-2</v>
      </c>
      <c r="M115" s="440">
        <f t="shared" ref="M115:M116" si="99">F120-F115</f>
        <v>-0.28900000000391524</v>
      </c>
      <c r="N115" s="440">
        <f t="shared" ref="N115:N116" si="100">SUM(K115:M115)</f>
        <v>-0.36300000014960121</v>
      </c>
    </row>
    <row r="116" spans="1:14" x14ac:dyDescent="0.2">
      <c r="A116" s="417" t="s">
        <v>389</v>
      </c>
      <c r="B116" s="440">
        <f>SUM(B114:B115)</f>
        <v>95.414000000015392</v>
      </c>
      <c r="C116" s="436" t="str">
        <f>CONCATENATE("(",ROUND((B116/$H116)*100,1),")")</f>
        <v>(86.9)</v>
      </c>
      <c r="D116" s="440">
        <f>SUM(D114:D115)</f>
        <v>7.5490000001513673</v>
      </c>
      <c r="E116" s="436" t="str">
        <f>CONCATENATE("(",ROUND((D116/$H116)*100,1),")")</f>
        <v>(6.9)</v>
      </c>
      <c r="F116" s="440">
        <f>SUM(F114:F115)</f>
        <v>6.8500000000582153</v>
      </c>
      <c r="G116" s="436" t="str">
        <f>CONCATENATE("(",ROUND((F116/$H116)*100,1),")")</f>
        <v>(6.2)</v>
      </c>
      <c r="H116" s="440">
        <f>SUM(H114:H115)</f>
        <v>109.81300000022497</v>
      </c>
      <c r="I116" s="436" t="str">
        <f>CONCATENATE("(",ROUND((H116/$H116)*100,1),")")</f>
        <v>(100)</v>
      </c>
      <c r="K116" s="440">
        <f t="shared" si="97"/>
        <v>-5.1850000010306303</v>
      </c>
      <c r="L116" s="440">
        <f t="shared" si="98"/>
        <v>0.1739999999426578</v>
      </c>
      <c r="M116" s="440">
        <f t="shared" si="99"/>
        <v>-0.2399999999996103</v>
      </c>
      <c r="N116" s="440">
        <f t="shared" si="100"/>
        <v>-5.2510000010875828</v>
      </c>
    </row>
    <row r="117" spans="1:14" x14ac:dyDescent="0.2">
      <c r="B117" s="440"/>
      <c r="C117" s="428"/>
      <c r="D117" s="440"/>
      <c r="E117" s="428"/>
      <c r="F117" s="440"/>
      <c r="G117" s="428"/>
      <c r="H117" s="440"/>
      <c r="I117" s="428"/>
    </row>
    <row r="118" spans="1:14" x14ac:dyDescent="0.2">
      <c r="A118" s="423">
        <f>$A$13</f>
        <v>2022</v>
      </c>
      <c r="B118" s="440"/>
      <c r="C118" s="428"/>
      <c r="D118" s="440"/>
      <c r="E118" s="428"/>
      <c r="F118" s="440"/>
      <c r="G118" s="428"/>
      <c r="H118" s="440"/>
      <c r="I118" s="428"/>
      <c r="K118" s="426" t="str">
        <f>CONCATENATE(A118," - ",A123)</f>
        <v>2022 - 2027</v>
      </c>
    </row>
    <row r="119" spans="1:14" x14ac:dyDescent="0.2">
      <c r="A119" s="417" t="s">
        <v>390</v>
      </c>
      <c r="B119" s="440">
        <f>'Ind T6'!Q155</f>
        <v>74.271999999089502</v>
      </c>
      <c r="C119" s="436" t="str">
        <f>CONCATENATE("(",ROUND((B119/$H121)*100,1),")")</f>
        <v>(71)</v>
      </c>
      <c r="D119" s="440">
        <f>'Ind T6'!R155</f>
        <v>2.8369999999811046</v>
      </c>
      <c r="E119" s="436" t="str">
        <f>CONCATENATE("(",ROUND((D119/$H121)*100,1),")")</f>
        <v>(2.7)</v>
      </c>
      <c r="F119" s="440">
        <f>'Ind T6'!S155</f>
        <v>3.7440000000059301</v>
      </c>
      <c r="G119" s="436" t="str">
        <f>CONCATENATE("(",ROUND((F119/$H121)*100,1),")")</f>
        <v>(3.6)</v>
      </c>
      <c r="H119" s="440">
        <f>SUM(B119,D119,F119)</f>
        <v>80.85299999907653</v>
      </c>
      <c r="I119" s="436" t="str">
        <f>CONCATENATE("(",ROUND((H119/$H121)*100,1),")")</f>
        <v>(77.3)</v>
      </c>
      <c r="K119" s="440">
        <f>B124-B119</f>
        <v>-4.8940000000757919</v>
      </c>
      <c r="L119" s="440">
        <f>D124-D119</f>
        <v>0.2119999999936879</v>
      </c>
      <c r="M119" s="440">
        <f>F124-F119</f>
        <v>4.2999999998879268E-2</v>
      </c>
      <c r="N119" s="440">
        <f>SUM(K119:M119)</f>
        <v>-4.6390000000832243</v>
      </c>
    </row>
    <row r="120" spans="1:14" x14ac:dyDescent="0.2">
      <c r="A120" s="417" t="s">
        <v>391</v>
      </c>
      <c r="B120" s="440">
        <f>'Ind T6'!Q154</f>
        <v>15.956999999895258</v>
      </c>
      <c r="C120" s="436" t="str">
        <f>CONCATENATE("(",ROUND((B120/$H121)*100,1),")")</f>
        <v>(15.3)</v>
      </c>
      <c r="D120" s="440">
        <f>'Ind T6'!R154</f>
        <v>4.8860000001129205</v>
      </c>
      <c r="E120" s="436" t="str">
        <f>CONCATENATE("(",ROUND((D120/$H121)*100,1),")")</f>
        <v>(4.7)</v>
      </c>
      <c r="F120" s="440">
        <f>'Ind T6'!S154</f>
        <v>2.8660000000526744</v>
      </c>
      <c r="G120" s="436" t="str">
        <f>CONCATENATE("(",ROUND((F120/$H121)*100,1),")")</f>
        <v>(2.7)</v>
      </c>
      <c r="H120" s="440">
        <f t="shared" ref="H120" si="101">SUM(B120,D120,F120)</f>
        <v>23.709000000060854</v>
      </c>
      <c r="I120" s="436" t="str">
        <f>CONCATENATE("(",ROUND((H120/$H121)*100,1),")")</f>
        <v>(22.7)</v>
      </c>
      <c r="K120" s="440">
        <f t="shared" ref="K120:K121" si="102">B125-B120</f>
        <v>0.29400000000449644</v>
      </c>
      <c r="L120" s="440">
        <f t="shared" ref="L120:L121" si="103">D125-D120</f>
        <v>0.1029999999907929</v>
      </c>
      <c r="M120" s="440">
        <f t="shared" ref="M120:M121" si="104">F125-F120</f>
        <v>-0.10600000001387189</v>
      </c>
      <c r="N120" s="440">
        <f t="shared" ref="N120:N121" si="105">SUM(K120:M120)</f>
        <v>0.29099999998141746</v>
      </c>
    </row>
    <row r="121" spans="1:14" x14ac:dyDescent="0.2">
      <c r="A121" s="417" t="s">
        <v>389</v>
      </c>
      <c r="B121" s="440">
        <f>SUM(B119:B120)</f>
        <v>90.228999998984762</v>
      </c>
      <c r="C121" s="436" t="str">
        <f>CONCATENATE("(",ROUND((B121/$H121)*100,1),")")</f>
        <v>(86.3)</v>
      </c>
      <c r="D121" s="440">
        <f>SUM(D119:D120)</f>
        <v>7.7230000000940251</v>
      </c>
      <c r="E121" s="436" t="str">
        <f>CONCATENATE("(",ROUND((D121/$H121)*100,1),")")</f>
        <v>(7.4)</v>
      </c>
      <c r="F121" s="440">
        <f>SUM(F119:F120)</f>
        <v>6.610000000058605</v>
      </c>
      <c r="G121" s="436" t="str">
        <f>CONCATENATE("(",ROUND((F121/$H121)*100,1),")")</f>
        <v>(6.3)</v>
      </c>
      <c r="H121" s="440">
        <f>SUM(H119:H120)</f>
        <v>104.56199999913738</v>
      </c>
      <c r="I121" s="436" t="str">
        <f>CONCATENATE("(",ROUND((H121/$H121)*100,1),")")</f>
        <v>(100)</v>
      </c>
      <c r="K121" s="440">
        <f t="shared" si="102"/>
        <v>-4.6000000000713044</v>
      </c>
      <c r="L121" s="440">
        <f t="shared" si="103"/>
        <v>0.31499999998448125</v>
      </c>
      <c r="M121" s="440">
        <f t="shared" si="104"/>
        <v>-6.3000000014993063E-2</v>
      </c>
      <c r="N121" s="440">
        <f t="shared" si="105"/>
        <v>-4.3480000001018162</v>
      </c>
    </row>
    <row r="122" spans="1:14" x14ac:dyDescent="0.2">
      <c r="B122" s="440"/>
      <c r="C122" s="428"/>
      <c r="D122" s="440"/>
      <c r="E122" s="428"/>
      <c r="F122" s="440"/>
      <c r="G122" s="428"/>
      <c r="H122" s="440"/>
      <c r="I122" s="428"/>
    </row>
    <row r="123" spans="1:14" x14ac:dyDescent="0.2">
      <c r="A123" s="423">
        <f>$A$18</f>
        <v>2027</v>
      </c>
      <c r="B123" s="440"/>
      <c r="C123" s="428"/>
      <c r="D123" s="440"/>
      <c r="E123" s="428"/>
      <c r="F123" s="440"/>
      <c r="G123" s="428"/>
      <c r="H123" s="440"/>
      <c r="I123" s="428"/>
      <c r="K123" s="426" t="str">
        <f>CONCATENATE(A113," - ",A123)</f>
        <v>2017 - 2027</v>
      </c>
    </row>
    <row r="124" spans="1:14" x14ac:dyDescent="0.2">
      <c r="A124" s="417" t="s">
        <v>390</v>
      </c>
      <c r="B124" s="440">
        <f>'Ind T6'!V155</f>
        <v>69.37799999901371</v>
      </c>
      <c r="C124" s="436" t="str">
        <f>CONCATENATE("(",ROUND((B124/$H126)*100,1),")")</f>
        <v>(69.2)</v>
      </c>
      <c r="D124" s="440">
        <f>'Ind T6'!W155</f>
        <v>3.0489999999747925</v>
      </c>
      <c r="E124" s="436" t="str">
        <f>CONCATENATE("(",ROUND((D124/$H126)*100,1),")")</f>
        <v>(3)</v>
      </c>
      <c r="F124" s="440">
        <f>'Ind T6'!X155</f>
        <v>3.7870000000048094</v>
      </c>
      <c r="G124" s="436" t="str">
        <f>CONCATENATE("(",ROUND((F124/$H126)*100,1),")")</f>
        <v>(3.8)</v>
      </c>
      <c r="H124" s="440">
        <f>SUM(B124,D124,F124)</f>
        <v>76.213999998993316</v>
      </c>
      <c r="I124" s="436" t="str">
        <f>CONCATENATE("(",ROUND((H124/$H126)*100,1),")")</f>
        <v>(76.1)</v>
      </c>
      <c r="K124" s="440">
        <f>B124-B114</f>
        <v>-10.042000000994349</v>
      </c>
      <c r="L124" s="440">
        <f>D124-D114</f>
        <v>0.42299999996995519</v>
      </c>
      <c r="M124" s="440">
        <f>F124-F114</f>
        <v>9.2000000003183757E-2</v>
      </c>
      <c r="N124" s="440">
        <f>SUM(K124:M124)</f>
        <v>-9.5270000010212108</v>
      </c>
    </row>
    <row r="125" spans="1:14" x14ac:dyDescent="0.2">
      <c r="A125" s="417" t="s">
        <v>391</v>
      </c>
      <c r="B125" s="440">
        <f>'Ind T6'!V154</f>
        <v>16.250999999899754</v>
      </c>
      <c r="C125" s="436" t="str">
        <f>CONCATENATE("(",ROUND((B125/$H126)*100,1),")")</f>
        <v>(16.2)</v>
      </c>
      <c r="D125" s="440">
        <f>'Ind T6'!W154</f>
        <v>4.9890000001037134</v>
      </c>
      <c r="E125" s="436" t="str">
        <f>CONCATENATE("(",ROUND((D125/$H126)*100,1),")")</f>
        <v>(5)</v>
      </c>
      <c r="F125" s="440">
        <f>'Ind T6'!X154</f>
        <v>2.7600000000388025</v>
      </c>
      <c r="G125" s="436" t="str">
        <f>CONCATENATE("(",ROUND((F125/$H126)*100,1),")")</f>
        <v>(2.8)</v>
      </c>
      <c r="H125" s="440">
        <f t="shared" ref="H125" si="106">SUM(B125,D125,F125)</f>
        <v>24.00000000004227</v>
      </c>
      <c r="I125" s="436" t="str">
        <f>CONCATENATE("(",ROUND((H125/$H126)*100,1),")")</f>
        <v>(23.9)</v>
      </c>
      <c r="K125" s="440">
        <f t="shared" ref="K125:K126" si="107">B125-B115</f>
        <v>0.25699999989241995</v>
      </c>
      <c r="L125" s="440">
        <f t="shared" ref="L125:L126" si="108">D125-D115</f>
        <v>6.5999999957183419E-2</v>
      </c>
      <c r="M125" s="440">
        <f t="shared" ref="M125:M126" si="109">F125-F115</f>
        <v>-0.39500000001778712</v>
      </c>
      <c r="N125" s="440">
        <f t="shared" ref="N125:N126" si="110">SUM(K125:M125)</f>
        <v>-7.2000000168183753E-2</v>
      </c>
    </row>
    <row r="126" spans="1:14" x14ac:dyDescent="0.2">
      <c r="A126" s="408" t="s">
        <v>389</v>
      </c>
      <c r="B126" s="440">
        <f>SUM(B124:B125)</f>
        <v>85.628999998913457</v>
      </c>
      <c r="C126" s="436" t="str">
        <f>CONCATENATE("(",ROUND((B126/$H126)*100,1),")")</f>
        <v>(85.4)</v>
      </c>
      <c r="D126" s="440">
        <f>SUM(D124:D125)</f>
        <v>8.0380000000785063</v>
      </c>
      <c r="E126" s="436" t="str">
        <f>CONCATENATE("(",ROUND((D126/$H126)*100,1),")")</f>
        <v>(8)</v>
      </c>
      <c r="F126" s="440">
        <f>SUM(F124:F125)</f>
        <v>6.5470000000436119</v>
      </c>
      <c r="G126" s="436" t="str">
        <f>CONCATENATE("(",ROUND((F126/$H126)*100,1),")")</f>
        <v>(6.5)</v>
      </c>
      <c r="H126" s="440">
        <f>SUM(H124:H125)</f>
        <v>100.21399999903559</v>
      </c>
      <c r="I126" s="436" t="str">
        <f>CONCATENATE("(",ROUND((H126/$H126)*100,1),")")</f>
        <v>(100)</v>
      </c>
      <c r="K126" s="440">
        <f t="shared" si="107"/>
        <v>-9.7850000011019347</v>
      </c>
      <c r="L126" s="440">
        <f t="shared" si="108"/>
        <v>0.48899999992713905</v>
      </c>
      <c r="M126" s="440">
        <f t="shared" si="109"/>
        <v>-0.30300000001460337</v>
      </c>
      <c r="N126" s="440">
        <f t="shared" si="110"/>
        <v>-9.599000001189399</v>
      </c>
    </row>
    <row r="127" spans="1:14" x14ac:dyDescent="0.2">
      <c r="A127" s="429"/>
      <c r="B127" s="430"/>
      <c r="C127" s="429"/>
      <c r="D127" s="430"/>
      <c r="E127" s="429"/>
      <c r="F127" s="430"/>
      <c r="G127" s="429"/>
      <c r="H127" s="430"/>
      <c r="I127" s="429"/>
      <c r="J127" s="429"/>
      <c r="K127" s="430"/>
      <c r="L127" s="430"/>
      <c r="M127" s="430"/>
      <c r="N127" s="430"/>
    </row>
    <row r="131" spans="1:14" x14ac:dyDescent="0.2">
      <c r="A131" s="419"/>
      <c r="B131" s="420" t="s">
        <v>414</v>
      </c>
      <c r="C131" s="419"/>
      <c r="D131" s="420"/>
      <c r="E131" s="419"/>
      <c r="F131" s="420" t="str">
        <f>name!B9</f>
        <v>Electricity and gas</v>
      </c>
      <c r="G131" s="419"/>
      <c r="H131" s="422"/>
      <c r="I131" s="419"/>
      <c r="J131" s="421"/>
      <c r="K131" s="422"/>
      <c r="L131" s="422"/>
      <c r="M131" s="422"/>
      <c r="N131" s="422"/>
    </row>
    <row r="132" spans="1:14" x14ac:dyDescent="0.2">
      <c r="A132" s="408"/>
      <c r="B132" s="409"/>
      <c r="C132" s="408"/>
      <c r="D132" s="409"/>
      <c r="E132" s="408"/>
      <c r="F132" s="409"/>
      <c r="G132" s="408"/>
      <c r="H132" s="409"/>
      <c r="I132" s="408"/>
      <c r="K132" s="409"/>
      <c r="L132" s="409"/>
      <c r="M132" s="409"/>
      <c r="N132" s="415" t="s">
        <v>412</v>
      </c>
    </row>
    <row r="133" spans="1:14" x14ac:dyDescent="0.2">
      <c r="A133" s="413" t="s">
        <v>413</v>
      </c>
      <c r="B133" s="514" t="s">
        <v>411</v>
      </c>
      <c r="C133" s="514"/>
      <c r="D133" s="514" t="s">
        <v>410</v>
      </c>
      <c r="E133" s="514"/>
      <c r="F133" s="514" t="s">
        <v>409</v>
      </c>
      <c r="G133" s="514"/>
      <c r="H133" s="514" t="s">
        <v>32</v>
      </c>
      <c r="I133" s="514"/>
      <c r="J133" s="413"/>
      <c r="K133" s="434" t="s">
        <v>371</v>
      </c>
      <c r="L133" s="434" t="s">
        <v>373</v>
      </c>
      <c r="M133" s="434" t="s">
        <v>369</v>
      </c>
      <c r="N133" s="434" t="s">
        <v>32</v>
      </c>
    </row>
    <row r="134" spans="1:14" x14ac:dyDescent="0.2">
      <c r="A134" s="423">
        <f>$A$8</f>
        <v>2017</v>
      </c>
      <c r="B134" s="424" t="s">
        <v>60</v>
      </c>
      <c r="C134" s="425" t="s">
        <v>408</v>
      </c>
      <c r="D134" s="424" t="s">
        <v>60</v>
      </c>
      <c r="E134" s="425" t="s">
        <v>408</v>
      </c>
      <c r="F134" s="424" t="s">
        <v>60</v>
      </c>
      <c r="G134" s="425" t="s">
        <v>408</v>
      </c>
      <c r="H134" s="424" t="s">
        <v>60</v>
      </c>
      <c r="I134" s="425" t="s">
        <v>408</v>
      </c>
      <c r="J134" s="413"/>
      <c r="K134" s="426" t="str">
        <f>CONCATENATE(A134," - ",A139)</f>
        <v>2017 - 2022</v>
      </c>
      <c r="L134" s="427"/>
      <c r="M134" s="427"/>
    </row>
    <row r="135" spans="1:14" x14ac:dyDescent="0.2">
      <c r="A135" s="417" t="s">
        <v>390</v>
      </c>
      <c r="B135" s="440">
        <f>'Ind T6'!L165</f>
        <v>4.8829999999757439</v>
      </c>
      <c r="C135" s="436" t="str">
        <f>CONCATENATE("(",ROUND((B135/$H137)*100,1),")")</f>
        <v>(63.3)</v>
      </c>
      <c r="D135" s="440">
        <f>'Ind T6'!M165</f>
        <v>7.7999999999992978E-2</v>
      </c>
      <c r="E135" s="436" t="str">
        <f>CONCATENATE("(",ROUND((D135/$H137)*100,1),")")</f>
        <v>(1)</v>
      </c>
      <c r="F135" s="440">
        <f>'Ind T6'!N165</f>
        <v>0.88599999999658896</v>
      </c>
      <c r="G135" s="436" t="str">
        <f>CONCATENATE("(",ROUND((F135/$H137)*100,1),")")</f>
        <v>(11.5)</v>
      </c>
      <c r="H135" s="440">
        <f>SUM(B135,D135,F135)</f>
        <v>5.8469999999723257</v>
      </c>
      <c r="I135" s="436" t="str">
        <f>CONCATENATE("(",ROUND((H135/$H137)*100,1),")")</f>
        <v>(75.8)</v>
      </c>
      <c r="K135" s="440">
        <f>B140-B135</f>
        <v>8.2000000017649732E-2</v>
      </c>
      <c r="L135" s="440">
        <f>D140-D135</f>
        <v>-1.2000000000184002E-2</v>
      </c>
      <c r="M135" s="440">
        <f>F140-F135</f>
        <v>-8.9999999876455572E-3</v>
      </c>
      <c r="N135" s="440">
        <f>SUM(K135:M135)</f>
        <v>6.1000000029820173E-2</v>
      </c>
    </row>
    <row r="136" spans="1:14" x14ac:dyDescent="0.2">
      <c r="A136" s="417" t="s">
        <v>391</v>
      </c>
      <c r="B136" s="440">
        <f>'Ind T6'!L164</f>
        <v>1.4470000000005501</v>
      </c>
      <c r="C136" s="436" t="str">
        <f>CONCATENATE("(",ROUND((B136/$H137)*100,1),")")</f>
        <v>(18.8)</v>
      </c>
      <c r="D136" s="440">
        <f>'Ind T6'!M164</f>
        <v>0.4230000000102116</v>
      </c>
      <c r="E136" s="436" t="str">
        <f>CONCATENATE("(",ROUND((D136/$H137)*100,1),")")</f>
        <v>(5.5)</v>
      </c>
      <c r="F136" s="440">
        <f>'Ind T6'!N164</f>
        <v>0</v>
      </c>
      <c r="G136" s="436" t="str">
        <f>CONCATENATE("(",ROUND((F136/$H137)*100,1),")")</f>
        <v>(0)</v>
      </c>
      <c r="H136" s="440">
        <f t="shared" ref="H136" si="111">SUM(B136,D136,F136)</f>
        <v>1.8700000000107617</v>
      </c>
      <c r="I136" s="436" t="str">
        <f>CONCATENATE("(",ROUND((H136/$H137)*100,1),")")</f>
        <v>(24.2)</v>
      </c>
      <c r="K136" s="440">
        <f t="shared" ref="K136:K137" si="112">B141-B136</f>
        <v>-0.18900000000161521</v>
      </c>
      <c r="L136" s="440">
        <f t="shared" ref="L136:L137" si="113">D141-D136</f>
        <v>-1.7000000000782278E-2</v>
      </c>
      <c r="M136" s="440">
        <f t="shared" ref="M136:M137" si="114">F141-F136</f>
        <v>0</v>
      </c>
      <c r="N136" s="440">
        <f t="shared" ref="N136:N137" si="115">SUM(K136:M136)</f>
        <v>-0.20600000000239749</v>
      </c>
    </row>
    <row r="137" spans="1:14" x14ac:dyDescent="0.2">
      <c r="A137" s="417" t="s">
        <v>389</v>
      </c>
      <c r="B137" s="440">
        <f>SUM(B135:B136)</f>
        <v>6.3299999999762937</v>
      </c>
      <c r="C137" s="436" t="str">
        <f>CONCATENATE("(",ROUND((B137/$H137)*100,1),")")</f>
        <v>(82)</v>
      </c>
      <c r="D137" s="440">
        <f>SUM(D135:D136)</f>
        <v>0.50100000001020462</v>
      </c>
      <c r="E137" s="436" t="str">
        <f>CONCATENATE("(",ROUND((D137/$H137)*100,1),")")</f>
        <v>(6.5)</v>
      </c>
      <c r="F137" s="440">
        <f>SUM(F135:F136)</f>
        <v>0.88599999999658896</v>
      </c>
      <c r="G137" s="436" t="str">
        <f>CONCATENATE("(",ROUND((F137/$H137)*100,1),")")</f>
        <v>(11.5)</v>
      </c>
      <c r="H137" s="440">
        <f>SUM(H135:H136)</f>
        <v>7.7169999999830878</v>
      </c>
      <c r="I137" s="436" t="str">
        <f>CONCATENATE("(",ROUND((H137/$H137)*100,1),")")</f>
        <v>(100)</v>
      </c>
      <c r="K137" s="440">
        <f t="shared" si="112"/>
        <v>-0.10699999998396503</v>
      </c>
      <c r="L137" s="440">
        <f t="shared" si="113"/>
        <v>-2.9000000000966308E-2</v>
      </c>
      <c r="M137" s="440">
        <f t="shared" si="114"/>
        <v>-8.9999999876455572E-3</v>
      </c>
      <c r="N137" s="440">
        <f t="shared" si="115"/>
        <v>-0.1449999999725769</v>
      </c>
    </row>
    <row r="138" spans="1:14" x14ac:dyDescent="0.2">
      <c r="B138" s="440"/>
      <c r="C138" s="428"/>
      <c r="D138" s="440"/>
      <c r="E138" s="428"/>
      <c r="F138" s="440"/>
      <c r="G138" s="428"/>
      <c r="H138" s="440"/>
      <c r="I138" s="428"/>
    </row>
    <row r="139" spans="1:14" x14ac:dyDescent="0.2">
      <c r="A139" s="423">
        <f>$A$13</f>
        <v>2022</v>
      </c>
      <c r="B139" s="440"/>
      <c r="C139" s="428"/>
      <c r="D139" s="440"/>
      <c r="E139" s="428"/>
      <c r="F139" s="440"/>
      <c r="G139" s="428"/>
      <c r="H139" s="440"/>
      <c r="I139" s="428"/>
      <c r="K139" s="426" t="str">
        <f>CONCATENATE(A139," - ",A144)</f>
        <v>2022 - 2027</v>
      </c>
    </row>
    <row r="140" spans="1:14" x14ac:dyDescent="0.2">
      <c r="A140" s="417" t="s">
        <v>390</v>
      </c>
      <c r="B140" s="440">
        <f>'Ind T6'!Q165</f>
        <v>4.9649999999933936</v>
      </c>
      <c r="C140" s="436" t="str">
        <f>CONCATENATE("(",ROUND((B140/$H142)*100,1),")")</f>
        <v>(65.6)</v>
      </c>
      <c r="D140" s="440">
        <f>'Ind T6'!R165</f>
        <v>6.5999999999808975E-2</v>
      </c>
      <c r="E140" s="436" t="str">
        <f>CONCATENATE("(",ROUND((D140/$H142)*100,1),")")</f>
        <v>(0.9)</v>
      </c>
      <c r="F140" s="440">
        <f>'Ind T6'!S165</f>
        <v>0.8770000000089434</v>
      </c>
      <c r="G140" s="436" t="str">
        <f>CONCATENATE("(",ROUND((F140/$H142)*100,1),")")</f>
        <v>(11.6)</v>
      </c>
      <c r="H140" s="440">
        <f>SUM(B140,D140,F140)</f>
        <v>5.9080000000021462</v>
      </c>
      <c r="I140" s="436" t="str">
        <f>CONCATENATE("(",ROUND((H140/$H142)*100,1),")")</f>
        <v>(78)</v>
      </c>
      <c r="K140" s="440">
        <f>B145-B140</f>
        <v>0.15300000000565106</v>
      </c>
      <c r="L140" s="440">
        <f>D145-D140</f>
        <v>-1.2000000000044267E-2</v>
      </c>
      <c r="M140" s="440">
        <f>F145-F140</f>
        <v>2.4000000000654609E-2</v>
      </c>
      <c r="N140" s="440">
        <f>SUM(K140:M140)</f>
        <v>0.16500000000626142</v>
      </c>
    </row>
    <row r="141" spans="1:14" x14ac:dyDescent="0.2">
      <c r="A141" s="417" t="s">
        <v>391</v>
      </c>
      <c r="B141" s="440">
        <f>'Ind T6'!Q164</f>
        <v>1.2579999999989349</v>
      </c>
      <c r="C141" s="436" t="str">
        <f>CONCATENATE("(",ROUND((B141/$H142)*100,1),")")</f>
        <v>(16.6)</v>
      </c>
      <c r="D141" s="440">
        <f>'Ind T6'!R164</f>
        <v>0.40600000000942932</v>
      </c>
      <c r="E141" s="436" t="str">
        <f>CONCATENATE("(",ROUND((D141/$H142)*100,1),")")</f>
        <v>(5.4)</v>
      </c>
      <c r="F141" s="440">
        <f>'Ind T6'!S164</f>
        <v>0</v>
      </c>
      <c r="G141" s="436" t="str">
        <f>CONCATENATE("(",ROUND((F141/$H142)*100,1),")")</f>
        <v>(0)</v>
      </c>
      <c r="H141" s="440">
        <f t="shared" ref="H141" si="116">SUM(B141,D141,F141)</f>
        <v>1.6640000000083641</v>
      </c>
      <c r="I141" s="436" t="str">
        <f>CONCATENATE("(",ROUND((H141/$H142)*100,1),")")</f>
        <v>(22)</v>
      </c>
      <c r="K141" s="440">
        <f t="shared" ref="K141:K142" si="117">B146-B141</f>
        <v>-0.18299999999894201</v>
      </c>
      <c r="L141" s="440">
        <f t="shared" ref="L141:L142" si="118">D146-D141</f>
        <v>-1.2000000000805977E-2</v>
      </c>
      <c r="M141" s="440">
        <f t="shared" ref="M141:M142" si="119">F146-F141</f>
        <v>0</v>
      </c>
      <c r="N141" s="440">
        <f t="shared" ref="N141:N142" si="120">SUM(K141:M141)</f>
        <v>-0.19499999999974799</v>
      </c>
    </row>
    <row r="142" spans="1:14" x14ac:dyDescent="0.2">
      <c r="A142" s="417" t="s">
        <v>389</v>
      </c>
      <c r="B142" s="440">
        <f>SUM(B140:B141)</f>
        <v>6.2229999999923287</v>
      </c>
      <c r="C142" s="436" t="str">
        <f>CONCATENATE("(",ROUND((B142/$H142)*100,1),")")</f>
        <v>(82.2)</v>
      </c>
      <c r="D142" s="440">
        <f>SUM(D140:D141)</f>
        <v>0.47200000000923831</v>
      </c>
      <c r="E142" s="436" t="str">
        <f>CONCATENATE("(",ROUND((D142/$H142)*100,1),")")</f>
        <v>(6.2)</v>
      </c>
      <c r="F142" s="440">
        <f>SUM(F140:F141)</f>
        <v>0.8770000000089434</v>
      </c>
      <c r="G142" s="436" t="str">
        <f>CONCATENATE("(",ROUND((F142/$H142)*100,1),")")</f>
        <v>(11.6)</v>
      </c>
      <c r="H142" s="440">
        <f>SUM(H140:H141)</f>
        <v>7.5720000000105099</v>
      </c>
      <c r="I142" s="436" t="str">
        <f>CONCATENATE("(",ROUND((H142/$H142)*100,1),")")</f>
        <v>(100)</v>
      </c>
      <c r="K142" s="440">
        <f t="shared" si="117"/>
        <v>-2.9999999993290949E-2</v>
      </c>
      <c r="L142" s="440">
        <f t="shared" si="118"/>
        <v>-2.4000000000850286E-2</v>
      </c>
      <c r="M142" s="440">
        <f t="shared" si="119"/>
        <v>2.4000000000654609E-2</v>
      </c>
      <c r="N142" s="440">
        <f t="shared" si="120"/>
        <v>-2.9999999993486626E-2</v>
      </c>
    </row>
    <row r="143" spans="1:14" x14ac:dyDescent="0.2">
      <c r="B143" s="440"/>
      <c r="C143" s="428"/>
      <c r="D143" s="440"/>
      <c r="E143" s="428"/>
      <c r="F143" s="440"/>
      <c r="G143" s="428"/>
      <c r="H143" s="440"/>
      <c r="I143" s="428"/>
    </row>
    <row r="144" spans="1:14" x14ac:dyDescent="0.2">
      <c r="A144" s="423">
        <f>$A$18</f>
        <v>2027</v>
      </c>
      <c r="B144" s="440"/>
      <c r="C144" s="428"/>
      <c r="D144" s="440"/>
      <c r="E144" s="428"/>
      <c r="F144" s="440"/>
      <c r="G144" s="428"/>
      <c r="H144" s="440"/>
      <c r="I144" s="428"/>
      <c r="K144" s="426" t="str">
        <f>CONCATENATE(A134," - ",A144)</f>
        <v>2017 - 2027</v>
      </c>
    </row>
    <row r="145" spans="1:14" x14ac:dyDescent="0.2">
      <c r="A145" s="417" t="s">
        <v>390</v>
      </c>
      <c r="B145" s="440">
        <f>'Ind T6'!V165</f>
        <v>5.1179999999990446</v>
      </c>
      <c r="C145" s="436" t="str">
        <f>CONCATENATE("(",ROUND((B145/$H147)*100,1),")")</f>
        <v>(67.9)</v>
      </c>
      <c r="D145" s="440">
        <f>'Ind T6'!W165</f>
        <v>5.3999999999764708E-2</v>
      </c>
      <c r="E145" s="436" t="str">
        <f>CONCATENATE("(",ROUND((D145/$H147)*100,1),")")</f>
        <v>(0.7)</v>
      </c>
      <c r="F145" s="440">
        <f>'Ind T6'!X165</f>
        <v>0.90100000000959801</v>
      </c>
      <c r="G145" s="436" t="str">
        <f>CONCATENATE("(",ROUND((F145/$H147)*100,1),")")</f>
        <v>(11.9)</v>
      </c>
      <c r="H145" s="440">
        <f>SUM(B145,D145,F145)</f>
        <v>6.0730000000084079</v>
      </c>
      <c r="I145" s="436" t="str">
        <f>CONCATENATE("(",ROUND((H145/$H147)*100,1),")")</f>
        <v>(80.5)</v>
      </c>
      <c r="K145" s="440">
        <f>B145-B135</f>
        <v>0.23500000002330079</v>
      </c>
      <c r="L145" s="440">
        <f>D145-D135</f>
        <v>-2.4000000000228269E-2</v>
      </c>
      <c r="M145" s="440">
        <f>F145-F135</f>
        <v>1.5000000013009052E-2</v>
      </c>
      <c r="N145" s="440">
        <f>SUM(K145:M145)</f>
        <v>0.22600000003608156</v>
      </c>
    </row>
    <row r="146" spans="1:14" x14ac:dyDescent="0.2">
      <c r="A146" s="417" t="s">
        <v>391</v>
      </c>
      <c r="B146" s="440">
        <f>'Ind T6'!V164</f>
        <v>1.0749999999999929</v>
      </c>
      <c r="C146" s="436" t="str">
        <f>CONCATENATE("(",ROUND((B146/$H147)*100,1),")")</f>
        <v>(14.3)</v>
      </c>
      <c r="D146" s="440">
        <f>'Ind T6'!W164</f>
        <v>0.39400000000862334</v>
      </c>
      <c r="E146" s="436" t="str">
        <f>CONCATENATE("(",ROUND((D146/$H147)*100,1),")")</f>
        <v>(5.2)</v>
      </c>
      <c r="F146" s="440">
        <f>'Ind T6'!X164</f>
        <v>0</v>
      </c>
      <c r="G146" s="436" t="str">
        <f>CONCATENATE("(",ROUND((F146/$H147)*100,1),")")</f>
        <v>(0)</v>
      </c>
      <c r="H146" s="440">
        <f t="shared" ref="H146" si="121">SUM(B146,D146,F146)</f>
        <v>1.4690000000086161</v>
      </c>
      <c r="I146" s="436" t="str">
        <f>CONCATENATE("(",ROUND((H146/$H147)*100,1),")")</f>
        <v>(19.5)</v>
      </c>
      <c r="K146" s="440">
        <f t="shared" ref="K146:K147" si="122">B146-B136</f>
        <v>-0.37200000000055722</v>
      </c>
      <c r="L146" s="440">
        <f t="shared" ref="L146:L147" si="123">D146-D136</f>
        <v>-2.9000000001588255E-2</v>
      </c>
      <c r="M146" s="440">
        <f t="shared" ref="M146:M147" si="124">F146-F136</f>
        <v>0</v>
      </c>
      <c r="N146" s="440">
        <f t="shared" ref="N146:N147" si="125">SUM(K146:M146)</f>
        <v>-0.40100000000214547</v>
      </c>
    </row>
    <row r="147" spans="1:14" x14ac:dyDescent="0.2">
      <c r="A147" s="408" t="s">
        <v>389</v>
      </c>
      <c r="B147" s="440">
        <f>SUM(B145:B146)</f>
        <v>6.1929999999990377</v>
      </c>
      <c r="C147" s="436" t="str">
        <f>CONCATENATE("(",ROUND((B147/$H147)*100,1),")")</f>
        <v>(82.1)</v>
      </c>
      <c r="D147" s="440">
        <f>SUM(D145:D146)</f>
        <v>0.44800000000838802</v>
      </c>
      <c r="E147" s="436" t="str">
        <f>CONCATENATE("(",ROUND((D147/$H147)*100,1),")")</f>
        <v>(5.9)</v>
      </c>
      <c r="F147" s="440">
        <f>SUM(F145:F146)</f>
        <v>0.90100000000959801</v>
      </c>
      <c r="G147" s="436" t="str">
        <f>CONCATENATE("(",ROUND((F147/$H147)*100,1),")")</f>
        <v>(11.9)</v>
      </c>
      <c r="H147" s="440">
        <f>SUM(H145:H146)</f>
        <v>7.5420000000170244</v>
      </c>
      <c r="I147" s="436" t="str">
        <f>CONCATENATE("(",ROUND((H147/$H147)*100,1),")")</f>
        <v>(100)</v>
      </c>
      <c r="K147" s="440">
        <f t="shared" si="122"/>
        <v>-0.13699999997725598</v>
      </c>
      <c r="L147" s="440">
        <f t="shared" si="123"/>
        <v>-5.3000000001816594E-2</v>
      </c>
      <c r="M147" s="440">
        <f t="shared" si="124"/>
        <v>1.5000000013009052E-2</v>
      </c>
      <c r="N147" s="440">
        <f t="shared" si="125"/>
        <v>-0.17499999996606352</v>
      </c>
    </row>
    <row r="148" spans="1:14" x14ac:dyDescent="0.2">
      <c r="A148" s="429"/>
      <c r="B148" s="430"/>
      <c r="C148" s="429"/>
      <c r="D148" s="430"/>
      <c r="E148" s="429"/>
      <c r="F148" s="430"/>
      <c r="G148" s="429"/>
      <c r="H148" s="430"/>
      <c r="I148" s="429"/>
      <c r="J148" s="429"/>
      <c r="K148" s="430"/>
      <c r="L148" s="430"/>
      <c r="M148" s="430"/>
      <c r="N148" s="430"/>
    </row>
    <row r="151" spans="1:14" x14ac:dyDescent="0.2">
      <c r="C151" s="267"/>
      <c r="E151" s="267"/>
      <c r="G151" s="267"/>
      <c r="I151" s="267"/>
    </row>
    <row r="152" spans="1:14" x14ac:dyDescent="0.2">
      <c r="A152" s="419"/>
      <c r="B152" s="420" t="s">
        <v>414</v>
      </c>
      <c r="C152" s="419"/>
      <c r="D152" s="420"/>
      <c r="E152" s="419"/>
      <c r="F152" s="420" t="str">
        <f>name!B10</f>
        <v>Water and sewerage</v>
      </c>
      <c r="G152" s="419"/>
      <c r="H152" s="422"/>
      <c r="I152" s="419"/>
      <c r="J152" s="421"/>
      <c r="K152" s="422"/>
      <c r="L152" s="422"/>
      <c r="M152" s="422"/>
      <c r="N152" s="422"/>
    </row>
    <row r="153" spans="1:14" x14ac:dyDescent="0.2">
      <c r="A153" s="408"/>
      <c r="B153" s="409"/>
      <c r="C153" s="408"/>
      <c r="D153" s="409"/>
      <c r="E153" s="408"/>
      <c r="F153" s="409"/>
      <c r="G153" s="408"/>
      <c r="H153" s="409"/>
      <c r="I153" s="408"/>
      <c r="K153" s="409"/>
      <c r="L153" s="409"/>
      <c r="M153" s="409"/>
      <c r="N153" s="415" t="s">
        <v>412</v>
      </c>
    </row>
    <row r="154" spans="1:14" x14ac:dyDescent="0.2">
      <c r="A154" s="413" t="s">
        <v>413</v>
      </c>
      <c r="B154" s="514" t="s">
        <v>411</v>
      </c>
      <c r="C154" s="514"/>
      <c r="D154" s="514" t="s">
        <v>410</v>
      </c>
      <c r="E154" s="514"/>
      <c r="F154" s="514" t="s">
        <v>409</v>
      </c>
      <c r="G154" s="514"/>
      <c r="H154" s="514" t="s">
        <v>32</v>
      </c>
      <c r="I154" s="514"/>
      <c r="J154" s="413"/>
      <c r="K154" s="434" t="s">
        <v>371</v>
      </c>
      <c r="L154" s="434" t="s">
        <v>373</v>
      </c>
      <c r="M154" s="434" t="s">
        <v>369</v>
      </c>
      <c r="N154" s="434" t="s">
        <v>32</v>
      </c>
    </row>
    <row r="155" spans="1:14" x14ac:dyDescent="0.2">
      <c r="A155" s="423">
        <f>$A$8</f>
        <v>2017</v>
      </c>
      <c r="B155" s="424" t="s">
        <v>60</v>
      </c>
      <c r="C155" s="425" t="s">
        <v>408</v>
      </c>
      <c r="D155" s="424" t="s">
        <v>60</v>
      </c>
      <c r="E155" s="425" t="s">
        <v>408</v>
      </c>
      <c r="F155" s="424" t="s">
        <v>60</v>
      </c>
      <c r="G155" s="425" t="s">
        <v>408</v>
      </c>
      <c r="H155" s="424" t="s">
        <v>60</v>
      </c>
      <c r="I155" s="425" t="s">
        <v>408</v>
      </c>
      <c r="J155" s="413"/>
      <c r="K155" s="426" t="str">
        <f>CONCATENATE(A155," - ",A160)</f>
        <v>2017 - 2022</v>
      </c>
      <c r="L155" s="427"/>
      <c r="M155" s="427"/>
    </row>
    <row r="156" spans="1:14" x14ac:dyDescent="0.2">
      <c r="A156" s="417" t="s">
        <v>390</v>
      </c>
      <c r="B156" s="440">
        <f>'Ind T6'!L190</f>
        <v>6.7630000000030011</v>
      </c>
      <c r="C156" s="436" t="str">
        <f>CONCATENATE("(",ROUND((B156/$H158)*100,1),")")</f>
        <v>(59.8)</v>
      </c>
      <c r="D156" s="440">
        <f>'Ind T6'!M190</f>
        <v>1.0090000000026953</v>
      </c>
      <c r="E156" s="436" t="str">
        <f>CONCATENATE("(",ROUND((D156/$H158)*100,1),")")</f>
        <v>(8.9)</v>
      </c>
      <c r="F156" s="440">
        <f>'Ind T6'!N190</f>
        <v>0</v>
      </c>
      <c r="G156" s="436" t="str">
        <f>CONCATENATE("(",ROUND((F156/$H158)*100,1),")")</f>
        <v>(0)</v>
      </c>
      <c r="H156" s="440">
        <f>SUM(B156,D156,F156)</f>
        <v>7.7720000000056961</v>
      </c>
      <c r="I156" s="436" t="str">
        <f>CONCATENATE("(",ROUND((H156/$H158)*100,1),")")</f>
        <v>(68.7)</v>
      </c>
      <c r="K156" s="440">
        <f>B161-B156</f>
        <v>0.33199999992707685</v>
      </c>
      <c r="L156" s="440">
        <f>D161-D156</f>
        <v>0.29299999998327508</v>
      </c>
      <c r="M156" s="440">
        <f>F161-F156</f>
        <v>0</v>
      </c>
      <c r="N156" s="440">
        <f>SUM(K156:M156)</f>
        <v>0.62499999991035193</v>
      </c>
    </row>
    <row r="157" spans="1:14" x14ac:dyDescent="0.2">
      <c r="A157" s="417" t="s">
        <v>391</v>
      </c>
      <c r="B157" s="440">
        <f>'Ind T6'!L189</f>
        <v>2.073999999984069</v>
      </c>
      <c r="C157" s="436" t="str">
        <f>CONCATENATE("(",ROUND((B157/$H158)*100,1),")")</f>
        <v>(18.3)</v>
      </c>
      <c r="D157" s="440">
        <f>'Ind T6'!M189</f>
        <v>1.4609999998870946</v>
      </c>
      <c r="E157" s="436" t="str">
        <f>CONCATENATE("(",ROUND((D157/$H158)*100,1),")")</f>
        <v>(12.9)</v>
      </c>
      <c r="F157" s="440">
        <f>'Ind T6'!N189</f>
        <v>0</v>
      </c>
      <c r="G157" s="436" t="str">
        <f>CONCATENATE("(",ROUND((F157/$H158)*100,1),")")</f>
        <v>(0)</v>
      </c>
      <c r="H157" s="440">
        <f t="shared" ref="H157" si="126">SUM(B157,D157,F157)</f>
        <v>3.5349999998711636</v>
      </c>
      <c r="I157" s="436" t="str">
        <f>CONCATENATE("(",ROUND((H157/$H158)*100,1),")")</f>
        <v>(31.3)</v>
      </c>
      <c r="K157" s="440">
        <f t="shared" ref="K157:K158" si="127">B162-B157</f>
        <v>0.14699999999317725</v>
      </c>
      <c r="L157" s="440">
        <f t="shared" ref="L157:L158" si="128">D162-D157</f>
        <v>0.11800000001076372</v>
      </c>
      <c r="M157" s="440">
        <f t="shared" ref="M157:M158" si="129">F162-F157</f>
        <v>0</v>
      </c>
      <c r="N157" s="440">
        <f t="shared" ref="N157:N158" si="130">SUM(K157:M157)</f>
        <v>0.26500000000394097</v>
      </c>
    </row>
    <row r="158" spans="1:14" x14ac:dyDescent="0.2">
      <c r="A158" s="417" t="s">
        <v>389</v>
      </c>
      <c r="B158" s="440">
        <f>SUM(B156:B157)</f>
        <v>8.8369999999870696</v>
      </c>
      <c r="C158" s="436" t="str">
        <f>CONCATENATE("(",ROUND((B158/$H158)*100,1),")")</f>
        <v>(78.2)</v>
      </c>
      <c r="D158" s="440">
        <f>SUM(D156:D157)</f>
        <v>2.4699999998897901</v>
      </c>
      <c r="E158" s="436" t="str">
        <f>CONCATENATE("(",ROUND((D158/$H158)*100,1),")")</f>
        <v>(21.8)</v>
      </c>
      <c r="F158" s="440">
        <f>SUM(F156:F157)</f>
        <v>0</v>
      </c>
      <c r="G158" s="436" t="str">
        <f>CONCATENATE("(",ROUND((F158/$H158)*100,1),")")</f>
        <v>(0)</v>
      </c>
      <c r="H158" s="440">
        <f>SUM(H156:H157)</f>
        <v>11.30699999987686</v>
      </c>
      <c r="I158" s="436" t="str">
        <f>CONCATENATE("(",ROUND((H158/$H158)*100,1),")")</f>
        <v>(100)</v>
      </c>
      <c r="K158" s="440">
        <f t="shared" si="127"/>
        <v>0.47899999992025499</v>
      </c>
      <c r="L158" s="440">
        <f t="shared" si="128"/>
        <v>0.41099999999403858</v>
      </c>
      <c r="M158" s="440">
        <f t="shared" si="129"/>
        <v>0</v>
      </c>
      <c r="N158" s="440">
        <f t="shared" si="130"/>
        <v>0.88999999991429357</v>
      </c>
    </row>
    <row r="159" spans="1:14" x14ac:dyDescent="0.2">
      <c r="B159" s="440"/>
      <c r="C159" s="428"/>
      <c r="D159" s="440"/>
      <c r="E159" s="428"/>
      <c r="F159" s="440"/>
      <c r="G159" s="428"/>
      <c r="H159" s="440"/>
      <c r="I159" s="428"/>
    </row>
    <row r="160" spans="1:14" x14ac:dyDescent="0.2">
      <c r="A160" s="423">
        <f>$A$13</f>
        <v>2022</v>
      </c>
      <c r="B160" s="440"/>
      <c r="C160" s="428"/>
      <c r="D160" s="440"/>
      <c r="E160" s="428"/>
      <c r="F160" s="440"/>
      <c r="G160" s="428"/>
      <c r="H160" s="440"/>
      <c r="I160" s="428"/>
      <c r="K160" s="426" t="str">
        <f>CONCATENATE(A160," - ",A165)</f>
        <v>2022 - 2027</v>
      </c>
    </row>
    <row r="161" spans="1:14" x14ac:dyDescent="0.2">
      <c r="A161" s="417" t="s">
        <v>390</v>
      </c>
      <c r="B161" s="440">
        <f>'Ind T6'!Q190</f>
        <v>7.0949999999300779</v>
      </c>
      <c r="C161" s="436" t="str">
        <f>CONCATENATE("(",ROUND((B161/$H163)*100,1),")")</f>
        <v>(58.2)</v>
      </c>
      <c r="D161" s="440">
        <f>'Ind T6'!R190</f>
        <v>1.3019999999859704</v>
      </c>
      <c r="E161" s="436" t="str">
        <f>CONCATENATE("(",ROUND((D161/$H163)*100,1),")")</f>
        <v>(10.7)</v>
      </c>
      <c r="F161" s="440">
        <f>'Ind T6'!S190</f>
        <v>0</v>
      </c>
      <c r="G161" s="436" t="str">
        <f>CONCATENATE("(",ROUND((F161/$H163)*100,1),")")</f>
        <v>(0)</v>
      </c>
      <c r="H161" s="440">
        <f>SUM(B161,D161,F161)</f>
        <v>8.3969999999160478</v>
      </c>
      <c r="I161" s="436" t="str">
        <f>CONCATENATE("(",ROUND((H161/$H163)*100,1),")")</f>
        <v>(68.8)</v>
      </c>
      <c r="K161" s="440">
        <f>B166-B161</f>
        <v>0.25499999998846601</v>
      </c>
      <c r="L161" s="440">
        <f>D166-D161</f>
        <v>0.29399999998796256</v>
      </c>
      <c r="M161" s="440">
        <f>F166-F161</f>
        <v>0</v>
      </c>
      <c r="N161" s="440">
        <f>SUM(K161:M161)</f>
        <v>0.54899999997642857</v>
      </c>
    </row>
    <row r="162" spans="1:14" x14ac:dyDescent="0.2">
      <c r="A162" s="417" t="s">
        <v>391</v>
      </c>
      <c r="B162" s="440">
        <f>'Ind T6'!Q189</f>
        <v>2.2209999999772463</v>
      </c>
      <c r="C162" s="436" t="str">
        <f>CONCATENATE("(",ROUND((B162/$H163)*100,1),")")</f>
        <v>(18.2)</v>
      </c>
      <c r="D162" s="440">
        <f>'Ind T6'!R189</f>
        <v>1.5789999998978583</v>
      </c>
      <c r="E162" s="436" t="str">
        <f>CONCATENATE("(",ROUND((D162/$H163)*100,1),")")</f>
        <v>(12.9)</v>
      </c>
      <c r="F162" s="440">
        <f>'Ind T6'!S189</f>
        <v>0</v>
      </c>
      <c r="G162" s="436" t="str">
        <f>CONCATENATE("(",ROUND((F162/$H163)*100,1),")")</f>
        <v>(0)</v>
      </c>
      <c r="H162" s="440">
        <f t="shared" ref="H162" si="131">SUM(B162,D162,F162)</f>
        <v>3.7999999998751046</v>
      </c>
      <c r="I162" s="436" t="str">
        <f>CONCATENATE("(",ROUND((H162/$H163)*100,1),")")</f>
        <v>(31.2)</v>
      </c>
      <c r="K162" s="440">
        <f t="shared" ref="K162:K163" si="132">B167-B162</f>
        <v>0.1270000000028042</v>
      </c>
      <c r="L162" s="440">
        <f t="shared" ref="L162:L163" si="133">D167-D162</f>
        <v>0.10499999999885823</v>
      </c>
      <c r="M162" s="440">
        <f t="shared" ref="M162:M163" si="134">F167-F162</f>
        <v>0</v>
      </c>
      <c r="N162" s="440">
        <f t="shared" ref="N162:N163" si="135">SUM(K162:M162)</f>
        <v>0.23200000000166243</v>
      </c>
    </row>
    <row r="163" spans="1:14" x14ac:dyDescent="0.2">
      <c r="A163" s="417" t="s">
        <v>389</v>
      </c>
      <c r="B163" s="440">
        <f>SUM(B161:B162)</f>
        <v>9.3159999999073246</v>
      </c>
      <c r="C163" s="436" t="str">
        <f>CONCATENATE("(",ROUND((B163/$H163)*100,1),")")</f>
        <v>(76.4)</v>
      </c>
      <c r="D163" s="440">
        <f>SUM(D161:D162)</f>
        <v>2.8809999998838287</v>
      </c>
      <c r="E163" s="436" t="str">
        <f>CONCATENATE("(",ROUND((D163/$H163)*100,1),")")</f>
        <v>(23.6)</v>
      </c>
      <c r="F163" s="440">
        <f>SUM(F161:F162)</f>
        <v>0</v>
      </c>
      <c r="G163" s="436" t="str">
        <f>CONCATENATE("(",ROUND((F163/$H163)*100,1),")")</f>
        <v>(0)</v>
      </c>
      <c r="H163" s="440">
        <f>SUM(H161:H162)</f>
        <v>12.196999999791153</v>
      </c>
      <c r="I163" s="436" t="str">
        <f>CONCATENATE("(",ROUND((H163/$H163)*100,1),")")</f>
        <v>(100)</v>
      </c>
      <c r="K163" s="440">
        <f t="shared" si="132"/>
        <v>0.38199999999127066</v>
      </c>
      <c r="L163" s="440">
        <f t="shared" si="133"/>
        <v>0.39899999998682079</v>
      </c>
      <c r="M163" s="440">
        <f t="shared" si="134"/>
        <v>0</v>
      </c>
      <c r="N163" s="440">
        <f t="shared" si="135"/>
        <v>0.78099999997809144</v>
      </c>
    </row>
    <row r="164" spans="1:14" x14ac:dyDescent="0.2">
      <c r="B164" s="440"/>
      <c r="C164" s="428"/>
      <c r="D164" s="440"/>
      <c r="E164" s="428"/>
      <c r="F164" s="440"/>
      <c r="G164" s="428"/>
      <c r="H164" s="440"/>
      <c r="I164" s="428"/>
    </row>
    <row r="165" spans="1:14" x14ac:dyDescent="0.2">
      <c r="A165" s="423">
        <f>$A$18</f>
        <v>2027</v>
      </c>
      <c r="B165" s="440"/>
      <c r="C165" s="428"/>
      <c r="D165" s="440"/>
      <c r="E165" s="428"/>
      <c r="F165" s="440"/>
      <c r="G165" s="428"/>
      <c r="H165" s="440"/>
      <c r="I165" s="428"/>
      <c r="K165" s="426" t="str">
        <f>CONCATENATE(A155," - ",A165)</f>
        <v>2017 - 2027</v>
      </c>
    </row>
    <row r="166" spans="1:14" x14ac:dyDescent="0.2">
      <c r="A166" s="417" t="s">
        <v>390</v>
      </c>
      <c r="B166" s="440">
        <f>'Ind T6'!V190</f>
        <v>7.3499999999185439</v>
      </c>
      <c r="C166" s="436" t="str">
        <f>CONCATENATE("(",ROUND((B166/$H168)*100,1),")")</f>
        <v>(56.6)</v>
      </c>
      <c r="D166" s="440">
        <f>'Ind T6'!W190</f>
        <v>1.5959999999739329</v>
      </c>
      <c r="E166" s="436" t="str">
        <f>CONCATENATE("(",ROUND((D166/$H168)*100,1),")")</f>
        <v>(12.3)</v>
      </c>
      <c r="F166" s="440">
        <f>'Ind T6'!X190</f>
        <v>0</v>
      </c>
      <c r="G166" s="436" t="str">
        <f>CONCATENATE("(",ROUND((F166/$H168)*100,1),")")</f>
        <v>(0)</v>
      </c>
      <c r="H166" s="440">
        <f>SUM(B166,D166,F166)</f>
        <v>8.9459999998924769</v>
      </c>
      <c r="I166" s="436" t="str">
        <f>CONCATENATE("(",ROUND((H166/$H168)*100,1),")")</f>
        <v>(68.9)</v>
      </c>
      <c r="K166" s="440">
        <f>B166-B156</f>
        <v>0.58699999991554286</v>
      </c>
      <c r="L166" s="440">
        <f>D166-D156</f>
        <v>0.58699999997123764</v>
      </c>
      <c r="M166" s="440">
        <f>F166-F156</f>
        <v>0</v>
      </c>
      <c r="N166" s="440">
        <f>SUM(K166:M166)</f>
        <v>1.1739999998867805</v>
      </c>
    </row>
    <row r="167" spans="1:14" x14ac:dyDescent="0.2">
      <c r="A167" s="417" t="s">
        <v>391</v>
      </c>
      <c r="B167" s="440">
        <f>'Ind T6'!V189</f>
        <v>2.3479999999800505</v>
      </c>
      <c r="C167" s="436" t="str">
        <f>CONCATENATE("(",ROUND((B167/$H168)*100,1),")")</f>
        <v>(18.1)</v>
      </c>
      <c r="D167" s="440">
        <f>'Ind T6'!W189</f>
        <v>1.6839999998967166</v>
      </c>
      <c r="E167" s="436" t="str">
        <f>CONCATENATE("(",ROUND((D167/$H168)*100,1),")")</f>
        <v>(13)</v>
      </c>
      <c r="F167" s="440">
        <f>'Ind T6'!X189</f>
        <v>0</v>
      </c>
      <c r="G167" s="436" t="str">
        <f>CONCATENATE("(",ROUND((F167/$H168)*100,1),")")</f>
        <v>(0)</v>
      </c>
      <c r="H167" s="440">
        <f t="shared" ref="H167" si="136">SUM(B167,D167,F167)</f>
        <v>4.031999999876767</v>
      </c>
      <c r="I167" s="436" t="str">
        <f>CONCATENATE("(",ROUND((H167/$H168)*100,1),")")</f>
        <v>(31.1)</v>
      </c>
      <c r="K167" s="440">
        <f t="shared" ref="K167:K168" si="137">B167-B157</f>
        <v>0.27399999999598146</v>
      </c>
      <c r="L167" s="440">
        <f t="shared" ref="L167:L168" si="138">D167-D157</f>
        <v>0.22300000000962195</v>
      </c>
      <c r="M167" s="440">
        <f t="shared" ref="M167:M168" si="139">F167-F157</f>
        <v>0</v>
      </c>
      <c r="N167" s="440">
        <f t="shared" ref="N167:N168" si="140">SUM(K167:M167)</f>
        <v>0.4970000000056034</v>
      </c>
    </row>
    <row r="168" spans="1:14" x14ac:dyDescent="0.2">
      <c r="A168" s="408" t="s">
        <v>389</v>
      </c>
      <c r="B168" s="440">
        <f>SUM(B166:B167)</f>
        <v>9.6979999998985953</v>
      </c>
      <c r="C168" s="436" t="str">
        <f>CONCATENATE("(",ROUND((B168/$H168)*100,1),")")</f>
        <v>(74.7)</v>
      </c>
      <c r="D168" s="440">
        <f>SUM(D166:D167)</f>
        <v>3.2799999998706495</v>
      </c>
      <c r="E168" s="436" t="str">
        <f>CONCATENATE("(",ROUND((D168/$H168)*100,1),")")</f>
        <v>(25.3)</v>
      </c>
      <c r="F168" s="440">
        <f>SUM(F166:F167)</f>
        <v>0</v>
      </c>
      <c r="G168" s="436" t="str">
        <f>CONCATENATE("(",ROUND((F168/$H168)*100,1),")")</f>
        <v>(0)</v>
      </c>
      <c r="H168" s="440">
        <f>SUM(H166:H167)</f>
        <v>12.977999999769244</v>
      </c>
      <c r="I168" s="436" t="str">
        <f>CONCATENATE("(",ROUND((H168/$H168)*100,1),")")</f>
        <v>(100)</v>
      </c>
      <c r="K168" s="440">
        <f t="shared" si="137"/>
        <v>0.86099999991152565</v>
      </c>
      <c r="L168" s="440">
        <f t="shared" si="138"/>
        <v>0.80999999998085936</v>
      </c>
      <c r="M168" s="440">
        <f t="shared" si="139"/>
        <v>0</v>
      </c>
      <c r="N168" s="440">
        <f t="shared" si="140"/>
        <v>1.670999999892385</v>
      </c>
    </row>
    <row r="169" spans="1:14" x14ac:dyDescent="0.2">
      <c r="A169" s="429"/>
      <c r="B169" s="430"/>
      <c r="C169" s="429"/>
      <c r="D169" s="430"/>
      <c r="E169" s="429"/>
      <c r="F169" s="430"/>
      <c r="G169" s="429"/>
      <c r="H169" s="430"/>
      <c r="I169" s="429"/>
      <c r="J169" s="429"/>
      <c r="K169" s="430"/>
      <c r="L169" s="430"/>
      <c r="M169" s="430"/>
      <c r="N169" s="430"/>
    </row>
    <row r="173" spans="1:14" x14ac:dyDescent="0.2">
      <c r="A173" s="419"/>
      <c r="B173" s="420" t="s">
        <v>414</v>
      </c>
      <c r="C173" s="419"/>
      <c r="D173" s="420"/>
      <c r="E173" s="419"/>
      <c r="F173" s="420" t="str">
        <f>name!B11</f>
        <v>Construction</v>
      </c>
      <c r="G173" s="419"/>
      <c r="H173" s="422"/>
      <c r="I173" s="419"/>
      <c r="J173" s="421"/>
      <c r="K173" s="422"/>
      <c r="L173" s="422"/>
      <c r="M173" s="422"/>
      <c r="N173" s="422"/>
    </row>
    <row r="174" spans="1:14" x14ac:dyDescent="0.2">
      <c r="A174" s="408"/>
      <c r="B174" s="409"/>
      <c r="C174" s="408"/>
      <c r="D174" s="409"/>
      <c r="E174" s="408"/>
      <c r="F174" s="409"/>
      <c r="G174" s="408"/>
      <c r="H174" s="409"/>
      <c r="I174" s="408"/>
      <c r="K174" s="409"/>
      <c r="L174" s="409"/>
      <c r="M174" s="409"/>
      <c r="N174" s="415" t="s">
        <v>412</v>
      </c>
    </row>
    <row r="175" spans="1:14" x14ac:dyDescent="0.2">
      <c r="A175" s="413" t="s">
        <v>413</v>
      </c>
      <c r="B175" s="514" t="s">
        <v>411</v>
      </c>
      <c r="C175" s="514"/>
      <c r="D175" s="514" t="s">
        <v>410</v>
      </c>
      <c r="E175" s="514"/>
      <c r="F175" s="514" t="s">
        <v>409</v>
      </c>
      <c r="G175" s="514"/>
      <c r="H175" s="514" t="s">
        <v>32</v>
      </c>
      <c r="I175" s="514"/>
      <c r="J175" s="413"/>
      <c r="K175" s="434" t="s">
        <v>371</v>
      </c>
      <c r="L175" s="434" t="s">
        <v>373</v>
      </c>
      <c r="M175" s="434" t="s">
        <v>369</v>
      </c>
      <c r="N175" s="434" t="s">
        <v>32</v>
      </c>
    </row>
    <row r="176" spans="1:14" x14ac:dyDescent="0.2">
      <c r="A176" s="423">
        <f>$A$8</f>
        <v>2017</v>
      </c>
      <c r="B176" s="424" t="s">
        <v>60</v>
      </c>
      <c r="C176" s="425" t="s">
        <v>408</v>
      </c>
      <c r="D176" s="424" t="s">
        <v>60</v>
      </c>
      <c r="E176" s="425" t="s">
        <v>408</v>
      </c>
      <c r="F176" s="424" t="s">
        <v>60</v>
      </c>
      <c r="G176" s="425" t="s">
        <v>408</v>
      </c>
      <c r="H176" s="424" t="s">
        <v>60</v>
      </c>
      <c r="I176" s="425" t="s">
        <v>408</v>
      </c>
      <c r="J176" s="413"/>
      <c r="K176" s="426" t="str">
        <f>CONCATENATE(A176," - ",A181)</f>
        <v>2017 - 2022</v>
      </c>
      <c r="L176" s="427"/>
      <c r="M176" s="427"/>
    </row>
    <row r="177" spans="1:14" x14ac:dyDescent="0.2">
      <c r="A177" s="417" t="s">
        <v>390</v>
      </c>
      <c r="B177" s="440">
        <f>'Ind T6'!L215</f>
        <v>53.353000000026675</v>
      </c>
      <c r="C177" s="436" t="str">
        <f>CONCATENATE("(",ROUND((B177/$H179)*100,1),")")</f>
        <v>(49.8)</v>
      </c>
      <c r="D177" s="440">
        <f>'Ind T6'!M215</f>
        <v>2.8140000000058083</v>
      </c>
      <c r="E177" s="436" t="str">
        <f>CONCATENATE("(",ROUND((D177/$H179)*100,1),")")</f>
        <v>(2.6)</v>
      </c>
      <c r="F177" s="440">
        <f>'Ind T6'!N215</f>
        <v>36.960000000375572</v>
      </c>
      <c r="G177" s="436" t="str">
        <f>CONCATENATE("(",ROUND((F177/$H179)*100,1),")")</f>
        <v>(34.5)</v>
      </c>
      <c r="H177" s="440">
        <f>SUM(B177,D177,F177)</f>
        <v>93.12700000040806</v>
      </c>
      <c r="I177" s="436" t="str">
        <f>CONCATENATE("(",ROUND((H177/$H179)*100,1),")")</f>
        <v>(87)</v>
      </c>
      <c r="K177" s="440">
        <f>B182-B177</f>
        <v>1.2339999993041602</v>
      </c>
      <c r="L177" s="440">
        <f>D182-D177</f>
        <v>-6.9000000029435515E-2</v>
      </c>
      <c r="M177" s="440">
        <f>F182-F177</f>
        <v>-1.1869999990838025</v>
      </c>
      <c r="N177" s="440">
        <f>SUM(K177:M177)</f>
        <v>-2.1999999809077853E-2</v>
      </c>
    </row>
    <row r="178" spans="1:14" x14ac:dyDescent="0.2">
      <c r="A178" s="417" t="s">
        <v>391</v>
      </c>
      <c r="B178" s="440">
        <f>'Ind T6'!L214</f>
        <v>6.8809999999463072</v>
      </c>
      <c r="C178" s="436" t="str">
        <f>CONCATENATE("(",ROUND((B178/$H179)*100,1),")")</f>
        <v>(6.4)</v>
      </c>
      <c r="D178" s="440">
        <f>'Ind T6'!M214</f>
        <v>5.8000000001567207</v>
      </c>
      <c r="E178" s="436" t="str">
        <f>CONCATENATE("(",ROUND((D178/$H179)*100,1),")")</f>
        <v>(5.4)</v>
      </c>
      <c r="F178" s="440">
        <f>'Ind T6'!N214</f>
        <v>1.2860000000393217</v>
      </c>
      <c r="G178" s="436" t="str">
        <f>CONCATENATE("(",ROUND((F178/$H179)*100,1),")")</f>
        <v>(1.2)</v>
      </c>
      <c r="H178" s="440">
        <f t="shared" ref="H178" si="141">SUM(B178,D178,F178)</f>
        <v>13.967000000142349</v>
      </c>
      <c r="I178" s="436" t="str">
        <f>CONCATENATE("(",ROUND((H178/$H179)*100,1),")")</f>
        <v>(13)</v>
      </c>
      <c r="K178" s="440">
        <f t="shared" ref="K178:K179" si="142">B183-B178</f>
        <v>3.8999999956582876E-2</v>
      </c>
      <c r="L178" s="440">
        <f t="shared" ref="L178:L179" si="143">D183-D178</f>
        <v>0.29199999997116688</v>
      </c>
      <c r="M178" s="440">
        <f t="shared" ref="M178:M179" si="144">F183-F178</f>
        <v>-1.2999999999290024E-2</v>
      </c>
      <c r="N178" s="440">
        <f t="shared" ref="N178:N179" si="145">SUM(K178:M178)</f>
        <v>0.31799999992845973</v>
      </c>
    </row>
    <row r="179" spans="1:14" x14ac:dyDescent="0.2">
      <c r="A179" s="417" t="s">
        <v>389</v>
      </c>
      <c r="B179" s="440">
        <f>SUM(B177:B178)</f>
        <v>60.23399999997298</v>
      </c>
      <c r="C179" s="436" t="str">
        <f>CONCATENATE("(",ROUND((B179/$H179)*100,1),")")</f>
        <v>(56.2)</v>
      </c>
      <c r="D179" s="440">
        <f>SUM(D177:D178)</f>
        <v>8.6140000001625285</v>
      </c>
      <c r="E179" s="436" t="str">
        <f>CONCATENATE("(",ROUND((D179/$H179)*100,1),")")</f>
        <v>(8)</v>
      </c>
      <c r="F179" s="440">
        <f>SUM(F177:F178)</f>
        <v>38.246000000414895</v>
      </c>
      <c r="G179" s="436" t="str">
        <f>CONCATENATE("(",ROUND((F179/$H179)*100,1),")")</f>
        <v>(35.7)</v>
      </c>
      <c r="H179" s="440">
        <f>SUM(H177:H178)</f>
        <v>107.09400000055041</v>
      </c>
      <c r="I179" s="436" t="str">
        <f>CONCATENATE("(",ROUND((H179/$H179)*100,1),")")</f>
        <v>(100)</v>
      </c>
      <c r="K179" s="440">
        <f t="shared" si="142"/>
        <v>1.2729999992607475</v>
      </c>
      <c r="L179" s="440">
        <f t="shared" si="143"/>
        <v>0.2229999999417327</v>
      </c>
      <c r="M179" s="440">
        <f t="shared" si="144"/>
        <v>-1.1999999990830901</v>
      </c>
      <c r="N179" s="440">
        <f t="shared" si="145"/>
        <v>0.29600000011939009</v>
      </c>
    </row>
    <row r="180" spans="1:14" x14ac:dyDescent="0.2">
      <c r="B180" s="440"/>
      <c r="C180" s="428"/>
      <c r="D180" s="440"/>
      <c r="E180" s="428"/>
      <c r="F180" s="440"/>
      <c r="G180" s="428"/>
      <c r="H180" s="440"/>
      <c r="I180" s="428"/>
    </row>
    <row r="181" spans="1:14" x14ac:dyDescent="0.2">
      <c r="A181" s="423">
        <f>$A$13</f>
        <v>2022</v>
      </c>
      <c r="B181" s="440"/>
      <c r="C181" s="428"/>
      <c r="D181" s="440"/>
      <c r="E181" s="428"/>
      <c r="F181" s="440"/>
      <c r="G181" s="428"/>
      <c r="H181" s="440"/>
      <c r="I181" s="428"/>
      <c r="K181" s="426" t="str">
        <f>CONCATENATE(A181," - ",A186)</f>
        <v>2022 - 2027</v>
      </c>
    </row>
    <row r="182" spans="1:14" x14ac:dyDescent="0.2">
      <c r="A182" s="417" t="s">
        <v>390</v>
      </c>
      <c r="B182" s="440">
        <f>'Ind T6'!Q215</f>
        <v>54.586999999330835</v>
      </c>
      <c r="C182" s="436" t="str">
        <f>CONCATENATE("(",ROUND((B182/$H184)*100,1),")")</f>
        <v>(50.8)</v>
      </c>
      <c r="D182" s="440">
        <f>'Ind T6'!R215</f>
        <v>2.7449999999763728</v>
      </c>
      <c r="E182" s="436" t="str">
        <f>CONCATENATE("(",ROUND((D182/$H184)*100,1),")")</f>
        <v>(2.6)</v>
      </c>
      <c r="F182" s="440">
        <f>'Ind T6'!S215</f>
        <v>35.77300000129177</v>
      </c>
      <c r="G182" s="436" t="str">
        <f>CONCATENATE("(",ROUND((F182/$H184)*100,1),")")</f>
        <v>(33.3)</v>
      </c>
      <c r="H182" s="440">
        <f>SUM(B182,D182,F182)</f>
        <v>93.105000000598977</v>
      </c>
      <c r="I182" s="436" t="str">
        <f>CONCATENATE("(",ROUND((H182/$H184)*100,1),")")</f>
        <v>(86.7)</v>
      </c>
      <c r="K182" s="440">
        <f>B187-B182</f>
        <v>1.230999999867727</v>
      </c>
      <c r="L182" s="440">
        <f>D187-D182</f>
        <v>-5.600000000683103E-2</v>
      </c>
      <c r="M182" s="440">
        <f>F187-F182</f>
        <v>-0.77900000025022109</v>
      </c>
      <c r="N182" s="440">
        <f>SUM(K182:M182)</f>
        <v>0.39599999961067489</v>
      </c>
    </row>
    <row r="183" spans="1:14" x14ac:dyDescent="0.2">
      <c r="A183" s="417" t="s">
        <v>391</v>
      </c>
      <c r="B183" s="440">
        <f>'Ind T6'!Q214</f>
        <v>6.9199999999028901</v>
      </c>
      <c r="C183" s="436" t="str">
        <f>CONCATENATE("(",ROUND((B183/$H184)*100,1),")")</f>
        <v>(6.4)</v>
      </c>
      <c r="D183" s="440">
        <f>'Ind T6'!R214</f>
        <v>6.0920000001278876</v>
      </c>
      <c r="E183" s="436" t="str">
        <f>CONCATENATE("(",ROUND((D183/$H184)*100,1),")")</f>
        <v>(5.7)</v>
      </c>
      <c r="F183" s="440">
        <f>'Ind T6'!S214</f>
        <v>1.2730000000400317</v>
      </c>
      <c r="G183" s="436" t="str">
        <f>CONCATENATE("(",ROUND((F183/$H184)*100,1),")")</f>
        <v>(1.2)</v>
      </c>
      <c r="H183" s="440">
        <f t="shared" ref="H183" si="146">SUM(B183,D183,F183)</f>
        <v>14.285000000070809</v>
      </c>
      <c r="I183" s="436" t="str">
        <f>CONCATENATE("(",ROUND((H183/$H184)*100,1),")")</f>
        <v>(13.3)</v>
      </c>
      <c r="K183" s="440">
        <f t="shared" ref="K183:K184" si="147">B188-B183</f>
        <v>4.9000000009703726E-2</v>
      </c>
      <c r="L183" s="440">
        <f t="shared" ref="L183:L184" si="148">D188-D183</f>
        <v>0.27600000000381719</v>
      </c>
      <c r="M183" s="440">
        <f t="shared" ref="M183:M184" si="149">F188-F183</f>
        <v>-7.0000000059642353E-3</v>
      </c>
      <c r="N183" s="440">
        <f t="shared" ref="N183:N184" si="150">SUM(K183:M183)</f>
        <v>0.31800000000755668</v>
      </c>
    </row>
    <row r="184" spans="1:14" x14ac:dyDescent="0.2">
      <c r="A184" s="417" t="s">
        <v>389</v>
      </c>
      <c r="B184" s="440">
        <f>SUM(B182:B183)</f>
        <v>61.506999999233727</v>
      </c>
      <c r="C184" s="436" t="str">
        <f>CONCATENATE("(",ROUND((B184/$H184)*100,1),")")</f>
        <v>(57.3)</v>
      </c>
      <c r="D184" s="440">
        <f>SUM(D182:D183)</f>
        <v>8.8370000001042612</v>
      </c>
      <c r="E184" s="436" t="str">
        <f>CONCATENATE("(",ROUND((D184/$H184)*100,1),")")</f>
        <v>(8.2)</v>
      </c>
      <c r="F184" s="440">
        <f>SUM(F182:F183)</f>
        <v>37.046000001331805</v>
      </c>
      <c r="G184" s="436" t="str">
        <f>CONCATENATE("(",ROUND((F184/$H184)*100,1),")")</f>
        <v>(34.5)</v>
      </c>
      <c r="H184" s="440">
        <f>SUM(H182:H183)</f>
        <v>107.39000000066979</v>
      </c>
      <c r="I184" s="436" t="str">
        <f>CONCATENATE("(",ROUND((H184/$H184)*100,1),")")</f>
        <v>(100)</v>
      </c>
      <c r="K184" s="440">
        <f t="shared" si="147"/>
        <v>1.2799999998774325</v>
      </c>
      <c r="L184" s="440">
        <f t="shared" si="148"/>
        <v>0.21999999999698616</v>
      </c>
      <c r="M184" s="440">
        <f t="shared" si="149"/>
        <v>-0.78600000025618755</v>
      </c>
      <c r="N184" s="440">
        <f t="shared" si="150"/>
        <v>0.71399999961823113</v>
      </c>
    </row>
    <row r="185" spans="1:14" x14ac:dyDescent="0.2">
      <c r="B185" s="440"/>
      <c r="C185" s="428"/>
      <c r="D185" s="440"/>
      <c r="E185" s="428"/>
      <c r="F185" s="440"/>
      <c r="G185" s="428"/>
      <c r="H185" s="440"/>
      <c r="I185" s="428"/>
    </row>
    <row r="186" spans="1:14" x14ac:dyDescent="0.2">
      <c r="A186" s="423">
        <f>$A$18</f>
        <v>2027</v>
      </c>
      <c r="B186" s="440"/>
      <c r="C186" s="428"/>
      <c r="D186" s="440"/>
      <c r="E186" s="428"/>
      <c r="F186" s="440"/>
      <c r="G186" s="428"/>
      <c r="H186" s="440"/>
      <c r="I186" s="428"/>
      <c r="K186" s="426" t="str">
        <f>CONCATENATE(A176," - ",A186)</f>
        <v>2017 - 2027</v>
      </c>
    </row>
    <row r="187" spans="1:14" x14ac:dyDescent="0.2">
      <c r="A187" s="417" t="s">
        <v>390</v>
      </c>
      <c r="B187" s="440">
        <f>'Ind T6'!V215</f>
        <v>55.817999999198562</v>
      </c>
      <c r="C187" s="436" t="str">
        <f>CONCATENATE("(",ROUND((B187/$H189)*100,1),")")</f>
        <v>(51.6)</v>
      </c>
      <c r="D187" s="440">
        <f>'Ind T6'!W215</f>
        <v>2.6889999999695418</v>
      </c>
      <c r="E187" s="436" t="str">
        <f>CONCATENATE("(",ROUND((D187/$H189)*100,1),")")</f>
        <v>(2.5)</v>
      </c>
      <c r="F187" s="440">
        <f>'Ind T6'!X215</f>
        <v>34.994000001041549</v>
      </c>
      <c r="G187" s="436" t="str">
        <f>CONCATENATE("(",ROUND((F187/$H189)*100,1),")")</f>
        <v>(32.4)</v>
      </c>
      <c r="H187" s="440">
        <f>SUM(B187,D187,F187)</f>
        <v>93.501000000209643</v>
      </c>
      <c r="I187" s="436" t="str">
        <f>CONCATENATE("(",ROUND((H187/$H189)*100,1),")")</f>
        <v>(86.5)</v>
      </c>
      <c r="K187" s="440">
        <f>B187-B177</f>
        <v>2.4649999991718872</v>
      </c>
      <c r="L187" s="440">
        <f>D187-D177</f>
        <v>-0.12500000003626655</v>
      </c>
      <c r="M187" s="440">
        <f>F187-F177</f>
        <v>-1.9659999993340236</v>
      </c>
      <c r="N187" s="440">
        <f>SUM(K187:M187)</f>
        <v>0.37399999980159704</v>
      </c>
    </row>
    <row r="188" spans="1:14" x14ac:dyDescent="0.2">
      <c r="A188" s="417" t="s">
        <v>391</v>
      </c>
      <c r="B188" s="440">
        <f>'Ind T6'!V214</f>
        <v>6.9689999999125938</v>
      </c>
      <c r="C188" s="436" t="str">
        <f>CONCATENATE("(",ROUND((B188/$H189)*100,1),")")</f>
        <v>(6.4)</v>
      </c>
      <c r="D188" s="440">
        <f>'Ind T6'!W214</f>
        <v>6.3680000001317048</v>
      </c>
      <c r="E188" s="436" t="str">
        <f>CONCATENATE("(",ROUND((D188/$H189)*100,1),")")</f>
        <v>(5.9)</v>
      </c>
      <c r="F188" s="440">
        <f>'Ind T6'!X214</f>
        <v>1.2660000000340674</v>
      </c>
      <c r="G188" s="436" t="str">
        <f>CONCATENATE("(",ROUND((F188/$H189)*100,1),")")</f>
        <v>(1.2)</v>
      </c>
      <c r="H188" s="440">
        <f t="shared" ref="H188" si="151">SUM(B188,D188,F188)</f>
        <v>14.603000000078366</v>
      </c>
      <c r="I188" s="436" t="str">
        <f>CONCATENATE("(",ROUND((H188/$H189)*100,1),")")</f>
        <v>(13.5)</v>
      </c>
      <c r="K188" s="440">
        <f t="shared" ref="K188:K189" si="152">B188-B178</f>
        <v>8.7999999966286602E-2</v>
      </c>
      <c r="L188" s="440">
        <f t="shared" ref="L188:L189" si="153">D188-D178</f>
        <v>0.56799999997498407</v>
      </c>
      <c r="M188" s="440">
        <f t="shared" ref="M188:M189" si="154">F188-F178</f>
        <v>-2.0000000005254259E-2</v>
      </c>
      <c r="N188" s="440">
        <f t="shared" ref="N188:N189" si="155">SUM(K188:M188)</f>
        <v>0.63599999993601641</v>
      </c>
    </row>
    <row r="189" spans="1:14" x14ac:dyDescent="0.2">
      <c r="A189" s="408" t="s">
        <v>389</v>
      </c>
      <c r="B189" s="440">
        <f>SUM(B187:B188)</f>
        <v>62.78699999911116</v>
      </c>
      <c r="C189" s="436" t="str">
        <f>CONCATENATE("(",ROUND((B189/$H189)*100,1),")")</f>
        <v>(58.1)</v>
      </c>
      <c r="D189" s="440">
        <f>SUM(D187:D188)</f>
        <v>9.0570000001012474</v>
      </c>
      <c r="E189" s="436" t="str">
        <f>CONCATENATE("(",ROUND((D189/$H189)*100,1),")")</f>
        <v>(8.4)</v>
      </c>
      <c r="F189" s="440">
        <f>SUM(F187:F188)</f>
        <v>36.260000001075618</v>
      </c>
      <c r="G189" s="436" t="str">
        <f>CONCATENATE("(",ROUND((F189/$H189)*100,1),")")</f>
        <v>(33.5)</v>
      </c>
      <c r="H189" s="440">
        <f>SUM(H187:H188)</f>
        <v>108.10400000028801</v>
      </c>
      <c r="I189" s="436" t="str">
        <f>CONCATENATE("(",ROUND((H189/$H189)*100,1),")")</f>
        <v>(100)</v>
      </c>
      <c r="K189" s="440">
        <f t="shared" si="152"/>
        <v>2.55299999913818</v>
      </c>
      <c r="L189" s="440">
        <f t="shared" si="153"/>
        <v>0.44299999993871886</v>
      </c>
      <c r="M189" s="440">
        <f t="shared" si="154"/>
        <v>-1.9859999993392776</v>
      </c>
      <c r="N189" s="440">
        <f t="shared" si="155"/>
        <v>1.0099999997376212</v>
      </c>
    </row>
    <row r="190" spans="1:14" x14ac:dyDescent="0.2">
      <c r="A190" s="429"/>
      <c r="B190" s="430"/>
      <c r="C190" s="429"/>
      <c r="D190" s="430"/>
      <c r="E190" s="429"/>
      <c r="F190" s="430"/>
      <c r="G190" s="429"/>
      <c r="H190" s="430"/>
      <c r="I190" s="429"/>
      <c r="J190" s="429"/>
      <c r="K190" s="430"/>
      <c r="L190" s="430"/>
      <c r="M190" s="430"/>
      <c r="N190" s="430"/>
    </row>
    <row r="194" spans="1:14" x14ac:dyDescent="0.2">
      <c r="A194" s="419"/>
      <c r="B194" s="420" t="s">
        <v>414</v>
      </c>
      <c r="C194" s="419"/>
      <c r="D194" s="420"/>
      <c r="E194" s="419"/>
      <c r="F194" s="420" t="str">
        <f>name!B12</f>
        <v>Wholesale and retail trade</v>
      </c>
      <c r="G194" s="419"/>
      <c r="H194" s="422"/>
      <c r="I194" s="419"/>
      <c r="J194" s="421"/>
      <c r="K194" s="422"/>
      <c r="L194" s="422"/>
      <c r="M194" s="422"/>
      <c r="N194" s="422"/>
    </row>
    <row r="195" spans="1:14" x14ac:dyDescent="0.2">
      <c r="A195" s="408"/>
      <c r="B195" s="409"/>
      <c r="C195" s="408"/>
      <c r="D195" s="409"/>
      <c r="E195" s="408"/>
      <c r="F195" s="409"/>
      <c r="G195" s="408"/>
      <c r="H195" s="409"/>
      <c r="I195" s="408"/>
      <c r="K195" s="409"/>
      <c r="L195" s="409"/>
      <c r="M195" s="409"/>
      <c r="N195" s="415" t="s">
        <v>412</v>
      </c>
    </row>
    <row r="196" spans="1:14" x14ac:dyDescent="0.2">
      <c r="A196" s="413" t="s">
        <v>413</v>
      </c>
      <c r="B196" s="514" t="s">
        <v>411</v>
      </c>
      <c r="C196" s="514"/>
      <c r="D196" s="514" t="s">
        <v>410</v>
      </c>
      <c r="E196" s="514"/>
      <c r="F196" s="514" t="s">
        <v>409</v>
      </c>
      <c r="G196" s="514"/>
      <c r="H196" s="514" t="s">
        <v>32</v>
      </c>
      <c r="I196" s="514"/>
      <c r="J196" s="413"/>
      <c r="K196" s="434" t="s">
        <v>371</v>
      </c>
      <c r="L196" s="434" t="s">
        <v>373</v>
      </c>
      <c r="M196" s="434" t="s">
        <v>369</v>
      </c>
      <c r="N196" s="434" t="s">
        <v>32</v>
      </c>
    </row>
    <row r="197" spans="1:14" x14ac:dyDescent="0.2">
      <c r="A197" s="423">
        <f>$A$8</f>
        <v>2017</v>
      </c>
      <c r="B197" s="424" t="s">
        <v>60</v>
      </c>
      <c r="C197" s="425" t="s">
        <v>408</v>
      </c>
      <c r="D197" s="424" t="s">
        <v>60</v>
      </c>
      <c r="E197" s="425" t="s">
        <v>408</v>
      </c>
      <c r="F197" s="424" t="s">
        <v>60</v>
      </c>
      <c r="G197" s="425" t="s">
        <v>408</v>
      </c>
      <c r="H197" s="424" t="s">
        <v>60</v>
      </c>
      <c r="I197" s="425" t="s">
        <v>408</v>
      </c>
      <c r="J197" s="413"/>
      <c r="K197" s="426" t="str">
        <f>CONCATENATE(A197," - ",A202)</f>
        <v>2017 - 2022</v>
      </c>
      <c r="L197" s="427"/>
      <c r="M197" s="427"/>
    </row>
    <row r="198" spans="1:14" x14ac:dyDescent="0.2">
      <c r="A198" s="417" t="s">
        <v>390</v>
      </c>
      <c r="B198" s="440">
        <f>'Ind T6'!L240</f>
        <v>65.233000000073162</v>
      </c>
      <c r="C198" s="436" t="str">
        <f>CONCATENATE("(",ROUND((B198/$H200)*100,1),")")</f>
        <v>(32.3)</v>
      </c>
      <c r="D198" s="440">
        <f>'Ind T6'!M240</f>
        <v>24.337999999966815</v>
      </c>
      <c r="E198" s="436" t="str">
        <f>CONCATENATE("(",ROUND((D198/$H200)*100,1),")")</f>
        <v>(12)</v>
      </c>
      <c r="F198" s="440">
        <f>'Ind T6'!N240</f>
        <v>11.349999999971391</v>
      </c>
      <c r="G198" s="436" t="str">
        <f>CONCATENATE("(",ROUND((F198/$H200)*100,1),")")</f>
        <v>(5.6)</v>
      </c>
      <c r="H198" s="440">
        <f>SUM(B198,D198,F198)</f>
        <v>100.92100000001136</v>
      </c>
      <c r="I198" s="436" t="str">
        <f>CONCATENATE("(",ROUND((H198/$H200)*100,1),")")</f>
        <v>(50)</v>
      </c>
      <c r="K198" s="440">
        <f>B203-B198</f>
        <v>-1.5410000007464504</v>
      </c>
      <c r="L198" s="440">
        <f>D203-D198</f>
        <v>5.4159999996797588</v>
      </c>
      <c r="M198" s="440">
        <f>F203-F198</f>
        <v>-1.9780000001152089</v>
      </c>
      <c r="N198" s="440">
        <f>SUM(K198:M198)</f>
        <v>1.8969999988180994</v>
      </c>
    </row>
    <row r="199" spans="1:14" x14ac:dyDescent="0.2">
      <c r="A199" s="417" t="s">
        <v>391</v>
      </c>
      <c r="B199" s="440">
        <f>'Ind T6'!L239</f>
        <v>33.247000000234735</v>
      </c>
      <c r="C199" s="436" t="str">
        <f>CONCATENATE("(",ROUND((B199/$H200)*100,1),")")</f>
        <v>(16.5)</v>
      </c>
      <c r="D199" s="440">
        <f>'Ind T6'!M239</f>
        <v>57.991000003923375</v>
      </c>
      <c r="E199" s="436" t="str">
        <f>CONCATENATE("(",ROUND((D199/$H200)*100,1),")")</f>
        <v>(28.7)</v>
      </c>
      <c r="F199" s="440">
        <f>'Ind T6'!N239</f>
        <v>9.8200000001759804</v>
      </c>
      <c r="G199" s="436" t="str">
        <f>CONCATENATE("(",ROUND((F199/$H200)*100,1),")")</f>
        <v>(4.9)</v>
      </c>
      <c r="H199" s="440">
        <f t="shared" ref="H199" si="156">SUM(B199,D199,F199)</f>
        <v>101.05800000433409</v>
      </c>
      <c r="I199" s="436" t="str">
        <f>CONCATENATE("(",ROUND((H199/$H200)*100,1),")")</f>
        <v>(50)</v>
      </c>
      <c r="K199" s="440">
        <f t="shared" ref="K199:K200" si="157">B204-B199</f>
        <v>2.2499999997938005</v>
      </c>
      <c r="L199" s="440">
        <f t="shared" ref="L199:L200" si="158">D204-D199</f>
        <v>-2.8390000013141048</v>
      </c>
      <c r="M199" s="440">
        <f t="shared" ref="M199:M200" si="159">F204-F199</f>
        <v>-0.82700000002144414</v>
      </c>
      <c r="N199" s="440">
        <f t="shared" ref="N199:N200" si="160">SUM(K199:M199)</f>
        <v>-1.4160000015417484</v>
      </c>
    </row>
    <row r="200" spans="1:14" x14ac:dyDescent="0.2">
      <c r="A200" s="417" t="s">
        <v>389</v>
      </c>
      <c r="B200" s="440">
        <f>SUM(B198:B199)</f>
        <v>98.480000000307896</v>
      </c>
      <c r="C200" s="436" t="str">
        <f>CONCATENATE("(",ROUND((B200/$H200)*100,1),")")</f>
        <v>(48.8)</v>
      </c>
      <c r="D200" s="440">
        <f>SUM(D198:D199)</f>
        <v>82.329000003890187</v>
      </c>
      <c r="E200" s="436" t="str">
        <f>CONCATENATE("(",ROUND((D200/$H200)*100,1),")")</f>
        <v>(40.8)</v>
      </c>
      <c r="F200" s="440">
        <f>SUM(F198:F199)</f>
        <v>21.170000000147372</v>
      </c>
      <c r="G200" s="436" t="str">
        <f>CONCATENATE("(",ROUND((F200/$H200)*100,1),")")</f>
        <v>(10.5)</v>
      </c>
      <c r="H200" s="440">
        <f>SUM(H198:H199)</f>
        <v>201.97900000434544</v>
      </c>
      <c r="I200" s="436" t="str">
        <f>CONCATENATE("(",ROUND((H200/$H200)*100,1),")")</f>
        <v>(100)</v>
      </c>
      <c r="K200" s="440">
        <f t="shared" si="157"/>
        <v>0.70899999904735012</v>
      </c>
      <c r="L200" s="440">
        <f t="shared" si="158"/>
        <v>2.5769999983656504</v>
      </c>
      <c r="M200" s="440">
        <f t="shared" si="159"/>
        <v>-2.8050000001366548</v>
      </c>
      <c r="N200" s="440">
        <f t="shared" si="160"/>
        <v>0.48099999727634568</v>
      </c>
    </row>
    <row r="201" spans="1:14" x14ac:dyDescent="0.2">
      <c r="B201" s="440"/>
      <c r="C201" s="428"/>
      <c r="D201" s="440"/>
      <c r="E201" s="428"/>
      <c r="F201" s="440"/>
      <c r="G201" s="428"/>
      <c r="H201" s="440"/>
      <c r="I201" s="428"/>
    </row>
    <row r="202" spans="1:14" x14ac:dyDescent="0.2">
      <c r="A202" s="423">
        <f>$A$13</f>
        <v>2022</v>
      </c>
      <c r="B202" s="440"/>
      <c r="C202" s="428"/>
      <c r="D202" s="440"/>
      <c r="E202" s="428"/>
      <c r="F202" s="440"/>
      <c r="G202" s="428"/>
      <c r="H202" s="440"/>
      <c r="I202" s="428"/>
      <c r="K202" s="426" t="str">
        <f>CONCATENATE(A202," - ",A207)</f>
        <v>2022 - 2027</v>
      </c>
    </row>
    <row r="203" spans="1:14" x14ac:dyDescent="0.2">
      <c r="A203" s="417" t="s">
        <v>390</v>
      </c>
      <c r="B203" s="440">
        <f>'Ind T6'!Q240</f>
        <v>63.691999999326711</v>
      </c>
      <c r="C203" s="436" t="str">
        <f>CONCATENATE("(",ROUND((B203/$H205)*100,1),")")</f>
        <v>(31.5)</v>
      </c>
      <c r="D203" s="440">
        <f>'Ind T6'!R240</f>
        <v>29.753999999646574</v>
      </c>
      <c r="E203" s="436" t="str">
        <f>CONCATENATE("(",ROUND((D203/$H205)*100,1),")")</f>
        <v>(14.7)</v>
      </c>
      <c r="F203" s="440">
        <f>'Ind T6'!S240</f>
        <v>9.3719999998561825</v>
      </c>
      <c r="G203" s="436" t="str">
        <f>CONCATENATE("(",ROUND((F203/$H205)*100,1),")")</f>
        <v>(4.6)</v>
      </c>
      <c r="H203" s="440">
        <f>SUM(B203,D203,F203)</f>
        <v>102.81799999882948</v>
      </c>
      <c r="I203" s="436" t="str">
        <f>CONCATENATE("(",ROUND((H203/$H205)*100,1),")")</f>
        <v>(50.8)</v>
      </c>
      <c r="K203" s="440">
        <f>B208-B203</f>
        <v>-1.0990000000485622</v>
      </c>
      <c r="L203" s="440">
        <f>D208-D203</f>
        <v>5.4919999999237561</v>
      </c>
      <c r="M203" s="440">
        <f>F208-F203</f>
        <v>-1.8899999999725825</v>
      </c>
      <c r="N203" s="440">
        <f>SUM(K203:M203)</f>
        <v>2.5029999999026113</v>
      </c>
    </row>
    <row r="204" spans="1:14" x14ac:dyDescent="0.2">
      <c r="A204" s="417" t="s">
        <v>391</v>
      </c>
      <c r="B204" s="440">
        <f>'Ind T6'!Q239</f>
        <v>35.497000000028535</v>
      </c>
      <c r="C204" s="436" t="str">
        <f>CONCATENATE("(",ROUND((B204/$H205)*100,1),")")</f>
        <v>(17.5)</v>
      </c>
      <c r="D204" s="440">
        <f>'Ind T6'!R239</f>
        <v>55.15200000260927</v>
      </c>
      <c r="E204" s="436" t="str">
        <f>CONCATENATE("(",ROUND((D204/$H205)*100,1),")")</f>
        <v>(27.2)</v>
      </c>
      <c r="F204" s="440">
        <f>'Ind T6'!S239</f>
        <v>8.9930000001545363</v>
      </c>
      <c r="G204" s="436" t="str">
        <f>CONCATENATE("(",ROUND((F204/$H205)*100,1),")")</f>
        <v>(4.4)</v>
      </c>
      <c r="H204" s="440">
        <f t="shared" ref="H204" si="161">SUM(B204,D204,F204)</f>
        <v>99.642000002792344</v>
      </c>
      <c r="I204" s="436" t="str">
        <f>CONCATENATE("(",ROUND((H204/$H205)*100,1),")")</f>
        <v>(49.2)</v>
      </c>
      <c r="K204" s="440">
        <f t="shared" ref="K204:K205" si="162">B209-B204</f>
        <v>2.3820000000098318</v>
      </c>
      <c r="L204" s="440">
        <f t="shared" ref="L204:L205" si="163">D209-D204</f>
        <v>-2.6580000002282489</v>
      </c>
      <c r="M204" s="440">
        <f t="shared" ref="M204:M205" si="164">F209-F204</f>
        <v>-0.79200000003725179</v>
      </c>
      <c r="N204" s="440">
        <f t="shared" ref="N204:N205" si="165">SUM(K204:M204)</f>
        <v>-1.0680000002556689</v>
      </c>
    </row>
    <row r="205" spans="1:14" x14ac:dyDescent="0.2">
      <c r="A205" s="417" t="s">
        <v>389</v>
      </c>
      <c r="B205" s="440">
        <f>SUM(B203:B204)</f>
        <v>99.188999999355246</v>
      </c>
      <c r="C205" s="436" t="str">
        <f>CONCATENATE("(",ROUND((B205/$H205)*100,1),")")</f>
        <v>(49)</v>
      </c>
      <c r="D205" s="440">
        <f>SUM(D203:D204)</f>
        <v>84.906000002255837</v>
      </c>
      <c r="E205" s="436" t="str">
        <f>CONCATENATE("(",ROUND((D205/$H205)*100,1),")")</f>
        <v>(41.9)</v>
      </c>
      <c r="F205" s="440">
        <f>SUM(F203:F204)</f>
        <v>18.365000000010717</v>
      </c>
      <c r="G205" s="436" t="str">
        <f>CONCATENATE("(",ROUND((F205/$H205)*100,1),")")</f>
        <v>(9.1)</v>
      </c>
      <c r="H205" s="440">
        <f>SUM(H203:H204)</f>
        <v>202.46000000162184</v>
      </c>
      <c r="I205" s="436" t="str">
        <f>CONCATENATE("(",ROUND((H205/$H205)*100,1),")")</f>
        <v>(100)</v>
      </c>
      <c r="K205" s="440">
        <f t="shared" si="162"/>
        <v>1.2829999999612767</v>
      </c>
      <c r="L205" s="440">
        <f t="shared" si="163"/>
        <v>2.8339999996955214</v>
      </c>
      <c r="M205" s="440">
        <f t="shared" si="164"/>
        <v>-2.6820000000098325</v>
      </c>
      <c r="N205" s="440">
        <f t="shared" si="165"/>
        <v>1.4349999996469656</v>
      </c>
    </row>
    <row r="206" spans="1:14" x14ac:dyDescent="0.2">
      <c r="B206" s="440"/>
      <c r="C206" s="428"/>
      <c r="D206" s="440"/>
      <c r="E206" s="428"/>
      <c r="F206" s="440"/>
      <c r="G206" s="428"/>
      <c r="H206" s="440"/>
      <c r="I206" s="428"/>
    </row>
    <row r="207" spans="1:14" x14ac:dyDescent="0.2">
      <c r="A207" s="423">
        <f>$A$18</f>
        <v>2027</v>
      </c>
      <c r="B207" s="440"/>
      <c r="C207" s="428"/>
      <c r="D207" s="440"/>
      <c r="E207" s="428"/>
      <c r="F207" s="440"/>
      <c r="G207" s="428"/>
      <c r="H207" s="440"/>
      <c r="I207" s="428"/>
      <c r="K207" s="426" t="str">
        <f>CONCATENATE(A197," - ",A207)</f>
        <v>2017 - 2027</v>
      </c>
    </row>
    <row r="208" spans="1:14" x14ac:dyDescent="0.2">
      <c r="A208" s="417" t="s">
        <v>390</v>
      </c>
      <c r="B208" s="440">
        <f>'Ind T6'!V240</f>
        <v>62.592999999278149</v>
      </c>
      <c r="C208" s="436" t="str">
        <f>CONCATENATE("(",ROUND((B208/$H210)*100,1),")")</f>
        <v>(30.7)</v>
      </c>
      <c r="D208" s="440">
        <f>'Ind T6'!W240</f>
        <v>35.24599999957033</v>
      </c>
      <c r="E208" s="436" t="str">
        <f>CONCATENATE("(",ROUND((D208/$H210)*100,1),")")</f>
        <v>(17.3)</v>
      </c>
      <c r="F208" s="440">
        <f>'Ind T6'!X240</f>
        <v>7.4819999998836</v>
      </c>
      <c r="G208" s="436" t="str">
        <f>CONCATENATE("(",ROUND((F208/$H210)*100,1),")")</f>
        <v>(3.7)</v>
      </c>
      <c r="H208" s="440">
        <f>SUM(B208,D208,F208)</f>
        <v>105.32099999873208</v>
      </c>
      <c r="I208" s="436" t="str">
        <f>CONCATENATE("(",ROUND((H208/$H210)*100,1),")")</f>
        <v>(51.7)</v>
      </c>
      <c r="K208" s="440">
        <f>B208-B198</f>
        <v>-2.6400000007950126</v>
      </c>
      <c r="L208" s="440">
        <f>D208-D198</f>
        <v>10.907999999603515</v>
      </c>
      <c r="M208" s="440">
        <f>F208-F198</f>
        <v>-3.8680000000877914</v>
      </c>
      <c r="N208" s="440">
        <f>SUM(K208:M208)</f>
        <v>4.3999999987207108</v>
      </c>
    </row>
    <row r="209" spans="1:14" x14ac:dyDescent="0.2">
      <c r="A209" s="417" t="s">
        <v>391</v>
      </c>
      <c r="B209" s="440">
        <f>'Ind T6'!V239</f>
        <v>37.879000000038367</v>
      </c>
      <c r="C209" s="436" t="str">
        <f>CONCATENATE("(",ROUND((B209/$H210)*100,1),")")</f>
        <v>(18.6)</v>
      </c>
      <c r="D209" s="440">
        <f>'Ind T6'!W239</f>
        <v>52.494000002381021</v>
      </c>
      <c r="E209" s="436" t="str">
        <f>CONCATENATE("(",ROUND((D209/$H210)*100,1),")")</f>
        <v>(25.7)</v>
      </c>
      <c r="F209" s="440">
        <f>'Ind T6'!X239</f>
        <v>8.2010000001172845</v>
      </c>
      <c r="G209" s="436" t="str">
        <f>CONCATENATE("(",ROUND((F209/$H210)*100,1),")")</f>
        <v>(4)</v>
      </c>
      <c r="H209" s="440">
        <f t="shared" ref="H209" si="166">SUM(B209,D209,F209)</f>
        <v>98.574000002536678</v>
      </c>
      <c r="I209" s="436" t="str">
        <f>CONCATENATE("(",ROUND((H209/$H210)*100,1),")")</f>
        <v>(48.3)</v>
      </c>
      <c r="K209" s="440">
        <f t="shared" ref="K209:K210" si="167">B209-B199</f>
        <v>4.6319999998036323</v>
      </c>
      <c r="L209" s="440">
        <f t="shared" ref="L209:L210" si="168">D209-D199</f>
        <v>-5.4970000015423537</v>
      </c>
      <c r="M209" s="440">
        <f t="shared" ref="M209:M210" si="169">F209-F199</f>
        <v>-1.6190000000586959</v>
      </c>
      <c r="N209" s="440">
        <f t="shared" ref="N209:N210" si="170">SUM(K209:M209)</f>
        <v>-2.4840000017974173</v>
      </c>
    </row>
    <row r="210" spans="1:14" x14ac:dyDescent="0.2">
      <c r="A210" s="408" t="s">
        <v>389</v>
      </c>
      <c r="B210" s="440">
        <f>SUM(B208:B209)</f>
        <v>100.47199999931652</v>
      </c>
      <c r="C210" s="436" t="str">
        <f>CONCATENATE("(",ROUND((B210/$H210)*100,1),")")</f>
        <v>(49.3)</v>
      </c>
      <c r="D210" s="440">
        <f>SUM(D208:D209)</f>
        <v>87.740000001951358</v>
      </c>
      <c r="E210" s="436" t="str">
        <f>CONCATENATE("(",ROUND((D210/$H210)*100,1),")")</f>
        <v>(43)</v>
      </c>
      <c r="F210" s="440">
        <f>SUM(F208:F209)</f>
        <v>15.683000000000884</v>
      </c>
      <c r="G210" s="436" t="str">
        <f>CONCATENATE("(",ROUND((F210/$H210)*100,1),")")</f>
        <v>(7.7)</v>
      </c>
      <c r="H210" s="440">
        <f>SUM(H208:H209)</f>
        <v>203.89500000126876</v>
      </c>
      <c r="I210" s="436" t="str">
        <f>CONCATENATE("(",ROUND((H210/$H210)*100,1),")")</f>
        <v>(100)</v>
      </c>
      <c r="K210" s="440">
        <f t="shared" si="167"/>
        <v>1.9919999990086268</v>
      </c>
      <c r="L210" s="440">
        <f t="shared" si="168"/>
        <v>5.4109999980611718</v>
      </c>
      <c r="M210" s="440">
        <f t="shared" si="169"/>
        <v>-5.4870000001464874</v>
      </c>
      <c r="N210" s="440">
        <f t="shared" si="170"/>
        <v>1.9159999969233112</v>
      </c>
    </row>
    <row r="211" spans="1:14" x14ac:dyDescent="0.2">
      <c r="A211" s="429"/>
      <c r="B211" s="430"/>
      <c r="C211" s="429"/>
      <c r="D211" s="430"/>
      <c r="E211" s="429"/>
      <c r="F211" s="430"/>
      <c r="G211" s="429"/>
      <c r="H211" s="430"/>
      <c r="I211" s="429"/>
      <c r="J211" s="429"/>
      <c r="K211" s="430"/>
      <c r="L211" s="430"/>
      <c r="M211" s="430"/>
      <c r="N211" s="430"/>
    </row>
    <row r="215" spans="1:14" x14ac:dyDescent="0.2">
      <c r="A215" s="419"/>
      <c r="B215" s="420" t="s">
        <v>414</v>
      </c>
      <c r="C215" s="419"/>
      <c r="D215" s="420"/>
      <c r="E215" s="419"/>
      <c r="F215" s="420" t="str">
        <f>name!B13</f>
        <v>Transport and storage</v>
      </c>
      <c r="G215" s="419"/>
      <c r="H215" s="422"/>
      <c r="I215" s="419"/>
      <c r="J215" s="421"/>
      <c r="K215" s="422"/>
      <c r="L215" s="422"/>
      <c r="M215" s="422"/>
      <c r="N215" s="422"/>
    </row>
    <row r="216" spans="1:14" x14ac:dyDescent="0.2">
      <c r="A216" s="408"/>
      <c r="B216" s="409"/>
      <c r="C216" s="408"/>
      <c r="D216" s="409"/>
      <c r="E216" s="408"/>
      <c r="F216" s="409"/>
      <c r="G216" s="408"/>
      <c r="H216" s="409"/>
      <c r="I216" s="408"/>
      <c r="K216" s="409"/>
      <c r="L216" s="409"/>
      <c r="M216" s="409"/>
      <c r="N216" s="415" t="s">
        <v>412</v>
      </c>
    </row>
    <row r="217" spans="1:14" x14ac:dyDescent="0.2">
      <c r="A217" s="413" t="s">
        <v>413</v>
      </c>
      <c r="B217" s="514" t="s">
        <v>411</v>
      </c>
      <c r="C217" s="514"/>
      <c r="D217" s="514" t="s">
        <v>410</v>
      </c>
      <c r="E217" s="514"/>
      <c r="F217" s="514" t="s">
        <v>409</v>
      </c>
      <c r="G217" s="514"/>
      <c r="H217" s="514" t="s">
        <v>32</v>
      </c>
      <c r="I217" s="514"/>
      <c r="J217" s="413"/>
      <c r="K217" s="434" t="s">
        <v>371</v>
      </c>
      <c r="L217" s="434" t="s">
        <v>373</v>
      </c>
      <c r="M217" s="434" t="s">
        <v>369</v>
      </c>
      <c r="N217" s="434" t="s">
        <v>32</v>
      </c>
    </row>
    <row r="218" spans="1:14" x14ac:dyDescent="0.2">
      <c r="A218" s="423">
        <f>$A$8</f>
        <v>2017</v>
      </c>
      <c r="B218" s="424" t="s">
        <v>60</v>
      </c>
      <c r="C218" s="425" t="s">
        <v>408</v>
      </c>
      <c r="D218" s="424" t="s">
        <v>60</v>
      </c>
      <c r="E218" s="425" t="s">
        <v>408</v>
      </c>
      <c r="F218" s="424" t="s">
        <v>60</v>
      </c>
      <c r="G218" s="425" t="s">
        <v>408</v>
      </c>
      <c r="H218" s="424" t="s">
        <v>60</v>
      </c>
      <c r="I218" s="425" t="s">
        <v>408</v>
      </c>
      <c r="J218" s="413"/>
      <c r="K218" s="426" t="str">
        <f>CONCATENATE(A218," - ",A223)</f>
        <v>2017 - 2022</v>
      </c>
      <c r="L218" s="427"/>
      <c r="M218" s="427"/>
    </row>
    <row r="219" spans="1:14" x14ac:dyDescent="0.2">
      <c r="A219" s="417" t="s">
        <v>390</v>
      </c>
      <c r="B219" s="440">
        <f>'Ind T6'!L275</f>
        <v>22.983000000030458</v>
      </c>
      <c r="C219" s="436" t="str">
        <f>CONCATENATE("(",ROUND((B219/$H221)*100,1),")")</f>
        <v>(56.8)</v>
      </c>
      <c r="D219" s="440">
        <f>'Ind T6'!M275</f>
        <v>2.7170000000085013</v>
      </c>
      <c r="E219" s="436" t="str">
        <f>CONCATENATE("(",ROUND((D219/$H221)*100,1),")")</f>
        <v>(6.7)</v>
      </c>
      <c r="F219" s="440">
        <f>'Ind T6'!N275</f>
        <v>6.6690000004287668</v>
      </c>
      <c r="G219" s="436" t="str">
        <f>CONCATENATE("(",ROUND((F219/$H221)*100,1),")")</f>
        <v>(16.5)</v>
      </c>
      <c r="H219" s="440">
        <f>SUM(B219,D219,F219)</f>
        <v>32.369000000467722</v>
      </c>
      <c r="I219" s="436" t="str">
        <f>CONCATENATE("(",ROUND((H219/$H221)*100,1),")")</f>
        <v>(80)</v>
      </c>
      <c r="K219" s="440">
        <f>B224-B219</f>
        <v>-1.9140000002908941</v>
      </c>
      <c r="L219" s="440">
        <f>D224-D219</f>
        <v>0.2639999999529099</v>
      </c>
      <c r="M219" s="440">
        <f>F224-F219</f>
        <v>-0.15900000044120866</v>
      </c>
      <c r="N219" s="440">
        <f>SUM(K219:M219)</f>
        <v>-1.8090000007791929</v>
      </c>
    </row>
    <row r="220" spans="1:14" x14ac:dyDescent="0.2">
      <c r="A220" s="417" t="s">
        <v>391</v>
      </c>
      <c r="B220" s="440">
        <f>'Ind T6'!L274</f>
        <v>4.1540000000027471</v>
      </c>
      <c r="C220" s="436" t="str">
        <f>CONCATENATE("(",ROUND((B220/$H221)*100,1),")")</f>
        <v>(10.3)</v>
      </c>
      <c r="D220" s="440">
        <f>'Ind T6'!M274</f>
        <v>2.4470000000804566</v>
      </c>
      <c r="E220" s="436" t="str">
        <f>CONCATENATE("(",ROUND((D220/$H221)*100,1),")")</f>
        <v>(6.1)</v>
      </c>
      <c r="F220" s="440">
        <f>'Ind T6'!N274</f>
        <v>1.4720000000447362</v>
      </c>
      <c r="G220" s="436" t="str">
        <f>CONCATENATE("(",ROUND((F220/$H221)*100,1),")")</f>
        <v>(3.6)</v>
      </c>
      <c r="H220" s="440">
        <f t="shared" ref="H220" si="171">SUM(B220,D220,F220)</f>
        <v>8.0730000001279407</v>
      </c>
      <c r="I220" s="436" t="str">
        <f>CONCATENATE("(",ROUND((H220/$H221)*100,1),")")</f>
        <v>(20)</v>
      </c>
      <c r="K220" s="440">
        <f t="shared" ref="K220:K221" si="172">B225-B220</f>
        <v>0.49199999997563904</v>
      </c>
      <c r="L220" s="440">
        <f t="shared" ref="L220:L221" si="173">D225-D220</f>
        <v>0.43200000000031569</v>
      </c>
      <c r="M220" s="440">
        <f t="shared" ref="M220:M221" si="174">F225-F220</f>
        <v>-4.800000000658744E-2</v>
      </c>
      <c r="N220" s="440">
        <f t="shared" ref="N220:N221" si="175">SUM(K220:M220)</f>
        <v>0.87599999996936728</v>
      </c>
    </row>
    <row r="221" spans="1:14" x14ac:dyDescent="0.2">
      <c r="A221" s="417" t="s">
        <v>389</v>
      </c>
      <c r="B221" s="440">
        <f>SUM(B219:B220)</f>
        <v>27.137000000033204</v>
      </c>
      <c r="C221" s="436" t="str">
        <f>CONCATENATE("(",ROUND((B221/$H221)*100,1),")")</f>
        <v>(67.1)</v>
      </c>
      <c r="D221" s="440">
        <f>SUM(D219:D220)</f>
        <v>5.1640000000889579</v>
      </c>
      <c r="E221" s="436" t="str">
        <f>CONCATENATE("(",ROUND((D221/$H221)*100,1),")")</f>
        <v>(12.8)</v>
      </c>
      <c r="F221" s="440">
        <f>SUM(F219:F220)</f>
        <v>8.1410000004735039</v>
      </c>
      <c r="G221" s="436" t="str">
        <f>CONCATENATE("(",ROUND((F221/$H221)*100,1),")")</f>
        <v>(20.1)</v>
      </c>
      <c r="H221" s="440">
        <f>SUM(H219:H220)</f>
        <v>40.442000000595662</v>
      </c>
      <c r="I221" s="436" t="str">
        <f>CONCATENATE("(",ROUND((H221/$H221)*100,1),")")</f>
        <v>(100)</v>
      </c>
      <c r="K221" s="440">
        <f t="shared" si="172"/>
        <v>-1.4220000003152542</v>
      </c>
      <c r="L221" s="440">
        <f t="shared" si="173"/>
        <v>0.69599999995322559</v>
      </c>
      <c r="M221" s="440">
        <f t="shared" si="174"/>
        <v>-0.20700000044779721</v>
      </c>
      <c r="N221" s="440">
        <f t="shared" si="175"/>
        <v>-0.93300000080982581</v>
      </c>
    </row>
    <row r="222" spans="1:14" x14ac:dyDescent="0.2">
      <c r="B222" s="440"/>
      <c r="C222" s="428"/>
      <c r="D222" s="440"/>
      <c r="E222" s="428"/>
      <c r="F222" s="440"/>
      <c r="G222" s="428"/>
      <c r="H222" s="440"/>
      <c r="I222" s="428"/>
    </row>
    <row r="223" spans="1:14" x14ac:dyDescent="0.2">
      <c r="A223" s="423">
        <f>$A$13</f>
        <v>2022</v>
      </c>
      <c r="B223" s="440"/>
      <c r="C223" s="428"/>
      <c r="D223" s="440"/>
      <c r="E223" s="428"/>
      <c r="F223" s="440"/>
      <c r="G223" s="428"/>
      <c r="H223" s="440"/>
      <c r="I223" s="428"/>
      <c r="K223" s="426" t="str">
        <f>CONCATENATE(A223," - ",A228)</f>
        <v>2022 - 2027</v>
      </c>
    </row>
    <row r="224" spans="1:14" x14ac:dyDescent="0.2">
      <c r="A224" s="417" t="s">
        <v>390</v>
      </c>
      <c r="B224" s="440">
        <f>'Ind T6'!Q275</f>
        <v>21.068999999739564</v>
      </c>
      <c r="C224" s="436" t="str">
        <f>CONCATENATE("(",ROUND((B224/$H226)*100,1),")")</f>
        <v>(53.3)</v>
      </c>
      <c r="D224" s="440">
        <f>'Ind T6'!R275</f>
        <v>2.9809999999614112</v>
      </c>
      <c r="E224" s="436" t="str">
        <f>CONCATENATE("(",ROUND((D224/$H226)*100,1),")")</f>
        <v>(7.5)</v>
      </c>
      <c r="F224" s="440">
        <f>'Ind T6'!S275</f>
        <v>6.5099999999875582</v>
      </c>
      <c r="G224" s="436" t="str">
        <f>CONCATENATE("(",ROUND((F224/$H226)*100,1),")")</f>
        <v>(16.5)</v>
      </c>
      <c r="H224" s="440">
        <f>SUM(B224,D224,F224)</f>
        <v>30.559999999688536</v>
      </c>
      <c r="I224" s="436" t="str">
        <f>CONCATENATE("(",ROUND((H224/$H226)*100,1),")")</f>
        <v>(77.3)</v>
      </c>
      <c r="K224" s="440">
        <f>B229-B224</f>
        <v>-1.1120000000111041</v>
      </c>
      <c r="L224" s="440">
        <f>D229-D224</f>
        <v>0.3479999999819996</v>
      </c>
      <c r="M224" s="440">
        <f>F229-F224</f>
        <v>0.23999999988981457</v>
      </c>
      <c r="N224" s="440">
        <f>SUM(K224:M224)</f>
        <v>-0.52400000013928993</v>
      </c>
    </row>
    <row r="225" spans="1:14" x14ac:dyDescent="0.2">
      <c r="A225" s="417" t="s">
        <v>391</v>
      </c>
      <c r="B225" s="440">
        <f>'Ind T6'!Q274</f>
        <v>4.6459999999783861</v>
      </c>
      <c r="C225" s="436" t="str">
        <f>CONCATENATE("(",ROUND((B225/$H226)*100,1),")")</f>
        <v>(11.8)</v>
      </c>
      <c r="D225" s="440">
        <f>'Ind T6'!R274</f>
        <v>2.8790000000807723</v>
      </c>
      <c r="E225" s="436" t="str">
        <f>CONCATENATE("(",ROUND((D225/$H226)*100,1),")")</f>
        <v>(7.3)</v>
      </c>
      <c r="F225" s="440">
        <f>'Ind T6'!S274</f>
        <v>1.4240000000381487</v>
      </c>
      <c r="G225" s="436" t="str">
        <f>CONCATENATE("(",ROUND((F225/$H226)*100,1),")")</f>
        <v>(3.6)</v>
      </c>
      <c r="H225" s="440">
        <f t="shared" ref="H225" si="176">SUM(B225,D225,F225)</f>
        <v>8.9490000000973069</v>
      </c>
      <c r="I225" s="436" t="str">
        <f>CONCATENATE("(",ROUND((H225/$H226)*100,1),")")</f>
        <v>(22.7)</v>
      </c>
      <c r="K225" s="440">
        <f t="shared" ref="K225:K226" si="177">B230-B225</f>
        <v>0.56500000000189132</v>
      </c>
      <c r="L225" s="440">
        <f t="shared" ref="L225:L226" si="178">D230-D225</f>
        <v>0.4669999999979586</v>
      </c>
      <c r="M225" s="440">
        <f t="shared" ref="M225:M226" si="179">F230-F225</f>
        <v>1.9999999990446327E-2</v>
      </c>
      <c r="N225" s="440">
        <f t="shared" ref="N225:N226" si="180">SUM(K225:M225)</f>
        <v>1.0519999999902963</v>
      </c>
    </row>
    <row r="226" spans="1:14" x14ac:dyDescent="0.2">
      <c r="A226" s="417" t="s">
        <v>389</v>
      </c>
      <c r="B226" s="440">
        <f>SUM(B224:B225)</f>
        <v>25.71499999971795</v>
      </c>
      <c r="C226" s="436" t="str">
        <f>CONCATENATE("(",ROUND((B226/$H226)*100,1),")")</f>
        <v>(65.1)</v>
      </c>
      <c r="D226" s="440">
        <f>SUM(D224:D225)</f>
        <v>5.8600000000421835</v>
      </c>
      <c r="E226" s="436" t="str">
        <f>CONCATENATE("(",ROUND((D226/$H226)*100,1),")")</f>
        <v>(14.8)</v>
      </c>
      <c r="F226" s="440">
        <f>SUM(F224:F225)</f>
        <v>7.9340000000257067</v>
      </c>
      <c r="G226" s="436" t="str">
        <f>CONCATENATE("(",ROUND((F226/$H226)*100,1),")")</f>
        <v>(20.1)</v>
      </c>
      <c r="H226" s="440">
        <f>SUM(H224:H225)</f>
        <v>39.508999999785843</v>
      </c>
      <c r="I226" s="436" t="str">
        <f>CONCATENATE("(",ROUND((H226/$H226)*100,1),")")</f>
        <v>(100)</v>
      </c>
      <c r="K226" s="440">
        <f t="shared" si="177"/>
        <v>-0.54700000000921278</v>
      </c>
      <c r="L226" s="440">
        <f t="shared" si="178"/>
        <v>0.81499999997995776</v>
      </c>
      <c r="M226" s="440">
        <f t="shared" si="179"/>
        <v>0.2599999998802609</v>
      </c>
      <c r="N226" s="440">
        <f t="shared" si="180"/>
        <v>0.52799999985100587</v>
      </c>
    </row>
    <row r="227" spans="1:14" x14ac:dyDescent="0.2">
      <c r="B227" s="440"/>
      <c r="C227" s="428"/>
      <c r="D227" s="440"/>
      <c r="E227" s="428"/>
      <c r="F227" s="440"/>
      <c r="G227" s="428"/>
      <c r="H227" s="440"/>
      <c r="I227" s="428"/>
    </row>
    <row r="228" spans="1:14" x14ac:dyDescent="0.2">
      <c r="A228" s="423">
        <f>$A$18</f>
        <v>2027</v>
      </c>
      <c r="B228" s="440"/>
      <c r="C228" s="428"/>
      <c r="D228" s="440"/>
      <c r="E228" s="428"/>
      <c r="F228" s="440"/>
      <c r="G228" s="428"/>
      <c r="H228" s="440"/>
      <c r="I228" s="428"/>
      <c r="K228" s="426" t="str">
        <f>CONCATENATE(A218," - ",A228)</f>
        <v>2017 - 2027</v>
      </c>
    </row>
    <row r="229" spans="1:14" x14ac:dyDescent="0.2">
      <c r="A229" s="417" t="s">
        <v>390</v>
      </c>
      <c r="B229" s="440">
        <f>'Ind T6'!V275</f>
        <v>19.95699999972846</v>
      </c>
      <c r="C229" s="436" t="str">
        <f>CONCATENATE("(",ROUND((B229/$H231)*100,1),")")</f>
        <v>(49.8)</v>
      </c>
      <c r="D229" s="440">
        <f>'Ind T6'!W275</f>
        <v>3.3289999999434108</v>
      </c>
      <c r="E229" s="436" t="str">
        <f>CONCATENATE("(",ROUND((D229/$H231)*100,1),")")</f>
        <v>(8.3)</v>
      </c>
      <c r="F229" s="440">
        <f>'Ind T6'!X275</f>
        <v>6.7499999998773728</v>
      </c>
      <c r="G229" s="436" t="str">
        <f>CONCATENATE("(",ROUND((F229/$H231)*100,1),")")</f>
        <v>(16.9)</v>
      </c>
      <c r="H229" s="440">
        <f>SUM(B229,D229,F229)</f>
        <v>30.03599999954924</v>
      </c>
      <c r="I229" s="436" t="str">
        <f>CONCATENATE("(",ROUND((H229/$H231)*100,1),")")</f>
        <v>(75)</v>
      </c>
      <c r="K229" s="440">
        <f>B229-B219</f>
        <v>-3.0260000003019982</v>
      </c>
      <c r="L229" s="440">
        <f>D229-D219</f>
        <v>0.6119999999349095</v>
      </c>
      <c r="M229" s="440">
        <f>F229-F219</f>
        <v>8.0999999448605919E-2</v>
      </c>
      <c r="N229" s="440">
        <f>SUM(K229:M229)</f>
        <v>-2.3330000009184828</v>
      </c>
    </row>
    <row r="230" spans="1:14" x14ac:dyDescent="0.2">
      <c r="A230" s="417" t="s">
        <v>391</v>
      </c>
      <c r="B230" s="440">
        <f>'Ind T6'!V274</f>
        <v>5.2109999999802774</v>
      </c>
      <c r="C230" s="436" t="str">
        <f>CONCATENATE("(",ROUND((B230/$H231)*100,1),")")</f>
        <v>(13)</v>
      </c>
      <c r="D230" s="440">
        <f>'Ind T6'!W274</f>
        <v>3.3460000000787309</v>
      </c>
      <c r="E230" s="436" t="str">
        <f>CONCATENATE("(",ROUND((D230/$H231)*100,1),")")</f>
        <v>(8.4)</v>
      </c>
      <c r="F230" s="440">
        <f>'Ind T6'!X274</f>
        <v>1.4440000000285951</v>
      </c>
      <c r="G230" s="436" t="str">
        <f>CONCATENATE("(",ROUND((F230/$H231)*100,1),")")</f>
        <v>(3.6)</v>
      </c>
      <c r="H230" s="440">
        <f t="shared" ref="H230" si="181">SUM(B230,D230,F230)</f>
        <v>10.001000000087604</v>
      </c>
      <c r="I230" s="436" t="str">
        <f>CONCATENATE("(",ROUND((H230/$H231)*100,1),")")</f>
        <v>(25)</v>
      </c>
      <c r="K230" s="440">
        <f t="shared" ref="K230:K231" si="182">B230-B220</f>
        <v>1.0569999999775304</v>
      </c>
      <c r="L230" s="440">
        <f t="shared" ref="L230:L231" si="183">D230-D220</f>
        <v>0.89899999999827429</v>
      </c>
      <c r="M230" s="440">
        <f t="shared" ref="M230:M231" si="184">F230-F220</f>
        <v>-2.8000000016141113E-2</v>
      </c>
      <c r="N230" s="440">
        <f t="shared" ref="N230:N231" si="185">SUM(K230:M230)</f>
        <v>1.9279999999596635</v>
      </c>
    </row>
    <row r="231" spans="1:14" x14ac:dyDescent="0.2">
      <c r="A231" s="408" t="s">
        <v>389</v>
      </c>
      <c r="B231" s="440">
        <f>SUM(B229:B230)</f>
        <v>25.167999999708737</v>
      </c>
      <c r="C231" s="436" t="str">
        <f>CONCATENATE("(",ROUND((B231/$H231)*100,1),")")</f>
        <v>(62.9)</v>
      </c>
      <c r="D231" s="440">
        <f>SUM(D229:D230)</f>
        <v>6.6750000000221412</v>
      </c>
      <c r="E231" s="436" t="str">
        <f>CONCATENATE("(",ROUND((D231/$H231)*100,1),")")</f>
        <v>(16.7)</v>
      </c>
      <c r="F231" s="440">
        <f>SUM(F229:F230)</f>
        <v>8.1939999999059676</v>
      </c>
      <c r="G231" s="436" t="str">
        <f>CONCATENATE("(",ROUND((F231/$H231)*100,1),")")</f>
        <v>(20.5)</v>
      </c>
      <c r="H231" s="440">
        <f>SUM(H229:H230)</f>
        <v>40.036999999636848</v>
      </c>
      <c r="I231" s="436" t="str">
        <f>CONCATENATE("(",ROUND((H231/$H231)*100,1),")")</f>
        <v>(100)</v>
      </c>
      <c r="K231" s="440">
        <f t="shared" si="182"/>
        <v>-1.969000000324467</v>
      </c>
      <c r="L231" s="440">
        <f t="shared" si="183"/>
        <v>1.5109999999331833</v>
      </c>
      <c r="M231" s="440">
        <f t="shared" si="184"/>
        <v>5.2999999432463696E-2</v>
      </c>
      <c r="N231" s="440">
        <f t="shared" si="185"/>
        <v>-0.40500000095881994</v>
      </c>
    </row>
    <row r="232" spans="1:14" x14ac:dyDescent="0.2">
      <c r="A232" s="429"/>
      <c r="B232" s="430"/>
      <c r="C232" s="429"/>
      <c r="D232" s="430"/>
      <c r="E232" s="429"/>
      <c r="F232" s="430"/>
      <c r="G232" s="429"/>
      <c r="H232" s="430"/>
      <c r="I232" s="429"/>
      <c r="J232" s="429"/>
      <c r="K232" s="430"/>
      <c r="L232" s="430"/>
      <c r="M232" s="430"/>
      <c r="N232" s="430"/>
    </row>
    <row r="236" spans="1:14" x14ac:dyDescent="0.2">
      <c r="A236" s="419"/>
      <c r="B236" s="420" t="s">
        <v>414</v>
      </c>
      <c r="C236" s="419"/>
      <c r="D236" s="420"/>
      <c r="E236" s="419"/>
      <c r="F236" s="420" t="str">
        <f>name!B14</f>
        <v>Accommodation and food</v>
      </c>
      <c r="G236" s="419"/>
      <c r="H236" s="422"/>
      <c r="I236" s="419"/>
      <c r="J236" s="421"/>
      <c r="K236" s="422"/>
      <c r="L236" s="422"/>
      <c r="M236" s="422"/>
      <c r="N236" s="422"/>
    </row>
    <row r="237" spans="1:14" x14ac:dyDescent="0.2">
      <c r="A237" s="408"/>
      <c r="B237" s="409"/>
      <c r="C237" s="408"/>
      <c r="D237" s="409"/>
      <c r="E237" s="408"/>
      <c r="F237" s="409"/>
      <c r="G237" s="408"/>
      <c r="H237" s="409"/>
      <c r="I237" s="408"/>
      <c r="K237" s="409"/>
      <c r="L237" s="409"/>
      <c r="M237" s="409"/>
      <c r="N237" s="415" t="s">
        <v>412</v>
      </c>
    </row>
    <row r="238" spans="1:14" x14ac:dyDescent="0.2">
      <c r="A238" s="413" t="s">
        <v>413</v>
      </c>
      <c r="B238" s="514" t="s">
        <v>411</v>
      </c>
      <c r="C238" s="514"/>
      <c r="D238" s="514" t="s">
        <v>410</v>
      </c>
      <c r="E238" s="514"/>
      <c r="F238" s="514" t="s">
        <v>409</v>
      </c>
      <c r="G238" s="514"/>
      <c r="H238" s="514" t="s">
        <v>32</v>
      </c>
      <c r="I238" s="514"/>
      <c r="J238" s="413"/>
      <c r="K238" s="434" t="s">
        <v>371</v>
      </c>
      <c r="L238" s="434" t="s">
        <v>373</v>
      </c>
      <c r="M238" s="434" t="s">
        <v>369</v>
      </c>
      <c r="N238" s="434" t="s">
        <v>32</v>
      </c>
    </row>
    <row r="239" spans="1:14" x14ac:dyDescent="0.2">
      <c r="A239" s="423">
        <f>$A$8</f>
        <v>2017</v>
      </c>
      <c r="B239" s="424" t="s">
        <v>60</v>
      </c>
      <c r="C239" s="425" t="s">
        <v>408</v>
      </c>
      <c r="D239" s="424" t="s">
        <v>60</v>
      </c>
      <c r="E239" s="425" t="s">
        <v>408</v>
      </c>
      <c r="F239" s="424" t="s">
        <v>60</v>
      </c>
      <c r="G239" s="425" t="s">
        <v>408</v>
      </c>
      <c r="H239" s="424" t="s">
        <v>60</v>
      </c>
      <c r="I239" s="425" t="s">
        <v>408</v>
      </c>
      <c r="J239" s="413"/>
      <c r="K239" s="426" t="str">
        <f>CONCATENATE(A239," - ",A244)</f>
        <v>2017 - 2022</v>
      </c>
      <c r="L239" s="427"/>
      <c r="M239" s="427"/>
    </row>
    <row r="240" spans="1:14" x14ac:dyDescent="0.2">
      <c r="A240" s="417" t="s">
        <v>390</v>
      </c>
      <c r="B240" s="440">
        <f>'Ind T6'!L295</f>
        <v>27.822999999963351</v>
      </c>
      <c r="C240" s="436" t="str">
        <f>CONCATENATE("(",ROUND((B240/$H242)*100,1),")")</f>
        <v>(20.2)</v>
      </c>
      <c r="D240" s="440">
        <f>'Ind T6'!M295</f>
        <v>33.779999999944252</v>
      </c>
      <c r="E240" s="436" t="str">
        <f>CONCATENATE("(",ROUND((D240/$H242)*100,1),")")</f>
        <v>(24.5)</v>
      </c>
      <c r="F240" s="440">
        <f>'Ind T6'!N295</f>
        <v>4.1119999999710819</v>
      </c>
      <c r="G240" s="436" t="str">
        <f>CONCATENATE("(",ROUND((F240/$H242)*100,1),")")</f>
        <v>(3)</v>
      </c>
      <c r="H240" s="440">
        <f>SUM(B240,D240,F240)</f>
        <v>65.714999999878685</v>
      </c>
      <c r="I240" s="436" t="str">
        <f>CONCATENATE("(",ROUND((H240/$H242)*100,1),")")</f>
        <v>(47.6)</v>
      </c>
      <c r="K240" s="440">
        <f>B245-B240</f>
        <v>1.0189999997569537</v>
      </c>
      <c r="L240" s="440">
        <f>D245-D240</f>
        <v>-1.566000000354947</v>
      </c>
      <c r="M240" s="440">
        <f>F245-F240</f>
        <v>-9.300000003801312E-2</v>
      </c>
      <c r="N240" s="440">
        <f>SUM(K240:M240)</f>
        <v>-0.64000000063600648</v>
      </c>
    </row>
    <row r="241" spans="1:14" x14ac:dyDescent="0.2">
      <c r="A241" s="417" t="s">
        <v>391</v>
      </c>
      <c r="B241" s="440">
        <f>'Ind T6'!L294</f>
        <v>25.540000000171922</v>
      </c>
      <c r="C241" s="436" t="str">
        <f>CONCATENATE("(",ROUND((B241/$H242)*100,1),")")</f>
        <v>(18.5)</v>
      </c>
      <c r="D241" s="440">
        <f>'Ind T6'!M294</f>
        <v>42.131000001864173</v>
      </c>
      <c r="E241" s="436" t="str">
        <f>CONCATENATE("(",ROUND((D241/$H242)*100,1),")")</f>
        <v>(30.5)</v>
      </c>
      <c r="F241" s="440">
        <f>'Ind T6'!N294</f>
        <v>4.6870000001656011</v>
      </c>
      <c r="G241" s="436" t="str">
        <f>CONCATENATE("(",ROUND((F241/$H242)*100,1),")")</f>
        <v>(3.4)</v>
      </c>
      <c r="H241" s="440">
        <f t="shared" ref="H241" si="186">SUM(B241,D241,F241)</f>
        <v>72.358000002201692</v>
      </c>
      <c r="I241" s="436" t="str">
        <f>CONCATENATE("(",ROUND((H241/$H242)*100,1),")")</f>
        <v>(52.4)</v>
      </c>
      <c r="K241" s="440">
        <f t="shared" ref="K241:K242" si="187">B246-B241</f>
        <v>0.37399999985584031</v>
      </c>
      <c r="L241" s="440">
        <f t="shared" ref="L241:L242" si="188">D246-D241</f>
        <v>1.0939999995763046</v>
      </c>
      <c r="M241" s="440">
        <f t="shared" ref="M241:M242" si="189">F246-F241</f>
        <v>0.303000000003256</v>
      </c>
      <c r="N241" s="440">
        <f t="shared" ref="N241:N242" si="190">SUM(K241:M241)</f>
        <v>1.7709999994354009</v>
      </c>
    </row>
    <row r="242" spans="1:14" x14ac:dyDescent="0.2">
      <c r="A242" s="417" t="s">
        <v>389</v>
      </c>
      <c r="B242" s="440">
        <f>SUM(B240:B241)</f>
        <v>53.363000000135273</v>
      </c>
      <c r="C242" s="436" t="str">
        <f>CONCATENATE("(",ROUND((B242/$H242)*100,1),")")</f>
        <v>(38.6)</v>
      </c>
      <c r="D242" s="440">
        <f>SUM(D240:D241)</f>
        <v>75.911000001808418</v>
      </c>
      <c r="E242" s="436" t="str">
        <f>CONCATENATE("(",ROUND((D242/$H242)*100,1),")")</f>
        <v>(55)</v>
      </c>
      <c r="F242" s="440">
        <f>SUM(F240:F241)</f>
        <v>8.799000000136683</v>
      </c>
      <c r="G242" s="436" t="str">
        <f>CONCATENATE("(",ROUND((F242/$H242)*100,1),")")</f>
        <v>(6.4)</v>
      </c>
      <c r="H242" s="440">
        <f>SUM(H240:H241)</f>
        <v>138.07300000208039</v>
      </c>
      <c r="I242" s="436" t="str">
        <f>CONCATENATE("(",ROUND((H242/$H242)*100,1),")")</f>
        <v>(100)</v>
      </c>
      <c r="K242" s="440">
        <f t="shared" si="187"/>
        <v>1.3929999996127975</v>
      </c>
      <c r="L242" s="440">
        <f t="shared" si="188"/>
        <v>-0.47200000077863535</v>
      </c>
      <c r="M242" s="440">
        <f t="shared" si="189"/>
        <v>0.20999999996524288</v>
      </c>
      <c r="N242" s="440">
        <f t="shared" si="190"/>
        <v>1.130999998799405</v>
      </c>
    </row>
    <row r="243" spans="1:14" x14ac:dyDescent="0.2">
      <c r="B243" s="440"/>
      <c r="C243" s="428"/>
      <c r="D243" s="440"/>
      <c r="E243" s="428"/>
      <c r="F243" s="440"/>
      <c r="G243" s="428"/>
      <c r="H243" s="440"/>
      <c r="I243" s="428"/>
    </row>
    <row r="244" spans="1:14" x14ac:dyDescent="0.2">
      <c r="A244" s="423">
        <f>$A$13</f>
        <v>2022</v>
      </c>
      <c r="B244" s="440"/>
      <c r="C244" s="428"/>
      <c r="D244" s="440"/>
      <c r="E244" s="428"/>
      <c r="F244" s="440"/>
      <c r="G244" s="428"/>
      <c r="H244" s="440"/>
      <c r="I244" s="428"/>
      <c r="K244" s="426" t="str">
        <f>CONCATENATE(A244," - ",A249)</f>
        <v>2022 - 2027</v>
      </c>
    </row>
    <row r="245" spans="1:14" x14ac:dyDescent="0.2">
      <c r="A245" s="417" t="s">
        <v>390</v>
      </c>
      <c r="B245" s="440">
        <f>'Ind T6'!Q295</f>
        <v>28.841999999720304</v>
      </c>
      <c r="C245" s="436" t="str">
        <f>CONCATENATE("(",ROUND((B245/$H247)*100,1),")")</f>
        <v>(20.7)</v>
      </c>
      <c r="D245" s="440">
        <f>'Ind T6'!R295</f>
        <v>32.213999999589305</v>
      </c>
      <c r="E245" s="436" t="str">
        <f>CONCATENATE("(",ROUND((D245/$H247)*100,1),")")</f>
        <v>(23.1)</v>
      </c>
      <c r="F245" s="440">
        <f>'Ind T6'!S295</f>
        <v>4.0189999999330688</v>
      </c>
      <c r="G245" s="436" t="str">
        <f>CONCATENATE("(",ROUND((F245/$H247)*100,1),")")</f>
        <v>(2.9)</v>
      </c>
      <c r="H245" s="440">
        <f>SUM(B245,D245,F245)</f>
        <v>65.074999999242678</v>
      </c>
      <c r="I245" s="436" t="str">
        <f>CONCATENATE("(",ROUND((H245/$H247)*100,1),")")</f>
        <v>(46.7)</v>
      </c>
      <c r="K245" s="440">
        <f>B250-B245</f>
        <v>1.6620000000076196</v>
      </c>
      <c r="L245" s="440">
        <f>D250-D245</f>
        <v>-0.51499999998390678</v>
      </c>
      <c r="M245" s="440">
        <f>F250-F245</f>
        <v>1.5000000019362858E-2</v>
      </c>
      <c r="N245" s="440">
        <f>SUM(K245:M245)</f>
        <v>1.1620000000430757</v>
      </c>
    </row>
    <row r="246" spans="1:14" x14ac:dyDescent="0.2">
      <c r="A246" s="417" t="s">
        <v>391</v>
      </c>
      <c r="B246" s="440">
        <f>'Ind T6'!Q294</f>
        <v>25.914000000027762</v>
      </c>
      <c r="C246" s="436" t="str">
        <f>CONCATENATE("(",ROUND((B246/$H247)*100,1),")")</f>
        <v>(18.6)</v>
      </c>
      <c r="D246" s="440">
        <f>'Ind T6'!R294</f>
        <v>43.225000001440478</v>
      </c>
      <c r="E246" s="436" t="str">
        <f>CONCATENATE("(",ROUND((D246/$H247)*100,1),")")</f>
        <v>(31.1)</v>
      </c>
      <c r="F246" s="440">
        <f>'Ind T6'!S294</f>
        <v>4.9900000001688571</v>
      </c>
      <c r="G246" s="436" t="str">
        <f>CONCATENATE("(",ROUND((F246/$H247)*100,1),")")</f>
        <v>(3.6)</v>
      </c>
      <c r="H246" s="440">
        <f t="shared" ref="H246" si="191">SUM(B246,D246,F246)</f>
        <v>74.12900000163711</v>
      </c>
      <c r="I246" s="436" t="str">
        <f>CONCATENATE("(",ROUND((H246/$H247)*100,1),")")</f>
        <v>(53.3)</v>
      </c>
      <c r="K246" s="440">
        <f t="shared" ref="K246:K247" si="192">B251-B246</f>
        <v>0.92899999999669802</v>
      </c>
      <c r="L246" s="440">
        <f t="shared" ref="L246:L247" si="193">D251-D246</f>
        <v>2.2490000000059922</v>
      </c>
      <c r="M246" s="440">
        <f t="shared" ref="M246:M247" si="194">F251-F246</f>
        <v>0.39299999998806534</v>
      </c>
      <c r="N246" s="440">
        <f t="shared" ref="N246:N247" si="195">SUM(K246:M246)</f>
        <v>3.5709999999907556</v>
      </c>
    </row>
    <row r="247" spans="1:14" x14ac:dyDescent="0.2">
      <c r="A247" s="417" t="s">
        <v>389</v>
      </c>
      <c r="B247" s="440">
        <f>SUM(B245:B246)</f>
        <v>54.75599999974807</v>
      </c>
      <c r="C247" s="436" t="str">
        <f>CONCATENATE("(",ROUND((B247/$H247)*100,1),")")</f>
        <v>(39.3)</v>
      </c>
      <c r="D247" s="440">
        <f>SUM(D245:D246)</f>
        <v>75.439000001029783</v>
      </c>
      <c r="E247" s="436" t="str">
        <f>CONCATENATE("(",ROUND((D247/$H247)*100,1),")")</f>
        <v>(54.2)</v>
      </c>
      <c r="F247" s="440">
        <f>SUM(F245:F246)</f>
        <v>9.0090000001019259</v>
      </c>
      <c r="G247" s="436" t="str">
        <f>CONCATENATE("(",ROUND((F247/$H247)*100,1),")")</f>
        <v>(6.5)</v>
      </c>
      <c r="H247" s="440">
        <f>SUM(H245:H246)</f>
        <v>139.20400000087977</v>
      </c>
      <c r="I247" s="436" t="str">
        <f>CONCATENATE("(",ROUND((H247/$H247)*100,1),")")</f>
        <v>(100)</v>
      </c>
      <c r="K247" s="440">
        <f t="shared" si="192"/>
        <v>2.5910000000043141</v>
      </c>
      <c r="L247" s="440">
        <f t="shared" si="193"/>
        <v>1.7340000000220783</v>
      </c>
      <c r="M247" s="440">
        <f t="shared" si="194"/>
        <v>0.4080000000074282</v>
      </c>
      <c r="N247" s="440">
        <f t="shared" si="195"/>
        <v>4.7330000000338206</v>
      </c>
    </row>
    <row r="248" spans="1:14" x14ac:dyDescent="0.2">
      <c r="B248" s="440"/>
      <c r="C248" s="428"/>
      <c r="D248" s="440"/>
      <c r="E248" s="428"/>
      <c r="F248" s="440"/>
      <c r="G248" s="428"/>
      <c r="H248" s="440"/>
      <c r="I248" s="428"/>
    </row>
    <row r="249" spans="1:14" x14ac:dyDescent="0.2">
      <c r="A249" s="423">
        <f>$A$18</f>
        <v>2027</v>
      </c>
      <c r="B249" s="440"/>
      <c r="C249" s="428"/>
      <c r="D249" s="440"/>
      <c r="E249" s="428"/>
      <c r="F249" s="440"/>
      <c r="G249" s="428"/>
      <c r="H249" s="440"/>
      <c r="I249" s="428"/>
      <c r="K249" s="426" t="str">
        <f>CONCATENATE(A239," - ",A249)</f>
        <v>2017 - 2027</v>
      </c>
    </row>
    <row r="250" spans="1:14" x14ac:dyDescent="0.2">
      <c r="A250" s="417" t="s">
        <v>390</v>
      </c>
      <c r="B250" s="440">
        <f>'Ind T6'!V295</f>
        <v>30.503999999727924</v>
      </c>
      <c r="C250" s="436" t="str">
        <f>CONCATENATE("(",ROUND((B250/$H252)*100,1),")")</f>
        <v>(21.2)</v>
      </c>
      <c r="D250" s="440">
        <f>'Ind T6'!W295</f>
        <v>31.698999999605398</v>
      </c>
      <c r="E250" s="436" t="str">
        <f>CONCATENATE("(",ROUND((D250/$H252)*100,1),")")</f>
        <v>(22)</v>
      </c>
      <c r="F250" s="440">
        <f>'Ind T6'!X295</f>
        <v>4.0339999999524316</v>
      </c>
      <c r="G250" s="436" t="str">
        <f>CONCATENATE("(",ROUND((F250/$H252)*100,1),")")</f>
        <v>(2.8)</v>
      </c>
      <c r="H250" s="440">
        <f>SUM(B250,D250,F250)</f>
        <v>66.236999999285757</v>
      </c>
      <c r="I250" s="436" t="str">
        <f>CONCATENATE("(",ROUND((H250/$H252)*100,1),")")</f>
        <v>(46)</v>
      </c>
      <c r="K250" s="440">
        <f>B250-B240</f>
        <v>2.6809999997645733</v>
      </c>
      <c r="L250" s="440">
        <f>D250-D240</f>
        <v>-2.0810000003388538</v>
      </c>
      <c r="M250" s="440">
        <f>F250-F240</f>
        <v>-7.8000000018650262E-2</v>
      </c>
      <c r="N250" s="440">
        <f>SUM(K250:M250)</f>
        <v>0.5219999994070692</v>
      </c>
    </row>
    <row r="251" spans="1:14" x14ac:dyDescent="0.2">
      <c r="A251" s="417" t="s">
        <v>391</v>
      </c>
      <c r="B251" s="440">
        <f>'Ind T6'!V294</f>
        <v>26.84300000002446</v>
      </c>
      <c r="C251" s="436" t="str">
        <f>CONCATENATE("(",ROUND((B251/$H252)*100,1),")")</f>
        <v>(18.6)</v>
      </c>
      <c r="D251" s="440">
        <f>'Ind T6'!W294</f>
        <v>45.47400000144647</v>
      </c>
      <c r="E251" s="436" t="str">
        <f>CONCATENATE("(",ROUND((D251/$H252)*100,1),")")</f>
        <v>(31.6)</v>
      </c>
      <c r="F251" s="440">
        <f>'Ind T6'!X294</f>
        <v>5.3830000001569225</v>
      </c>
      <c r="G251" s="436" t="str">
        <f>CONCATENATE("(",ROUND((F251/$H252)*100,1),")")</f>
        <v>(3.7)</v>
      </c>
      <c r="H251" s="440">
        <f t="shared" ref="H251" si="196">SUM(B251,D251,F251)</f>
        <v>77.700000001627856</v>
      </c>
      <c r="I251" s="436" t="str">
        <f>CONCATENATE("(",ROUND((H251/$H252)*100,1),")")</f>
        <v>(54)</v>
      </c>
      <c r="K251" s="440">
        <f t="shared" ref="K251:K252" si="197">B251-B241</f>
        <v>1.3029999998525383</v>
      </c>
      <c r="L251" s="440">
        <f t="shared" ref="L251:L252" si="198">D251-D241</f>
        <v>3.3429999995822968</v>
      </c>
      <c r="M251" s="440">
        <f t="shared" ref="M251:M252" si="199">F251-F241</f>
        <v>0.69599999999132134</v>
      </c>
      <c r="N251" s="440">
        <f t="shared" ref="N251:N252" si="200">SUM(K251:M251)</f>
        <v>5.3419999994261564</v>
      </c>
    </row>
    <row r="252" spans="1:14" x14ac:dyDescent="0.2">
      <c r="A252" s="408" t="s">
        <v>389</v>
      </c>
      <c r="B252" s="440">
        <f>SUM(B250:B251)</f>
        <v>57.346999999752384</v>
      </c>
      <c r="C252" s="436" t="str">
        <f>CONCATENATE("(",ROUND((B252/$H252)*100,1),")")</f>
        <v>(39.8)</v>
      </c>
      <c r="D252" s="440">
        <f>SUM(D250:D251)</f>
        <v>77.173000001051861</v>
      </c>
      <c r="E252" s="436" t="str">
        <f>CONCATENATE("(",ROUND((D252/$H252)*100,1),")")</f>
        <v>(53.6)</v>
      </c>
      <c r="F252" s="440">
        <f>SUM(F250:F251)</f>
        <v>9.4170000001093541</v>
      </c>
      <c r="G252" s="436" t="str">
        <f>CONCATENATE("(",ROUND((F252/$H252)*100,1),")")</f>
        <v>(6.5)</v>
      </c>
      <c r="H252" s="440">
        <f>SUM(H250:H251)</f>
        <v>143.9370000009136</v>
      </c>
      <c r="I252" s="436" t="str">
        <f>CONCATENATE("(",ROUND((H252/$H252)*100,1),")")</f>
        <v>(100)</v>
      </c>
      <c r="K252" s="440">
        <f t="shared" si="197"/>
        <v>3.9839999996171116</v>
      </c>
      <c r="L252" s="440">
        <f t="shared" si="198"/>
        <v>1.261999999243443</v>
      </c>
      <c r="M252" s="440">
        <f t="shared" si="199"/>
        <v>0.61799999997267108</v>
      </c>
      <c r="N252" s="440">
        <f t="shared" si="200"/>
        <v>5.8639999988332256</v>
      </c>
    </row>
    <row r="253" spans="1:14" x14ac:dyDescent="0.2">
      <c r="A253" s="429"/>
      <c r="B253" s="430"/>
      <c r="C253" s="429"/>
      <c r="D253" s="430"/>
      <c r="E253" s="429"/>
      <c r="F253" s="430"/>
      <c r="G253" s="429"/>
      <c r="H253" s="430"/>
      <c r="I253" s="429"/>
      <c r="J253" s="429"/>
      <c r="K253" s="430"/>
      <c r="L253" s="430"/>
      <c r="M253" s="430"/>
      <c r="N253" s="430"/>
    </row>
    <row r="256" spans="1:14" x14ac:dyDescent="0.2">
      <c r="C256" s="267"/>
      <c r="E256" s="267"/>
      <c r="G256" s="267"/>
      <c r="I256" s="267"/>
    </row>
    <row r="257" spans="1:14" x14ac:dyDescent="0.2">
      <c r="A257" s="419"/>
      <c r="B257" s="420" t="s">
        <v>414</v>
      </c>
      <c r="C257" s="419"/>
      <c r="D257" s="420"/>
      <c r="E257" s="419"/>
      <c r="F257" s="420" t="str">
        <f>name!B15</f>
        <v>Media</v>
      </c>
      <c r="G257" s="419"/>
      <c r="H257" s="422"/>
      <c r="I257" s="419"/>
      <c r="J257" s="421"/>
      <c r="K257" s="422"/>
      <c r="L257" s="422"/>
      <c r="M257" s="422"/>
      <c r="N257" s="422"/>
    </row>
    <row r="258" spans="1:14" x14ac:dyDescent="0.2">
      <c r="A258" s="408"/>
      <c r="B258" s="409"/>
      <c r="C258" s="408"/>
      <c r="D258" s="409"/>
      <c r="E258" s="408"/>
      <c r="F258" s="409"/>
      <c r="G258" s="408"/>
      <c r="H258" s="409"/>
      <c r="I258" s="408"/>
      <c r="K258" s="409"/>
      <c r="L258" s="409"/>
      <c r="M258" s="409"/>
      <c r="N258" s="415" t="s">
        <v>412</v>
      </c>
    </row>
    <row r="259" spans="1:14" x14ac:dyDescent="0.2">
      <c r="A259" s="413" t="s">
        <v>413</v>
      </c>
      <c r="B259" s="514" t="s">
        <v>411</v>
      </c>
      <c r="C259" s="514"/>
      <c r="D259" s="514" t="s">
        <v>410</v>
      </c>
      <c r="E259" s="514"/>
      <c r="F259" s="514" t="s">
        <v>409</v>
      </c>
      <c r="G259" s="514"/>
      <c r="H259" s="514" t="s">
        <v>32</v>
      </c>
      <c r="I259" s="514"/>
      <c r="J259" s="413"/>
      <c r="K259" s="434" t="s">
        <v>371</v>
      </c>
      <c r="L259" s="434" t="s">
        <v>373</v>
      </c>
      <c r="M259" s="434" t="s">
        <v>369</v>
      </c>
      <c r="N259" s="434" t="s">
        <v>32</v>
      </c>
    </row>
    <row r="260" spans="1:14" x14ac:dyDescent="0.2">
      <c r="A260" s="423">
        <f>$A$8</f>
        <v>2017</v>
      </c>
      <c r="B260" s="424" t="s">
        <v>60</v>
      </c>
      <c r="C260" s="425" t="s">
        <v>408</v>
      </c>
      <c r="D260" s="424" t="s">
        <v>60</v>
      </c>
      <c r="E260" s="425" t="s">
        <v>408</v>
      </c>
      <c r="F260" s="424" t="s">
        <v>60</v>
      </c>
      <c r="G260" s="425" t="s">
        <v>408</v>
      </c>
      <c r="H260" s="424" t="s">
        <v>60</v>
      </c>
      <c r="I260" s="425" t="s">
        <v>408</v>
      </c>
      <c r="J260" s="413"/>
      <c r="K260" s="426" t="str">
        <f>CONCATENATE(A260," - ",A265)</f>
        <v>2017 - 2022</v>
      </c>
      <c r="L260" s="427"/>
      <c r="M260" s="427"/>
    </row>
    <row r="261" spans="1:14" x14ac:dyDescent="0.2">
      <c r="A261" s="417" t="s">
        <v>390</v>
      </c>
      <c r="B261" s="440">
        <f>'Ind T6'!L320</f>
        <v>3.017999999991769</v>
      </c>
      <c r="C261" s="436" t="str">
        <f>CONCATENATE("(",ROUND((B261/$H263)*100,1),")")</f>
        <v>(34.6)</v>
      </c>
      <c r="D261" s="440">
        <f>'Ind T6'!M320</f>
        <v>1.1600000000025272</v>
      </c>
      <c r="E261" s="436" t="str">
        <f>CONCATENATE("(",ROUND((D261/$H263)*100,1),")")</f>
        <v>(13.3)</v>
      </c>
      <c r="F261" s="440">
        <f>'Ind T6'!N320</f>
        <v>1.1369999999734792</v>
      </c>
      <c r="G261" s="436" t="str">
        <f>CONCATENATE("(",ROUND((F261/$H263)*100,1),")")</f>
        <v>(13)</v>
      </c>
      <c r="H261" s="440">
        <f>SUM(B261,D261,F261)</f>
        <v>5.3149999999677755</v>
      </c>
      <c r="I261" s="436" t="str">
        <f>CONCATENATE("(",ROUND((H261/$H263)*100,1),")")</f>
        <v>(60.9)</v>
      </c>
      <c r="K261" s="440">
        <f>B266-B261</f>
        <v>-0.2569999999964061</v>
      </c>
      <c r="L261" s="440">
        <f>D266-D261</f>
        <v>0.30199999998809068</v>
      </c>
      <c r="M261" s="440">
        <f>F266-F261</f>
        <v>-3.4999999995315223E-2</v>
      </c>
      <c r="N261" s="440">
        <f>SUM(K261:M261)</f>
        <v>9.9999999963693575E-3</v>
      </c>
    </row>
    <row r="262" spans="1:14" x14ac:dyDescent="0.2">
      <c r="A262" s="417" t="s">
        <v>391</v>
      </c>
      <c r="B262" s="440">
        <f>'Ind T6'!L319</f>
        <v>2.1879999999825768</v>
      </c>
      <c r="C262" s="436" t="str">
        <f>CONCATENATE("(",ROUND((B262/$H263)*100,1),")")</f>
        <v>(25.1)</v>
      </c>
      <c r="D262" s="440">
        <f>'Ind T6'!M319</f>
        <v>1.2210000000154511</v>
      </c>
      <c r="E262" s="436" t="str">
        <f>CONCATENATE("(",ROUND((D262/$H263)*100,1),")")</f>
        <v>(14)</v>
      </c>
      <c r="F262" s="440">
        <f>'Ind T6'!N319</f>
        <v>0</v>
      </c>
      <c r="G262" s="436" t="str">
        <f>CONCATENATE("(",ROUND((F262/$H263)*100,1),")")</f>
        <v>(0)</v>
      </c>
      <c r="H262" s="440">
        <f t="shared" ref="H262" si="201">SUM(B262,D262,F262)</f>
        <v>3.4089999999980281</v>
      </c>
      <c r="I262" s="436" t="str">
        <f>CONCATENATE("(",ROUND((H262/$H263)*100,1),")")</f>
        <v>(39.1)</v>
      </c>
      <c r="K262" s="440">
        <f t="shared" ref="K262:K263" si="202">B267-B262</f>
        <v>-0.19400000000465645</v>
      </c>
      <c r="L262" s="440">
        <f t="shared" ref="L262:L263" si="203">D267-D262</f>
        <v>0.10899999999842103</v>
      </c>
      <c r="M262" s="440">
        <f t="shared" ref="M262:M263" si="204">F267-F262</f>
        <v>0</v>
      </c>
      <c r="N262" s="440">
        <f t="shared" ref="N262:N263" si="205">SUM(K262:M262)</f>
        <v>-8.5000000006235421E-2</v>
      </c>
    </row>
    <row r="263" spans="1:14" x14ac:dyDescent="0.2">
      <c r="A263" s="417" t="s">
        <v>389</v>
      </c>
      <c r="B263" s="440">
        <f>SUM(B261:B262)</f>
        <v>5.2059999999743454</v>
      </c>
      <c r="C263" s="436" t="str">
        <f>CONCATENATE("(",ROUND((B263/$H263)*100,1),")")</f>
        <v>(59.7)</v>
      </c>
      <c r="D263" s="440">
        <f>SUM(D261:D262)</f>
        <v>2.3810000000179783</v>
      </c>
      <c r="E263" s="436" t="str">
        <f>CONCATENATE("(",ROUND((D263/$H263)*100,1),")")</f>
        <v>(27.3)</v>
      </c>
      <c r="F263" s="440">
        <f>SUM(F261:F262)</f>
        <v>1.1369999999734792</v>
      </c>
      <c r="G263" s="436" t="str">
        <f>CONCATENATE("(",ROUND((F263/$H263)*100,1),")")</f>
        <v>(13)</v>
      </c>
      <c r="H263" s="440">
        <f>SUM(H261:H262)</f>
        <v>8.7239999999658036</v>
      </c>
      <c r="I263" s="436" t="str">
        <f>CONCATENATE("(",ROUND((H263/$H263)*100,1),")")</f>
        <v>(100)</v>
      </c>
      <c r="K263" s="440">
        <f t="shared" si="202"/>
        <v>-0.45100000000106188</v>
      </c>
      <c r="L263" s="440">
        <f t="shared" si="203"/>
        <v>0.41099999998651171</v>
      </c>
      <c r="M263" s="440">
        <f t="shared" si="204"/>
        <v>-3.4999999995315223E-2</v>
      </c>
      <c r="N263" s="440">
        <f t="shared" si="205"/>
        <v>-7.5000000009865397E-2</v>
      </c>
    </row>
    <row r="264" spans="1:14" x14ac:dyDescent="0.2">
      <c r="B264" s="440"/>
      <c r="C264" s="428"/>
      <c r="D264" s="440"/>
      <c r="E264" s="428"/>
      <c r="F264" s="440"/>
      <c r="G264" s="428"/>
      <c r="H264" s="440"/>
      <c r="I264" s="428"/>
    </row>
    <row r="265" spans="1:14" x14ac:dyDescent="0.2">
      <c r="A265" s="423">
        <f>$A$13</f>
        <v>2022</v>
      </c>
      <c r="B265" s="440"/>
      <c r="C265" s="428"/>
      <c r="D265" s="440"/>
      <c r="E265" s="428"/>
      <c r="F265" s="440"/>
      <c r="G265" s="428"/>
      <c r="H265" s="440"/>
      <c r="I265" s="428"/>
      <c r="K265" s="426" t="str">
        <f>CONCATENATE(A265," - ",A270)</f>
        <v>2022 - 2027</v>
      </c>
    </row>
    <row r="266" spans="1:14" x14ac:dyDescent="0.2">
      <c r="A266" s="417" t="s">
        <v>390</v>
      </c>
      <c r="B266" s="440">
        <f>'Ind T6'!Q320</f>
        <v>2.7609999999953629</v>
      </c>
      <c r="C266" s="436" t="str">
        <f>CONCATENATE("(",ROUND((B266/$H268)*100,1),")")</f>
        <v>(31.9)</v>
      </c>
      <c r="D266" s="440">
        <f>'Ind T6'!R320</f>
        <v>1.4619999999906179</v>
      </c>
      <c r="E266" s="436" t="str">
        <f>CONCATENATE("(",ROUND((D266/$H268)*100,1),")")</f>
        <v>(16.9)</v>
      </c>
      <c r="F266" s="440">
        <f>'Ind T6'!S320</f>
        <v>1.101999999978164</v>
      </c>
      <c r="G266" s="436" t="str">
        <f>CONCATENATE("(",ROUND((F266/$H268)*100,1),")")</f>
        <v>(12.7)</v>
      </c>
      <c r="H266" s="440">
        <f>SUM(B266,D266,F266)</f>
        <v>5.3249999999641453</v>
      </c>
      <c r="I266" s="436" t="str">
        <f>CONCATENATE("(",ROUND((H266/$H268)*100,1),")")</f>
        <v>(61.6)</v>
      </c>
      <c r="K266" s="440">
        <f>B271-B266</f>
        <v>-0.11199999999835075</v>
      </c>
      <c r="L266" s="440">
        <f>D271-D266</f>
        <v>0.28899999999502834</v>
      </c>
      <c r="M266" s="440">
        <f>F271-F266</f>
        <v>-2.9999999924488208E-3</v>
      </c>
      <c r="N266" s="440">
        <f>SUM(K266:M266)</f>
        <v>0.17400000000422877</v>
      </c>
    </row>
    <row r="267" spans="1:14" x14ac:dyDescent="0.2">
      <c r="A267" s="417" t="s">
        <v>391</v>
      </c>
      <c r="B267" s="440">
        <f>'Ind T6'!Q319</f>
        <v>1.9939999999779203</v>
      </c>
      <c r="C267" s="436" t="str">
        <f>CONCATENATE("(",ROUND((B267/$H268)*100,1),")")</f>
        <v>(23.1)</v>
      </c>
      <c r="D267" s="440">
        <f>'Ind T6'!R319</f>
        <v>1.3300000000138721</v>
      </c>
      <c r="E267" s="436" t="str">
        <f>CONCATENATE("(",ROUND((D267/$H268)*100,1),")")</f>
        <v>(15.4)</v>
      </c>
      <c r="F267" s="440">
        <f>'Ind T6'!S319</f>
        <v>0</v>
      </c>
      <c r="G267" s="436" t="str">
        <f>CONCATENATE("(",ROUND((F267/$H268)*100,1),")")</f>
        <v>(0)</v>
      </c>
      <c r="H267" s="440">
        <f t="shared" ref="H267" si="206">SUM(B267,D267,F267)</f>
        <v>3.3239999999917922</v>
      </c>
      <c r="I267" s="436" t="str">
        <f>CONCATENATE("(",ROUND((H267/$H268)*100,1),")")</f>
        <v>(38.4)</v>
      </c>
      <c r="K267" s="440">
        <f t="shared" ref="K267:K268" si="207">B272-B267</f>
        <v>-8.9999999997460334E-2</v>
      </c>
      <c r="L267" s="440">
        <f t="shared" ref="L267:L268" si="208">D272-D267</f>
        <v>0.12200000000003186</v>
      </c>
      <c r="M267" s="440">
        <f t="shared" ref="M267:M268" si="209">F272-F267</f>
        <v>0</v>
      </c>
      <c r="N267" s="440">
        <f t="shared" ref="N267:N268" si="210">SUM(K267:M267)</f>
        <v>3.2000000002571527E-2</v>
      </c>
    </row>
    <row r="268" spans="1:14" x14ac:dyDescent="0.2">
      <c r="A268" s="417" t="s">
        <v>389</v>
      </c>
      <c r="B268" s="440">
        <f>SUM(B266:B267)</f>
        <v>4.7549999999732835</v>
      </c>
      <c r="C268" s="436" t="str">
        <f>CONCATENATE("(",ROUND((B268/$H268)*100,1),")")</f>
        <v>(55)</v>
      </c>
      <c r="D268" s="440">
        <f>SUM(D266:D267)</f>
        <v>2.79200000000449</v>
      </c>
      <c r="E268" s="436" t="str">
        <f>CONCATENATE("(",ROUND((D268/$H268)*100,1),")")</f>
        <v>(32.3)</v>
      </c>
      <c r="F268" s="440">
        <f>SUM(F266:F267)</f>
        <v>1.101999999978164</v>
      </c>
      <c r="G268" s="436" t="str">
        <f>CONCATENATE("(",ROUND((F268/$H268)*100,1),")")</f>
        <v>(12.7)</v>
      </c>
      <c r="H268" s="440">
        <f>SUM(H266:H267)</f>
        <v>8.6489999999559366</v>
      </c>
      <c r="I268" s="436" t="str">
        <f>CONCATENATE("(",ROUND((H268/$H268)*100,1),")")</f>
        <v>(100)</v>
      </c>
      <c r="K268" s="440">
        <f t="shared" si="207"/>
        <v>-0.20199999999581131</v>
      </c>
      <c r="L268" s="440">
        <f t="shared" si="208"/>
        <v>0.41099999999505998</v>
      </c>
      <c r="M268" s="440">
        <f t="shared" si="209"/>
        <v>-2.9999999924488208E-3</v>
      </c>
      <c r="N268" s="440">
        <f t="shared" si="210"/>
        <v>0.20600000000679985</v>
      </c>
    </row>
    <row r="269" spans="1:14" x14ac:dyDescent="0.2">
      <c r="B269" s="440"/>
      <c r="C269" s="428"/>
      <c r="D269" s="440"/>
      <c r="E269" s="428"/>
      <c r="F269" s="440"/>
      <c r="G269" s="428"/>
      <c r="H269" s="440"/>
      <c r="I269" s="428"/>
    </row>
    <row r="270" spans="1:14" x14ac:dyDescent="0.2">
      <c r="A270" s="423">
        <f>$A$18</f>
        <v>2027</v>
      </c>
      <c r="B270" s="440"/>
      <c r="C270" s="428"/>
      <c r="D270" s="440"/>
      <c r="E270" s="428"/>
      <c r="F270" s="440"/>
      <c r="G270" s="428"/>
      <c r="H270" s="440"/>
      <c r="I270" s="428"/>
      <c r="K270" s="426" t="str">
        <f>CONCATENATE(A260," - ",A270)</f>
        <v>2017 - 2027</v>
      </c>
    </row>
    <row r="271" spans="1:14" x14ac:dyDescent="0.2">
      <c r="A271" s="417" t="s">
        <v>390</v>
      </c>
      <c r="B271" s="440">
        <f>'Ind T6'!V320</f>
        <v>2.6489999999970122</v>
      </c>
      <c r="C271" s="436" t="str">
        <f>CONCATENATE("(",ROUND((B271/$H273)*100,1),")")</f>
        <v>(29.9)</v>
      </c>
      <c r="D271" s="440">
        <f>'Ind T6'!W320</f>
        <v>1.7509999999856463</v>
      </c>
      <c r="E271" s="436" t="str">
        <f>CONCATENATE("(",ROUND((D271/$H273)*100,1),")")</f>
        <v>(19.8)</v>
      </c>
      <c r="F271" s="440">
        <f>'Ind T6'!X320</f>
        <v>1.0989999999857152</v>
      </c>
      <c r="G271" s="436" t="str">
        <f>CONCATENATE("(",ROUND((F271/$H273)*100,1),")")</f>
        <v>(12.4)</v>
      </c>
      <c r="H271" s="440">
        <f>SUM(B271,D271,F271)</f>
        <v>5.4989999999683743</v>
      </c>
      <c r="I271" s="436" t="str">
        <f>CONCATENATE("(",ROUND((H271/$H273)*100,1),")")</f>
        <v>(62.1)</v>
      </c>
      <c r="K271" s="440">
        <f>B271-B261</f>
        <v>-0.36899999999475686</v>
      </c>
      <c r="L271" s="440">
        <f>D271-D261</f>
        <v>0.59099999998311903</v>
      </c>
      <c r="M271" s="440">
        <f>F271-F261</f>
        <v>-3.7999999987764044E-2</v>
      </c>
      <c r="N271" s="440">
        <f>SUM(K271:M271)</f>
        <v>0.18400000000059813</v>
      </c>
    </row>
    <row r="272" spans="1:14" x14ac:dyDescent="0.2">
      <c r="A272" s="417" t="s">
        <v>391</v>
      </c>
      <c r="B272" s="440">
        <f>'Ind T6'!V319</f>
        <v>1.90399999998046</v>
      </c>
      <c r="C272" s="436" t="str">
        <f>CONCATENATE("(",ROUND((B272/$H273)*100,1),")")</f>
        <v>(21.5)</v>
      </c>
      <c r="D272" s="440">
        <f>'Ind T6'!W319</f>
        <v>1.4520000000139039</v>
      </c>
      <c r="E272" s="436" t="str">
        <f>CONCATENATE("(",ROUND((D272/$H273)*100,1),")")</f>
        <v>(16.4)</v>
      </c>
      <c r="F272" s="440">
        <f>'Ind T6'!X319</f>
        <v>0</v>
      </c>
      <c r="G272" s="436" t="str">
        <f>CONCATENATE("(",ROUND((F272/$H273)*100,1),")")</f>
        <v>(0)</v>
      </c>
      <c r="H272" s="440">
        <f t="shared" ref="H272" si="211">SUM(B272,D272,F272)</f>
        <v>3.3559999999943639</v>
      </c>
      <c r="I272" s="436" t="str">
        <f>CONCATENATE("(",ROUND((H272/$H273)*100,1),")")</f>
        <v>(37.9)</v>
      </c>
      <c r="K272" s="440">
        <f t="shared" ref="K272:K273" si="212">B272-B262</f>
        <v>-0.28400000000211678</v>
      </c>
      <c r="L272" s="440">
        <f t="shared" ref="L272:L273" si="213">D272-D262</f>
        <v>0.23099999999845289</v>
      </c>
      <c r="M272" s="440">
        <f t="shared" ref="M272:M273" si="214">F272-F262</f>
        <v>0</v>
      </c>
      <c r="N272" s="440">
        <f t="shared" ref="N272:N273" si="215">SUM(K272:M272)</f>
        <v>-5.3000000003663894E-2</v>
      </c>
    </row>
    <row r="273" spans="1:14" x14ac:dyDescent="0.2">
      <c r="A273" s="408" t="s">
        <v>389</v>
      </c>
      <c r="B273" s="440">
        <f>SUM(B271:B272)</f>
        <v>4.5529999999774722</v>
      </c>
      <c r="C273" s="436" t="str">
        <f>CONCATENATE("(",ROUND((B273/$H273)*100,1),")")</f>
        <v>(51.4)</v>
      </c>
      <c r="D273" s="440">
        <f>SUM(D271:D272)</f>
        <v>3.20299999999955</v>
      </c>
      <c r="E273" s="436" t="str">
        <f>CONCATENATE("(",ROUND((D273/$H273)*100,1),")")</f>
        <v>(36.2)</v>
      </c>
      <c r="F273" s="440">
        <f>SUM(F271:F272)</f>
        <v>1.0989999999857152</v>
      </c>
      <c r="G273" s="436" t="str">
        <f>CONCATENATE("(",ROUND((F273/$H273)*100,1),")")</f>
        <v>(12.4)</v>
      </c>
      <c r="H273" s="440">
        <f>SUM(H271:H272)</f>
        <v>8.8549999999627378</v>
      </c>
      <c r="I273" s="436" t="str">
        <f>CONCATENATE("(",ROUND((H273/$H273)*100,1),")")</f>
        <v>(100)</v>
      </c>
      <c r="K273" s="440">
        <f t="shared" si="212"/>
        <v>-0.65299999999687319</v>
      </c>
      <c r="L273" s="440">
        <f t="shared" si="213"/>
        <v>0.82199999998157169</v>
      </c>
      <c r="M273" s="440">
        <f t="shared" si="214"/>
        <v>-3.7999999987764044E-2</v>
      </c>
      <c r="N273" s="440">
        <f t="shared" si="215"/>
        <v>0.13099999999693446</v>
      </c>
    </row>
    <row r="274" spans="1:14" x14ac:dyDescent="0.2">
      <c r="A274" s="429"/>
      <c r="B274" s="430"/>
      <c r="C274" s="429"/>
      <c r="D274" s="430"/>
      <c r="E274" s="429"/>
      <c r="F274" s="430"/>
      <c r="G274" s="429"/>
      <c r="H274" s="430"/>
      <c r="I274" s="429"/>
      <c r="J274" s="429"/>
      <c r="K274" s="430"/>
      <c r="L274" s="430"/>
      <c r="M274" s="430"/>
      <c r="N274" s="430"/>
    </row>
    <row r="278" spans="1:14" x14ac:dyDescent="0.2">
      <c r="A278" s="419"/>
      <c r="B278" s="420" t="s">
        <v>414</v>
      </c>
      <c r="C278" s="419"/>
      <c r="D278" s="420"/>
      <c r="E278" s="419"/>
      <c r="F278" s="420" t="str">
        <f>name!B16</f>
        <v>Information technology</v>
      </c>
      <c r="G278" s="419"/>
      <c r="H278" s="422"/>
      <c r="I278" s="419"/>
      <c r="J278" s="421"/>
      <c r="K278" s="422"/>
      <c r="L278" s="422"/>
      <c r="M278" s="422"/>
      <c r="N278" s="422"/>
    </row>
    <row r="279" spans="1:14" x14ac:dyDescent="0.2">
      <c r="A279" s="408"/>
      <c r="B279" s="409"/>
      <c r="C279" s="408"/>
      <c r="D279" s="409"/>
      <c r="E279" s="408"/>
      <c r="F279" s="409"/>
      <c r="G279" s="408"/>
      <c r="H279" s="409"/>
      <c r="I279" s="408"/>
      <c r="K279" s="409"/>
      <c r="L279" s="409"/>
      <c r="M279" s="409"/>
      <c r="N279" s="415" t="s">
        <v>412</v>
      </c>
    </row>
    <row r="280" spans="1:14" x14ac:dyDescent="0.2">
      <c r="A280" s="413" t="s">
        <v>413</v>
      </c>
      <c r="B280" s="514" t="s">
        <v>411</v>
      </c>
      <c r="C280" s="514"/>
      <c r="D280" s="514" t="s">
        <v>410</v>
      </c>
      <c r="E280" s="514"/>
      <c r="F280" s="514" t="s">
        <v>409</v>
      </c>
      <c r="G280" s="514"/>
      <c r="H280" s="514" t="s">
        <v>32</v>
      </c>
      <c r="I280" s="514"/>
      <c r="J280" s="413"/>
      <c r="K280" s="434" t="s">
        <v>371</v>
      </c>
      <c r="L280" s="434" t="s">
        <v>373</v>
      </c>
      <c r="M280" s="434" t="s">
        <v>369</v>
      </c>
      <c r="N280" s="434" t="s">
        <v>32</v>
      </c>
    </row>
    <row r="281" spans="1:14" x14ac:dyDescent="0.2">
      <c r="A281" s="423">
        <f>$A$8</f>
        <v>2017</v>
      </c>
      <c r="B281" s="424" t="s">
        <v>60</v>
      </c>
      <c r="C281" s="425" t="s">
        <v>408</v>
      </c>
      <c r="D281" s="424" t="s">
        <v>60</v>
      </c>
      <c r="E281" s="425" t="s">
        <v>408</v>
      </c>
      <c r="F281" s="424" t="s">
        <v>60</v>
      </c>
      <c r="G281" s="425" t="s">
        <v>408</v>
      </c>
      <c r="H281" s="424" t="s">
        <v>60</v>
      </c>
      <c r="I281" s="425" t="s">
        <v>408</v>
      </c>
      <c r="J281" s="413"/>
      <c r="K281" s="426" t="str">
        <f>CONCATENATE(A281," - ",A286)</f>
        <v>2017 - 2022</v>
      </c>
      <c r="L281" s="427"/>
      <c r="M281" s="427"/>
    </row>
    <row r="282" spans="1:14" x14ac:dyDescent="0.2">
      <c r="A282" s="417" t="s">
        <v>390</v>
      </c>
      <c r="B282" s="440">
        <f>'Ind T6'!L345</f>
        <v>19.632999999771986</v>
      </c>
      <c r="C282" s="436" t="str">
        <f>CONCATENATE("(",ROUND((B282/$H284)*100,1),")")</f>
        <v>(67.8)</v>
      </c>
      <c r="D282" s="440">
        <f>'Ind T6'!M345</f>
        <v>0.56499999999877781</v>
      </c>
      <c r="E282" s="436" t="str">
        <f>CONCATENATE("(",ROUND((D282/$H284)*100,1),")")</f>
        <v>(1.9)</v>
      </c>
      <c r="F282" s="440">
        <f>'Ind T6'!N345</f>
        <v>2.1679999999584387</v>
      </c>
      <c r="G282" s="436" t="str">
        <f>CONCATENATE("(",ROUND((F282/$H284)*100,1),")")</f>
        <v>(7.5)</v>
      </c>
      <c r="H282" s="440">
        <f>SUM(B282,D282,F282)</f>
        <v>22.365999999729205</v>
      </c>
      <c r="I282" s="436" t="str">
        <f>CONCATENATE("(",ROUND((H282/$H284)*100,1),")")</f>
        <v>(77.2)</v>
      </c>
      <c r="K282" s="440">
        <f>B287-B282</f>
        <v>-0.6609999995255329</v>
      </c>
      <c r="L282" s="440">
        <f>D287-D282</f>
        <v>0.27900000000483849</v>
      </c>
      <c r="M282" s="440">
        <f>F287-F282</f>
        <v>0.24600000003320632</v>
      </c>
      <c r="N282" s="440">
        <f>SUM(K282:M282)</f>
        <v>-0.13599999948748809</v>
      </c>
    </row>
    <row r="283" spans="1:14" x14ac:dyDescent="0.2">
      <c r="A283" s="417" t="s">
        <v>391</v>
      </c>
      <c r="B283" s="440">
        <f>'Ind T6'!L344</f>
        <v>5.141999999932783</v>
      </c>
      <c r="C283" s="436" t="str">
        <f>CONCATENATE("(",ROUND((B283/$H284)*100,1),")")</f>
        <v>(17.7)</v>
      </c>
      <c r="D283" s="440">
        <f>'Ind T6'!M344</f>
        <v>1.4669999999907253</v>
      </c>
      <c r="E283" s="436" t="str">
        <f>CONCATENATE("(",ROUND((D283/$H284)*100,1),")")</f>
        <v>(5.1)</v>
      </c>
      <c r="F283" s="440">
        <f>'Ind T6'!N344</f>
        <v>0</v>
      </c>
      <c r="G283" s="436" t="str">
        <f>CONCATENATE("(",ROUND((F283/$H284)*100,1),")")</f>
        <v>(0)</v>
      </c>
      <c r="H283" s="440">
        <f t="shared" ref="H283" si="216">SUM(B283,D283,F283)</f>
        <v>6.6089999999235083</v>
      </c>
      <c r="I283" s="436" t="str">
        <f>CONCATENATE("(",ROUND((H283/$H284)*100,1),")")</f>
        <v>(22.8)</v>
      </c>
      <c r="K283" s="440">
        <f t="shared" ref="K283:K284" si="217">B288-B283</f>
        <v>0.12499999999248246</v>
      </c>
      <c r="L283" s="440">
        <f t="shared" ref="L283:L284" si="218">D288-D283</f>
        <v>0.57799999999992169</v>
      </c>
      <c r="M283" s="440">
        <f t="shared" ref="M283:M284" si="219">F288-F283</f>
        <v>0</v>
      </c>
      <c r="N283" s="440">
        <f t="shared" ref="N283:N284" si="220">SUM(K283:M283)</f>
        <v>0.70299999999240415</v>
      </c>
    </row>
    <row r="284" spans="1:14" x14ac:dyDescent="0.2">
      <c r="A284" s="417" t="s">
        <v>389</v>
      </c>
      <c r="B284" s="440">
        <f>SUM(B282:B283)</f>
        <v>24.774999999704768</v>
      </c>
      <c r="C284" s="436" t="str">
        <f>CONCATENATE("(",ROUND((B284/$H284)*100,1),")")</f>
        <v>(85.5)</v>
      </c>
      <c r="D284" s="440">
        <f>SUM(D282:D283)</f>
        <v>2.0319999999895031</v>
      </c>
      <c r="E284" s="436" t="str">
        <f>CONCATENATE("(",ROUND((D284/$H284)*100,1),")")</f>
        <v>(7)</v>
      </c>
      <c r="F284" s="440">
        <f>SUM(F282:F283)</f>
        <v>2.1679999999584387</v>
      </c>
      <c r="G284" s="436" t="str">
        <f>CONCATENATE("(",ROUND((F284/$H284)*100,1),")")</f>
        <v>(7.5)</v>
      </c>
      <c r="H284" s="440">
        <f>SUM(H282:H283)</f>
        <v>28.974999999652713</v>
      </c>
      <c r="I284" s="436" t="str">
        <f>CONCATENATE("(",ROUND((H284/$H284)*100,1),")")</f>
        <v>(100)</v>
      </c>
      <c r="K284" s="440">
        <f t="shared" si="217"/>
        <v>-0.53599999953305044</v>
      </c>
      <c r="L284" s="440">
        <f t="shared" si="218"/>
        <v>0.8570000000047604</v>
      </c>
      <c r="M284" s="440">
        <f t="shared" si="219"/>
        <v>0.24600000003320632</v>
      </c>
      <c r="N284" s="440">
        <f t="shared" si="220"/>
        <v>0.56700000050491628</v>
      </c>
    </row>
    <row r="285" spans="1:14" x14ac:dyDescent="0.2">
      <c r="B285" s="440"/>
      <c r="C285" s="428"/>
      <c r="D285" s="440"/>
      <c r="E285" s="428"/>
      <c r="F285" s="440"/>
      <c r="G285" s="428"/>
      <c r="H285" s="440"/>
      <c r="I285" s="428"/>
    </row>
    <row r="286" spans="1:14" x14ac:dyDescent="0.2">
      <c r="A286" s="423">
        <f>$A$13</f>
        <v>2022</v>
      </c>
      <c r="B286" s="440"/>
      <c r="C286" s="428"/>
      <c r="D286" s="440"/>
      <c r="E286" s="428"/>
      <c r="F286" s="440"/>
      <c r="G286" s="428"/>
      <c r="H286" s="440"/>
      <c r="I286" s="428"/>
      <c r="K286" s="426" t="str">
        <f>CONCATENATE(A286," - ",A291)</f>
        <v>2022 - 2027</v>
      </c>
    </row>
    <row r="287" spans="1:14" x14ac:dyDescent="0.2">
      <c r="A287" s="417" t="s">
        <v>390</v>
      </c>
      <c r="B287" s="440">
        <f>'Ind T6'!Q345</f>
        <v>18.972000000246453</v>
      </c>
      <c r="C287" s="436" t="str">
        <f>CONCATENATE("(",ROUND((B287/$H289)*100,1),")")</f>
        <v>(64.2)</v>
      </c>
      <c r="D287" s="440">
        <f>'Ind T6'!R345</f>
        <v>0.8440000000036163</v>
      </c>
      <c r="E287" s="436" t="str">
        <f>CONCATENATE("(",ROUND((D287/$H289)*100,1),")")</f>
        <v>(2.9)</v>
      </c>
      <c r="F287" s="440">
        <f>'Ind T6'!S345</f>
        <v>2.4139999999916451</v>
      </c>
      <c r="G287" s="436" t="str">
        <f>CONCATENATE("(",ROUND((F287/$H289)*100,1),")")</f>
        <v>(8.2)</v>
      </c>
      <c r="H287" s="440">
        <f>SUM(B287,D287,F287)</f>
        <v>22.230000000241716</v>
      </c>
      <c r="I287" s="436" t="str">
        <f>CONCATENATE("(",ROUND((H287/$H289)*100,1),")")</f>
        <v>(75.2)</v>
      </c>
      <c r="K287" s="440">
        <f>B292-B287</f>
        <v>-0.44799999994168971</v>
      </c>
      <c r="L287" s="440">
        <f>D292-D287</f>
        <v>0.23899999999989596</v>
      </c>
      <c r="M287" s="440">
        <f>F292-F287</f>
        <v>0.2110000000154546</v>
      </c>
      <c r="N287" s="440">
        <f>SUM(K287:M287)</f>
        <v>2.000000073660857E-3</v>
      </c>
    </row>
    <row r="288" spans="1:14" x14ac:dyDescent="0.2">
      <c r="A288" s="417" t="s">
        <v>391</v>
      </c>
      <c r="B288" s="440">
        <f>'Ind T6'!Q344</f>
        <v>5.2669999999252655</v>
      </c>
      <c r="C288" s="436" t="str">
        <f>CONCATENATE("(",ROUND((B288/$H289)*100,1),")")</f>
        <v>(17.8)</v>
      </c>
      <c r="D288" s="440">
        <f>'Ind T6'!R344</f>
        <v>2.044999999990647</v>
      </c>
      <c r="E288" s="436" t="str">
        <f>CONCATENATE("(",ROUND((D288/$H289)*100,1),")")</f>
        <v>(6.9)</v>
      </c>
      <c r="F288" s="440">
        <f>'Ind T6'!S344</f>
        <v>0</v>
      </c>
      <c r="G288" s="436" t="str">
        <f>CONCATENATE("(",ROUND((F288/$H289)*100,1),")")</f>
        <v>(0)</v>
      </c>
      <c r="H288" s="440">
        <f t="shared" ref="H288" si="221">SUM(B288,D288,F288)</f>
        <v>7.311999999915912</v>
      </c>
      <c r="I288" s="436" t="str">
        <f>CONCATENATE("(",ROUND((H288/$H289)*100,1),")")</f>
        <v>(24.8)</v>
      </c>
      <c r="K288" s="440">
        <f t="shared" ref="K288:K289" si="222">B293-B288</f>
        <v>0.12800000001276679</v>
      </c>
      <c r="L288" s="440">
        <f t="shared" ref="L288:L289" si="223">D293-D288</f>
        <v>0.50100000000211908</v>
      </c>
      <c r="M288" s="440">
        <f t="shared" ref="M288:M289" si="224">F293-F288</f>
        <v>0</v>
      </c>
      <c r="N288" s="440">
        <f t="shared" ref="N288:N289" si="225">SUM(K288:M288)</f>
        <v>0.62900000001488587</v>
      </c>
    </row>
    <row r="289" spans="1:14" x14ac:dyDescent="0.2">
      <c r="A289" s="417" t="s">
        <v>389</v>
      </c>
      <c r="B289" s="440">
        <f>SUM(B287:B288)</f>
        <v>24.239000000171718</v>
      </c>
      <c r="C289" s="436" t="str">
        <f>CONCATENATE("(",ROUND((B289/$H289)*100,1),")")</f>
        <v>(82)</v>
      </c>
      <c r="D289" s="440">
        <f>SUM(D287:D288)</f>
        <v>2.8889999999942635</v>
      </c>
      <c r="E289" s="436" t="str">
        <f>CONCATENATE("(",ROUND((D289/$H289)*100,1),")")</f>
        <v>(9.8)</v>
      </c>
      <c r="F289" s="440">
        <f>SUM(F287:F288)</f>
        <v>2.4139999999916451</v>
      </c>
      <c r="G289" s="436" t="str">
        <f>CONCATENATE("(",ROUND((F289/$H289)*100,1),")")</f>
        <v>(8.2)</v>
      </c>
      <c r="H289" s="440">
        <f>SUM(H287:H288)</f>
        <v>29.542000000157628</v>
      </c>
      <c r="I289" s="436" t="str">
        <f>CONCATENATE("(",ROUND((H289/$H289)*100,1),")")</f>
        <v>(100)</v>
      </c>
      <c r="K289" s="440">
        <f t="shared" si="222"/>
        <v>-0.31999999992892114</v>
      </c>
      <c r="L289" s="440">
        <f t="shared" si="223"/>
        <v>0.7400000000020146</v>
      </c>
      <c r="M289" s="440">
        <f t="shared" si="224"/>
        <v>0.2110000000154546</v>
      </c>
      <c r="N289" s="440">
        <f t="shared" si="225"/>
        <v>0.63100000008854806</v>
      </c>
    </row>
    <row r="290" spans="1:14" x14ac:dyDescent="0.2">
      <c r="B290" s="440"/>
      <c r="C290" s="428"/>
      <c r="D290" s="440"/>
      <c r="E290" s="428"/>
      <c r="F290" s="440"/>
      <c r="G290" s="428"/>
      <c r="H290" s="440"/>
      <c r="I290" s="428"/>
    </row>
    <row r="291" spans="1:14" x14ac:dyDescent="0.2">
      <c r="A291" s="423">
        <f>$A$18</f>
        <v>2027</v>
      </c>
      <c r="B291" s="440"/>
      <c r="C291" s="428"/>
      <c r="D291" s="440"/>
      <c r="E291" s="428"/>
      <c r="F291" s="440"/>
      <c r="G291" s="428"/>
      <c r="H291" s="440"/>
      <c r="I291" s="428"/>
      <c r="K291" s="426" t="str">
        <f>CONCATENATE(A281," - ",A291)</f>
        <v>2017 - 2027</v>
      </c>
    </row>
    <row r="292" spans="1:14" x14ac:dyDescent="0.2">
      <c r="A292" s="417" t="s">
        <v>390</v>
      </c>
      <c r="B292" s="440">
        <f>'Ind T6'!V345</f>
        <v>18.524000000304763</v>
      </c>
      <c r="C292" s="436" t="str">
        <f>CONCATENATE("(",ROUND((B292/$H294)*100,1),")")</f>
        <v>(61.4)</v>
      </c>
      <c r="D292" s="440">
        <f>'Ind T6'!W345</f>
        <v>1.0830000000035123</v>
      </c>
      <c r="E292" s="436" t="str">
        <f>CONCATENATE("(",ROUND((D292/$H294)*100,1),")")</f>
        <v>(3.6)</v>
      </c>
      <c r="F292" s="440">
        <f>'Ind T6'!X345</f>
        <v>2.6250000000070997</v>
      </c>
      <c r="G292" s="436" t="str">
        <f>CONCATENATE("(",ROUND((F292/$H294)*100,1),")")</f>
        <v>(8.7)</v>
      </c>
      <c r="H292" s="440">
        <f>SUM(B292,D292,F292)</f>
        <v>22.232000000315374</v>
      </c>
      <c r="I292" s="436" t="str">
        <f>CONCATENATE("(",ROUND((H292/$H294)*100,1),")")</f>
        <v>(73.7)</v>
      </c>
      <c r="K292" s="440">
        <f>B292-B282</f>
        <v>-1.1089999994672226</v>
      </c>
      <c r="L292" s="440">
        <f>D292-D282</f>
        <v>0.51800000000473445</v>
      </c>
      <c r="M292" s="440">
        <f>F292-F282</f>
        <v>0.45700000004866093</v>
      </c>
      <c r="N292" s="440">
        <f>SUM(K292:M292)</f>
        <v>-0.13399999941382723</v>
      </c>
    </row>
    <row r="293" spans="1:14" x14ac:dyDescent="0.2">
      <c r="A293" s="417" t="s">
        <v>391</v>
      </c>
      <c r="B293" s="440">
        <f>'Ind T6'!V344</f>
        <v>5.3949999999380323</v>
      </c>
      <c r="C293" s="436" t="str">
        <f>CONCATENATE("(",ROUND((B293/$H294)*100,1),")")</f>
        <v>(17.9)</v>
      </c>
      <c r="D293" s="440">
        <f>'Ind T6'!W344</f>
        <v>2.545999999992766</v>
      </c>
      <c r="E293" s="436" t="str">
        <f>CONCATENATE("(",ROUND((D293/$H294)*100,1),")")</f>
        <v>(8.4)</v>
      </c>
      <c r="F293" s="440">
        <f>'Ind T6'!X344</f>
        <v>0</v>
      </c>
      <c r="G293" s="436" t="str">
        <f>CONCATENATE("(",ROUND((F293/$H294)*100,1),")")</f>
        <v>(0)</v>
      </c>
      <c r="H293" s="440">
        <f t="shared" ref="H293" si="226">SUM(B293,D293,F293)</f>
        <v>7.9409999999307983</v>
      </c>
      <c r="I293" s="436" t="str">
        <f>CONCATENATE("(",ROUND((H293/$H294)*100,1),")")</f>
        <v>(26.3)</v>
      </c>
      <c r="K293" s="440">
        <f t="shared" ref="K293:K294" si="227">B293-B283</f>
        <v>0.25300000000524925</v>
      </c>
      <c r="L293" s="440">
        <f t="shared" ref="L293:L294" si="228">D293-D283</f>
        <v>1.0790000000020408</v>
      </c>
      <c r="M293" s="440">
        <f t="shared" ref="M293:M294" si="229">F293-F283</f>
        <v>0</v>
      </c>
      <c r="N293" s="440">
        <f t="shared" ref="N293:N294" si="230">SUM(K293:M293)</f>
        <v>1.33200000000729</v>
      </c>
    </row>
    <row r="294" spans="1:14" x14ac:dyDescent="0.2">
      <c r="A294" s="408" t="s">
        <v>389</v>
      </c>
      <c r="B294" s="440">
        <f>SUM(B292:B293)</f>
        <v>23.919000000242796</v>
      </c>
      <c r="C294" s="436" t="str">
        <f>CONCATENATE("(",ROUND((B294/$H294)*100,1),")")</f>
        <v>(79.3)</v>
      </c>
      <c r="D294" s="440">
        <f>SUM(D292:D293)</f>
        <v>3.6289999999962781</v>
      </c>
      <c r="E294" s="436" t="str">
        <f>CONCATENATE("(",ROUND((D294/$H294)*100,1),")")</f>
        <v>(12)</v>
      </c>
      <c r="F294" s="440">
        <f>SUM(F292:F293)</f>
        <v>2.6250000000070997</v>
      </c>
      <c r="G294" s="436" t="str">
        <f>CONCATENATE("(",ROUND((F294/$H294)*100,1),")")</f>
        <v>(8.7)</v>
      </c>
      <c r="H294" s="440">
        <f>SUM(H292:H293)</f>
        <v>30.173000000246173</v>
      </c>
      <c r="I294" s="436" t="str">
        <f>CONCATENATE("(",ROUND((H294/$H294)*100,1),")")</f>
        <v>(100)</v>
      </c>
      <c r="K294" s="440">
        <f t="shared" si="227"/>
        <v>-0.85599999946197158</v>
      </c>
      <c r="L294" s="440">
        <f t="shared" si="228"/>
        <v>1.597000000006775</v>
      </c>
      <c r="M294" s="440">
        <f t="shared" si="229"/>
        <v>0.45700000004866093</v>
      </c>
      <c r="N294" s="440">
        <f t="shared" si="230"/>
        <v>1.1980000005934643</v>
      </c>
    </row>
    <row r="295" spans="1:14" x14ac:dyDescent="0.2">
      <c r="A295" s="429"/>
      <c r="B295" s="430"/>
      <c r="C295" s="429"/>
      <c r="D295" s="430"/>
      <c r="E295" s="429"/>
      <c r="F295" s="430"/>
      <c r="G295" s="429"/>
      <c r="H295" s="430"/>
      <c r="I295" s="429"/>
      <c r="J295" s="429"/>
      <c r="K295" s="430"/>
      <c r="L295" s="430"/>
      <c r="M295" s="430"/>
      <c r="N295" s="430"/>
    </row>
    <row r="299" spans="1:14" x14ac:dyDescent="0.2">
      <c r="A299" s="419"/>
      <c r="B299" s="420" t="s">
        <v>414</v>
      </c>
      <c r="C299" s="419"/>
      <c r="D299" s="420"/>
      <c r="E299" s="419"/>
      <c r="F299" s="420" t="str">
        <f>name!B17</f>
        <v>Finance and insurance</v>
      </c>
      <c r="G299" s="419"/>
      <c r="H299" s="422"/>
      <c r="I299" s="419"/>
      <c r="J299" s="421"/>
      <c r="K299" s="422"/>
      <c r="L299" s="422"/>
      <c r="M299" s="422"/>
      <c r="N299" s="422"/>
    </row>
    <row r="300" spans="1:14" x14ac:dyDescent="0.2">
      <c r="A300" s="408"/>
      <c r="B300" s="409"/>
      <c r="C300" s="408"/>
      <c r="D300" s="409"/>
      <c r="E300" s="408"/>
      <c r="F300" s="409"/>
      <c r="G300" s="408"/>
      <c r="H300" s="409"/>
      <c r="I300" s="408"/>
      <c r="K300" s="409"/>
      <c r="L300" s="409"/>
      <c r="M300" s="409"/>
      <c r="N300" s="415" t="s">
        <v>412</v>
      </c>
    </row>
    <row r="301" spans="1:14" x14ac:dyDescent="0.2">
      <c r="A301" s="413" t="s">
        <v>413</v>
      </c>
      <c r="B301" s="514" t="s">
        <v>411</v>
      </c>
      <c r="C301" s="514"/>
      <c r="D301" s="514" t="s">
        <v>410</v>
      </c>
      <c r="E301" s="514"/>
      <c r="F301" s="514" t="s">
        <v>409</v>
      </c>
      <c r="G301" s="514"/>
      <c r="H301" s="514" t="s">
        <v>32</v>
      </c>
      <c r="I301" s="514"/>
      <c r="J301" s="413"/>
      <c r="K301" s="434" t="s">
        <v>371</v>
      </c>
      <c r="L301" s="434" t="s">
        <v>373</v>
      </c>
      <c r="M301" s="434" t="s">
        <v>369</v>
      </c>
      <c r="N301" s="434" t="s">
        <v>32</v>
      </c>
    </row>
    <row r="302" spans="1:14" x14ac:dyDescent="0.2">
      <c r="A302" s="423">
        <f>$A$8</f>
        <v>2017</v>
      </c>
      <c r="B302" s="424" t="s">
        <v>60</v>
      </c>
      <c r="C302" s="425" t="s">
        <v>408</v>
      </c>
      <c r="D302" s="424" t="s">
        <v>60</v>
      </c>
      <c r="E302" s="425" t="s">
        <v>408</v>
      </c>
      <c r="F302" s="424" t="s">
        <v>60</v>
      </c>
      <c r="G302" s="425" t="s">
        <v>408</v>
      </c>
      <c r="H302" s="424" t="s">
        <v>60</v>
      </c>
      <c r="I302" s="425" t="s">
        <v>408</v>
      </c>
      <c r="J302" s="413"/>
      <c r="K302" s="426" t="str">
        <f>CONCATENATE(A302," - ",A307)</f>
        <v>2017 - 2022</v>
      </c>
      <c r="L302" s="427"/>
      <c r="M302" s="427"/>
    </row>
    <row r="303" spans="1:14" x14ac:dyDescent="0.2">
      <c r="A303" s="417" t="s">
        <v>390</v>
      </c>
      <c r="B303" s="440">
        <f>'Ind T6'!L370</f>
        <v>9.7319999999149793</v>
      </c>
      <c r="C303" s="436" t="str">
        <f>CONCATENATE("(",ROUND((B303/$H305)*100,1),")")</f>
        <v>(30.2)</v>
      </c>
      <c r="D303" s="440">
        <f>'Ind T6'!M370</f>
        <v>0.25699999999993633</v>
      </c>
      <c r="E303" s="436" t="str">
        <f>CONCATENATE("(",ROUND((D303/$H305)*100,1),")")</f>
        <v>(0.8)</v>
      </c>
      <c r="F303" s="440">
        <f>'Ind T6'!N370</f>
        <v>3.766999999946945</v>
      </c>
      <c r="G303" s="436" t="str">
        <f>CONCATENATE("(",ROUND((F303/$H305)*100,1),")")</f>
        <v>(11.7)</v>
      </c>
      <c r="H303" s="440">
        <f>SUM(B303,D303,F303)</f>
        <v>13.75599999986186</v>
      </c>
      <c r="I303" s="436" t="str">
        <f>CONCATENATE("(",ROUND((H303/$H305)*100,1),")")</f>
        <v>(42.7)</v>
      </c>
      <c r="K303" s="440">
        <f>B308-B303</f>
        <v>0.86800000015959355</v>
      </c>
      <c r="L303" s="440">
        <f>D308-D303</f>
        <v>1.9999999992318385E-3</v>
      </c>
      <c r="M303" s="440">
        <f>F308-F303</f>
        <v>8.1000000015360563E-2</v>
      </c>
      <c r="N303" s="440">
        <f>SUM(K303:M303)</f>
        <v>0.95100000017418596</v>
      </c>
    </row>
    <row r="304" spans="1:14" x14ac:dyDescent="0.2">
      <c r="A304" s="417" t="s">
        <v>391</v>
      </c>
      <c r="B304" s="440">
        <f>'Ind T6'!L369</f>
        <v>12.240999999861064</v>
      </c>
      <c r="C304" s="436" t="str">
        <f>CONCATENATE("(",ROUND((B304/$H305)*100,1),")")</f>
        <v>(38)</v>
      </c>
      <c r="D304" s="440">
        <f>'Ind T6'!M369</f>
        <v>6.2230000000636094</v>
      </c>
      <c r="E304" s="436" t="str">
        <f>CONCATENATE("(",ROUND((D304/$H305)*100,1),")")</f>
        <v>(19.3)</v>
      </c>
      <c r="F304" s="440">
        <f>'Ind T6'!N369</f>
        <v>0</v>
      </c>
      <c r="G304" s="436" t="str">
        <f>CONCATENATE("(",ROUND((F304/$H305)*100,1),")")</f>
        <v>(0)</v>
      </c>
      <c r="H304" s="440">
        <f t="shared" ref="H304" si="231">SUM(B304,D304,F304)</f>
        <v>18.463999999924674</v>
      </c>
      <c r="I304" s="436" t="str">
        <f>CONCATENATE("(",ROUND((H304/$H305)*100,1),")")</f>
        <v>(57.3)</v>
      </c>
      <c r="K304" s="440">
        <f t="shared" ref="K304:K305" si="232">B309-B304</f>
        <v>0.60499999992006437</v>
      </c>
      <c r="L304" s="440">
        <f t="shared" ref="L304:L305" si="233">D309-D304</f>
        <v>0.25899999999689793</v>
      </c>
      <c r="M304" s="440">
        <f t="shared" ref="M304:M305" si="234">F309-F304</f>
        <v>0</v>
      </c>
      <c r="N304" s="440">
        <f t="shared" ref="N304:N305" si="235">SUM(K304:M304)</f>
        <v>0.8639999999169623</v>
      </c>
    </row>
    <row r="305" spans="1:14" x14ac:dyDescent="0.2">
      <c r="A305" s="417" t="s">
        <v>389</v>
      </c>
      <c r="B305" s="440">
        <f>SUM(B303:B304)</f>
        <v>21.972999999776043</v>
      </c>
      <c r="C305" s="436" t="str">
        <f>CONCATENATE("(",ROUND((B305/$H305)*100,1),")")</f>
        <v>(68.2)</v>
      </c>
      <c r="D305" s="440">
        <f>SUM(D303:D304)</f>
        <v>6.480000000063546</v>
      </c>
      <c r="E305" s="436" t="str">
        <f>CONCATENATE("(",ROUND((D305/$H305)*100,1),")")</f>
        <v>(20.1)</v>
      </c>
      <c r="F305" s="440">
        <f>SUM(F303:F304)</f>
        <v>3.766999999946945</v>
      </c>
      <c r="G305" s="436" t="str">
        <f>CONCATENATE("(",ROUND((F305/$H305)*100,1),")")</f>
        <v>(11.7)</v>
      </c>
      <c r="H305" s="440">
        <f>SUM(H303:H304)</f>
        <v>32.219999999786538</v>
      </c>
      <c r="I305" s="436" t="str">
        <f>CONCATENATE("(",ROUND((H305/$H305)*100,1),")")</f>
        <v>(100)</v>
      </c>
      <c r="K305" s="440">
        <f t="shared" si="232"/>
        <v>1.4730000000796579</v>
      </c>
      <c r="L305" s="440">
        <f t="shared" si="233"/>
        <v>0.26099999999612944</v>
      </c>
      <c r="M305" s="440">
        <f t="shared" si="234"/>
        <v>8.1000000015360563E-2</v>
      </c>
      <c r="N305" s="440">
        <f t="shared" si="235"/>
        <v>1.8150000000911479</v>
      </c>
    </row>
    <row r="306" spans="1:14" x14ac:dyDescent="0.2">
      <c r="B306" s="440"/>
      <c r="C306" s="428"/>
      <c r="D306" s="440"/>
      <c r="E306" s="428"/>
      <c r="F306" s="440"/>
      <c r="G306" s="428"/>
      <c r="H306" s="440"/>
      <c r="I306" s="428"/>
    </row>
    <row r="307" spans="1:14" x14ac:dyDescent="0.2">
      <c r="A307" s="423">
        <f>$A$13</f>
        <v>2022</v>
      </c>
      <c r="B307" s="440"/>
      <c r="C307" s="428"/>
      <c r="D307" s="440"/>
      <c r="E307" s="428"/>
      <c r="F307" s="440"/>
      <c r="G307" s="428"/>
      <c r="H307" s="440"/>
      <c r="I307" s="428"/>
      <c r="K307" s="426" t="str">
        <f>CONCATENATE(A307," - ",A312)</f>
        <v>2022 - 2027</v>
      </c>
    </row>
    <row r="308" spans="1:14" x14ac:dyDescent="0.2">
      <c r="A308" s="417" t="s">
        <v>390</v>
      </c>
      <c r="B308" s="440">
        <f>'Ind T6'!Q370</f>
        <v>10.600000000074573</v>
      </c>
      <c r="C308" s="436" t="str">
        <f>CONCATENATE("(",ROUND((B308/$H310)*100,1),")")</f>
        <v>(31.1)</v>
      </c>
      <c r="D308" s="440">
        <f>'Ind T6'!R370</f>
        <v>0.25899999999916817</v>
      </c>
      <c r="E308" s="436" t="str">
        <f>CONCATENATE("(",ROUND((D308/$H310)*100,1),")")</f>
        <v>(0.8)</v>
      </c>
      <c r="F308" s="440">
        <f>'Ind T6'!S370</f>
        <v>3.8479999999623056</v>
      </c>
      <c r="G308" s="436" t="str">
        <f>CONCATENATE("(",ROUND((F308/$H310)*100,1),")")</f>
        <v>(11.3)</v>
      </c>
      <c r="H308" s="440">
        <f>SUM(B308,D308,F308)</f>
        <v>14.707000000036047</v>
      </c>
      <c r="I308" s="436" t="str">
        <f>CONCATENATE("(",ROUND((H308/$H310)*100,1),")")</f>
        <v>(43.2)</v>
      </c>
      <c r="K308" s="440">
        <f>B313-B308</f>
        <v>0.71700000004113917</v>
      </c>
      <c r="L308" s="440">
        <f>D313-D308</f>
        <v>-2.0000000014873121E-3</v>
      </c>
      <c r="M308" s="440">
        <f>F313-F308</f>
        <v>4.7000000000277709E-2</v>
      </c>
      <c r="N308" s="440">
        <f>SUM(K308:M308)</f>
        <v>0.76200000003992963</v>
      </c>
    </row>
    <row r="309" spans="1:14" x14ac:dyDescent="0.2">
      <c r="A309" s="417" t="s">
        <v>391</v>
      </c>
      <c r="B309" s="440">
        <f>'Ind T6'!Q369</f>
        <v>12.845999999781128</v>
      </c>
      <c r="C309" s="436" t="str">
        <f>CONCATENATE("(",ROUND((B309/$H310)*100,1),")")</f>
        <v>(37.7)</v>
      </c>
      <c r="D309" s="440">
        <f>'Ind T6'!R369</f>
        <v>6.4820000000605074</v>
      </c>
      <c r="E309" s="436" t="str">
        <f>CONCATENATE("(",ROUND((D309/$H310)*100,1),")")</f>
        <v>(19)</v>
      </c>
      <c r="F309" s="440">
        <f>'Ind T6'!S369</f>
        <v>0</v>
      </c>
      <c r="G309" s="436" t="str">
        <f>CONCATENATE("(",ROUND((F309/$H310)*100,1),")")</f>
        <v>(0)</v>
      </c>
      <c r="H309" s="440">
        <f t="shared" ref="H309" si="236">SUM(B309,D309,F309)</f>
        <v>19.327999999841637</v>
      </c>
      <c r="I309" s="436" t="str">
        <f>CONCATENATE("(",ROUND((H309/$H310)*100,1),")")</f>
        <v>(56.8)</v>
      </c>
      <c r="K309" s="440">
        <f t="shared" ref="K309:K310" si="237">B314-B309</f>
        <v>0.42300000000097171</v>
      </c>
      <c r="L309" s="440">
        <f t="shared" ref="L309:L310" si="238">D314-D309</f>
        <v>0.16599999999359305</v>
      </c>
      <c r="M309" s="440">
        <f t="shared" ref="M309:M310" si="239">F314-F309</f>
        <v>0</v>
      </c>
      <c r="N309" s="440">
        <f t="shared" ref="N309:N310" si="240">SUM(K309:M309)</f>
        <v>0.58899999999456476</v>
      </c>
    </row>
    <row r="310" spans="1:14" x14ac:dyDescent="0.2">
      <c r="A310" s="417" t="s">
        <v>389</v>
      </c>
      <c r="B310" s="440">
        <f>SUM(B308:B309)</f>
        <v>23.445999999855701</v>
      </c>
      <c r="C310" s="436" t="str">
        <f>CONCATENATE("(",ROUND((B310/$H310)*100,1),")")</f>
        <v>(68.9)</v>
      </c>
      <c r="D310" s="440">
        <f>SUM(D308:D309)</f>
        <v>6.7410000000596755</v>
      </c>
      <c r="E310" s="436" t="str">
        <f>CONCATENATE("(",ROUND((D310/$H310)*100,1),")")</f>
        <v>(19.8)</v>
      </c>
      <c r="F310" s="440">
        <f>SUM(F308:F309)</f>
        <v>3.8479999999623056</v>
      </c>
      <c r="G310" s="436" t="str">
        <f>CONCATENATE("(",ROUND((F310/$H310)*100,1),")")</f>
        <v>(11.3)</v>
      </c>
      <c r="H310" s="440">
        <f>SUM(H308:H309)</f>
        <v>34.034999999877684</v>
      </c>
      <c r="I310" s="436" t="str">
        <f>CONCATENATE("(",ROUND((H310/$H310)*100,1),")")</f>
        <v>(100)</v>
      </c>
      <c r="K310" s="440">
        <f t="shared" si="237"/>
        <v>1.1400000000421109</v>
      </c>
      <c r="L310" s="440">
        <f t="shared" si="238"/>
        <v>0.16399999999210557</v>
      </c>
      <c r="M310" s="440">
        <f t="shared" si="239"/>
        <v>4.7000000000277709E-2</v>
      </c>
      <c r="N310" s="440">
        <f t="shared" si="240"/>
        <v>1.3510000000344942</v>
      </c>
    </row>
    <row r="311" spans="1:14" x14ac:dyDescent="0.2">
      <c r="B311" s="440"/>
      <c r="C311" s="428"/>
      <c r="D311" s="440"/>
      <c r="E311" s="428"/>
      <c r="F311" s="440"/>
      <c r="G311" s="428"/>
      <c r="H311" s="440"/>
      <c r="I311" s="428"/>
    </row>
    <row r="312" spans="1:14" x14ac:dyDescent="0.2">
      <c r="A312" s="423">
        <f>$A$18</f>
        <v>2027</v>
      </c>
      <c r="B312" s="440"/>
      <c r="C312" s="428"/>
      <c r="D312" s="440"/>
      <c r="E312" s="428"/>
      <c r="F312" s="440"/>
      <c r="G312" s="428"/>
      <c r="H312" s="440"/>
      <c r="I312" s="428"/>
      <c r="K312" s="426" t="str">
        <f>CONCATENATE(A302," - ",A312)</f>
        <v>2017 - 2027</v>
      </c>
    </row>
    <row r="313" spans="1:14" x14ac:dyDescent="0.2">
      <c r="A313" s="417" t="s">
        <v>390</v>
      </c>
      <c r="B313" s="440">
        <f>'Ind T6'!V370</f>
        <v>11.317000000115712</v>
      </c>
      <c r="C313" s="436" t="str">
        <f>CONCATENATE("(",ROUND((B313/$H315)*100,1),")")</f>
        <v>(32)</v>
      </c>
      <c r="D313" s="440">
        <f>'Ind T6'!W370</f>
        <v>0.25699999999768086</v>
      </c>
      <c r="E313" s="436" t="str">
        <f>CONCATENATE("(",ROUND((D313/$H315)*100,1),")")</f>
        <v>(0.7)</v>
      </c>
      <c r="F313" s="440">
        <f>'Ind T6'!X370</f>
        <v>3.8949999999625833</v>
      </c>
      <c r="G313" s="436" t="str">
        <f>CONCATENATE("(",ROUND((F313/$H315)*100,1),")")</f>
        <v>(11)</v>
      </c>
      <c r="H313" s="440">
        <f>SUM(B313,D313,F313)</f>
        <v>15.469000000075976</v>
      </c>
      <c r="I313" s="436" t="str">
        <f>CONCATENATE("(",ROUND((H313/$H315)*100,1),")")</f>
        <v>(43.7)</v>
      </c>
      <c r="K313" s="440">
        <f>B313-B303</f>
        <v>1.5850000002007327</v>
      </c>
      <c r="L313" s="440">
        <f>D313-D303</f>
        <v>-2.2554735856772368E-12</v>
      </c>
      <c r="M313" s="440">
        <f>F313-F303</f>
        <v>0.12800000001563827</v>
      </c>
      <c r="N313" s="440">
        <f>SUM(K313:M313)</f>
        <v>1.7130000002141155</v>
      </c>
    </row>
    <row r="314" spans="1:14" x14ac:dyDescent="0.2">
      <c r="A314" s="417" t="s">
        <v>391</v>
      </c>
      <c r="B314" s="440">
        <f>'Ind T6'!V369</f>
        <v>13.2689999997821</v>
      </c>
      <c r="C314" s="436" t="str">
        <f>CONCATENATE("(",ROUND((B314/$H315)*100,1),")")</f>
        <v>(37.5)</v>
      </c>
      <c r="D314" s="440">
        <f>'Ind T6'!W369</f>
        <v>6.6480000000541004</v>
      </c>
      <c r="E314" s="436" t="str">
        <f>CONCATENATE("(",ROUND((D314/$H315)*100,1),")")</f>
        <v>(18.8)</v>
      </c>
      <c r="F314" s="440">
        <f>'Ind T6'!X369</f>
        <v>0</v>
      </c>
      <c r="G314" s="436" t="str">
        <f>CONCATENATE("(",ROUND((F314/$H315)*100,1),")")</f>
        <v>(0)</v>
      </c>
      <c r="H314" s="440">
        <f t="shared" ref="H314" si="241">SUM(B314,D314,F314)</f>
        <v>19.9169999998362</v>
      </c>
      <c r="I314" s="436" t="str">
        <f>CONCATENATE("(",ROUND((H314/$H315)*100,1),")")</f>
        <v>(56.3)</v>
      </c>
      <c r="K314" s="440">
        <f t="shared" ref="K314:K315" si="242">B314-B304</f>
        <v>1.0279999999210361</v>
      </c>
      <c r="L314" s="440">
        <f t="shared" ref="L314:L315" si="243">D314-D304</f>
        <v>0.42499999999049098</v>
      </c>
      <c r="M314" s="440">
        <f t="shared" ref="M314:M315" si="244">F314-F304</f>
        <v>0</v>
      </c>
      <c r="N314" s="440">
        <f t="shared" ref="N314:N315" si="245">SUM(K314:M314)</f>
        <v>1.4529999999115271</v>
      </c>
    </row>
    <row r="315" spans="1:14" x14ac:dyDescent="0.2">
      <c r="A315" s="408" t="s">
        <v>389</v>
      </c>
      <c r="B315" s="440">
        <f>SUM(B313:B314)</f>
        <v>24.585999999897812</v>
      </c>
      <c r="C315" s="436" t="str">
        <f>CONCATENATE("(",ROUND((B315/$H315)*100,1),")")</f>
        <v>(69.5)</v>
      </c>
      <c r="D315" s="440">
        <f>SUM(D313:D314)</f>
        <v>6.9050000000517811</v>
      </c>
      <c r="E315" s="436" t="str">
        <f>CONCATENATE("(",ROUND((D315/$H315)*100,1),")")</f>
        <v>(19.5)</v>
      </c>
      <c r="F315" s="440">
        <f>SUM(F313:F314)</f>
        <v>3.8949999999625833</v>
      </c>
      <c r="G315" s="436" t="str">
        <f>CONCATENATE("(",ROUND((F315/$H315)*100,1),")")</f>
        <v>(11)</v>
      </c>
      <c r="H315" s="440">
        <f>SUM(H313:H314)</f>
        <v>35.385999999912173</v>
      </c>
      <c r="I315" s="436" t="str">
        <f>CONCATENATE("(",ROUND((H315/$H315)*100,1),")")</f>
        <v>(100)</v>
      </c>
      <c r="K315" s="440">
        <f t="shared" si="242"/>
        <v>2.6130000001217688</v>
      </c>
      <c r="L315" s="440">
        <f t="shared" si="243"/>
        <v>0.42499999998823501</v>
      </c>
      <c r="M315" s="440">
        <f t="shared" si="244"/>
        <v>0.12800000001563827</v>
      </c>
      <c r="N315" s="440">
        <f t="shared" si="245"/>
        <v>3.1660000001256421</v>
      </c>
    </row>
    <row r="316" spans="1:14" x14ac:dyDescent="0.2">
      <c r="A316" s="429"/>
      <c r="B316" s="430"/>
      <c r="C316" s="429"/>
      <c r="D316" s="430"/>
      <c r="E316" s="429"/>
      <c r="F316" s="430"/>
      <c r="G316" s="429"/>
      <c r="H316" s="430"/>
      <c r="I316" s="429"/>
      <c r="J316" s="429"/>
      <c r="K316" s="430"/>
      <c r="L316" s="430"/>
      <c r="M316" s="430"/>
      <c r="N316" s="430"/>
    </row>
    <row r="320" spans="1:14" x14ac:dyDescent="0.2">
      <c r="A320" s="419"/>
      <c r="B320" s="420" t="s">
        <v>414</v>
      </c>
      <c r="C320" s="419"/>
      <c r="D320" s="420"/>
      <c r="E320" s="419"/>
      <c r="F320" s="420" t="str">
        <f>name!B18</f>
        <v>Real estate</v>
      </c>
      <c r="G320" s="419"/>
      <c r="H320" s="422"/>
      <c r="I320" s="419"/>
      <c r="J320" s="421"/>
      <c r="K320" s="422"/>
      <c r="L320" s="422"/>
      <c r="M320" s="422"/>
      <c r="N320" s="422"/>
    </row>
    <row r="321" spans="1:14" x14ac:dyDescent="0.2">
      <c r="A321" s="408"/>
      <c r="B321" s="409"/>
      <c r="C321" s="408"/>
      <c r="D321" s="409"/>
      <c r="E321" s="408"/>
      <c r="F321" s="409"/>
      <c r="G321" s="408"/>
      <c r="H321" s="409"/>
      <c r="I321" s="408"/>
      <c r="K321" s="409"/>
      <c r="L321" s="409"/>
      <c r="M321" s="409"/>
      <c r="N321" s="415" t="s">
        <v>412</v>
      </c>
    </row>
    <row r="322" spans="1:14" x14ac:dyDescent="0.2">
      <c r="A322" s="413" t="s">
        <v>413</v>
      </c>
      <c r="B322" s="514" t="s">
        <v>411</v>
      </c>
      <c r="C322" s="514"/>
      <c r="D322" s="514" t="s">
        <v>410</v>
      </c>
      <c r="E322" s="514"/>
      <c r="F322" s="514" t="s">
        <v>409</v>
      </c>
      <c r="G322" s="514"/>
      <c r="H322" s="514" t="s">
        <v>32</v>
      </c>
      <c r="I322" s="514"/>
      <c r="J322" s="413"/>
      <c r="K322" s="434" t="s">
        <v>371</v>
      </c>
      <c r="L322" s="434" t="s">
        <v>373</v>
      </c>
      <c r="M322" s="434" t="s">
        <v>369</v>
      </c>
      <c r="N322" s="434" t="s">
        <v>32</v>
      </c>
    </row>
    <row r="323" spans="1:14" x14ac:dyDescent="0.2">
      <c r="A323" s="423">
        <f>$A$8</f>
        <v>2017</v>
      </c>
      <c r="B323" s="424" t="s">
        <v>60</v>
      </c>
      <c r="C323" s="425" t="s">
        <v>408</v>
      </c>
      <c r="D323" s="424" t="s">
        <v>60</v>
      </c>
      <c r="E323" s="425" t="s">
        <v>408</v>
      </c>
      <c r="F323" s="424" t="s">
        <v>60</v>
      </c>
      <c r="G323" s="425" t="s">
        <v>408</v>
      </c>
      <c r="H323" s="424" t="s">
        <v>60</v>
      </c>
      <c r="I323" s="425" t="s">
        <v>408</v>
      </c>
      <c r="J323" s="413"/>
      <c r="K323" s="426" t="str">
        <f>CONCATENATE(A323," - ",A328)</f>
        <v>2017 - 2022</v>
      </c>
      <c r="L323" s="427"/>
      <c r="M323" s="427"/>
    </row>
    <row r="324" spans="1:14" x14ac:dyDescent="0.2">
      <c r="A324" s="417" t="s">
        <v>390</v>
      </c>
      <c r="B324" s="440">
        <f>'Ind T6'!L380</f>
        <v>5.7859999999706755</v>
      </c>
      <c r="C324" s="436" t="str">
        <f>CONCATENATE("(",ROUND((B324/$H326)*100,1),")")</f>
        <v>(25.9)</v>
      </c>
      <c r="D324" s="440">
        <f>'Ind T6'!M380</f>
        <v>1.6189999999883069</v>
      </c>
      <c r="E324" s="436" t="str">
        <f>CONCATENATE("(",ROUND((D324/$H326)*100,1),")")</f>
        <v>(7.3)</v>
      </c>
      <c r="F324" s="440">
        <f>'Ind T6'!N380</f>
        <v>1.4859999999921616</v>
      </c>
      <c r="G324" s="436" t="str">
        <f>CONCATENATE("(",ROUND((F324/$H326)*100,1),")")</f>
        <v>(6.7)</v>
      </c>
      <c r="H324" s="440">
        <f>SUM(B324,D324,F324)</f>
        <v>8.8909999999511449</v>
      </c>
      <c r="I324" s="436" t="str">
        <f>CONCATENATE("(",ROUND((H324/$H326)*100,1),")")</f>
        <v>(39.8)</v>
      </c>
      <c r="K324" s="440">
        <f>B329-B324</f>
        <v>0.49200000002482014</v>
      </c>
      <c r="L324" s="440">
        <f>D329-D324</f>
        <v>-1.0999999977816532E-2</v>
      </c>
      <c r="M324" s="440">
        <f>F329-F324</f>
        <v>4.6000000011834796E-2</v>
      </c>
      <c r="N324" s="440">
        <f>SUM(K324:M324)</f>
        <v>0.5270000000588384</v>
      </c>
    </row>
    <row r="325" spans="1:14" x14ac:dyDescent="0.2">
      <c r="A325" s="417" t="s">
        <v>391</v>
      </c>
      <c r="B325" s="440">
        <f>'Ind T6'!L379</f>
        <v>6.764999999961967</v>
      </c>
      <c r="C325" s="436" t="str">
        <f>CONCATENATE("(",ROUND((B325/$H326)*100,1),")")</f>
        <v>(30.3)</v>
      </c>
      <c r="D325" s="440">
        <f>'Ind T6'!M379</f>
        <v>4.5430000000634143</v>
      </c>
      <c r="E325" s="436" t="str">
        <f>CONCATENATE("(",ROUND((D325/$H326)*100,1),")")</f>
        <v>(20.4)</v>
      </c>
      <c r="F325" s="440">
        <f>'Ind T6'!N379</f>
        <v>2.1140000000307149</v>
      </c>
      <c r="G325" s="436" t="str">
        <f>CONCATENATE("(",ROUND((F325/$H326)*100,1),")")</f>
        <v>(9.5)</v>
      </c>
      <c r="H325" s="440">
        <f t="shared" ref="H325" si="246">SUM(B325,D325,F325)</f>
        <v>13.422000000056094</v>
      </c>
      <c r="I325" s="436" t="str">
        <f>CONCATENATE("(",ROUND((H325/$H326)*100,1),")")</f>
        <v>(60.2)</v>
      </c>
      <c r="K325" s="440">
        <f t="shared" ref="K325:K326" si="247">B330-B325</f>
        <v>9.2999999982214199E-2</v>
      </c>
      <c r="L325" s="440">
        <f t="shared" ref="L325:L326" si="248">D330-D325</f>
        <v>0.15399999999459446</v>
      </c>
      <c r="M325" s="440">
        <f t="shared" ref="M325:M326" si="249">F330-F325</f>
        <v>0.13700000000996049</v>
      </c>
      <c r="N325" s="440">
        <f t="shared" ref="N325:N326" si="250">SUM(K325:M325)</f>
        <v>0.38399999998676915</v>
      </c>
    </row>
    <row r="326" spans="1:14" x14ac:dyDescent="0.2">
      <c r="A326" s="417" t="s">
        <v>389</v>
      </c>
      <c r="B326" s="440">
        <f>SUM(B324:B325)</f>
        <v>12.550999999932642</v>
      </c>
      <c r="C326" s="436" t="str">
        <f>CONCATENATE("(",ROUND((B326/$H326)*100,1),")")</f>
        <v>(56.2)</v>
      </c>
      <c r="D326" s="440">
        <f>SUM(D324:D325)</f>
        <v>6.1620000000517212</v>
      </c>
      <c r="E326" s="436" t="str">
        <f>CONCATENATE("(",ROUND((D326/$H326)*100,1),")")</f>
        <v>(27.6)</v>
      </c>
      <c r="F326" s="440">
        <f>SUM(F324:F325)</f>
        <v>3.6000000000228765</v>
      </c>
      <c r="G326" s="436" t="str">
        <f>CONCATENATE("(",ROUND((F326/$H326)*100,1),")")</f>
        <v>(16.1)</v>
      </c>
      <c r="H326" s="440">
        <f>SUM(H324:H325)</f>
        <v>22.313000000007239</v>
      </c>
      <c r="I326" s="436" t="str">
        <f>CONCATENATE("(",ROUND((H326/$H326)*100,1),")")</f>
        <v>(100)</v>
      </c>
      <c r="K326" s="440">
        <f t="shared" si="247"/>
        <v>0.58500000000703523</v>
      </c>
      <c r="L326" s="440">
        <f t="shared" si="248"/>
        <v>0.14300000001677837</v>
      </c>
      <c r="M326" s="440">
        <f t="shared" si="249"/>
        <v>0.18300000002179528</v>
      </c>
      <c r="N326" s="440">
        <f t="shared" si="250"/>
        <v>0.91100000004560888</v>
      </c>
    </row>
    <row r="327" spans="1:14" x14ac:dyDescent="0.2">
      <c r="B327" s="440"/>
      <c r="C327" s="428"/>
      <c r="D327" s="440"/>
      <c r="E327" s="428"/>
      <c r="F327" s="440"/>
      <c r="G327" s="428"/>
      <c r="H327" s="440"/>
      <c r="I327" s="428"/>
    </row>
    <row r="328" spans="1:14" x14ac:dyDescent="0.2">
      <c r="A328" s="423">
        <f>$A$13</f>
        <v>2022</v>
      </c>
      <c r="B328" s="440"/>
      <c r="C328" s="428"/>
      <c r="D328" s="440"/>
      <c r="E328" s="428"/>
      <c r="F328" s="440"/>
      <c r="G328" s="428"/>
      <c r="H328" s="440"/>
      <c r="I328" s="428"/>
      <c r="K328" s="426" t="str">
        <f>CONCATENATE(A328," - ",A333)</f>
        <v>2022 - 2027</v>
      </c>
    </row>
    <row r="329" spans="1:14" x14ac:dyDescent="0.2">
      <c r="A329" s="417" t="s">
        <v>390</v>
      </c>
      <c r="B329" s="440">
        <f>'Ind T6'!Q380</f>
        <v>6.2779999999954956</v>
      </c>
      <c r="C329" s="436" t="str">
        <f>CONCATENATE("(",ROUND((B329/$H331)*100,1),")")</f>
        <v>(27)</v>
      </c>
      <c r="D329" s="440">
        <f>'Ind T6'!R380</f>
        <v>1.6080000000104904</v>
      </c>
      <c r="E329" s="436" t="str">
        <f>CONCATENATE("(",ROUND((D329/$H331)*100,1),")")</f>
        <v>(6.9)</v>
      </c>
      <c r="F329" s="440">
        <f>'Ind T6'!S380</f>
        <v>1.5320000000039964</v>
      </c>
      <c r="G329" s="436" t="str">
        <f>CONCATENATE("(",ROUND((F329/$H331)*100,1),")")</f>
        <v>(6.6)</v>
      </c>
      <c r="H329" s="440">
        <f>SUM(B329,D329,F329)</f>
        <v>9.4180000000099824</v>
      </c>
      <c r="I329" s="436" t="str">
        <f>CONCATENATE("(",ROUND((H329/$H331)*100,1),")")</f>
        <v>(40.6)</v>
      </c>
      <c r="K329" s="440">
        <f>B334-B329</f>
        <v>0.51599999999858248</v>
      </c>
      <c r="L329" s="440">
        <f>D334-D329</f>
        <v>-3.0000000046179753E-3</v>
      </c>
      <c r="M329" s="440">
        <f>F334-F329</f>
        <v>5.3999999999712056E-2</v>
      </c>
      <c r="N329" s="440">
        <f>SUM(K329:M329)</f>
        <v>0.56699999999367656</v>
      </c>
    </row>
    <row r="330" spans="1:14" x14ac:dyDescent="0.2">
      <c r="A330" s="417" t="s">
        <v>391</v>
      </c>
      <c r="B330" s="440">
        <f>'Ind T6'!Q379</f>
        <v>6.8579999999441812</v>
      </c>
      <c r="C330" s="436" t="str">
        <f>CONCATENATE("(",ROUND((B330/$H331)*100,1),")")</f>
        <v>(29.5)</v>
      </c>
      <c r="D330" s="440">
        <f>'Ind T6'!R379</f>
        <v>4.6970000000580088</v>
      </c>
      <c r="E330" s="436" t="str">
        <f>CONCATENATE("(",ROUND((D330/$H331)*100,1),")")</f>
        <v>(20.2)</v>
      </c>
      <c r="F330" s="440">
        <f>'Ind T6'!S379</f>
        <v>2.2510000000406754</v>
      </c>
      <c r="G330" s="436" t="str">
        <f>CONCATENATE("(",ROUND((F330/$H331)*100,1),")")</f>
        <v>(9.7)</v>
      </c>
      <c r="H330" s="440">
        <f t="shared" ref="H330" si="251">SUM(B330,D330,F330)</f>
        <v>13.806000000042864</v>
      </c>
      <c r="I330" s="436" t="str">
        <f>CONCATENATE("(",ROUND((H330/$H331)*100,1),")")</f>
        <v>(59.4)</v>
      </c>
      <c r="K330" s="440">
        <f t="shared" ref="K330:K331" si="252">B335-B330</f>
        <v>0.12900000000874279</v>
      </c>
      <c r="L330" s="440">
        <f t="shared" ref="L330:L331" si="253">D335-D330</f>
        <v>0.17700000000276539</v>
      </c>
      <c r="M330" s="440">
        <f t="shared" ref="M330:M331" si="254">F335-F330</f>
        <v>0.14799999999904667</v>
      </c>
      <c r="N330" s="440">
        <f t="shared" ref="N330:N331" si="255">SUM(K330:M330)</f>
        <v>0.45400000001055485</v>
      </c>
    </row>
    <row r="331" spans="1:14" x14ac:dyDescent="0.2">
      <c r="A331" s="417" t="s">
        <v>389</v>
      </c>
      <c r="B331" s="440">
        <f>SUM(B329:B330)</f>
        <v>13.135999999939678</v>
      </c>
      <c r="C331" s="436" t="str">
        <f>CONCATENATE("(",ROUND((B331/$H331)*100,1),")")</f>
        <v>(56.6)</v>
      </c>
      <c r="D331" s="440">
        <f>SUM(D329:D330)</f>
        <v>6.3050000000684996</v>
      </c>
      <c r="E331" s="436" t="str">
        <f>CONCATENATE("(",ROUND((D331/$H331)*100,1),")")</f>
        <v>(27.1)</v>
      </c>
      <c r="F331" s="440">
        <f>SUM(F329:F330)</f>
        <v>3.7830000000446717</v>
      </c>
      <c r="G331" s="436" t="str">
        <f>CONCATENATE("(",ROUND((F331/$H331)*100,1),")")</f>
        <v>(16.3)</v>
      </c>
      <c r="H331" s="440">
        <f>SUM(H329:H330)</f>
        <v>23.224000000052847</v>
      </c>
      <c r="I331" s="436" t="str">
        <f>CONCATENATE("(",ROUND((H331/$H331)*100,1),")")</f>
        <v>(100)</v>
      </c>
      <c r="K331" s="440">
        <f t="shared" si="252"/>
        <v>0.64500000000732527</v>
      </c>
      <c r="L331" s="440">
        <f t="shared" si="253"/>
        <v>0.17399999999814675</v>
      </c>
      <c r="M331" s="440">
        <f t="shared" si="254"/>
        <v>0.20199999999875873</v>
      </c>
      <c r="N331" s="440">
        <f t="shared" si="255"/>
        <v>1.0210000000042307</v>
      </c>
    </row>
    <row r="332" spans="1:14" x14ac:dyDescent="0.2">
      <c r="B332" s="440"/>
      <c r="C332" s="428"/>
      <c r="D332" s="440"/>
      <c r="E332" s="428"/>
      <c r="F332" s="440"/>
      <c r="G332" s="428"/>
      <c r="H332" s="440"/>
      <c r="I332" s="428"/>
    </row>
    <row r="333" spans="1:14" x14ac:dyDescent="0.2">
      <c r="A333" s="423">
        <f>$A$18</f>
        <v>2027</v>
      </c>
      <c r="B333" s="440"/>
      <c r="C333" s="428"/>
      <c r="D333" s="440"/>
      <c r="E333" s="428"/>
      <c r="F333" s="440"/>
      <c r="G333" s="428"/>
      <c r="H333" s="440"/>
      <c r="I333" s="428"/>
      <c r="K333" s="426" t="str">
        <f>CONCATENATE(A323," - ",A333)</f>
        <v>2017 - 2027</v>
      </c>
    </row>
    <row r="334" spans="1:14" x14ac:dyDescent="0.2">
      <c r="A334" s="417" t="s">
        <v>390</v>
      </c>
      <c r="B334" s="440">
        <f>'Ind T6'!V380</f>
        <v>6.7939999999940781</v>
      </c>
      <c r="C334" s="436" t="str">
        <f>CONCATENATE("(",ROUND((B334/$H336)*100,1),")")</f>
        <v>(28)</v>
      </c>
      <c r="D334" s="440">
        <f>'Ind T6'!W380</f>
        <v>1.6050000000058724</v>
      </c>
      <c r="E334" s="436" t="str">
        <f>CONCATENATE("(",ROUND((D334/$H336)*100,1),")")</f>
        <v>(6.6)</v>
      </c>
      <c r="F334" s="440">
        <f>'Ind T6'!X380</f>
        <v>1.5860000000037084</v>
      </c>
      <c r="G334" s="436" t="str">
        <f>CONCATENATE("(",ROUND((F334/$H336)*100,1),")")</f>
        <v>(6.5)</v>
      </c>
      <c r="H334" s="440">
        <f>SUM(B334,D334,F334)</f>
        <v>9.9850000000036587</v>
      </c>
      <c r="I334" s="436" t="str">
        <f>CONCATENATE("(",ROUND((H334/$H336)*100,1),")")</f>
        <v>(41.2)</v>
      </c>
      <c r="K334" s="440">
        <f>B334-B324</f>
        <v>1.0080000000234026</v>
      </c>
      <c r="L334" s="440">
        <f>D334-D324</f>
        <v>-1.3999999982434508E-2</v>
      </c>
      <c r="M334" s="440">
        <f>F334-F324</f>
        <v>0.10000000001154685</v>
      </c>
      <c r="N334" s="440">
        <f>SUM(K334:M334)</f>
        <v>1.094000000052515</v>
      </c>
    </row>
    <row r="335" spans="1:14" x14ac:dyDescent="0.2">
      <c r="A335" s="417" t="s">
        <v>391</v>
      </c>
      <c r="B335" s="440">
        <f>'Ind T6'!V379</f>
        <v>6.986999999952924</v>
      </c>
      <c r="C335" s="436" t="str">
        <f>CONCATENATE("(",ROUND((B335/$H336)*100,1),")")</f>
        <v>(28.8)</v>
      </c>
      <c r="D335" s="440">
        <f>'Ind T6'!W379</f>
        <v>4.8740000000607742</v>
      </c>
      <c r="E335" s="436" t="str">
        <f>CONCATENATE("(",ROUND((D335/$H336)*100,1),")")</f>
        <v>(20.1)</v>
      </c>
      <c r="F335" s="440">
        <f>'Ind T6'!X379</f>
        <v>2.399000000039722</v>
      </c>
      <c r="G335" s="436" t="str">
        <f>CONCATENATE("(",ROUND((F335/$H336)*100,1),")")</f>
        <v>(9.9)</v>
      </c>
      <c r="H335" s="440">
        <f>SUM(B335,D335,F335)</f>
        <v>14.26000000005342</v>
      </c>
      <c r="I335" s="436" t="str">
        <f>CONCATENATE("(",ROUND((H335/$H336)*100,1),")")</f>
        <v>(58.8)</v>
      </c>
      <c r="K335" s="440">
        <f t="shared" ref="K335:K336" si="256">B335-B325</f>
        <v>0.22199999999095699</v>
      </c>
      <c r="L335" s="440">
        <f t="shared" ref="L335:L336" si="257">D335-D325</f>
        <v>0.33099999999735985</v>
      </c>
      <c r="M335" s="440">
        <f t="shared" ref="M335:M336" si="258">F335-F325</f>
        <v>0.28500000000900716</v>
      </c>
      <c r="N335" s="440">
        <f t="shared" ref="N335:N336" si="259">SUM(K335:M335)</f>
        <v>0.837999999997324</v>
      </c>
    </row>
    <row r="336" spans="1:14" x14ac:dyDescent="0.2">
      <c r="A336" s="408" t="s">
        <v>389</v>
      </c>
      <c r="B336" s="440">
        <f>SUM(B334:B335)</f>
        <v>13.780999999947003</v>
      </c>
      <c r="C336" s="436" t="str">
        <f>CONCATENATE("(",ROUND((B336/$H336)*100,1),")")</f>
        <v>(56.8)</v>
      </c>
      <c r="D336" s="440">
        <f>SUM(D334:D335)</f>
        <v>6.4790000000666463</v>
      </c>
      <c r="E336" s="436" t="str">
        <f>CONCATENATE("(",ROUND((D336/$H336)*100,1),")")</f>
        <v>(26.7)</v>
      </c>
      <c r="F336" s="440">
        <f>SUM(F334:F335)</f>
        <v>3.9850000000434305</v>
      </c>
      <c r="G336" s="436" t="str">
        <f>CONCATENATE("(",ROUND((F336/$H336)*100,1),")")</f>
        <v>(16.4)</v>
      </c>
      <c r="H336" s="440">
        <f>SUM(H334:H335)</f>
        <v>24.245000000057079</v>
      </c>
      <c r="I336" s="436" t="str">
        <f>CONCATENATE("(",ROUND((H336/$H336)*100,1),")")</f>
        <v>(100)</v>
      </c>
      <c r="K336" s="440">
        <f t="shared" si="256"/>
        <v>1.2300000000143605</v>
      </c>
      <c r="L336" s="440">
        <f t="shared" si="257"/>
        <v>0.31700000001492512</v>
      </c>
      <c r="M336" s="440">
        <f t="shared" si="258"/>
        <v>0.38500000002055401</v>
      </c>
      <c r="N336" s="440">
        <f t="shared" si="259"/>
        <v>1.9320000000498396</v>
      </c>
    </row>
    <row r="337" spans="1:14" x14ac:dyDescent="0.2">
      <c r="A337" s="429"/>
      <c r="B337" s="430"/>
      <c r="C337" s="429"/>
      <c r="D337" s="430"/>
      <c r="E337" s="429"/>
      <c r="F337" s="430"/>
      <c r="G337" s="429"/>
      <c r="H337" s="430"/>
      <c r="I337" s="429"/>
      <c r="J337" s="429"/>
      <c r="K337" s="430"/>
      <c r="L337" s="430"/>
      <c r="M337" s="430"/>
      <c r="N337" s="430"/>
    </row>
    <row r="341" spans="1:14" x14ac:dyDescent="0.2">
      <c r="A341" s="419"/>
      <c r="B341" s="420" t="s">
        <v>414</v>
      </c>
      <c r="C341" s="419"/>
      <c r="D341" s="420"/>
      <c r="E341" s="419"/>
      <c r="F341" s="420" t="str">
        <f>name!B19</f>
        <v>Professional services</v>
      </c>
      <c r="G341" s="419"/>
      <c r="H341" s="422"/>
      <c r="I341" s="419"/>
      <c r="J341" s="421"/>
      <c r="K341" s="422"/>
      <c r="L341" s="422"/>
      <c r="M341" s="422"/>
      <c r="N341" s="422"/>
    </row>
    <row r="342" spans="1:14" x14ac:dyDescent="0.2">
      <c r="A342" s="408"/>
      <c r="B342" s="409"/>
      <c r="C342" s="408"/>
      <c r="D342" s="409"/>
      <c r="E342" s="408"/>
      <c r="F342" s="409"/>
      <c r="G342" s="408"/>
      <c r="H342" s="409"/>
      <c r="I342" s="408"/>
      <c r="K342" s="409"/>
      <c r="L342" s="409"/>
      <c r="M342" s="409"/>
      <c r="N342" s="415" t="s">
        <v>412</v>
      </c>
    </row>
    <row r="343" spans="1:14" x14ac:dyDescent="0.2">
      <c r="A343" s="413" t="s">
        <v>413</v>
      </c>
      <c r="B343" s="514" t="s">
        <v>411</v>
      </c>
      <c r="C343" s="514"/>
      <c r="D343" s="514" t="s">
        <v>410</v>
      </c>
      <c r="E343" s="514"/>
      <c r="F343" s="514" t="s">
        <v>409</v>
      </c>
      <c r="G343" s="514"/>
      <c r="H343" s="514" t="s">
        <v>32</v>
      </c>
      <c r="I343" s="514"/>
      <c r="J343" s="413"/>
      <c r="K343" s="434" t="s">
        <v>371</v>
      </c>
      <c r="L343" s="434" t="s">
        <v>373</v>
      </c>
      <c r="M343" s="434" t="s">
        <v>369</v>
      </c>
      <c r="N343" s="434" t="s">
        <v>32</v>
      </c>
    </row>
    <row r="344" spans="1:14" x14ac:dyDescent="0.2">
      <c r="A344" s="423">
        <f>$A$8</f>
        <v>2017</v>
      </c>
      <c r="B344" s="424" t="s">
        <v>60</v>
      </c>
      <c r="C344" s="425" t="s">
        <v>408</v>
      </c>
      <c r="D344" s="424" t="s">
        <v>60</v>
      </c>
      <c r="E344" s="425" t="s">
        <v>408</v>
      </c>
      <c r="F344" s="424" t="s">
        <v>60</v>
      </c>
      <c r="G344" s="425" t="s">
        <v>408</v>
      </c>
      <c r="H344" s="424" t="s">
        <v>60</v>
      </c>
      <c r="I344" s="425" t="s">
        <v>408</v>
      </c>
      <c r="J344" s="413"/>
      <c r="K344" s="426" t="str">
        <f>CONCATENATE(A344," - ",A349)</f>
        <v>2017 - 2022</v>
      </c>
      <c r="L344" s="427"/>
      <c r="M344" s="427"/>
    </row>
    <row r="345" spans="1:14" x14ac:dyDescent="0.2">
      <c r="A345" s="417" t="s">
        <v>390</v>
      </c>
      <c r="B345" s="440">
        <f>'Ind T6'!L425</f>
        <v>24.370999999702079</v>
      </c>
      <c r="C345" s="436" t="str">
        <f>CONCATENATE("(",ROUND((B345/$H347)*100,1),")")</f>
        <v>(34.1)</v>
      </c>
      <c r="D345" s="440">
        <f>'Ind T6'!M425</f>
        <v>2.1469999999975289</v>
      </c>
      <c r="E345" s="436" t="str">
        <f>CONCATENATE("(",ROUND((D345/$H347)*100,1),")")</f>
        <v>(3)</v>
      </c>
      <c r="F345" s="440">
        <f>'Ind T6'!N425</f>
        <v>7.7479999997906095</v>
      </c>
      <c r="G345" s="436" t="str">
        <f>CONCATENATE("(",ROUND((F345/$H347)*100,1),")")</f>
        <v>(10.8)</v>
      </c>
      <c r="H345" s="440">
        <f>SUM(B345,D345,F345)</f>
        <v>34.265999999490219</v>
      </c>
      <c r="I345" s="436" t="str">
        <f>CONCATENATE("(",ROUND((H345/$H347)*100,1),")")</f>
        <v>(47.9)</v>
      </c>
      <c r="K345" s="440">
        <f>B350-B345</f>
        <v>1.9100000006609648</v>
      </c>
      <c r="L345" s="440">
        <f>D350-D345</f>
        <v>1.2000000008443923E-2</v>
      </c>
      <c r="M345" s="440">
        <f>F350-F345</f>
        <v>0.34600000010530252</v>
      </c>
      <c r="N345" s="440">
        <f>SUM(K345:M345)</f>
        <v>2.2680000007747112</v>
      </c>
    </row>
    <row r="346" spans="1:14" x14ac:dyDescent="0.2">
      <c r="A346" s="417" t="s">
        <v>391</v>
      </c>
      <c r="B346" s="440">
        <f>'Ind T6'!L424</f>
        <v>21.885999999558518</v>
      </c>
      <c r="C346" s="436" t="str">
        <f>CONCATENATE("(",ROUND((B346/$H347)*100,1),")")</f>
        <v>(30.6)</v>
      </c>
      <c r="D346" s="440">
        <f>'Ind T6'!M424</f>
        <v>10.6039999999751</v>
      </c>
      <c r="E346" s="436" t="str">
        <f>CONCATENATE("(",ROUND((D346/$H347)*100,1),")")</f>
        <v>(14.8)</v>
      </c>
      <c r="F346" s="440">
        <f>'Ind T6'!N424</f>
        <v>4.7949999999559498</v>
      </c>
      <c r="G346" s="436" t="str">
        <f>CONCATENATE("(",ROUND((F346/$H347)*100,1),")")</f>
        <v>(6.7)</v>
      </c>
      <c r="H346" s="440">
        <f t="shared" ref="H346" si="260">SUM(B346,D346,F346)</f>
        <v>37.284999999489564</v>
      </c>
      <c r="I346" s="436" t="str">
        <f>CONCATENATE("(",ROUND((H346/$H347)*100,1),")")</f>
        <v>(52.1)</v>
      </c>
      <c r="K346" s="440">
        <f t="shared" ref="K346:K347" si="261">B351-B346</f>
        <v>0.54499999992375692</v>
      </c>
      <c r="L346" s="440">
        <f t="shared" ref="L346:L347" si="262">D351-D346</f>
        <v>0.47999999999645304</v>
      </c>
      <c r="M346" s="440">
        <f t="shared" ref="M346:M347" si="263">F351-F346</f>
        <v>0.29700000000953786</v>
      </c>
      <c r="N346" s="440">
        <f t="shared" ref="N346:N347" si="264">SUM(K346:M346)</f>
        <v>1.3219999999297478</v>
      </c>
    </row>
    <row r="347" spans="1:14" x14ac:dyDescent="0.2">
      <c r="A347" s="417" t="s">
        <v>389</v>
      </c>
      <c r="B347" s="440">
        <f>SUM(B345:B346)</f>
        <v>46.2569999992606</v>
      </c>
      <c r="C347" s="436" t="str">
        <f>CONCATENATE("(",ROUND((B347/$H347)*100,1),")")</f>
        <v>(64.6)</v>
      </c>
      <c r="D347" s="440">
        <f>SUM(D345:D346)</f>
        <v>12.750999999972629</v>
      </c>
      <c r="E347" s="436" t="str">
        <f>CONCATENATE("(",ROUND((D347/$H347)*100,1),")")</f>
        <v>(17.8)</v>
      </c>
      <c r="F347" s="440">
        <f>SUM(F345:F346)</f>
        <v>12.542999999746559</v>
      </c>
      <c r="G347" s="436" t="str">
        <f>CONCATENATE("(",ROUND((F347/$H347)*100,1),")")</f>
        <v>(17.5)</v>
      </c>
      <c r="H347" s="440">
        <f>SUM(H345:H346)</f>
        <v>71.55099999897979</v>
      </c>
      <c r="I347" s="436" t="str">
        <f>CONCATENATE("(",ROUND((H347/$H347)*100,1),")")</f>
        <v>(100)</v>
      </c>
      <c r="K347" s="440">
        <f t="shared" si="261"/>
        <v>2.4550000005847181</v>
      </c>
      <c r="L347" s="440">
        <f t="shared" si="262"/>
        <v>0.49200000000489652</v>
      </c>
      <c r="M347" s="440">
        <f t="shared" si="263"/>
        <v>0.64300000011484038</v>
      </c>
      <c r="N347" s="440">
        <f t="shared" si="264"/>
        <v>3.590000000704455</v>
      </c>
    </row>
    <row r="348" spans="1:14" x14ac:dyDescent="0.2">
      <c r="B348" s="440"/>
      <c r="C348" s="428"/>
      <c r="D348" s="440"/>
      <c r="E348" s="428"/>
      <c r="F348" s="440"/>
      <c r="G348" s="428"/>
      <c r="H348" s="440"/>
      <c r="I348" s="428"/>
    </row>
    <row r="349" spans="1:14" x14ac:dyDescent="0.2">
      <c r="A349" s="423">
        <f>$A$13</f>
        <v>2022</v>
      </c>
      <c r="B349" s="440"/>
      <c r="C349" s="428"/>
      <c r="D349" s="440"/>
      <c r="E349" s="428"/>
      <c r="F349" s="440"/>
      <c r="G349" s="428"/>
      <c r="H349" s="440"/>
      <c r="I349" s="428"/>
      <c r="K349" s="426" t="str">
        <f>CONCATENATE(A349," - ",A354)</f>
        <v>2022 - 2027</v>
      </c>
    </row>
    <row r="350" spans="1:14" x14ac:dyDescent="0.2">
      <c r="A350" s="417" t="s">
        <v>390</v>
      </c>
      <c r="B350" s="440">
        <f>'Ind T6'!Q425</f>
        <v>26.281000000363044</v>
      </c>
      <c r="C350" s="436" t="str">
        <f>CONCATENATE("(",ROUND((B350/$H352)*100,1),")")</f>
        <v>(35)</v>
      </c>
      <c r="D350" s="440">
        <f>'Ind T6'!R425</f>
        <v>2.1590000000059728</v>
      </c>
      <c r="E350" s="436" t="str">
        <f>CONCATENATE("(",ROUND((D350/$H352)*100,1),")")</f>
        <v>(2.9)</v>
      </c>
      <c r="F350" s="440">
        <f>'Ind T6'!S425</f>
        <v>8.093999999895912</v>
      </c>
      <c r="G350" s="436" t="str">
        <f>CONCATENATE("(",ROUND((F350/$H352)*100,1),")")</f>
        <v>(10.8)</v>
      </c>
      <c r="H350" s="440">
        <f>SUM(B350,D350,F350)</f>
        <v>36.534000000264932</v>
      </c>
      <c r="I350" s="436" t="str">
        <f>CONCATENATE("(",ROUND((H350/$H352)*100,1),")")</f>
        <v>(48.6)</v>
      </c>
      <c r="K350" s="440">
        <f>B355-B350</f>
        <v>0.83300000012451036</v>
      </c>
      <c r="L350" s="440">
        <f>D355-D350</f>
        <v>-4.0000000007130332E-2</v>
      </c>
      <c r="M350" s="440">
        <f>F355-F350</f>
        <v>9.5000000057211764E-2</v>
      </c>
      <c r="N350" s="440">
        <f>SUM(K350:M350)</f>
        <v>0.8880000001745918</v>
      </c>
    </row>
    <row r="351" spans="1:14" x14ac:dyDescent="0.2">
      <c r="A351" s="417" t="s">
        <v>391</v>
      </c>
      <c r="B351" s="440">
        <f>'Ind T6'!Q424</f>
        <v>22.430999999482275</v>
      </c>
      <c r="C351" s="436" t="str">
        <f>CONCATENATE("(",ROUND((B351/$H352)*100,1),")")</f>
        <v>(29.9)</v>
      </c>
      <c r="D351" s="440">
        <f>'Ind T6'!R424</f>
        <v>11.083999999971553</v>
      </c>
      <c r="E351" s="436" t="str">
        <f>CONCATENATE("(",ROUND((D351/$H352)*100,1),")")</f>
        <v>(14.8)</v>
      </c>
      <c r="F351" s="440">
        <f>'Ind T6'!S424</f>
        <v>5.0919999999654877</v>
      </c>
      <c r="G351" s="436" t="str">
        <f>CONCATENATE("(",ROUND((F351/$H352)*100,1),")")</f>
        <v>(6.8)</v>
      </c>
      <c r="H351" s="440">
        <f t="shared" ref="H351" si="265">SUM(B351,D351,F351)</f>
        <v>38.606999999419315</v>
      </c>
      <c r="I351" s="436" t="str">
        <f>CONCATENATE("(",ROUND((H351/$H352)*100,1),")")</f>
        <v>(51.4)</v>
      </c>
      <c r="K351" s="440">
        <f t="shared" ref="K351:K352" si="266">B356-B351</f>
        <v>0.19400000004915796</v>
      </c>
      <c r="L351" s="440">
        <f t="shared" ref="L351:L352" si="267">D356-D351</f>
        <v>0.32500000000044516</v>
      </c>
      <c r="M351" s="440">
        <f t="shared" ref="M351:M352" si="268">F356-F351</f>
        <v>0.222000000012744</v>
      </c>
      <c r="N351" s="440">
        <f t="shared" ref="N351:N352" si="269">SUM(K351:M351)</f>
        <v>0.74100000006234712</v>
      </c>
    </row>
    <row r="352" spans="1:14" x14ac:dyDescent="0.2">
      <c r="A352" s="417" t="s">
        <v>389</v>
      </c>
      <c r="B352" s="440">
        <f>SUM(B350:B351)</f>
        <v>48.711999999845318</v>
      </c>
      <c r="C352" s="436" t="str">
        <f>CONCATENATE("(",ROUND((B352/$H352)*100,1),")")</f>
        <v>(64.8)</v>
      </c>
      <c r="D352" s="440">
        <f>SUM(D350:D351)</f>
        <v>13.242999999977526</v>
      </c>
      <c r="E352" s="436" t="str">
        <f>CONCATENATE("(",ROUND((D352/$H352)*100,1),")")</f>
        <v>(17.6)</v>
      </c>
      <c r="F352" s="440">
        <f>SUM(F350:F351)</f>
        <v>13.1859999998614</v>
      </c>
      <c r="G352" s="436" t="str">
        <f>CONCATENATE("(",ROUND((F352/$H352)*100,1),")")</f>
        <v>(17.5)</v>
      </c>
      <c r="H352" s="440">
        <f>SUM(H350:H351)</f>
        <v>75.140999999684254</v>
      </c>
      <c r="I352" s="436" t="str">
        <f>CONCATENATE("(",ROUND((H352/$H352)*100,1),")")</f>
        <v>(100)</v>
      </c>
      <c r="K352" s="440">
        <f t="shared" si="266"/>
        <v>1.0270000001736719</v>
      </c>
      <c r="L352" s="440">
        <f t="shared" si="267"/>
        <v>0.28499999999331571</v>
      </c>
      <c r="M352" s="440">
        <f t="shared" si="268"/>
        <v>0.31700000006995488</v>
      </c>
      <c r="N352" s="440">
        <f t="shared" si="269"/>
        <v>1.6290000002369425</v>
      </c>
    </row>
    <row r="353" spans="1:14" x14ac:dyDescent="0.2">
      <c r="B353" s="440"/>
      <c r="C353" s="428"/>
      <c r="D353" s="440"/>
      <c r="E353" s="428"/>
      <c r="F353" s="440"/>
      <c r="G353" s="428"/>
      <c r="H353" s="440"/>
      <c r="I353" s="428"/>
    </row>
    <row r="354" spans="1:14" x14ac:dyDescent="0.2">
      <c r="A354" s="423">
        <f>$A$18</f>
        <v>2027</v>
      </c>
      <c r="B354" s="440"/>
      <c r="C354" s="428"/>
      <c r="D354" s="440"/>
      <c r="E354" s="428"/>
      <c r="F354" s="440"/>
      <c r="G354" s="428"/>
      <c r="H354" s="440"/>
      <c r="I354" s="428"/>
      <c r="K354" s="426" t="str">
        <f>CONCATENATE(A344," - ",A354)</f>
        <v>2017 - 2027</v>
      </c>
    </row>
    <row r="355" spans="1:14" x14ac:dyDescent="0.2">
      <c r="A355" s="417" t="s">
        <v>390</v>
      </c>
      <c r="B355" s="440">
        <f>'Ind T6'!V425</f>
        <v>27.114000000487554</v>
      </c>
      <c r="C355" s="436" t="str">
        <f>CONCATENATE("(",ROUND((B355/$H357)*100,1),")")</f>
        <v>(35.3)</v>
      </c>
      <c r="D355" s="440">
        <f>'Ind T6'!W425</f>
        <v>2.1189999999988425</v>
      </c>
      <c r="E355" s="436" t="str">
        <f>CONCATENATE("(",ROUND((D355/$H357)*100,1),")")</f>
        <v>(2.8)</v>
      </c>
      <c r="F355" s="440">
        <f>'Ind T6'!X425</f>
        <v>8.1889999999531238</v>
      </c>
      <c r="G355" s="436" t="str">
        <f>CONCATENATE("(",ROUND((F355/$H357)*100,1),")")</f>
        <v>(10.7)</v>
      </c>
      <c r="H355" s="440">
        <f>SUM(B355,D355,F355)</f>
        <v>37.422000000439517</v>
      </c>
      <c r="I355" s="436" t="str">
        <f>CONCATENATE("(",ROUND((H355/$H357)*100,1),")")</f>
        <v>(48.7)</v>
      </c>
      <c r="K355" s="440">
        <f>B355-B345</f>
        <v>2.7430000007854751</v>
      </c>
      <c r="L355" s="440">
        <f>D355-D345</f>
        <v>-2.7999999998686409E-2</v>
      </c>
      <c r="M355" s="440">
        <f>F355-F345</f>
        <v>0.44100000016251428</v>
      </c>
      <c r="N355" s="440">
        <f>SUM(K355:M355)</f>
        <v>3.156000000949303</v>
      </c>
    </row>
    <row r="356" spans="1:14" x14ac:dyDescent="0.2">
      <c r="A356" s="417" t="s">
        <v>391</v>
      </c>
      <c r="B356" s="440">
        <f>'Ind T6'!V424</f>
        <v>22.624999999531433</v>
      </c>
      <c r="C356" s="436" t="str">
        <f>CONCATENATE("(",ROUND((B356/$H357)*100,1),")")</f>
        <v>(29.5)</v>
      </c>
      <c r="D356" s="440">
        <f>'Ind T6'!W424</f>
        <v>11.408999999971998</v>
      </c>
      <c r="E356" s="436" t="str">
        <f>CONCATENATE("(",ROUND((D356/$H357)*100,1),")")</f>
        <v>(14.9)</v>
      </c>
      <c r="F356" s="440">
        <f>'Ind T6'!X424</f>
        <v>5.3139999999782317</v>
      </c>
      <c r="G356" s="436" t="str">
        <f>CONCATENATE("(",ROUND((F356/$H357)*100,1),")")</f>
        <v>(6.9)</v>
      </c>
      <c r="H356" s="440">
        <f t="shared" ref="H356" si="270">SUM(B356,D356,F356)</f>
        <v>39.347999999481658</v>
      </c>
      <c r="I356" s="436" t="str">
        <f>CONCATENATE("(",ROUND((H356/$H357)*100,1),")")</f>
        <v>(51.3)</v>
      </c>
      <c r="K356" s="440">
        <f t="shared" ref="K356:K357" si="271">B356-B346</f>
        <v>0.73899999997291488</v>
      </c>
      <c r="L356" s="440">
        <f t="shared" ref="L356:L357" si="272">D356-D346</f>
        <v>0.8049999999968982</v>
      </c>
      <c r="M356" s="440">
        <f t="shared" ref="M356:M357" si="273">F356-F346</f>
        <v>0.51900000002228186</v>
      </c>
      <c r="N356" s="440">
        <f t="shared" ref="N356:N357" si="274">SUM(K356:M356)</f>
        <v>2.0629999999920949</v>
      </c>
    </row>
    <row r="357" spans="1:14" x14ac:dyDescent="0.2">
      <c r="A357" s="408" t="s">
        <v>389</v>
      </c>
      <c r="B357" s="440">
        <f>SUM(B355:B356)</f>
        <v>49.73900000001899</v>
      </c>
      <c r="C357" s="436" t="str">
        <f>CONCATENATE("(",ROUND((B357/$H357)*100,1),")")</f>
        <v>(64.8)</v>
      </c>
      <c r="D357" s="440">
        <f>SUM(D355:D356)</f>
        <v>13.527999999970842</v>
      </c>
      <c r="E357" s="436" t="str">
        <f>CONCATENATE("(",ROUND((D357/$H357)*100,1),")")</f>
        <v>(17.6)</v>
      </c>
      <c r="F357" s="440">
        <f>SUM(F355:F356)</f>
        <v>13.502999999931355</v>
      </c>
      <c r="G357" s="436" t="str">
        <f>CONCATENATE("(",ROUND((F357/$H357)*100,1),")")</f>
        <v>(17.6)</v>
      </c>
      <c r="H357" s="440">
        <f>SUM(H355:H356)</f>
        <v>76.769999999921168</v>
      </c>
      <c r="I357" s="436" t="str">
        <f>CONCATENATE("(",ROUND((H357/$H357)*100,1),")")</f>
        <v>(100)</v>
      </c>
      <c r="K357" s="440">
        <f t="shared" si="271"/>
        <v>3.48200000075839</v>
      </c>
      <c r="L357" s="440">
        <f t="shared" si="272"/>
        <v>0.77699999999821223</v>
      </c>
      <c r="M357" s="440">
        <f t="shared" si="273"/>
        <v>0.96000000018479525</v>
      </c>
      <c r="N357" s="440">
        <f t="shared" si="274"/>
        <v>5.2190000009413975</v>
      </c>
    </row>
    <row r="358" spans="1:14" x14ac:dyDescent="0.2">
      <c r="A358" s="429"/>
      <c r="B358" s="430"/>
      <c r="C358" s="429"/>
      <c r="D358" s="430"/>
      <c r="E358" s="429"/>
      <c r="F358" s="430"/>
      <c r="G358" s="429"/>
      <c r="H358" s="430"/>
      <c r="I358" s="429"/>
      <c r="J358" s="429"/>
      <c r="K358" s="430"/>
      <c r="L358" s="430"/>
      <c r="M358" s="430"/>
      <c r="N358" s="430"/>
    </row>
    <row r="361" spans="1:14" x14ac:dyDescent="0.2">
      <c r="C361" s="267"/>
      <c r="E361" s="267"/>
      <c r="G361" s="267"/>
      <c r="I361" s="267"/>
    </row>
    <row r="362" spans="1:14" x14ac:dyDescent="0.2">
      <c r="A362" s="419"/>
      <c r="B362" s="420" t="s">
        <v>414</v>
      </c>
      <c r="C362" s="419"/>
      <c r="D362" s="420"/>
      <c r="E362" s="419"/>
      <c r="F362" s="420" t="str">
        <f>name!B20</f>
        <v>Support services</v>
      </c>
      <c r="G362" s="419"/>
      <c r="H362" s="422"/>
      <c r="I362" s="419"/>
      <c r="J362" s="421"/>
      <c r="K362" s="422"/>
      <c r="L362" s="422"/>
      <c r="M362" s="422"/>
      <c r="N362" s="422"/>
    </row>
    <row r="363" spans="1:14" x14ac:dyDescent="0.2">
      <c r="A363" s="408"/>
      <c r="B363" s="409"/>
      <c r="C363" s="408"/>
      <c r="D363" s="409"/>
      <c r="E363" s="408"/>
      <c r="F363" s="409"/>
      <c r="G363" s="408"/>
      <c r="H363" s="409"/>
      <c r="I363" s="408"/>
      <c r="K363" s="409"/>
      <c r="L363" s="409"/>
      <c r="M363" s="409"/>
      <c r="N363" s="415" t="s">
        <v>412</v>
      </c>
    </row>
    <row r="364" spans="1:14" x14ac:dyDescent="0.2">
      <c r="A364" s="413" t="s">
        <v>413</v>
      </c>
      <c r="B364" s="514" t="s">
        <v>411</v>
      </c>
      <c r="C364" s="514"/>
      <c r="D364" s="514" t="s">
        <v>410</v>
      </c>
      <c r="E364" s="514"/>
      <c r="F364" s="514" t="s">
        <v>409</v>
      </c>
      <c r="G364" s="514"/>
      <c r="H364" s="514" t="s">
        <v>32</v>
      </c>
      <c r="I364" s="514"/>
      <c r="J364" s="413"/>
      <c r="K364" s="434" t="s">
        <v>371</v>
      </c>
      <c r="L364" s="434" t="s">
        <v>373</v>
      </c>
      <c r="M364" s="434" t="s">
        <v>369</v>
      </c>
      <c r="N364" s="434" t="s">
        <v>32</v>
      </c>
    </row>
    <row r="365" spans="1:14" x14ac:dyDescent="0.2">
      <c r="A365" s="423">
        <f>$A$8</f>
        <v>2017</v>
      </c>
      <c r="B365" s="424" t="s">
        <v>60</v>
      </c>
      <c r="C365" s="425" t="s">
        <v>408</v>
      </c>
      <c r="D365" s="424" t="s">
        <v>60</v>
      </c>
      <c r="E365" s="425" t="s">
        <v>408</v>
      </c>
      <c r="F365" s="424" t="s">
        <v>60</v>
      </c>
      <c r="G365" s="425" t="s">
        <v>408</v>
      </c>
      <c r="H365" s="424" t="s">
        <v>60</v>
      </c>
      <c r="I365" s="425" t="s">
        <v>408</v>
      </c>
      <c r="J365" s="413"/>
      <c r="K365" s="426" t="str">
        <f>CONCATENATE(A365," - ",A370)</f>
        <v>2017 - 2022</v>
      </c>
      <c r="L365" s="427"/>
      <c r="M365" s="427"/>
    </row>
    <row r="366" spans="1:14" x14ac:dyDescent="0.2">
      <c r="A366" s="417" t="s">
        <v>390</v>
      </c>
      <c r="B366" s="440">
        <f>'Ind T6'!L465</f>
        <v>34.882000000066846</v>
      </c>
      <c r="C366" s="436" t="str">
        <f>CONCATENATE("(",ROUND((B366/$H368)*100,1),")")</f>
        <v>(40.2)</v>
      </c>
      <c r="D366" s="440">
        <f>'Ind T6'!M465</f>
        <v>8.5170000000139865</v>
      </c>
      <c r="E366" s="436" t="str">
        <f>CONCATENATE("(",ROUND((D366/$H368)*100,1),")")</f>
        <v>(9.8)</v>
      </c>
      <c r="F366" s="440">
        <f>'Ind T6'!N465</f>
        <v>8.4859999998743856</v>
      </c>
      <c r="G366" s="436" t="str">
        <f>CONCATENATE("(",ROUND((F366/$H368)*100,1),")")</f>
        <v>(9.8)</v>
      </c>
      <c r="H366" s="440">
        <f>SUM(B366,D366,F366)</f>
        <v>51.88499999995522</v>
      </c>
      <c r="I366" s="436" t="str">
        <f>CONCATENATE("(",ROUND((H366/$H368)*100,1),")")</f>
        <v>(59.8)</v>
      </c>
      <c r="K366" s="440">
        <f>B371-B366</f>
        <v>2.1779999996877351</v>
      </c>
      <c r="L366" s="440">
        <f>D371-D366</f>
        <v>0.43699999991398819</v>
      </c>
      <c r="M366" s="440">
        <f>F371-F366</f>
        <v>-0.17299999996199666</v>
      </c>
      <c r="N366" s="440">
        <f>SUM(K366:M366)</f>
        <v>2.4419999996397266</v>
      </c>
    </row>
    <row r="367" spans="1:14" x14ac:dyDescent="0.2">
      <c r="A367" s="417" t="s">
        <v>391</v>
      </c>
      <c r="B367" s="440">
        <f>'Ind T6'!L464</f>
        <v>18.996000000071266</v>
      </c>
      <c r="C367" s="436" t="str">
        <f>CONCATENATE("(",ROUND((B367/$H368)*100,1),")")</f>
        <v>(21.9)</v>
      </c>
      <c r="D367" s="440">
        <f>'Ind T6'!M464</f>
        <v>12.16000000008567</v>
      </c>
      <c r="E367" s="436" t="str">
        <f>CONCATENATE("(",ROUND((D367/$H368)*100,1),")")</f>
        <v>(14)</v>
      </c>
      <c r="F367" s="440">
        <f>'Ind T6'!N464</f>
        <v>3.7610000000888237</v>
      </c>
      <c r="G367" s="436" t="str">
        <f>CONCATENATE("(",ROUND((F367/$H368)*100,1),")")</f>
        <v>(4.3)</v>
      </c>
      <c r="H367" s="440">
        <f t="shared" ref="H367" si="275">SUM(B367,D367,F367)</f>
        <v>34.917000000245757</v>
      </c>
      <c r="I367" s="436" t="str">
        <f>CONCATENATE("(",ROUND((H367/$H368)*100,1),")")</f>
        <v>(40.2)</v>
      </c>
      <c r="K367" s="440">
        <f t="shared" ref="K367:K368" si="276">B372-B367</f>
        <v>0.28899999996657755</v>
      </c>
      <c r="L367" s="440">
        <f t="shared" ref="L367:L368" si="277">D372-D367</f>
        <v>0.52899999997256408</v>
      </c>
      <c r="M367" s="440">
        <f t="shared" ref="M367:M368" si="278">F372-F367</f>
        <v>0.12299999999635558</v>
      </c>
      <c r="N367" s="440">
        <f t="shared" ref="N367:N368" si="279">SUM(K367:M367)</f>
        <v>0.94099999993549721</v>
      </c>
    </row>
    <row r="368" spans="1:14" x14ac:dyDescent="0.2">
      <c r="A368" s="417" t="s">
        <v>389</v>
      </c>
      <c r="B368" s="440">
        <f>SUM(B366:B367)</f>
        <v>53.878000000138115</v>
      </c>
      <c r="C368" s="436" t="str">
        <f>CONCATENATE("(",ROUND((B368/$H368)*100,1),")")</f>
        <v>(62.1)</v>
      </c>
      <c r="D368" s="440">
        <f>SUM(D366:D367)</f>
        <v>20.677000000099657</v>
      </c>
      <c r="E368" s="436" t="str">
        <f>CONCATENATE("(",ROUND((D368/$H368)*100,1),")")</f>
        <v>(23.8)</v>
      </c>
      <c r="F368" s="440">
        <f>SUM(F366:F367)</f>
        <v>12.24699999996321</v>
      </c>
      <c r="G368" s="436" t="str">
        <f>CONCATENATE("(",ROUND((F368/$H368)*100,1),")")</f>
        <v>(14.1)</v>
      </c>
      <c r="H368" s="440">
        <f>SUM(H366:H367)</f>
        <v>86.802000000200977</v>
      </c>
      <c r="I368" s="436" t="str">
        <f>CONCATENATE("(",ROUND((H368/$H368)*100,1),")")</f>
        <v>(100)</v>
      </c>
      <c r="K368" s="440">
        <f t="shared" si="276"/>
        <v>2.4669999996543055</v>
      </c>
      <c r="L368" s="440">
        <f t="shared" si="277"/>
        <v>0.96599999988655227</v>
      </c>
      <c r="M368" s="440">
        <f t="shared" si="278"/>
        <v>-4.999999996564064E-2</v>
      </c>
      <c r="N368" s="440">
        <f t="shared" si="279"/>
        <v>3.3829999995752171</v>
      </c>
    </row>
    <row r="369" spans="1:14" x14ac:dyDescent="0.2">
      <c r="B369" s="440"/>
      <c r="C369" s="428"/>
      <c r="D369" s="440"/>
      <c r="E369" s="428"/>
      <c r="F369" s="440"/>
      <c r="G369" s="428"/>
      <c r="H369" s="440"/>
      <c r="I369" s="428"/>
    </row>
    <row r="370" spans="1:14" x14ac:dyDescent="0.2">
      <c r="A370" s="423">
        <f>$A$13</f>
        <v>2022</v>
      </c>
      <c r="B370" s="440"/>
      <c r="C370" s="428"/>
      <c r="D370" s="440"/>
      <c r="E370" s="428"/>
      <c r="F370" s="440"/>
      <c r="G370" s="428"/>
      <c r="H370" s="440"/>
      <c r="I370" s="428"/>
      <c r="K370" s="426" t="str">
        <f>CONCATENATE(A370," - ",A375)</f>
        <v>2022 - 2027</v>
      </c>
    </row>
    <row r="371" spans="1:14" x14ac:dyDescent="0.2">
      <c r="A371" s="417" t="s">
        <v>390</v>
      </c>
      <c r="B371" s="440">
        <f>'Ind T6'!Q465</f>
        <v>37.059999999754581</v>
      </c>
      <c r="C371" s="436" t="str">
        <f>CONCATENATE("(",ROUND((B371/$H373)*100,1),")")</f>
        <v>(41.1)</v>
      </c>
      <c r="D371" s="440">
        <f>'Ind T6'!R465</f>
        <v>8.9539999999279747</v>
      </c>
      <c r="E371" s="436" t="str">
        <f>CONCATENATE("(",ROUND((D371/$H373)*100,1),")")</f>
        <v>(9.9)</v>
      </c>
      <c r="F371" s="440">
        <f>'Ind T6'!S465</f>
        <v>8.3129999999123889</v>
      </c>
      <c r="G371" s="436" t="str">
        <f>CONCATENATE("(",ROUND((F371/$H373)*100,1),")")</f>
        <v>(9.2)</v>
      </c>
      <c r="H371" s="440">
        <f>SUM(B371,D371,F371)</f>
        <v>54.326999999594946</v>
      </c>
      <c r="I371" s="436" t="str">
        <f>CONCATENATE("(",ROUND((H371/$H373)*100,1),")")</f>
        <v>(60.2)</v>
      </c>
      <c r="K371" s="440">
        <f>B376-B371</f>
        <v>1.8689999999802183</v>
      </c>
      <c r="L371" s="440">
        <f>D376-D371</f>
        <v>0.27199999998096303</v>
      </c>
      <c r="M371" s="440">
        <f>F376-F371</f>
        <v>-0.3739999999558119</v>
      </c>
      <c r="N371" s="440">
        <f>SUM(K371:M371)</f>
        <v>1.7670000000053694</v>
      </c>
    </row>
    <row r="372" spans="1:14" x14ac:dyDescent="0.2">
      <c r="A372" s="417" t="s">
        <v>391</v>
      </c>
      <c r="B372" s="440">
        <f>'Ind T6'!Q464</f>
        <v>19.285000000037844</v>
      </c>
      <c r="C372" s="436" t="str">
        <f>CONCATENATE("(",ROUND((B372/$H373)*100,1),")")</f>
        <v>(21.4)</v>
      </c>
      <c r="D372" s="440">
        <f>'Ind T6'!R464</f>
        <v>12.689000000058234</v>
      </c>
      <c r="E372" s="436" t="str">
        <f>CONCATENATE("(",ROUND((D372/$H373)*100,1),")")</f>
        <v>(14.1)</v>
      </c>
      <c r="F372" s="440">
        <f>'Ind T6'!S464</f>
        <v>3.8840000000851793</v>
      </c>
      <c r="G372" s="436" t="str">
        <f>CONCATENATE("(",ROUND((F372/$H373)*100,1),")")</f>
        <v>(4.3)</v>
      </c>
      <c r="H372" s="440">
        <f t="shared" ref="H372" si="280">SUM(B372,D372,F372)</f>
        <v>35.858000000181256</v>
      </c>
      <c r="I372" s="436" t="str">
        <f>CONCATENATE("(",ROUND((H372/$H373)*100,1),")")</f>
        <v>(39.8)</v>
      </c>
      <c r="K372" s="440">
        <f t="shared" ref="K372:K373" si="281">B377-B372</f>
        <v>0.14200000000313651</v>
      </c>
      <c r="L372" s="440">
        <f t="shared" ref="L372:L373" si="282">D377-D372</f>
        <v>0.22199999998534103</v>
      </c>
      <c r="M372" s="440">
        <f t="shared" ref="M372:M373" si="283">F377-F372</f>
        <v>-2.2064128302190511E-11</v>
      </c>
      <c r="N372" s="440">
        <f t="shared" ref="N372:N373" si="284">SUM(K372:M372)</f>
        <v>0.36399999996641341</v>
      </c>
    </row>
    <row r="373" spans="1:14" x14ac:dyDescent="0.2">
      <c r="A373" s="417" t="s">
        <v>389</v>
      </c>
      <c r="B373" s="440">
        <f>SUM(B371:B372)</f>
        <v>56.344999999792421</v>
      </c>
      <c r="C373" s="436" t="str">
        <f>CONCATENATE("(",ROUND((B373/$H373)*100,1),")")</f>
        <v>(62.5)</v>
      </c>
      <c r="D373" s="440">
        <f>SUM(D371:D372)</f>
        <v>21.642999999986209</v>
      </c>
      <c r="E373" s="436" t="str">
        <f>CONCATENATE("(",ROUND((D373/$H373)*100,1),")")</f>
        <v>(24)</v>
      </c>
      <c r="F373" s="440">
        <f>SUM(F371:F372)</f>
        <v>12.196999999997569</v>
      </c>
      <c r="G373" s="436" t="str">
        <f>CONCATENATE("(",ROUND((F373/$H373)*100,1),")")</f>
        <v>(13.5)</v>
      </c>
      <c r="H373" s="440">
        <f>SUM(H371:H372)</f>
        <v>90.18499999977621</v>
      </c>
      <c r="I373" s="436" t="str">
        <f>CONCATENATE("(",ROUND((H373/$H373)*100,1),")")</f>
        <v>(100)</v>
      </c>
      <c r="K373" s="440">
        <f t="shared" si="281"/>
        <v>2.0109999999833548</v>
      </c>
      <c r="L373" s="440">
        <f t="shared" si="282"/>
        <v>0.49399999996630584</v>
      </c>
      <c r="M373" s="440">
        <f t="shared" si="283"/>
        <v>-0.37399999997787603</v>
      </c>
      <c r="N373" s="440">
        <f t="shared" si="284"/>
        <v>2.1309999999717846</v>
      </c>
    </row>
    <row r="374" spans="1:14" x14ac:dyDescent="0.2">
      <c r="B374" s="440"/>
      <c r="C374" s="428"/>
      <c r="D374" s="440"/>
      <c r="E374" s="428"/>
      <c r="F374" s="440"/>
      <c r="G374" s="428"/>
      <c r="H374" s="440"/>
      <c r="I374" s="428"/>
    </row>
    <row r="375" spans="1:14" x14ac:dyDescent="0.2">
      <c r="A375" s="423">
        <f>$A$18</f>
        <v>2027</v>
      </c>
      <c r="B375" s="440"/>
      <c r="C375" s="428"/>
      <c r="D375" s="440"/>
      <c r="E375" s="428"/>
      <c r="F375" s="440"/>
      <c r="G375" s="428"/>
      <c r="H375" s="440"/>
      <c r="I375" s="428"/>
      <c r="K375" s="426" t="str">
        <f>CONCATENATE(A365," - ",A375)</f>
        <v>2017 - 2027</v>
      </c>
    </row>
    <row r="376" spans="1:14" x14ac:dyDescent="0.2">
      <c r="A376" s="417" t="s">
        <v>390</v>
      </c>
      <c r="B376" s="440">
        <f>'Ind T6'!V465</f>
        <v>38.928999999734799</v>
      </c>
      <c r="C376" s="436" t="str">
        <f>CONCATENATE("(",ROUND((B376/$H378)*100,1),")")</f>
        <v>(42.2)</v>
      </c>
      <c r="D376" s="440">
        <f>'Ind T6'!W465</f>
        <v>9.2259999999089377</v>
      </c>
      <c r="E376" s="436" t="str">
        <f>CONCATENATE("(",ROUND((D376/$H378)*100,1),")")</f>
        <v>(10)</v>
      </c>
      <c r="F376" s="440">
        <f>'Ind T6'!X465</f>
        <v>7.938999999956577</v>
      </c>
      <c r="G376" s="436" t="str">
        <f>CONCATENATE("(",ROUND((F376/$H378)*100,1),")")</f>
        <v>(8.6)</v>
      </c>
      <c r="H376" s="440">
        <f>SUM(B376,D376,F376)</f>
        <v>56.093999999600314</v>
      </c>
      <c r="I376" s="436" t="str">
        <f>CONCATENATE("(",ROUND((H376/$H378)*100,1),")")</f>
        <v>(60.8)</v>
      </c>
      <c r="K376" s="440">
        <f>B376-B366</f>
        <v>4.0469999996679533</v>
      </c>
      <c r="L376" s="440">
        <f>D376-D366</f>
        <v>0.70899999989495122</v>
      </c>
      <c r="M376" s="440">
        <f>F376-F366</f>
        <v>-0.54699999991780857</v>
      </c>
      <c r="N376" s="440">
        <f>SUM(K376:M376)</f>
        <v>4.208999999645096</v>
      </c>
    </row>
    <row r="377" spans="1:14" x14ac:dyDescent="0.2">
      <c r="A377" s="417" t="s">
        <v>391</v>
      </c>
      <c r="B377" s="440">
        <f>'Ind T6'!V464</f>
        <v>19.42700000004098</v>
      </c>
      <c r="C377" s="436" t="str">
        <f>CONCATENATE("(",ROUND((B377/$H378)*100,1),")")</f>
        <v>(21)</v>
      </c>
      <c r="D377" s="440">
        <f>'Ind T6'!W464</f>
        <v>12.911000000043575</v>
      </c>
      <c r="E377" s="436" t="str">
        <f>CONCATENATE("(",ROUND((D377/$H378)*100,1),")")</f>
        <v>(14)</v>
      </c>
      <c r="F377" s="440">
        <f>'Ind T6'!X464</f>
        <v>3.8840000000631152</v>
      </c>
      <c r="G377" s="436" t="str">
        <f>CONCATENATE("(",ROUND((F377/$H378)*100,1),")")</f>
        <v>(4.2)</v>
      </c>
      <c r="H377" s="440">
        <f t="shared" ref="H377" si="285">SUM(B377,D377,F377)</f>
        <v>36.222000000147673</v>
      </c>
      <c r="I377" s="436" t="str">
        <f>CONCATENATE("(",ROUND((H377/$H378)*100,1),")")</f>
        <v>(39.2)</v>
      </c>
      <c r="K377" s="440">
        <f t="shared" ref="K377:K378" si="286">B377-B367</f>
        <v>0.43099999996971405</v>
      </c>
      <c r="L377" s="440">
        <f t="shared" ref="L377:L378" si="287">D377-D367</f>
        <v>0.75099999995790512</v>
      </c>
      <c r="M377" s="440">
        <f t="shared" ref="M377:M378" si="288">F377-F367</f>
        <v>0.12299999997429145</v>
      </c>
      <c r="N377" s="440">
        <f t="shared" ref="N377:N378" si="289">SUM(K377:M377)</f>
        <v>1.3049999999019106</v>
      </c>
    </row>
    <row r="378" spans="1:14" x14ac:dyDescent="0.2">
      <c r="A378" s="408" t="s">
        <v>389</v>
      </c>
      <c r="B378" s="440">
        <f>SUM(B376:B377)</f>
        <v>58.355999999775776</v>
      </c>
      <c r="C378" s="436" t="str">
        <f>CONCATENATE("(",ROUND((B378/$H378)*100,1),")")</f>
        <v>(63.2)</v>
      </c>
      <c r="D378" s="440">
        <f>SUM(D376:D377)</f>
        <v>22.136999999952515</v>
      </c>
      <c r="E378" s="436" t="str">
        <f>CONCATENATE("(",ROUND((D378/$H378)*100,1),")")</f>
        <v>(24)</v>
      </c>
      <c r="F378" s="440">
        <f>SUM(F376:F377)</f>
        <v>11.823000000019693</v>
      </c>
      <c r="G378" s="436" t="str">
        <f>CONCATENATE("(",ROUND((F378/$H378)*100,1),")")</f>
        <v>(12.8)</v>
      </c>
      <c r="H378" s="440">
        <f>SUM(H376:H377)</f>
        <v>92.315999999747987</v>
      </c>
      <c r="I378" s="436" t="str">
        <f>CONCATENATE("(",ROUND((H378/$H378)*100,1),")")</f>
        <v>(100)</v>
      </c>
      <c r="K378" s="440">
        <f t="shared" si="286"/>
        <v>4.4779999996376603</v>
      </c>
      <c r="L378" s="440">
        <f t="shared" si="287"/>
        <v>1.4599999998528581</v>
      </c>
      <c r="M378" s="440">
        <f t="shared" si="288"/>
        <v>-0.42399999994351667</v>
      </c>
      <c r="N378" s="440">
        <f t="shared" si="289"/>
        <v>5.5139999995470017</v>
      </c>
    </row>
    <row r="379" spans="1:14" x14ac:dyDescent="0.2">
      <c r="A379" s="429"/>
      <c r="B379" s="430"/>
      <c r="C379" s="429"/>
      <c r="D379" s="430"/>
      <c r="E379" s="429"/>
      <c r="F379" s="430"/>
      <c r="G379" s="429"/>
      <c r="H379" s="430"/>
      <c r="I379" s="429"/>
      <c r="J379" s="429"/>
      <c r="K379" s="430"/>
      <c r="L379" s="430"/>
      <c r="M379" s="430"/>
      <c r="N379" s="430"/>
    </row>
    <row r="383" spans="1:14" x14ac:dyDescent="0.2">
      <c r="A383" s="419"/>
      <c r="B383" s="420" t="s">
        <v>414</v>
      </c>
      <c r="C383" s="419"/>
      <c r="D383" s="420"/>
      <c r="E383" s="419"/>
      <c r="F383" s="420" t="str">
        <f>name!B21</f>
        <v>Public admin. and defence</v>
      </c>
      <c r="G383" s="419"/>
      <c r="H383" s="422"/>
      <c r="I383" s="419"/>
      <c r="J383" s="421"/>
      <c r="K383" s="422"/>
      <c r="L383" s="422"/>
      <c r="M383" s="422"/>
      <c r="N383" s="422"/>
    </row>
    <row r="384" spans="1:14" x14ac:dyDescent="0.2">
      <c r="A384" s="408"/>
      <c r="B384" s="409"/>
      <c r="C384" s="408"/>
      <c r="D384" s="409"/>
      <c r="E384" s="408"/>
      <c r="F384" s="409"/>
      <c r="G384" s="408"/>
      <c r="H384" s="409"/>
      <c r="I384" s="408"/>
      <c r="K384" s="409"/>
      <c r="L384" s="409"/>
      <c r="M384" s="409"/>
      <c r="N384" s="415" t="s">
        <v>412</v>
      </c>
    </row>
    <row r="385" spans="1:14" x14ac:dyDescent="0.2">
      <c r="A385" s="413" t="s">
        <v>413</v>
      </c>
      <c r="B385" s="514" t="s">
        <v>411</v>
      </c>
      <c r="C385" s="514"/>
      <c r="D385" s="514" t="s">
        <v>410</v>
      </c>
      <c r="E385" s="514"/>
      <c r="F385" s="514" t="s">
        <v>409</v>
      </c>
      <c r="G385" s="514"/>
      <c r="H385" s="514" t="s">
        <v>32</v>
      </c>
      <c r="I385" s="514"/>
      <c r="J385" s="413"/>
      <c r="K385" s="434" t="s">
        <v>371</v>
      </c>
      <c r="L385" s="434" t="s">
        <v>373</v>
      </c>
      <c r="M385" s="434" t="s">
        <v>369</v>
      </c>
      <c r="N385" s="434" t="s">
        <v>32</v>
      </c>
    </row>
    <row r="386" spans="1:14" x14ac:dyDescent="0.2">
      <c r="A386" s="423">
        <f>$A$8</f>
        <v>2017</v>
      </c>
      <c r="B386" s="424" t="s">
        <v>60</v>
      </c>
      <c r="C386" s="425" t="s">
        <v>408</v>
      </c>
      <c r="D386" s="424" t="s">
        <v>60</v>
      </c>
      <c r="E386" s="425" t="s">
        <v>408</v>
      </c>
      <c r="F386" s="424" t="s">
        <v>60</v>
      </c>
      <c r="G386" s="425" t="s">
        <v>408</v>
      </c>
      <c r="H386" s="424" t="s">
        <v>60</v>
      </c>
      <c r="I386" s="425" t="s">
        <v>408</v>
      </c>
      <c r="J386" s="413"/>
      <c r="K386" s="426" t="str">
        <f>CONCATENATE(A386," - ",A391)</f>
        <v>2017 - 2022</v>
      </c>
      <c r="L386" s="427"/>
      <c r="M386" s="427"/>
    </row>
    <row r="387" spans="1:14" x14ac:dyDescent="0.2">
      <c r="A387" s="417" t="s">
        <v>390</v>
      </c>
      <c r="B387" s="440">
        <f>'Ind T6'!L475</f>
        <v>28.34099999989396</v>
      </c>
      <c r="C387" s="436" t="str">
        <f>CONCATENATE("(",ROUND((B387/$H389)*100,1),")")</f>
        <v>(33.9)</v>
      </c>
      <c r="D387" s="440">
        <f>'Ind T6'!M475</f>
        <v>5.158999999996114</v>
      </c>
      <c r="E387" s="436" t="str">
        <f>CONCATENATE("(",ROUND((D387/$H389)*100,1),")")</f>
        <v>(6.2)</v>
      </c>
      <c r="F387" s="440">
        <f>'Ind T6'!N475</f>
        <v>1.38399999996298</v>
      </c>
      <c r="G387" s="436" t="str">
        <f>CONCATENATE("(",ROUND((F387/$H389)*100,1),")")</f>
        <v>(1.7)</v>
      </c>
      <c r="H387" s="440">
        <f>SUM(B387,D387,F387)</f>
        <v>34.883999999853053</v>
      </c>
      <c r="I387" s="436" t="str">
        <f>CONCATENATE("(",ROUND((H387/$H389)*100,1),")")</f>
        <v>(41.7)</v>
      </c>
      <c r="K387" s="440">
        <f>B392-B387</f>
        <v>-2.0339999996165865</v>
      </c>
      <c r="L387" s="440">
        <f>D392-D387</f>
        <v>0.33600000007583475</v>
      </c>
      <c r="M387" s="440">
        <f>F392-F387</f>
        <v>4.5000000025066322E-2</v>
      </c>
      <c r="N387" s="440">
        <f>SUM(K387:M387)</f>
        <v>-1.6529999995156854</v>
      </c>
    </row>
    <row r="388" spans="1:14" x14ac:dyDescent="0.2">
      <c r="A388" s="417" t="s">
        <v>391</v>
      </c>
      <c r="B388" s="440">
        <f>'Ind T6'!L474</f>
        <v>24.583999999816982</v>
      </c>
      <c r="C388" s="436" t="str">
        <f>CONCATENATE("(",ROUND((B388/$H389)*100,1),")")</f>
        <v>(29.4)</v>
      </c>
      <c r="D388" s="440">
        <f>'Ind T6'!M474</f>
        <v>24.101999999681038</v>
      </c>
      <c r="E388" s="436" t="str">
        <f>CONCATENATE("(",ROUND((D388/$H389)*100,1),")")</f>
        <v>(28.8)</v>
      </c>
      <c r="F388" s="440">
        <f>'Ind T6'!N474</f>
        <v>0</v>
      </c>
      <c r="G388" s="436" t="str">
        <f>CONCATENATE("(",ROUND((F388/$H389)*100,1),")")</f>
        <v>(0)</v>
      </c>
      <c r="H388" s="440">
        <f t="shared" ref="H388" si="290">SUM(B388,D388,F388)</f>
        <v>48.685999999498023</v>
      </c>
      <c r="I388" s="436" t="str">
        <f>CONCATENATE("(",ROUND((H388/$H389)*100,1),")")</f>
        <v>(58.3)</v>
      </c>
      <c r="K388" s="440">
        <f t="shared" ref="K388:K389" si="291">B393-B388</f>
        <v>-0.47199999991870101</v>
      </c>
      <c r="L388" s="440">
        <f t="shared" ref="L388:L389" si="292">D393-D388</f>
        <v>1.3030000001060955</v>
      </c>
      <c r="M388" s="440">
        <f t="shared" ref="M388:M389" si="293">F393-F388</f>
        <v>0</v>
      </c>
      <c r="N388" s="440">
        <f t="shared" ref="N388:N389" si="294">SUM(K388:M388)</f>
        <v>0.83100000018739451</v>
      </c>
    </row>
    <row r="389" spans="1:14" x14ac:dyDescent="0.2">
      <c r="A389" s="417" t="s">
        <v>389</v>
      </c>
      <c r="B389" s="440">
        <f>SUM(B387:B388)</f>
        <v>52.924999999710941</v>
      </c>
      <c r="C389" s="436" t="str">
        <f>CONCATENATE("(",ROUND((B389/$H389)*100,1),")")</f>
        <v>(63.3)</v>
      </c>
      <c r="D389" s="440">
        <f>SUM(D387:D388)</f>
        <v>29.260999999677153</v>
      </c>
      <c r="E389" s="436" t="str">
        <f>CONCATENATE("(",ROUND((D389/$H389)*100,1),")")</f>
        <v>(35)</v>
      </c>
      <c r="F389" s="440">
        <f>SUM(F387:F388)</f>
        <v>1.38399999996298</v>
      </c>
      <c r="G389" s="436" t="str">
        <f>CONCATENATE("(",ROUND((F389/$H389)*100,1),")")</f>
        <v>(1.7)</v>
      </c>
      <c r="H389" s="440">
        <f>SUM(H387:H388)</f>
        <v>83.569999999351069</v>
      </c>
      <c r="I389" s="436" t="str">
        <f>CONCATENATE("(",ROUND((H389/$H389)*100,1),")")</f>
        <v>(100)</v>
      </c>
      <c r="K389" s="440">
        <f t="shared" si="291"/>
        <v>-2.505999999535284</v>
      </c>
      <c r="L389" s="440">
        <f t="shared" si="292"/>
        <v>1.6390000001819303</v>
      </c>
      <c r="M389" s="440">
        <f t="shared" si="293"/>
        <v>4.5000000025066322E-2</v>
      </c>
      <c r="N389" s="440">
        <f t="shared" si="294"/>
        <v>-0.82199999932828738</v>
      </c>
    </row>
    <row r="390" spans="1:14" x14ac:dyDescent="0.2">
      <c r="B390" s="440"/>
      <c r="C390" s="428"/>
      <c r="D390" s="440"/>
      <c r="E390" s="428"/>
      <c r="F390" s="440"/>
      <c r="G390" s="428"/>
      <c r="H390" s="440"/>
      <c r="I390" s="428"/>
    </row>
    <row r="391" spans="1:14" x14ac:dyDescent="0.2">
      <c r="A391" s="423">
        <f>$A$13</f>
        <v>2022</v>
      </c>
      <c r="B391" s="440"/>
      <c r="C391" s="428"/>
      <c r="D391" s="440"/>
      <c r="E391" s="428"/>
      <c r="F391" s="440"/>
      <c r="G391" s="428"/>
      <c r="H391" s="440"/>
      <c r="I391" s="428"/>
      <c r="K391" s="426" t="str">
        <f>CONCATENATE(A391," - ",A396)</f>
        <v>2022 - 2027</v>
      </c>
    </row>
    <row r="392" spans="1:14" x14ac:dyDescent="0.2">
      <c r="A392" s="417" t="s">
        <v>390</v>
      </c>
      <c r="B392" s="440">
        <f>'Ind T6'!Q475</f>
        <v>26.307000000277373</v>
      </c>
      <c r="C392" s="436" t="str">
        <f>CONCATENATE("(",ROUND((B392/$H394)*100,1),")")</f>
        <v>(31.8)</v>
      </c>
      <c r="D392" s="440">
        <f>'Ind T6'!R475</f>
        <v>5.4950000000719488</v>
      </c>
      <c r="E392" s="436" t="str">
        <f>CONCATENATE("(",ROUND((D392/$H394)*100,1),")")</f>
        <v>(6.6)</v>
      </c>
      <c r="F392" s="440">
        <f>'Ind T6'!S475</f>
        <v>1.4289999999880463</v>
      </c>
      <c r="G392" s="436" t="str">
        <f>CONCATENATE("(",ROUND((F392/$H394)*100,1),")")</f>
        <v>(1.7)</v>
      </c>
      <c r="H392" s="440">
        <f>SUM(B392,D392,F392)</f>
        <v>33.231000000337367</v>
      </c>
      <c r="I392" s="436" t="str">
        <f>CONCATENATE("(",ROUND((H392/$H394)*100,1),")")</f>
        <v>(40.2)</v>
      </c>
      <c r="K392" s="440">
        <f>B397-B392</f>
        <v>-1.5889999999391584</v>
      </c>
      <c r="L392" s="440">
        <f>D397-D392</f>
        <v>0.34000000001193431</v>
      </c>
      <c r="M392" s="440">
        <f>F397-F392</f>
        <v>5.500000000758809E-2</v>
      </c>
      <c r="N392" s="440">
        <f>SUM(K392:M392)</f>
        <v>-1.193999999919636</v>
      </c>
    </row>
    <row r="393" spans="1:14" x14ac:dyDescent="0.2">
      <c r="A393" s="417" t="s">
        <v>391</v>
      </c>
      <c r="B393" s="440">
        <f>'Ind T6'!Q474</f>
        <v>24.111999999898281</v>
      </c>
      <c r="C393" s="436" t="str">
        <f>CONCATENATE("(",ROUND((B393/$H394)*100,1),")")</f>
        <v>(29.1)</v>
      </c>
      <c r="D393" s="440">
        <f>'Ind T6'!R474</f>
        <v>25.404999999787133</v>
      </c>
      <c r="E393" s="436" t="str">
        <f>CONCATENATE("(",ROUND((D393/$H394)*100,1),")")</f>
        <v>(30.7)</v>
      </c>
      <c r="F393" s="440">
        <f>'Ind T6'!S474</f>
        <v>0</v>
      </c>
      <c r="G393" s="436" t="str">
        <f>CONCATENATE("(",ROUND((F393/$H394)*100,1),")")</f>
        <v>(0)</v>
      </c>
      <c r="H393" s="440">
        <f t="shared" ref="H393" si="295">SUM(B393,D393,F393)</f>
        <v>49.51699999968541</v>
      </c>
      <c r="I393" s="436" t="str">
        <f>CONCATENATE("(",ROUND((H393/$H394)*100,1),")")</f>
        <v>(59.8)</v>
      </c>
      <c r="K393" s="440">
        <f t="shared" ref="K393:K394" si="296">B398-B393</f>
        <v>-0.22699999995307607</v>
      </c>
      <c r="L393" s="440">
        <f t="shared" ref="L393:L394" si="297">D398-D393</f>
        <v>1.339000000002482</v>
      </c>
      <c r="M393" s="440">
        <f t="shared" ref="M393:M394" si="298">F398-F393</f>
        <v>0</v>
      </c>
      <c r="N393" s="440">
        <f t="shared" ref="N393:N394" si="299">SUM(K393:M393)</f>
        <v>1.1120000000494059</v>
      </c>
    </row>
    <row r="394" spans="1:14" x14ac:dyDescent="0.2">
      <c r="A394" s="417" t="s">
        <v>389</v>
      </c>
      <c r="B394" s="440">
        <f>SUM(B392:B393)</f>
        <v>50.419000000175657</v>
      </c>
      <c r="C394" s="436" t="str">
        <f>CONCATENATE("(",ROUND((B394/$H394)*100,1),")")</f>
        <v>(60.9)</v>
      </c>
      <c r="D394" s="440">
        <f>SUM(D392:D393)</f>
        <v>30.899999999859084</v>
      </c>
      <c r="E394" s="436" t="str">
        <f>CONCATENATE("(",ROUND((D394/$H394)*100,1),")")</f>
        <v>(37.3)</v>
      </c>
      <c r="F394" s="440">
        <f>SUM(F392:F393)</f>
        <v>1.4289999999880463</v>
      </c>
      <c r="G394" s="436" t="str">
        <f>CONCATENATE("(",ROUND((F394/$H394)*100,1),")")</f>
        <v>(1.7)</v>
      </c>
      <c r="H394" s="440">
        <f>SUM(H392:H393)</f>
        <v>82.748000000022785</v>
      </c>
      <c r="I394" s="436" t="str">
        <f>CONCATENATE("(",ROUND((H394/$H394)*100,1),")")</f>
        <v>(100)</v>
      </c>
      <c r="K394" s="440">
        <f t="shared" si="296"/>
        <v>-1.8159999998922416</v>
      </c>
      <c r="L394" s="440">
        <f t="shared" si="297"/>
        <v>1.6790000000144119</v>
      </c>
      <c r="M394" s="440">
        <f t="shared" si="298"/>
        <v>5.500000000758809E-2</v>
      </c>
      <c r="N394" s="440">
        <f t="shared" si="299"/>
        <v>-8.1999999870241647E-2</v>
      </c>
    </row>
    <row r="395" spans="1:14" x14ac:dyDescent="0.2">
      <c r="B395" s="440"/>
      <c r="C395" s="428"/>
      <c r="D395" s="440"/>
      <c r="E395" s="428"/>
      <c r="F395" s="440"/>
      <c r="G395" s="428"/>
      <c r="H395" s="440"/>
      <c r="I395" s="428"/>
    </row>
    <row r="396" spans="1:14" x14ac:dyDescent="0.2">
      <c r="A396" s="423">
        <f>$A$18</f>
        <v>2027</v>
      </c>
      <c r="B396" s="440"/>
      <c r="C396" s="428"/>
      <c r="D396" s="440"/>
      <c r="E396" s="428"/>
      <c r="F396" s="440"/>
      <c r="G396" s="428"/>
      <c r="H396" s="440"/>
      <c r="I396" s="428"/>
      <c r="K396" s="426" t="str">
        <f>CONCATENATE(A386," - ",A396)</f>
        <v>2017 - 2027</v>
      </c>
    </row>
    <row r="397" spans="1:14" x14ac:dyDescent="0.2">
      <c r="A397" s="417" t="s">
        <v>390</v>
      </c>
      <c r="B397" s="440">
        <f>'Ind T6'!V475</f>
        <v>24.718000000338215</v>
      </c>
      <c r="C397" s="436" t="str">
        <f>CONCATENATE("(",ROUND((B397/$H399)*100,1),")")</f>
        <v>(29.9)</v>
      </c>
      <c r="D397" s="440">
        <f>'Ind T6'!W475</f>
        <v>5.8350000000838831</v>
      </c>
      <c r="E397" s="436" t="str">
        <f>CONCATENATE("(",ROUND((D397/$H399)*100,1),")")</f>
        <v>(7.1)</v>
      </c>
      <c r="F397" s="440">
        <f>'Ind T6'!X475</f>
        <v>1.4839999999956344</v>
      </c>
      <c r="G397" s="436" t="str">
        <f>CONCATENATE("(",ROUND((F397/$H399)*100,1),")")</f>
        <v>(1.8)</v>
      </c>
      <c r="H397" s="440">
        <f>SUM(B397,D397,F397)</f>
        <v>32.037000000417734</v>
      </c>
      <c r="I397" s="436" t="str">
        <f>CONCATENATE("(",ROUND((H397/$H399)*100,1),")")</f>
        <v>(38.8)</v>
      </c>
      <c r="K397" s="440">
        <f>B397-B387</f>
        <v>-3.6229999995557449</v>
      </c>
      <c r="L397" s="440">
        <f>D397-D387</f>
        <v>0.67600000008776906</v>
      </c>
      <c r="M397" s="440">
        <f>F397-F387</f>
        <v>0.10000000003265441</v>
      </c>
      <c r="N397" s="440">
        <f>SUM(K397:M397)</f>
        <v>-2.8469999994353214</v>
      </c>
    </row>
    <row r="398" spans="1:14" x14ac:dyDescent="0.2">
      <c r="A398" s="417" t="s">
        <v>391</v>
      </c>
      <c r="B398" s="440">
        <f>'Ind T6'!V474</f>
        <v>23.884999999945205</v>
      </c>
      <c r="C398" s="436" t="str">
        <f>CONCATENATE("(",ROUND((B398/$H399)*100,1),")")</f>
        <v>(28.9)</v>
      </c>
      <c r="D398" s="440">
        <f>'Ind T6'!W474</f>
        <v>26.743999999789615</v>
      </c>
      <c r="E398" s="436" t="str">
        <f>CONCATENATE("(",ROUND((D398/$H399)*100,1),")")</f>
        <v>(32.4)</v>
      </c>
      <c r="F398" s="440">
        <f>'Ind T6'!X474</f>
        <v>0</v>
      </c>
      <c r="G398" s="436" t="str">
        <f>CONCATENATE("(",ROUND((F398/$H399)*100,1),")")</f>
        <v>(0)</v>
      </c>
      <c r="H398" s="440">
        <f t="shared" ref="H398" si="300">SUM(B398,D398,F398)</f>
        <v>50.628999999734816</v>
      </c>
      <c r="I398" s="436" t="str">
        <f>CONCATENATE("(",ROUND((H398/$H399)*100,1),")")</f>
        <v>(61.2)</v>
      </c>
      <c r="K398" s="440">
        <f t="shared" ref="K398:K399" si="301">B398-B388</f>
        <v>-0.69899999987177708</v>
      </c>
      <c r="L398" s="440">
        <f t="shared" ref="L398:L399" si="302">D398-D388</f>
        <v>2.6420000001085775</v>
      </c>
      <c r="M398" s="440">
        <f t="shared" ref="M398:M399" si="303">F398-F388</f>
        <v>0</v>
      </c>
      <c r="N398" s="440">
        <f t="shared" ref="N398:N399" si="304">SUM(K398:M398)</f>
        <v>1.9430000002368004</v>
      </c>
    </row>
    <row r="399" spans="1:14" x14ac:dyDescent="0.2">
      <c r="A399" s="408" t="s">
        <v>389</v>
      </c>
      <c r="B399" s="440">
        <f>SUM(B397:B398)</f>
        <v>48.603000000283416</v>
      </c>
      <c r="C399" s="436" t="str">
        <f>CONCATENATE("(",ROUND((B399/$H399)*100,1),")")</f>
        <v>(58.8)</v>
      </c>
      <c r="D399" s="440">
        <f>SUM(D397:D398)</f>
        <v>32.578999999873496</v>
      </c>
      <c r="E399" s="436" t="str">
        <f>CONCATENATE("(",ROUND((D399/$H399)*100,1),")")</f>
        <v>(39.4)</v>
      </c>
      <c r="F399" s="440">
        <f>SUM(F397:F398)</f>
        <v>1.4839999999956344</v>
      </c>
      <c r="G399" s="436" t="str">
        <f>CONCATENATE("(",ROUND((F399/$H399)*100,1),")")</f>
        <v>(1.8)</v>
      </c>
      <c r="H399" s="440">
        <f>SUM(H397:H398)</f>
        <v>82.66600000015255</v>
      </c>
      <c r="I399" s="436" t="str">
        <f>CONCATENATE("(",ROUND((H399/$H399)*100,1),")")</f>
        <v>(100)</v>
      </c>
      <c r="K399" s="440">
        <f t="shared" si="301"/>
        <v>-4.3219999994275256</v>
      </c>
      <c r="L399" s="440">
        <f t="shared" si="302"/>
        <v>3.3180000001963421</v>
      </c>
      <c r="M399" s="440">
        <f t="shared" si="303"/>
        <v>0.10000000003265441</v>
      </c>
      <c r="N399" s="440">
        <f t="shared" si="304"/>
        <v>-0.90399999919852903</v>
      </c>
    </row>
    <row r="400" spans="1:14" x14ac:dyDescent="0.2">
      <c r="A400" s="429"/>
      <c r="B400" s="430"/>
      <c r="C400" s="429"/>
      <c r="D400" s="430"/>
      <c r="E400" s="429"/>
      <c r="F400" s="430"/>
      <c r="G400" s="429"/>
      <c r="H400" s="430"/>
      <c r="I400" s="429"/>
      <c r="J400" s="429"/>
      <c r="K400" s="430"/>
      <c r="L400" s="430"/>
      <c r="M400" s="430"/>
      <c r="N400" s="430"/>
    </row>
    <row r="404" spans="1:14" x14ac:dyDescent="0.2">
      <c r="A404" s="419"/>
      <c r="B404" s="420" t="s">
        <v>414</v>
      </c>
      <c r="C404" s="419"/>
      <c r="D404" s="420"/>
      <c r="E404" s="419"/>
      <c r="F404" s="420" t="str">
        <f>name!B22</f>
        <v>Education</v>
      </c>
      <c r="G404" s="419"/>
      <c r="H404" s="422"/>
      <c r="I404" s="419"/>
      <c r="J404" s="421"/>
      <c r="K404" s="422"/>
      <c r="L404" s="422"/>
      <c r="M404" s="422"/>
      <c r="N404" s="422"/>
    </row>
    <row r="405" spans="1:14" x14ac:dyDescent="0.2">
      <c r="A405" s="408"/>
      <c r="B405" s="409"/>
      <c r="C405" s="408"/>
      <c r="D405" s="409"/>
      <c r="E405" s="408"/>
      <c r="F405" s="409"/>
      <c r="G405" s="408"/>
      <c r="H405" s="409"/>
      <c r="I405" s="408"/>
      <c r="K405" s="409"/>
      <c r="L405" s="409"/>
      <c r="M405" s="409"/>
      <c r="N405" s="415" t="s">
        <v>412</v>
      </c>
    </row>
    <row r="406" spans="1:14" x14ac:dyDescent="0.2">
      <c r="A406" s="413" t="s">
        <v>413</v>
      </c>
      <c r="B406" s="514" t="s">
        <v>411</v>
      </c>
      <c r="C406" s="514"/>
      <c r="D406" s="514" t="s">
        <v>410</v>
      </c>
      <c r="E406" s="514"/>
      <c r="F406" s="514" t="s">
        <v>409</v>
      </c>
      <c r="G406" s="514"/>
      <c r="H406" s="514" t="s">
        <v>32</v>
      </c>
      <c r="I406" s="514"/>
      <c r="J406" s="413"/>
      <c r="K406" s="434" t="s">
        <v>371</v>
      </c>
      <c r="L406" s="434" t="s">
        <v>373</v>
      </c>
      <c r="M406" s="434" t="s">
        <v>369</v>
      </c>
      <c r="N406" s="434" t="s">
        <v>32</v>
      </c>
    </row>
    <row r="407" spans="1:14" x14ac:dyDescent="0.2">
      <c r="A407" s="423">
        <f>$A$8</f>
        <v>2017</v>
      </c>
      <c r="B407" s="424" t="s">
        <v>60</v>
      </c>
      <c r="C407" s="425" t="s">
        <v>408</v>
      </c>
      <c r="D407" s="424" t="s">
        <v>60</v>
      </c>
      <c r="E407" s="425" t="s">
        <v>408</v>
      </c>
      <c r="F407" s="424" t="s">
        <v>60</v>
      </c>
      <c r="G407" s="425" t="s">
        <v>408</v>
      </c>
      <c r="H407" s="424" t="s">
        <v>60</v>
      </c>
      <c r="I407" s="425" t="s">
        <v>408</v>
      </c>
      <c r="J407" s="413"/>
      <c r="K407" s="426" t="str">
        <f>CONCATENATE(A407," - ",A412)</f>
        <v>2017 - 2022</v>
      </c>
      <c r="L407" s="427"/>
      <c r="M407" s="427"/>
    </row>
    <row r="408" spans="1:14" x14ac:dyDescent="0.2">
      <c r="A408" s="417" t="s">
        <v>390</v>
      </c>
      <c r="B408" s="440">
        <f>'Ind T6'!L485</f>
        <v>32.146000001081418</v>
      </c>
      <c r="C408" s="436" t="str">
        <f>CONCATENATE("(",ROUND((B408/$H410)*100,1),")")</f>
        <v>(23.1)</v>
      </c>
      <c r="D408" s="440">
        <f>'Ind T6'!M485</f>
        <v>11.126000000255027</v>
      </c>
      <c r="E408" s="436" t="str">
        <f>CONCATENATE("(",ROUND((D408/$H410)*100,1),")")</f>
        <v>(8)</v>
      </c>
      <c r="F408" s="440">
        <f>'Ind T6'!N485</f>
        <v>2.9590000000819328</v>
      </c>
      <c r="G408" s="436" t="str">
        <f>CONCATENATE("(",ROUND((F408/$H410)*100,1),")")</f>
        <v>(2.1)</v>
      </c>
      <c r="H408" s="440">
        <f>SUM(B408,D408,F408)</f>
        <v>46.23100000141838</v>
      </c>
      <c r="I408" s="436" t="str">
        <f>CONCATENATE("(",ROUND((H408/$H410)*100,1),")")</f>
        <v>(33.2)</v>
      </c>
      <c r="K408" s="440">
        <f>B413-B408</f>
        <v>-3.1129999987209551</v>
      </c>
      <c r="L408" s="440">
        <f>D413-D408</f>
        <v>0.86600000069302041</v>
      </c>
      <c r="M408" s="440">
        <f>F413-F408</f>
        <v>3.9999999887831539E-2</v>
      </c>
      <c r="N408" s="440">
        <f>SUM(K408:M408)</f>
        <v>-2.2069999981401032</v>
      </c>
    </row>
    <row r="409" spans="1:14" x14ac:dyDescent="0.2">
      <c r="A409" s="417" t="s">
        <v>391</v>
      </c>
      <c r="B409" s="440">
        <f>'Ind T6'!L484</f>
        <v>38.960000000453633</v>
      </c>
      <c r="C409" s="436" t="str">
        <f>CONCATENATE("(",ROUND((B409/$H410)*100,1),")")</f>
        <v>(27.9)</v>
      </c>
      <c r="D409" s="440">
        <f>'Ind T6'!M484</f>
        <v>46.535999996931594</v>
      </c>
      <c r="E409" s="436" t="str">
        <f>CONCATENATE("(",ROUND((D409/$H410)*100,1),")")</f>
        <v>(33.4)</v>
      </c>
      <c r="F409" s="440">
        <f>'Ind T6'!N484</f>
        <v>7.7159999998395703</v>
      </c>
      <c r="G409" s="436" t="str">
        <f>CONCATENATE("(",ROUND((F409/$H410)*100,1),")")</f>
        <v>(5.5)</v>
      </c>
      <c r="H409" s="440">
        <f t="shared" ref="H409" si="305">SUM(B409,D409,F409)</f>
        <v>93.211999997224794</v>
      </c>
      <c r="I409" s="436" t="str">
        <f>CONCATENATE("(",ROUND((H409/$H410)*100,1),")")</f>
        <v>(66.8)</v>
      </c>
      <c r="K409" s="440">
        <f t="shared" ref="K409:K410" si="306">B414-B409</f>
        <v>-1.5039999992109401</v>
      </c>
      <c r="L409" s="440">
        <f t="shared" ref="L409:L410" si="307">D414-D409</f>
        <v>0.35900000054843417</v>
      </c>
      <c r="M409" s="440">
        <f t="shared" ref="M409:M410" si="308">F414-F409</f>
        <v>-0.91199999995557501</v>
      </c>
      <c r="N409" s="440">
        <f t="shared" ref="N409:N410" si="309">SUM(K409:M409)</f>
        <v>-2.0569999986180809</v>
      </c>
    </row>
    <row r="410" spans="1:14" x14ac:dyDescent="0.2">
      <c r="A410" s="417" t="s">
        <v>389</v>
      </c>
      <c r="B410" s="440">
        <f>SUM(B408:B409)</f>
        <v>71.106000001535051</v>
      </c>
      <c r="C410" s="436" t="str">
        <f>CONCATENATE("(",ROUND((B410/$H410)*100,1),")")</f>
        <v>(51)</v>
      </c>
      <c r="D410" s="440">
        <f>SUM(D408:D409)</f>
        <v>57.661999997186619</v>
      </c>
      <c r="E410" s="436" t="str">
        <f>CONCATENATE("(",ROUND((D410/$H410)*100,1),")")</f>
        <v>(41.4)</v>
      </c>
      <c r="F410" s="440">
        <f>SUM(F408:F409)</f>
        <v>10.674999999921504</v>
      </c>
      <c r="G410" s="436" t="str">
        <f>CONCATENATE("(",ROUND((F410/$H410)*100,1),")")</f>
        <v>(7.7)</v>
      </c>
      <c r="H410" s="440">
        <f>SUM(H408:H409)</f>
        <v>139.44299999864319</v>
      </c>
      <c r="I410" s="436" t="str">
        <f>CONCATENATE("(",ROUND((H410/$H410)*100,1),")")</f>
        <v>(100)</v>
      </c>
      <c r="K410" s="440">
        <f t="shared" si="306"/>
        <v>-4.6169999979318987</v>
      </c>
      <c r="L410" s="440">
        <f t="shared" si="307"/>
        <v>1.2250000012414546</v>
      </c>
      <c r="M410" s="440">
        <f t="shared" si="308"/>
        <v>-0.87200000006774303</v>
      </c>
      <c r="N410" s="440">
        <f t="shared" si="309"/>
        <v>-4.2639999967581872</v>
      </c>
    </row>
    <row r="411" spans="1:14" x14ac:dyDescent="0.2">
      <c r="B411" s="440"/>
      <c r="C411" s="428"/>
      <c r="D411" s="440"/>
      <c r="E411" s="428"/>
      <c r="F411" s="440"/>
      <c r="G411" s="428"/>
      <c r="H411" s="440"/>
      <c r="I411" s="428"/>
    </row>
    <row r="412" spans="1:14" x14ac:dyDescent="0.2">
      <c r="A412" s="423">
        <f>$A$13</f>
        <v>2022</v>
      </c>
      <c r="B412" s="440"/>
      <c r="C412" s="428"/>
      <c r="D412" s="440"/>
      <c r="E412" s="428"/>
      <c r="F412" s="440"/>
      <c r="G412" s="428"/>
      <c r="H412" s="440"/>
      <c r="I412" s="428"/>
      <c r="K412" s="426" t="str">
        <f>CONCATENATE(A412," - ",A417)</f>
        <v>2022 - 2027</v>
      </c>
    </row>
    <row r="413" spans="1:14" x14ac:dyDescent="0.2">
      <c r="A413" s="417" t="s">
        <v>390</v>
      </c>
      <c r="B413" s="440">
        <f>'Ind T6'!Q485</f>
        <v>29.033000002360463</v>
      </c>
      <c r="C413" s="436" t="str">
        <f>CONCATENATE("(",ROUND((B413/$H415)*100,1),")")</f>
        <v>(21.5)</v>
      </c>
      <c r="D413" s="440">
        <f>'Ind T6'!R485</f>
        <v>11.992000000948048</v>
      </c>
      <c r="E413" s="436" t="str">
        <f>CONCATENATE("(",ROUND((D413/$H415)*100,1),")")</f>
        <v>(8.9)</v>
      </c>
      <c r="F413" s="440">
        <f>'Ind T6'!S485</f>
        <v>2.9989999999697643</v>
      </c>
      <c r="G413" s="436" t="str">
        <f>CONCATENATE("(",ROUND((F413/$H415)*100,1),")")</f>
        <v>(2.2)</v>
      </c>
      <c r="H413" s="440">
        <f>SUM(B413,D413,F413)</f>
        <v>44.024000003278275</v>
      </c>
      <c r="I413" s="436" t="str">
        <f>CONCATENATE("(",ROUND((H413/$H415)*100,1),")")</f>
        <v>(32.6)</v>
      </c>
      <c r="K413" s="440">
        <f>B418-B413</f>
        <v>-1.5310000002210593</v>
      </c>
      <c r="L413" s="440">
        <f>D418-D413</f>
        <v>1.2160000002729419</v>
      </c>
      <c r="M413" s="440">
        <f>F418-F413</f>
        <v>0.14999999997252456</v>
      </c>
      <c r="N413" s="440">
        <f>SUM(K413:M413)</f>
        <v>-0.16499999997559289</v>
      </c>
    </row>
    <row r="414" spans="1:14" x14ac:dyDescent="0.2">
      <c r="A414" s="417" t="s">
        <v>391</v>
      </c>
      <c r="B414" s="440">
        <f>'Ind T6'!Q484</f>
        <v>37.456000001242693</v>
      </c>
      <c r="C414" s="436" t="str">
        <f>CONCATENATE("(",ROUND((B414/$H415)*100,1),")")</f>
        <v>(27.7)</v>
      </c>
      <c r="D414" s="440">
        <f>'Ind T6'!R484</f>
        <v>46.894999997480028</v>
      </c>
      <c r="E414" s="436" t="str">
        <f>CONCATENATE("(",ROUND((D414/$H415)*100,1),")")</f>
        <v>(34.7)</v>
      </c>
      <c r="F414" s="440">
        <f>'Ind T6'!S484</f>
        <v>6.8039999998839953</v>
      </c>
      <c r="G414" s="436" t="str">
        <f>CONCATENATE("(",ROUND((F414/$H415)*100,1),")")</f>
        <v>(5)</v>
      </c>
      <c r="H414" s="440">
        <f t="shared" ref="H414" si="310">SUM(B414,D414,F414)</f>
        <v>91.154999998606726</v>
      </c>
      <c r="I414" s="436" t="str">
        <f>CONCATENATE("(",ROUND((H414/$H415)*100,1),")")</f>
        <v>(67.4)</v>
      </c>
      <c r="K414" s="440">
        <f t="shared" ref="K414:K415" si="311">B419-B414</f>
        <v>0.17999999965271485</v>
      </c>
      <c r="L414" s="440">
        <f t="shared" ref="L414:L415" si="312">D419-D414</f>
        <v>2.1219999998527541</v>
      </c>
      <c r="M414" s="440">
        <f t="shared" ref="M414:M415" si="313">F419-F414</f>
        <v>-0.49299999994639077</v>
      </c>
      <c r="N414" s="440">
        <f t="shared" ref="N414:N415" si="314">SUM(K414:M414)</f>
        <v>1.8089999995590782</v>
      </c>
    </row>
    <row r="415" spans="1:14" x14ac:dyDescent="0.2">
      <c r="A415" s="417" t="s">
        <v>389</v>
      </c>
      <c r="B415" s="440">
        <f>SUM(B413:B414)</f>
        <v>66.489000003603152</v>
      </c>
      <c r="C415" s="436" t="str">
        <f>CONCATENATE("(",ROUND((B415/$H415)*100,1),")")</f>
        <v>(49.2)</v>
      </c>
      <c r="D415" s="440">
        <f>SUM(D413:D414)</f>
        <v>58.886999998428074</v>
      </c>
      <c r="E415" s="436" t="str">
        <f>CONCATENATE("(",ROUND((D415/$H415)*100,1),")")</f>
        <v>(43.6)</v>
      </c>
      <c r="F415" s="440">
        <f>SUM(F413:F414)</f>
        <v>9.8029999998537605</v>
      </c>
      <c r="G415" s="436" t="str">
        <f>CONCATENATE("(",ROUND((F415/$H415)*100,1),")")</f>
        <v>(7.3)</v>
      </c>
      <c r="H415" s="440">
        <f>SUM(H413:H414)</f>
        <v>135.17900000188502</v>
      </c>
      <c r="I415" s="436" t="str">
        <f>CONCATENATE("(",ROUND((H415/$H415)*100,1),")")</f>
        <v>(100)</v>
      </c>
      <c r="K415" s="440">
        <f t="shared" si="311"/>
        <v>-1.3510000005683338</v>
      </c>
      <c r="L415" s="440">
        <f t="shared" si="312"/>
        <v>3.338000000125696</v>
      </c>
      <c r="M415" s="440">
        <f t="shared" si="313"/>
        <v>-0.34299999997386621</v>
      </c>
      <c r="N415" s="440">
        <f t="shared" si="314"/>
        <v>1.643999999583496</v>
      </c>
    </row>
    <row r="416" spans="1:14" x14ac:dyDescent="0.2">
      <c r="B416" s="440"/>
      <c r="C416" s="428"/>
      <c r="D416" s="440"/>
      <c r="E416" s="428"/>
      <c r="F416" s="440"/>
      <c r="G416" s="428"/>
      <c r="H416" s="440"/>
      <c r="I416" s="428"/>
    </row>
    <row r="417" spans="1:14" x14ac:dyDescent="0.2">
      <c r="A417" s="423">
        <f>$A$18</f>
        <v>2027</v>
      </c>
      <c r="B417" s="440"/>
      <c r="C417" s="428"/>
      <c r="D417" s="440"/>
      <c r="E417" s="428"/>
      <c r="F417" s="440"/>
      <c r="G417" s="428"/>
      <c r="H417" s="440"/>
      <c r="I417" s="428"/>
      <c r="K417" s="426" t="str">
        <f>CONCATENATE(A407," - ",A417)</f>
        <v>2017 - 2027</v>
      </c>
    </row>
    <row r="418" spans="1:14" x14ac:dyDescent="0.2">
      <c r="A418" s="417" t="s">
        <v>390</v>
      </c>
      <c r="B418" s="440">
        <f>'Ind T6'!V485</f>
        <v>27.502000002139404</v>
      </c>
      <c r="C418" s="436" t="str">
        <f>CONCATENATE("(",ROUND((B418/$H420)*100,1),")")</f>
        <v>(20.1)</v>
      </c>
      <c r="D418" s="440">
        <f>'Ind T6'!W485</f>
        <v>13.20800000122099</v>
      </c>
      <c r="E418" s="436" t="str">
        <f>CONCATENATE("(",ROUND((D418/$H420)*100,1),")")</f>
        <v>(9.7)</v>
      </c>
      <c r="F418" s="440">
        <f>'Ind T6'!X485</f>
        <v>3.1489999999422889</v>
      </c>
      <c r="G418" s="436" t="str">
        <f>CONCATENATE("(",ROUND((F418/$H420)*100,1),")")</f>
        <v>(2.3)</v>
      </c>
      <c r="H418" s="440">
        <f>SUM(B418,D418,F418)</f>
        <v>43.859000003302683</v>
      </c>
      <c r="I418" s="436" t="str">
        <f>CONCATENATE("(",ROUND((H418/$H420)*100,1),")")</f>
        <v>(32.1)</v>
      </c>
      <c r="K418" s="440">
        <f>B418-B408</f>
        <v>-4.6439999989420144</v>
      </c>
      <c r="L418" s="440">
        <f>D418-D408</f>
        <v>2.0820000009659623</v>
      </c>
      <c r="M418" s="440">
        <f>F418-F408</f>
        <v>0.18999999986035609</v>
      </c>
      <c r="N418" s="440">
        <f>SUM(K418:M418)</f>
        <v>-2.3719999981156961</v>
      </c>
    </row>
    <row r="419" spans="1:14" x14ac:dyDescent="0.2">
      <c r="A419" s="417" t="s">
        <v>391</v>
      </c>
      <c r="B419" s="440">
        <f>'Ind T6'!V484</f>
        <v>37.636000000895407</v>
      </c>
      <c r="C419" s="436" t="str">
        <f>CONCATENATE("(",ROUND((B419/$H420)*100,1),")")</f>
        <v>(27.5)</v>
      </c>
      <c r="D419" s="440">
        <f>'Ind T6'!W484</f>
        <v>49.016999997332782</v>
      </c>
      <c r="E419" s="436" t="str">
        <f>CONCATENATE("(",ROUND((D419/$H420)*100,1),")")</f>
        <v>(35.8)</v>
      </c>
      <c r="F419" s="440">
        <f>'Ind T6'!X484</f>
        <v>6.3109999999376045</v>
      </c>
      <c r="G419" s="436" t="str">
        <f>CONCATENATE("(",ROUND((F419/$H420)*100,1),")")</f>
        <v>(4.6)</v>
      </c>
      <c r="H419" s="440">
        <f t="shared" ref="H419" si="315">SUM(B419,D419,F419)</f>
        <v>92.963999998165789</v>
      </c>
      <c r="I419" s="436" t="str">
        <f>CONCATENATE("(",ROUND((H419/$H420)*100,1),")")</f>
        <v>(67.9)</v>
      </c>
      <c r="K419" s="440">
        <f t="shared" ref="K419:K420" si="316">B419-B409</f>
        <v>-1.3239999995582252</v>
      </c>
      <c r="L419" s="440">
        <f t="shared" ref="L419:L420" si="317">D419-D409</f>
        <v>2.4810000004011883</v>
      </c>
      <c r="M419" s="440">
        <f t="shared" ref="M419:M420" si="318">F419-F409</f>
        <v>-1.4049999999019658</v>
      </c>
      <c r="N419" s="440">
        <f t="shared" ref="N419:N420" si="319">SUM(K419:M419)</f>
        <v>-0.24799999905900272</v>
      </c>
    </row>
    <row r="420" spans="1:14" x14ac:dyDescent="0.2">
      <c r="A420" s="408" t="s">
        <v>389</v>
      </c>
      <c r="B420" s="440">
        <f>SUM(B418:B419)</f>
        <v>65.138000003034819</v>
      </c>
      <c r="C420" s="436" t="str">
        <f>CONCATENATE("(",ROUND((B420/$H420)*100,1),")")</f>
        <v>(47.6)</v>
      </c>
      <c r="D420" s="440">
        <f>SUM(D418:D419)</f>
        <v>62.22499999855377</v>
      </c>
      <c r="E420" s="436" t="str">
        <f>CONCATENATE("(",ROUND((D420/$H420)*100,1),")")</f>
        <v>(45.5)</v>
      </c>
      <c r="F420" s="440">
        <f>SUM(F418:F419)</f>
        <v>9.4599999998798943</v>
      </c>
      <c r="G420" s="436" t="str">
        <f>CONCATENATE("(",ROUND((F420/$H420)*100,1),")")</f>
        <v>(6.9)</v>
      </c>
      <c r="H420" s="440">
        <f>SUM(H418:H419)</f>
        <v>136.82300000146847</v>
      </c>
      <c r="I420" s="436" t="str">
        <f>CONCATENATE("(",ROUND((H420/$H420)*100,1),")")</f>
        <v>(100)</v>
      </c>
      <c r="K420" s="440">
        <f t="shared" si="316"/>
        <v>-5.9679999985002326</v>
      </c>
      <c r="L420" s="440">
        <f t="shared" si="317"/>
        <v>4.5630000013671506</v>
      </c>
      <c r="M420" s="440">
        <f t="shared" si="318"/>
        <v>-1.2150000000416092</v>
      </c>
      <c r="N420" s="440">
        <f t="shared" si="319"/>
        <v>-2.6199999971746912</v>
      </c>
    </row>
    <row r="421" spans="1:14" x14ac:dyDescent="0.2">
      <c r="A421" s="429"/>
      <c r="B421" s="430"/>
      <c r="C421" s="429"/>
      <c r="D421" s="430"/>
      <c r="E421" s="429"/>
      <c r="F421" s="430"/>
      <c r="G421" s="429"/>
      <c r="H421" s="430"/>
      <c r="I421" s="429"/>
      <c r="J421" s="429"/>
      <c r="K421" s="430"/>
      <c r="L421" s="430"/>
      <c r="M421" s="430"/>
      <c r="N421" s="430"/>
    </row>
    <row r="424" spans="1:14" x14ac:dyDescent="0.2">
      <c r="C424" s="267"/>
      <c r="E424" s="267"/>
      <c r="G424" s="267"/>
      <c r="I424" s="267"/>
    </row>
    <row r="425" spans="1:14" x14ac:dyDescent="0.2">
      <c r="A425" s="419"/>
      <c r="B425" s="420" t="s">
        <v>414</v>
      </c>
      <c r="C425" s="419"/>
      <c r="D425" s="420"/>
      <c r="E425" s="419"/>
      <c r="F425" s="420" t="str">
        <f>name!B23</f>
        <v>Health and social work</v>
      </c>
      <c r="G425" s="419"/>
      <c r="H425" s="422"/>
      <c r="I425" s="419"/>
      <c r="J425" s="421"/>
      <c r="K425" s="422"/>
      <c r="L425" s="422"/>
      <c r="M425" s="422"/>
      <c r="N425" s="422"/>
    </row>
    <row r="426" spans="1:14" x14ac:dyDescent="0.2">
      <c r="A426" s="408"/>
      <c r="B426" s="409"/>
      <c r="C426" s="408"/>
      <c r="D426" s="409"/>
      <c r="E426" s="408"/>
      <c r="F426" s="409"/>
      <c r="G426" s="408"/>
      <c r="H426" s="409"/>
      <c r="I426" s="408"/>
      <c r="K426" s="409"/>
      <c r="L426" s="409"/>
      <c r="M426" s="409"/>
      <c r="N426" s="415" t="s">
        <v>412</v>
      </c>
    </row>
    <row r="427" spans="1:14" x14ac:dyDescent="0.2">
      <c r="A427" s="413" t="s">
        <v>413</v>
      </c>
      <c r="B427" s="514" t="s">
        <v>411</v>
      </c>
      <c r="C427" s="514"/>
      <c r="D427" s="514" t="s">
        <v>410</v>
      </c>
      <c r="E427" s="514"/>
      <c r="F427" s="514" t="s">
        <v>409</v>
      </c>
      <c r="G427" s="514"/>
      <c r="H427" s="514" t="s">
        <v>32</v>
      </c>
      <c r="I427" s="514"/>
      <c r="J427" s="413"/>
      <c r="K427" s="434" t="s">
        <v>371</v>
      </c>
      <c r="L427" s="434" t="s">
        <v>373</v>
      </c>
      <c r="M427" s="434" t="s">
        <v>369</v>
      </c>
      <c r="N427" s="434" t="s">
        <v>32</v>
      </c>
    </row>
    <row r="428" spans="1:14" x14ac:dyDescent="0.2">
      <c r="A428" s="423">
        <f>$A$8</f>
        <v>2017</v>
      </c>
      <c r="B428" s="424" t="s">
        <v>60</v>
      </c>
      <c r="C428" s="425" t="s">
        <v>408</v>
      </c>
      <c r="D428" s="424" t="s">
        <v>60</v>
      </c>
      <c r="E428" s="425" t="s">
        <v>408</v>
      </c>
      <c r="F428" s="424" t="s">
        <v>60</v>
      </c>
      <c r="G428" s="425" t="s">
        <v>408</v>
      </c>
      <c r="H428" s="424" t="s">
        <v>60</v>
      </c>
      <c r="I428" s="425" t="s">
        <v>408</v>
      </c>
      <c r="J428" s="413"/>
      <c r="K428" s="426" t="str">
        <f>CONCATENATE(A428," - ",A433)</f>
        <v>2017 - 2022</v>
      </c>
      <c r="L428" s="427"/>
      <c r="M428" s="427"/>
    </row>
    <row r="429" spans="1:14" x14ac:dyDescent="0.2">
      <c r="A429" s="417" t="s">
        <v>390</v>
      </c>
      <c r="B429" s="440">
        <f>'Ind T6'!L510</f>
        <v>41.193999999637278</v>
      </c>
      <c r="C429" s="436" t="str">
        <f>CONCATENATE("(",ROUND((B429/$H431)*100,1),")")</f>
        <v>(16.2)</v>
      </c>
      <c r="D429" s="440">
        <f>'Ind T6'!M510</f>
        <v>11.407000000019636</v>
      </c>
      <c r="E429" s="436" t="str">
        <f>CONCATENATE("(",ROUND((D429/$H431)*100,1),")")</f>
        <v>(4.5)</v>
      </c>
      <c r="F429" s="440">
        <f>'Ind T6'!N510</f>
        <v>4.6139999997173566</v>
      </c>
      <c r="G429" s="436" t="str">
        <f>CONCATENATE("(",ROUND((F429/$H431)*100,1),")")</f>
        <v>(1.8)</v>
      </c>
      <c r="H429" s="440">
        <f>SUM(B429,D429,F429)</f>
        <v>57.214999999374271</v>
      </c>
      <c r="I429" s="436" t="str">
        <f>CONCATENATE("(",ROUND((H429/$H431)*100,1),")")</f>
        <v>(22.5)</v>
      </c>
      <c r="K429" s="440">
        <f>B434-B429</f>
        <v>0.98600000124837095</v>
      </c>
      <c r="L429" s="440">
        <f>D434-D429</f>
        <v>1.5650000000420778</v>
      </c>
      <c r="M429" s="440">
        <f>F434-F429</f>
        <v>8.2000000106037696E-2</v>
      </c>
      <c r="N429" s="440">
        <f>SUM(K429:M429)</f>
        <v>2.6330000013964865</v>
      </c>
    </row>
    <row r="430" spans="1:14" x14ac:dyDescent="0.2">
      <c r="A430" s="417" t="s">
        <v>391</v>
      </c>
      <c r="B430" s="440">
        <f>'Ind T6'!L509</f>
        <v>101.50999999909671</v>
      </c>
      <c r="C430" s="436" t="str">
        <f>CONCATENATE("(",ROUND((B430/$H431)*100,1),")")</f>
        <v>(39.9)</v>
      </c>
      <c r="D430" s="440">
        <f>'Ind T6'!M509</f>
        <v>89.496999998061426</v>
      </c>
      <c r="E430" s="436" t="str">
        <f>CONCATENATE("(",ROUND((D430/$H431)*100,1),")")</f>
        <v>(35.1)</v>
      </c>
      <c r="F430" s="440">
        <f>'Ind T6'!N509</f>
        <v>6.3979999994721544</v>
      </c>
      <c r="G430" s="436" t="str">
        <f>CONCATENATE("(",ROUND((F430/$H431)*100,1),")")</f>
        <v>(2.5)</v>
      </c>
      <c r="H430" s="440">
        <f t="shared" ref="H430" si="320">SUM(B430,D430,F430)</f>
        <v>197.40499999663027</v>
      </c>
      <c r="I430" s="436" t="str">
        <f>CONCATENATE("(",ROUND((H430/$H431)*100,1),")")</f>
        <v>(77.5)</v>
      </c>
      <c r="K430" s="440">
        <f t="shared" ref="K430:K431" si="321">B435-B430</f>
        <v>4.3650000005544172</v>
      </c>
      <c r="L430" s="440">
        <f t="shared" ref="L430:L431" si="322">D435-D430</f>
        <v>5.3870000010824128</v>
      </c>
      <c r="M430" s="440">
        <f t="shared" ref="M430:M431" si="323">F435-F430</f>
        <v>1.3999999995601087E-2</v>
      </c>
      <c r="N430" s="440">
        <f t="shared" ref="N430:N431" si="324">SUM(K430:M430)</f>
        <v>9.7660000016324311</v>
      </c>
    </row>
    <row r="431" spans="1:14" x14ac:dyDescent="0.2">
      <c r="A431" s="417" t="s">
        <v>389</v>
      </c>
      <c r="B431" s="440">
        <f>SUM(B429:B430)</f>
        <v>142.70399999873399</v>
      </c>
      <c r="C431" s="436" t="str">
        <f>CONCATENATE("(",ROUND((B431/$H431)*100,1),")")</f>
        <v>(56)</v>
      </c>
      <c r="D431" s="440">
        <f>SUM(D429:D430)</f>
        <v>100.90399999808106</v>
      </c>
      <c r="E431" s="436" t="str">
        <f>CONCATENATE("(",ROUND((D431/$H431)*100,1),")")</f>
        <v>(39.6)</v>
      </c>
      <c r="F431" s="440">
        <f>SUM(F429:F430)</f>
        <v>11.011999999189511</v>
      </c>
      <c r="G431" s="436" t="str">
        <f>CONCATENATE("(",ROUND((F431/$H431)*100,1),")")</f>
        <v>(4.3)</v>
      </c>
      <c r="H431" s="440">
        <f>SUM(H429:H430)</f>
        <v>254.61999999600454</v>
      </c>
      <c r="I431" s="436" t="str">
        <f>CONCATENATE("(",ROUND((H431/$H431)*100,1),")")</f>
        <v>(100)</v>
      </c>
      <c r="K431" s="440">
        <f t="shared" si="321"/>
        <v>5.3510000018027881</v>
      </c>
      <c r="L431" s="440">
        <f t="shared" si="322"/>
        <v>6.9520000011244889</v>
      </c>
      <c r="M431" s="440">
        <f t="shared" si="323"/>
        <v>9.6000000101637895E-2</v>
      </c>
      <c r="N431" s="440">
        <f t="shared" si="324"/>
        <v>12.399000003028915</v>
      </c>
    </row>
    <row r="432" spans="1:14" x14ac:dyDescent="0.2">
      <c r="B432" s="440"/>
      <c r="C432" s="428"/>
      <c r="D432" s="440"/>
      <c r="E432" s="428"/>
      <c r="F432" s="440"/>
      <c r="G432" s="428"/>
      <c r="H432" s="440"/>
      <c r="I432" s="428"/>
    </row>
    <row r="433" spans="1:14" x14ac:dyDescent="0.2">
      <c r="A433" s="423">
        <f>$A$13</f>
        <v>2022</v>
      </c>
      <c r="B433" s="440"/>
      <c r="C433" s="428"/>
      <c r="D433" s="440"/>
      <c r="E433" s="428"/>
      <c r="F433" s="440"/>
      <c r="G433" s="428"/>
      <c r="H433" s="440"/>
      <c r="I433" s="428"/>
      <c r="K433" s="426" t="str">
        <f>CONCATENATE(A433," - ",A438)</f>
        <v>2022 - 2027</v>
      </c>
    </row>
    <row r="434" spans="1:14" x14ac:dyDescent="0.2">
      <c r="A434" s="417" t="s">
        <v>390</v>
      </c>
      <c r="B434" s="440">
        <f>'Ind T6'!Q510</f>
        <v>42.180000000885649</v>
      </c>
      <c r="C434" s="436" t="str">
        <f>CONCATENATE("(",ROUND((B434/$H436)*100,1),")")</f>
        <v>(15.8)</v>
      </c>
      <c r="D434" s="440">
        <f>'Ind T6'!R510</f>
        <v>12.972000000061714</v>
      </c>
      <c r="E434" s="436" t="str">
        <f>CONCATENATE("(",ROUND((D434/$H436)*100,1),")")</f>
        <v>(4.9)</v>
      </c>
      <c r="F434" s="440">
        <f>'Ind T6'!S510</f>
        <v>4.6959999998233943</v>
      </c>
      <c r="G434" s="436" t="str">
        <f>CONCATENATE("(",ROUND((F434/$H436)*100,1),")")</f>
        <v>(1.8)</v>
      </c>
      <c r="H434" s="440">
        <f>SUM(B434,D434,F434)</f>
        <v>59.848000000770753</v>
      </c>
      <c r="I434" s="436" t="str">
        <f>CONCATENATE("(",ROUND((H434/$H436)*100,1),")")</f>
        <v>(22.4)</v>
      </c>
      <c r="K434" s="440">
        <f>B439-B434</f>
        <v>0.93100000017017237</v>
      </c>
      <c r="L434" s="440">
        <f>D439-D434</f>
        <v>1.4340000000078934</v>
      </c>
      <c r="M434" s="440">
        <f>F439-F434</f>
        <v>8.5000000088464311E-2</v>
      </c>
      <c r="N434" s="440">
        <f>SUM(K434:M434)</f>
        <v>2.4500000002665301</v>
      </c>
    </row>
    <row r="435" spans="1:14" x14ac:dyDescent="0.2">
      <c r="A435" s="417" t="s">
        <v>391</v>
      </c>
      <c r="B435" s="440">
        <f>'Ind T6'!Q509</f>
        <v>105.87499999965112</v>
      </c>
      <c r="C435" s="436" t="str">
        <f>CONCATENATE("(",ROUND((B435/$H436)*100,1),")")</f>
        <v>(39.7)</v>
      </c>
      <c r="D435" s="440">
        <f>'Ind T6'!R509</f>
        <v>94.883999999143839</v>
      </c>
      <c r="E435" s="436" t="str">
        <f>CONCATENATE("(",ROUND((D435/$H436)*100,1),")")</f>
        <v>(35.5)</v>
      </c>
      <c r="F435" s="440">
        <f>'Ind T6'!S509</f>
        <v>6.4119999994677555</v>
      </c>
      <c r="G435" s="436" t="str">
        <f>CONCATENATE("(",ROUND((F435/$H436)*100,1),")")</f>
        <v>(2.4)</v>
      </c>
      <c r="H435" s="440">
        <f t="shared" ref="H435" si="325">SUM(B435,D435,F435)</f>
        <v>207.17099999826272</v>
      </c>
      <c r="I435" s="436" t="str">
        <f>CONCATENATE("(",ROUND((H435/$H436)*100,1),")")</f>
        <v>(77.6)</v>
      </c>
      <c r="K435" s="440">
        <f t="shared" ref="K435:K436" si="326">B440-B435</f>
        <v>4.006000000278874</v>
      </c>
      <c r="L435" s="440">
        <f t="shared" ref="L435:L436" si="327">D440-D435</f>
        <v>4.8749999999450324</v>
      </c>
      <c r="M435" s="440">
        <f t="shared" ref="M435:M436" si="328">F440-F435</f>
        <v>-9.9999998916393551E-3</v>
      </c>
      <c r="N435" s="440">
        <f t="shared" ref="N435:N436" si="329">SUM(K435:M435)</f>
        <v>8.8710000003322662</v>
      </c>
    </row>
    <row r="436" spans="1:14" x14ac:dyDescent="0.2">
      <c r="A436" s="417" t="s">
        <v>389</v>
      </c>
      <c r="B436" s="440">
        <f>SUM(B434:B435)</f>
        <v>148.05500000053678</v>
      </c>
      <c r="C436" s="436" t="str">
        <f>CONCATENATE("(",ROUND((B436/$H436)*100,1),")")</f>
        <v>(55.4)</v>
      </c>
      <c r="D436" s="440">
        <f>SUM(D434:D435)</f>
        <v>107.85599999920555</v>
      </c>
      <c r="E436" s="436" t="str">
        <f>CONCATENATE("(",ROUND((D436/$H436)*100,1),")")</f>
        <v>(40.4)</v>
      </c>
      <c r="F436" s="440">
        <f>SUM(F434:F435)</f>
        <v>11.107999999291149</v>
      </c>
      <c r="G436" s="436" t="str">
        <f>CONCATENATE("(",ROUND((F436/$H436)*100,1),")")</f>
        <v>(4.2)</v>
      </c>
      <c r="H436" s="440">
        <f>SUM(H434:H435)</f>
        <v>267.01899999903344</v>
      </c>
      <c r="I436" s="436" t="str">
        <f>CONCATENATE("(",ROUND((H436/$H436)*100,1),")")</f>
        <v>(100)</v>
      </c>
      <c r="K436" s="440">
        <f t="shared" si="326"/>
        <v>4.9370000004490464</v>
      </c>
      <c r="L436" s="440">
        <f t="shared" si="327"/>
        <v>6.3089999999529311</v>
      </c>
      <c r="M436" s="440">
        <f t="shared" si="328"/>
        <v>7.5000000196826733E-2</v>
      </c>
      <c r="N436" s="440">
        <f t="shared" si="329"/>
        <v>11.321000000598804</v>
      </c>
    </row>
    <row r="437" spans="1:14" x14ac:dyDescent="0.2">
      <c r="B437" s="440"/>
      <c r="C437" s="428"/>
      <c r="D437" s="440"/>
      <c r="E437" s="428"/>
      <c r="F437" s="440"/>
      <c r="G437" s="428"/>
      <c r="H437" s="440"/>
      <c r="I437" s="428"/>
    </row>
    <row r="438" spans="1:14" x14ac:dyDescent="0.2">
      <c r="A438" s="423">
        <f>$A$18</f>
        <v>2027</v>
      </c>
      <c r="B438" s="440"/>
      <c r="C438" s="428"/>
      <c r="D438" s="440"/>
      <c r="E438" s="428"/>
      <c r="F438" s="440"/>
      <c r="G438" s="428"/>
      <c r="H438" s="440"/>
      <c r="I438" s="428"/>
      <c r="K438" s="426" t="str">
        <f>CONCATENATE(A428," - ",A438)</f>
        <v>2017 - 2027</v>
      </c>
    </row>
    <row r="439" spans="1:14" x14ac:dyDescent="0.2">
      <c r="A439" s="417" t="s">
        <v>390</v>
      </c>
      <c r="B439" s="440">
        <f>'Ind T6'!V510</f>
        <v>43.111000001055821</v>
      </c>
      <c r="C439" s="436" t="str">
        <f>CONCATENATE("(",ROUND((B439/$H441)*100,1),")")</f>
        <v>(15.5)</v>
      </c>
      <c r="D439" s="440">
        <f>'Ind T6'!W510</f>
        <v>14.406000000069607</v>
      </c>
      <c r="E439" s="436" t="str">
        <f>CONCATENATE("(",ROUND((D439/$H441)*100,1),")")</f>
        <v>(5.2)</v>
      </c>
      <c r="F439" s="440">
        <f>'Ind T6'!X510</f>
        <v>4.7809999999118586</v>
      </c>
      <c r="G439" s="436" t="str">
        <f>CONCATENATE("(",ROUND((F439/$H441)*100,1),")")</f>
        <v>(1.7)</v>
      </c>
      <c r="H439" s="440">
        <f>SUM(B439,D439,F439)</f>
        <v>62.298000001037281</v>
      </c>
      <c r="I439" s="436" t="str">
        <f>CONCATENATE("(",ROUND((H439/$H441)*100,1),")")</f>
        <v>(22.4)</v>
      </c>
      <c r="K439" s="440">
        <f>B439-B429</f>
        <v>1.9170000014185433</v>
      </c>
      <c r="L439" s="440">
        <f>D439-D429</f>
        <v>2.9990000000499712</v>
      </c>
      <c r="M439" s="440">
        <f>F439-F429</f>
        <v>0.16700000019450201</v>
      </c>
      <c r="N439" s="440">
        <f>SUM(K439:M439)</f>
        <v>5.0830000016630166</v>
      </c>
    </row>
    <row r="440" spans="1:14" x14ac:dyDescent="0.2">
      <c r="A440" s="417" t="s">
        <v>391</v>
      </c>
      <c r="B440" s="440">
        <f>'Ind T6'!V509</f>
        <v>109.88099999993</v>
      </c>
      <c r="C440" s="436" t="str">
        <f>CONCATENATE("(",ROUND((B440/$H441)*100,1),")")</f>
        <v>(39.5)</v>
      </c>
      <c r="D440" s="440">
        <f>'Ind T6'!W509</f>
        <v>99.758999999088871</v>
      </c>
      <c r="E440" s="436" t="str">
        <f>CONCATENATE("(",ROUND((D440/$H441)*100,1),")")</f>
        <v>(35.8)</v>
      </c>
      <c r="F440" s="440">
        <f>'Ind T6'!X509</f>
        <v>6.4019999995761161</v>
      </c>
      <c r="G440" s="436" t="str">
        <f>CONCATENATE("(",ROUND((F440/$H441)*100,1),")")</f>
        <v>(2.3)</v>
      </c>
      <c r="H440" s="440">
        <f t="shared" ref="H440" si="330">SUM(B440,D440,F440)</f>
        <v>216.04199999859497</v>
      </c>
      <c r="I440" s="436" t="str">
        <f>CONCATENATE("(",ROUND((H440/$H441)*100,1),")")</f>
        <v>(77.6)</v>
      </c>
      <c r="K440" s="440">
        <f t="shared" ref="K440:K441" si="331">B440-B430</f>
        <v>8.3710000008332912</v>
      </c>
      <c r="L440" s="440">
        <f t="shared" ref="L440:L441" si="332">D440-D430</f>
        <v>10.262000001027445</v>
      </c>
      <c r="M440" s="440">
        <f t="shared" ref="M440:M441" si="333">F440-F430</f>
        <v>4.0000001039617317E-3</v>
      </c>
      <c r="N440" s="440">
        <f t="shared" ref="N440:N441" si="334">SUM(K440:M440)</f>
        <v>18.637000001964697</v>
      </c>
    </row>
    <row r="441" spans="1:14" x14ac:dyDescent="0.2">
      <c r="A441" s="408" t="s">
        <v>389</v>
      </c>
      <c r="B441" s="440">
        <f>SUM(B439:B440)</f>
        <v>152.99200000098583</v>
      </c>
      <c r="C441" s="436" t="str">
        <f>CONCATENATE("(",ROUND((B441/$H441)*100,1),")")</f>
        <v>(55)</v>
      </c>
      <c r="D441" s="440">
        <f>SUM(D439:D440)</f>
        <v>114.16499999915848</v>
      </c>
      <c r="E441" s="436" t="str">
        <f>CONCATENATE("(",ROUND((D441/$H441)*100,1),")")</f>
        <v>(41)</v>
      </c>
      <c r="F441" s="440">
        <f>SUM(F439:F440)</f>
        <v>11.182999999487976</v>
      </c>
      <c r="G441" s="436" t="str">
        <f>CONCATENATE("(",ROUND((F441/$H441)*100,1),")")</f>
        <v>(4)</v>
      </c>
      <c r="H441" s="440">
        <f>SUM(H439:H440)</f>
        <v>278.33999999963225</v>
      </c>
      <c r="I441" s="436" t="str">
        <f>CONCATENATE("(",ROUND((H441/$H441)*100,1),")")</f>
        <v>(100)</v>
      </c>
      <c r="K441" s="440">
        <f t="shared" si="331"/>
        <v>10.288000002251835</v>
      </c>
      <c r="L441" s="440">
        <f t="shared" si="332"/>
        <v>13.26100000107742</v>
      </c>
      <c r="M441" s="440">
        <f t="shared" si="333"/>
        <v>0.17100000029846463</v>
      </c>
      <c r="N441" s="440">
        <f t="shared" si="334"/>
        <v>23.720000003627717</v>
      </c>
    </row>
    <row r="442" spans="1:14" x14ac:dyDescent="0.2">
      <c r="A442" s="429"/>
      <c r="B442" s="430"/>
      <c r="C442" s="429"/>
      <c r="D442" s="430"/>
      <c r="E442" s="429"/>
      <c r="F442" s="430"/>
      <c r="G442" s="429"/>
      <c r="H442" s="430"/>
      <c r="I442" s="429"/>
      <c r="J442" s="429"/>
      <c r="K442" s="430"/>
      <c r="L442" s="430"/>
      <c r="M442" s="430"/>
      <c r="N442" s="430"/>
    </row>
    <row r="446" spans="1:14" x14ac:dyDescent="0.2">
      <c r="A446" s="419"/>
      <c r="B446" s="420" t="s">
        <v>414</v>
      </c>
      <c r="C446" s="419"/>
      <c r="D446" s="420"/>
      <c r="E446" s="419"/>
      <c r="F446" s="420" t="str">
        <f>name!B24</f>
        <v>Arts and entertainment</v>
      </c>
      <c r="G446" s="419"/>
      <c r="H446" s="422"/>
      <c r="I446" s="419"/>
      <c r="J446" s="421"/>
      <c r="K446" s="422"/>
      <c r="L446" s="422"/>
      <c r="M446" s="422"/>
      <c r="N446" s="422"/>
    </row>
    <row r="447" spans="1:14" x14ac:dyDescent="0.2">
      <c r="A447" s="408"/>
      <c r="B447" s="409"/>
      <c r="C447" s="408"/>
      <c r="D447" s="409"/>
      <c r="E447" s="408"/>
      <c r="F447" s="409"/>
      <c r="G447" s="408"/>
      <c r="H447" s="409"/>
      <c r="I447" s="408"/>
      <c r="K447" s="409"/>
      <c r="L447" s="409"/>
      <c r="M447" s="409"/>
      <c r="N447" s="415" t="s">
        <v>412</v>
      </c>
    </row>
    <row r="448" spans="1:14" x14ac:dyDescent="0.2">
      <c r="A448" s="413" t="s">
        <v>413</v>
      </c>
      <c r="B448" s="514" t="s">
        <v>411</v>
      </c>
      <c r="C448" s="514"/>
      <c r="D448" s="514" t="s">
        <v>410</v>
      </c>
      <c r="E448" s="514"/>
      <c r="F448" s="514" t="s">
        <v>409</v>
      </c>
      <c r="G448" s="514"/>
      <c r="H448" s="514" t="s">
        <v>32</v>
      </c>
      <c r="I448" s="514"/>
      <c r="J448" s="413"/>
      <c r="K448" s="434" t="s">
        <v>371</v>
      </c>
      <c r="L448" s="434" t="s">
        <v>373</v>
      </c>
      <c r="M448" s="434" t="s">
        <v>369</v>
      </c>
      <c r="N448" s="434" t="s">
        <v>32</v>
      </c>
    </row>
    <row r="449" spans="1:14" x14ac:dyDescent="0.2">
      <c r="A449" s="423">
        <f>$A$8</f>
        <v>2017</v>
      </c>
      <c r="B449" s="424" t="s">
        <v>60</v>
      </c>
      <c r="C449" s="425" t="s">
        <v>408</v>
      </c>
      <c r="D449" s="424" t="s">
        <v>60</v>
      </c>
      <c r="E449" s="425" t="s">
        <v>408</v>
      </c>
      <c r="F449" s="424" t="s">
        <v>369</v>
      </c>
      <c r="G449" s="425" t="s">
        <v>408</v>
      </c>
      <c r="H449" s="424" t="s">
        <v>60</v>
      </c>
      <c r="I449" s="425" t="s">
        <v>408</v>
      </c>
      <c r="J449" s="413"/>
      <c r="K449" s="426" t="str">
        <f>CONCATENATE(A449," - ",A454)</f>
        <v>2017 - 2022</v>
      </c>
      <c r="L449" s="427"/>
      <c r="M449" s="427"/>
    </row>
    <row r="450" spans="1:14" x14ac:dyDescent="0.2">
      <c r="A450" s="417" t="s">
        <v>390</v>
      </c>
      <c r="B450" s="440">
        <f>'Ind T6'!L540</f>
        <v>8.2669999999859449</v>
      </c>
      <c r="C450" s="436" t="str">
        <f>CONCATENATE("(",ROUND((B450/$H452)*100,1),")")</f>
        <v>(19.9)</v>
      </c>
      <c r="D450" s="440">
        <f>'Ind T6'!M540</f>
        <v>4.1340000000104782</v>
      </c>
      <c r="E450" s="436" t="str">
        <f>CONCATENATE("(",ROUND((D450/$H452)*100,1),")")</f>
        <v>(9.9)</v>
      </c>
      <c r="F450" s="440">
        <f>'Ind T6'!N540</f>
        <v>6.9299999998194162</v>
      </c>
      <c r="G450" s="436" t="str">
        <f>CONCATENATE("(",ROUND((F450/$H452)*100,1),")")</f>
        <v>(16.7)</v>
      </c>
      <c r="H450" s="440">
        <f>SUM(B450,D450,F450)</f>
        <v>19.330999999815837</v>
      </c>
      <c r="I450" s="436" t="str">
        <f>CONCATENATE("(",ROUND((H450/$H452)*100,1),")")</f>
        <v>(46.4)</v>
      </c>
      <c r="K450" s="440">
        <f>B455-B450</f>
        <v>0.70100000000138252</v>
      </c>
      <c r="L450" s="440">
        <f>D455-D450</f>
        <v>-6.600000003627926E-2</v>
      </c>
      <c r="M450" s="440">
        <f>F455-F450</f>
        <v>0.28899999994736714</v>
      </c>
      <c r="N450" s="440">
        <f>SUM(K450:M450)</f>
        <v>0.92399999991247039</v>
      </c>
    </row>
    <row r="451" spans="1:14" x14ac:dyDescent="0.2">
      <c r="A451" s="417" t="s">
        <v>391</v>
      </c>
      <c r="B451" s="440">
        <f>'Ind T6'!L539</f>
        <v>8.2049999998999521</v>
      </c>
      <c r="C451" s="436" t="str">
        <f>CONCATENATE("(",ROUND((B451/$H452)*100,1),")")</f>
        <v>(19.7)</v>
      </c>
      <c r="D451" s="440">
        <f>'Ind T6'!M539</f>
        <v>8.41300000009511</v>
      </c>
      <c r="E451" s="436" t="str">
        <f>CONCATENATE("(",ROUND((D451/$H452)*100,1),")")</f>
        <v>(20.2)</v>
      </c>
      <c r="F451" s="440">
        <f>'Ind T6'!N539</f>
        <v>5.6689999999605423</v>
      </c>
      <c r="G451" s="436" t="str">
        <f>CONCATENATE("(",ROUND((F451/$H452)*100,1),")")</f>
        <v>(13.6)</v>
      </c>
      <c r="H451" s="440">
        <f t="shared" ref="H451" si="335">SUM(B451,D451,F451)</f>
        <v>22.286999999955604</v>
      </c>
      <c r="I451" s="436" t="str">
        <f>CONCATENATE("(",ROUND((H451/$H452)*100,1),")")</f>
        <v>(53.6)</v>
      </c>
      <c r="K451" s="440">
        <f t="shared" ref="K451:K452" si="336">B456-B451</f>
        <v>0.50499999999554746</v>
      </c>
      <c r="L451" s="440">
        <f t="shared" ref="L451:L452" si="337">D456-D451</f>
        <v>0.39300000000264035</v>
      </c>
      <c r="M451" s="440">
        <f t="shared" ref="M451:M452" si="338">F456-F451</f>
        <v>0.77500000000924452</v>
      </c>
      <c r="N451" s="440">
        <f t="shared" ref="N451:N452" si="339">SUM(K451:M451)</f>
        <v>1.6730000000074323</v>
      </c>
    </row>
    <row r="452" spans="1:14" x14ac:dyDescent="0.2">
      <c r="A452" s="417" t="s">
        <v>389</v>
      </c>
      <c r="B452" s="440">
        <f>SUM(B450:B451)</f>
        <v>16.471999999885895</v>
      </c>
      <c r="C452" s="436" t="str">
        <f>CONCATENATE("(",ROUND((B452/$H452)*100,1),")")</f>
        <v>(39.6)</v>
      </c>
      <c r="D452" s="440">
        <f>SUM(D450:D451)</f>
        <v>12.547000000105587</v>
      </c>
      <c r="E452" s="436" t="str">
        <f>CONCATENATE("(",ROUND((D452/$H452)*100,1),")")</f>
        <v>(30.1)</v>
      </c>
      <c r="F452" s="440">
        <f>SUM(F450:F451)</f>
        <v>12.598999999779959</v>
      </c>
      <c r="G452" s="436" t="str">
        <f>CONCATENATE("(",ROUND((F452/$H452)*100,1),")")</f>
        <v>(30.3)</v>
      </c>
      <c r="H452" s="440">
        <f>SUM(H450:H451)</f>
        <v>41.617999999771442</v>
      </c>
      <c r="I452" s="436" t="str">
        <f>CONCATENATE("(",ROUND((H452/$H452)*100,1),")")</f>
        <v>(100)</v>
      </c>
      <c r="K452" s="440">
        <f t="shared" si="336"/>
        <v>1.2059999999969335</v>
      </c>
      <c r="L452" s="440">
        <f t="shared" si="337"/>
        <v>0.32699999996636109</v>
      </c>
      <c r="M452" s="440">
        <f t="shared" si="338"/>
        <v>1.0639999999566108</v>
      </c>
      <c r="N452" s="440">
        <f t="shared" si="339"/>
        <v>2.5969999999199054</v>
      </c>
    </row>
    <row r="453" spans="1:14" x14ac:dyDescent="0.2">
      <c r="B453" s="440"/>
      <c r="C453" s="428"/>
      <c r="D453" s="440"/>
      <c r="E453" s="428"/>
      <c r="F453" s="440"/>
      <c r="G453" s="428"/>
      <c r="H453" s="440"/>
      <c r="I453" s="428"/>
    </row>
    <row r="454" spans="1:14" x14ac:dyDescent="0.2">
      <c r="A454" s="423">
        <f>$A$13</f>
        <v>2022</v>
      </c>
      <c r="B454" s="440"/>
      <c r="C454" s="428"/>
      <c r="D454" s="440"/>
      <c r="E454" s="428"/>
      <c r="F454" s="440"/>
      <c r="G454" s="428"/>
      <c r="H454" s="440"/>
      <c r="I454" s="428"/>
      <c r="K454" s="426" t="str">
        <f>CONCATENATE(A454," - ",A459)</f>
        <v>2022 - 2027</v>
      </c>
    </row>
    <row r="455" spans="1:14" x14ac:dyDescent="0.2">
      <c r="A455" s="417" t="s">
        <v>390</v>
      </c>
      <c r="B455" s="440">
        <f>'Ind T6'!Q540</f>
        <v>8.9679999999873274</v>
      </c>
      <c r="C455" s="436" t="str">
        <f>CONCATENATE("(",ROUND((B455/$H457)*100,1),")")</f>
        <v>(20.3)</v>
      </c>
      <c r="D455" s="440">
        <f>'Ind T6'!R540</f>
        <v>4.0679999999741989</v>
      </c>
      <c r="E455" s="436" t="str">
        <f>CONCATENATE("(",ROUND((D455/$H457)*100,1),")")</f>
        <v>(9.2)</v>
      </c>
      <c r="F455" s="440">
        <f>'Ind T6'!S540</f>
        <v>7.2189999997667833</v>
      </c>
      <c r="G455" s="436" t="str">
        <f>CONCATENATE("(",ROUND((F455/$H457)*100,1),")")</f>
        <v>(16.3)</v>
      </c>
      <c r="H455" s="440">
        <f>SUM(B455,D455,F455)</f>
        <v>20.254999999728309</v>
      </c>
      <c r="I455" s="436" t="str">
        <f>CONCATENATE("(",ROUND((H455/$H457)*100,1),")")</f>
        <v>(45.8)</v>
      </c>
      <c r="K455" s="440">
        <f>B460-B455</f>
        <v>0.55600000000415939</v>
      </c>
      <c r="L455" s="440">
        <f>D460-D455</f>
        <v>-0.11900000000993938</v>
      </c>
      <c r="M455" s="440">
        <f>F460-F455</f>
        <v>-6.2999999943178508E-2</v>
      </c>
      <c r="N455" s="440">
        <f>SUM(K455:M455)</f>
        <v>0.3740000000510415</v>
      </c>
    </row>
    <row r="456" spans="1:14" x14ac:dyDescent="0.2">
      <c r="A456" s="417" t="s">
        <v>391</v>
      </c>
      <c r="B456" s="440">
        <f>'Ind T6'!Q539</f>
        <v>8.7099999998954996</v>
      </c>
      <c r="C456" s="436" t="str">
        <f>CONCATENATE("(",ROUND((B456/$H457)*100,1),")")</f>
        <v>(19.7)</v>
      </c>
      <c r="D456" s="440">
        <f>'Ind T6'!R539</f>
        <v>8.8060000000977503</v>
      </c>
      <c r="E456" s="436" t="str">
        <f>CONCATENATE("(",ROUND((D456/$H457)*100,1),")")</f>
        <v>(19.9)</v>
      </c>
      <c r="F456" s="440">
        <f>'Ind T6'!S539</f>
        <v>6.4439999999697868</v>
      </c>
      <c r="G456" s="436" t="str">
        <f>CONCATENATE("(",ROUND((F456/$H457)*100,1),")")</f>
        <v>(14.6)</v>
      </c>
      <c r="H456" s="440">
        <f t="shared" ref="H456" si="340">SUM(B456,D456,F456)</f>
        <v>23.959999999963035</v>
      </c>
      <c r="I456" s="436" t="str">
        <f>CONCATENATE("(",ROUND((H456/$H457)*100,1),")")</f>
        <v>(54.2)</v>
      </c>
      <c r="K456" s="440">
        <f t="shared" ref="K456:K457" si="341">B461-B456</f>
        <v>0.38300000001928503</v>
      </c>
      <c r="L456" s="440">
        <f t="shared" ref="L456:L457" si="342">D461-D456</f>
        <v>0.23800000000060706</v>
      </c>
      <c r="M456" s="440">
        <f t="shared" ref="M456:M457" si="343">F461-F456</f>
        <v>0.38300000000174705</v>
      </c>
      <c r="N456" s="440">
        <f t="shared" ref="N456:N457" si="344">SUM(K456:M456)</f>
        <v>1.0040000000216391</v>
      </c>
    </row>
    <row r="457" spans="1:14" x14ac:dyDescent="0.2">
      <c r="A457" s="417" t="s">
        <v>389</v>
      </c>
      <c r="B457" s="440">
        <f>SUM(B455:B456)</f>
        <v>17.677999999882829</v>
      </c>
      <c r="C457" s="436" t="str">
        <f>CONCATENATE("(",ROUND((B457/$H457)*100,1),")")</f>
        <v>(40)</v>
      </c>
      <c r="D457" s="440">
        <f>SUM(D455:D456)</f>
        <v>12.874000000071948</v>
      </c>
      <c r="E457" s="436" t="str">
        <f>CONCATENATE("(",ROUND((D457/$H457)*100,1),")")</f>
        <v>(29.1)</v>
      </c>
      <c r="F457" s="440">
        <f>SUM(F455:F456)</f>
        <v>13.66299999973657</v>
      </c>
      <c r="G457" s="436" t="str">
        <f>CONCATENATE("(",ROUND((F457/$H457)*100,1),")")</f>
        <v>(30.9)</v>
      </c>
      <c r="H457" s="440">
        <f>SUM(H455:H456)</f>
        <v>44.214999999691344</v>
      </c>
      <c r="I457" s="436" t="str">
        <f>CONCATENATE("(",ROUND((H457/$H457)*100,1),")")</f>
        <v>(100)</v>
      </c>
      <c r="K457" s="440">
        <f t="shared" si="341"/>
        <v>0.93900000002344086</v>
      </c>
      <c r="L457" s="440">
        <f t="shared" si="342"/>
        <v>0.11899999999066857</v>
      </c>
      <c r="M457" s="440">
        <f t="shared" si="343"/>
        <v>0.32000000005856855</v>
      </c>
      <c r="N457" s="440">
        <f t="shared" si="344"/>
        <v>1.378000000072678</v>
      </c>
    </row>
    <row r="458" spans="1:14" x14ac:dyDescent="0.2">
      <c r="B458" s="440"/>
      <c r="C458" s="428"/>
      <c r="D458" s="440"/>
      <c r="E458" s="428"/>
      <c r="F458" s="440"/>
      <c r="G458" s="428"/>
      <c r="H458" s="440"/>
      <c r="I458" s="428"/>
    </row>
    <row r="459" spans="1:14" x14ac:dyDescent="0.2">
      <c r="A459" s="423">
        <f>$A$18</f>
        <v>2027</v>
      </c>
      <c r="B459" s="440"/>
      <c r="C459" s="428"/>
      <c r="D459" s="440"/>
      <c r="E459" s="428"/>
      <c r="F459" s="440"/>
      <c r="G459" s="428"/>
      <c r="H459" s="440"/>
      <c r="I459" s="428"/>
      <c r="K459" s="426" t="str">
        <f>CONCATENATE(A449," - ",A459)</f>
        <v>2017 - 2027</v>
      </c>
    </row>
    <row r="460" spans="1:14" x14ac:dyDescent="0.2">
      <c r="A460" s="417" t="s">
        <v>390</v>
      </c>
      <c r="B460" s="440">
        <f>'Ind T6'!V540</f>
        <v>9.5239999999914868</v>
      </c>
      <c r="C460" s="436" t="str">
        <f>CONCATENATE("(",ROUND((B460/$H462)*100,1),")")</f>
        <v>(20.9)</v>
      </c>
      <c r="D460" s="440">
        <f>'Ind T6'!W540</f>
        <v>3.9489999999642595</v>
      </c>
      <c r="E460" s="436" t="str">
        <f>CONCATENATE("(",ROUND((D460/$H462)*100,1),")")</f>
        <v>(8.7)</v>
      </c>
      <c r="F460" s="440">
        <f>'Ind T6'!X540</f>
        <v>7.1559999998236048</v>
      </c>
      <c r="G460" s="436" t="str">
        <f>CONCATENATE("(",ROUND((F460/$H462)*100,1),")")</f>
        <v>(15.7)</v>
      </c>
      <c r="H460" s="440">
        <f>SUM(B460,D460,F460)</f>
        <v>20.628999999779353</v>
      </c>
      <c r="I460" s="436" t="str">
        <f>CONCATENATE("(",ROUND((H460/$H462)*100,1),")")</f>
        <v>(45.2)</v>
      </c>
      <c r="K460" s="440">
        <f>B460-B450</f>
        <v>1.2570000000055419</v>
      </c>
      <c r="L460" s="440">
        <f>D460-D450</f>
        <v>-0.18500000004621864</v>
      </c>
      <c r="M460" s="440">
        <f>F460-F450</f>
        <v>0.22600000000418863</v>
      </c>
      <c r="N460" s="440">
        <f>SUM(K460:M460)</f>
        <v>1.2979999999635119</v>
      </c>
    </row>
    <row r="461" spans="1:14" x14ac:dyDescent="0.2">
      <c r="A461" s="417" t="s">
        <v>391</v>
      </c>
      <c r="B461" s="440">
        <f>'Ind T6'!V539</f>
        <v>9.0929999999147846</v>
      </c>
      <c r="C461" s="436" t="str">
        <f>CONCATENATE("(",ROUND((B461/$H462)*100,1),")")</f>
        <v>(19.9)</v>
      </c>
      <c r="D461" s="440">
        <f>'Ind T6'!W539</f>
        <v>9.0440000000983574</v>
      </c>
      <c r="E461" s="436" t="str">
        <f>CONCATENATE("(",ROUND((D461/$H462)*100,1),")")</f>
        <v>(19.8)</v>
      </c>
      <c r="F461" s="440">
        <f>'Ind T6'!X539</f>
        <v>6.8269999999715338</v>
      </c>
      <c r="G461" s="436" t="str">
        <f>CONCATENATE("(",ROUND((F461/$H462)*100,1),")")</f>
        <v>(15)</v>
      </c>
      <c r="H461" s="440">
        <f t="shared" ref="H461" si="345">SUM(B461,D461,F461)</f>
        <v>24.963999999984676</v>
      </c>
      <c r="I461" s="436" t="str">
        <f>CONCATENATE("(",ROUND((H461/$H462)*100,1),")")</f>
        <v>(54.8)</v>
      </c>
      <c r="K461" s="440">
        <f t="shared" ref="K461:K462" si="346">B461-B451</f>
        <v>0.88800000001483248</v>
      </c>
      <c r="L461" s="440">
        <f t="shared" ref="L461:L462" si="347">D461-D451</f>
        <v>0.63100000000324741</v>
      </c>
      <c r="M461" s="440">
        <f t="shared" ref="M461:M462" si="348">F461-F451</f>
        <v>1.1580000000109916</v>
      </c>
      <c r="N461" s="440">
        <f t="shared" ref="N461:N462" si="349">SUM(K461:M461)</f>
        <v>2.6770000000290715</v>
      </c>
    </row>
    <row r="462" spans="1:14" x14ac:dyDescent="0.2">
      <c r="A462" s="408" t="s">
        <v>389</v>
      </c>
      <c r="B462" s="440">
        <f>SUM(B460:B461)</f>
        <v>18.61699999990627</v>
      </c>
      <c r="C462" s="436" t="str">
        <f>CONCATENATE("(",ROUND((B462/$H462)*100,1),")")</f>
        <v>(40.8)</v>
      </c>
      <c r="D462" s="440">
        <f>SUM(D460:D461)</f>
        <v>12.993000000062617</v>
      </c>
      <c r="E462" s="436" t="str">
        <f>CONCATENATE("(",ROUND((D462/$H462)*100,1),")")</f>
        <v>(28.5)</v>
      </c>
      <c r="F462" s="440">
        <f>SUM(F460:F461)</f>
        <v>13.982999999795139</v>
      </c>
      <c r="G462" s="436" t="str">
        <f>CONCATENATE("(",ROUND((F462/$H462)*100,1),")")</f>
        <v>(30.7)</v>
      </c>
      <c r="H462" s="440">
        <f>SUM(H460:H461)</f>
        <v>45.592999999764032</v>
      </c>
      <c r="I462" s="436" t="str">
        <f>CONCATENATE("(",ROUND((H462/$H462)*100,1),")")</f>
        <v>(100)</v>
      </c>
      <c r="K462" s="440">
        <f t="shared" si="346"/>
        <v>2.1450000000203744</v>
      </c>
      <c r="L462" s="440">
        <f t="shared" si="347"/>
        <v>0.44599999995702966</v>
      </c>
      <c r="M462" s="440">
        <f t="shared" si="348"/>
        <v>1.3840000000151793</v>
      </c>
      <c r="N462" s="440">
        <f t="shared" si="349"/>
        <v>3.9749999999925834</v>
      </c>
    </row>
    <row r="463" spans="1:14" x14ac:dyDescent="0.2">
      <c r="A463" s="429"/>
      <c r="B463" s="430"/>
      <c r="C463" s="429"/>
      <c r="D463" s="430"/>
      <c r="E463" s="429"/>
      <c r="F463" s="430"/>
      <c r="G463" s="429"/>
      <c r="H463" s="430"/>
      <c r="I463" s="429"/>
      <c r="J463" s="429"/>
      <c r="K463" s="430"/>
      <c r="L463" s="430"/>
      <c r="M463" s="430"/>
      <c r="N463" s="430"/>
    </row>
    <row r="466" spans="1:14" x14ac:dyDescent="0.2">
      <c r="C466" s="267"/>
      <c r="E466" s="267"/>
      <c r="G466" s="267"/>
      <c r="I466" s="267"/>
    </row>
    <row r="467" spans="1:14" x14ac:dyDescent="0.2">
      <c r="A467" s="419"/>
      <c r="B467" s="420" t="s">
        <v>414</v>
      </c>
      <c r="C467" s="419"/>
      <c r="D467" s="420"/>
      <c r="E467" s="419"/>
      <c r="F467" s="420" t="str">
        <f>name!B25</f>
        <v>Other services</v>
      </c>
      <c r="G467" s="419"/>
      <c r="H467" s="422"/>
      <c r="I467" s="419"/>
      <c r="J467" s="421"/>
      <c r="K467" s="422"/>
      <c r="L467" s="422"/>
      <c r="M467" s="422"/>
      <c r="N467" s="422"/>
    </row>
    <row r="468" spans="1:14" x14ac:dyDescent="0.2">
      <c r="A468" s="408"/>
      <c r="B468" s="409"/>
      <c r="C468" s="408"/>
      <c r="D468" s="409"/>
      <c r="E468" s="408"/>
      <c r="F468" s="409"/>
      <c r="G468" s="408"/>
      <c r="H468" s="409"/>
      <c r="I468" s="408"/>
      <c r="K468" s="409"/>
      <c r="L468" s="409"/>
      <c r="M468" s="409"/>
      <c r="N468" s="415" t="s">
        <v>412</v>
      </c>
    </row>
    <row r="469" spans="1:14" x14ac:dyDescent="0.2">
      <c r="A469" s="413" t="s">
        <v>413</v>
      </c>
      <c r="B469" s="514" t="s">
        <v>411</v>
      </c>
      <c r="C469" s="514"/>
      <c r="D469" s="514" t="s">
        <v>410</v>
      </c>
      <c r="E469" s="514"/>
      <c r="F469" s="514" t="s">
        <v>409</v>
      </c>
      <c r="G469" s="514"/>
      <c r="H469" s="514" t="s">
        <v>32</v>
      </c>
      <c r="I469" s="514"/>
      <c r="J469" s="413"/>
      <c r="K469" s="434" t="s">
        <v>371</v>
      </c>
      <c r="L469" s="434" t="s">
        <v>373</v>
      </c>
      <c r="M469" s="434" t="s">
        <v>369</v>
      </c>
      <c r="N469" s="434" t="s">
        <v>32</v>
      </c>
    </row>
    <row r="470" spans="1:14" x14ac:dyDescent="0.2">
      <c r="A470" s="423">
        <f>$A$8</f>
        <v>2017</v>
      </c>
      <c r="B470" s="424" t="s">
        <v>60</v>
      </c>
      <c r="C470" s="425" t="s">
        <v>408</v>
      </c>
      <c r="D470" s="424" t="s">
        <v>60</v>
      </c>
      <c r="E470" s="425" t="s">
        <v>408</v>
      </c>
      <c r="F470" s="424" t="s">
        <v>60</v>
      </c>
      <c r="G470" s="425" t="s">
        <v>408</v>
      </c>
      <c r="H470" s="424" t="s">
        <v>60</v>
      </c>
      <c r="I470" s="425" t="s">
        <v>408</v>
      </c>
      <c r="J470" s="413"/>
      <c r="K470" s="426" t="str">
        <f>CONCATENATE(A470," - ",A475)</f>
        <v>2017 - 2022</v>
      </c>
      <c r="L470" s="427"/>
      <c r="M470" s="427"/>
    </row>
    <row r="471" spans="1:14" x14ac:dyDescent="0.2">
      <c r="A471" s="417" t="s">
        <v>390</v>
      </c>
      <c r="B471" s="440">
        <f>'Ind T6'!L565</f>
        <v>5.9689999999869006</v>
      </c>
      <c r="C471" s="436" t="str">
        <f>CONCATENATE("(",ROUND((B471/$H473)*100,1),")")</f>
        <v>(13.6)</v>
      </c>
      <c r="D471" s="440">
        <f>'Ind T6'!M565</f>
        <v>1.0070000000066872</v>
      </c>
      <c r="E471" s="436" t="str">
        <f>CONCATENATE("(",ROUND((D471/$H473)*100,1),")")</f>
        <v>(2.3)</v>
      </c>
      <c r="F471" s="440">
        <f>'Ind T6'!N565</f>
        <v>7.4169999999208134</v>
      </c>
      <c r="G471" s="436" t="str">
        <f>CONCATENATE("(",ROUND((F471/$H473)*100,1),")")</f>
        <v>(16.9)</v>
      </c>
      <c r="H471" s="440">
        <f>SUM(B471,D471,F471)</f>
        <v>14.392999999914402</v>
      </c>
      <c r="I471" s="436" t="str">
        <f>CONCATENATE("(",ROUND((H471/$H473)*100,1),")")</f>
        <v>(32.7)</v>
      </c>
      <c r="K471" s="440">
        <f>B476-B471</f>
        <v>0.64600000001084812</v>
      </c>
      <c r="L471" s="440">
        <f>D476-D471</f>
        <v>5.9999999945090643E-3</v>
      </c>
      <c r="M471" s="440">
        <f>F476-F471</f>
        <v>-0.13000000007725099</v>
      </c>
      <c r="N471" s="440">
        <f>SUM(K471:M471)</f>
        <v>0.5219999999281062</v>
      </c>
    </row>
    <row r="472" spans="1:14" x14ac:dyDescent="0.2">
      <c r="A472" s="417" t="s">
        <v>391</v>
      </c>
      <c r="B472" s="440">
        <f>'Ind T6'!L564</f>
        <v>7.6159999999435017</v>
      </c>
      <c r="C472" s="436" t="str">
        <f>CONCATENATE("(",ROUND((B472/$H473)*100,1),")")</f>
        <v>(17.3)</v>
      </c>
      <c r="D472" s="440">
        <f>'Ind T6'!M564</f>
        <v>6.3330000000850069</v>
      </c>
      <c r="E472" s="436" t="str">
        <f>CONCATENATE("(",ROUND((D472/$H473)*100,1),")")</f>
        <v>(14.4)</v>
      </c>
      <c r="F472" s="440">
        <f>'Ind T6'!N564</f>
        <v>15.607000000208744</v>
      </c>
      <c r="G472" s="436" t="str">
        <f>CONCATENATE("(",ROUND((F472/$H473)*100,1),")")</f>
        <v>(35.5)</v>
      </c>
      <c r="H472" s="440">
        <f t="shared" ref="H472" si="350">SUM(B472,D472,F472)</f>
        <v>29.556000000237255</v>
      </c>
      <c r="I472" s="436" t="str">
        <f>CONCATENATE("(",ROUND((H472/$H473)*100,1),")")</f>
        <v>(67.3)</v>
      </c>
      <c r="K472" s="440">
        <f t="shared" ref="K472:K473" si="351">B477-B472</f>
        <v>8.6999999990633903E-2</v>
      </c>
      <c r="L472" s="440">
        <f t="shared" ref="L472:L473" si="352">D477-D472</f>
        <v>0.11999999998954269</v>
      </c>
      <c r="M472" s="440">
        <f t="shared" ref="M472:M473" si="353">F477-F472</f>
        <v>0.3819999999648136</v>
      </c>
      <c r="N472" s="440">
        <f t="shared" ref="N472:N473" si="354">SUM(K472:M472)</f>
        <v>0.58899999994499019</v>
      </c>
    </row>
    <row r="473" spans="1:14" x14ac:dyDescent="0.2">
      <c r="A473" s="417" t="s">
        <v>389</v>
      </c>
      <c r="B473" s="440">
        <f>SUM(B471:B472)</f>
        <v>13.584999999930403</v>
      </c>
      <c r="C473" s="436" t="str">
        <f>CONCATENATE("(",ROUND((B473/$H473)*100,1),")")</f>
        <v>(30.9)</v>
      </c>
      <c r="D473" s="440">
        <f>SUM(D471:D472)</f>
        <v>7.3400000000916936</v>
      </c>
      <c r="E473" s="436" t="str">
        <f>CONCATENATE("(",ROUND((D473/$H473)*100,1),")")</f>
        <v>(16.7)</v>
      </c>
      <c r="F473" s="440">
        <f>SUM(F471:F472)</f>
        <v>23.024000000129558</v>
      </c>
      <c r="G473" s="436" t="str">
        <f>CONCATENATE("(",ROUND((F473/$H473)*100,1),")")</f>
        <v>(52.4)</v>
      </c>
      <c r="H473" s="440">
        <f>SUM(H471:H472)</f>
        <v>43.949000000151656</v>
      </c>
      <c r="I473" s="436" t="str">
        <f>CONCATENATE("(",ROUND((H473/$H473)*100,1),")")</f>
        <v>(100)</v>
      </c>
      <c r="K473" s="440">
        <f t="shared" si="351"/>
        <v>0.73300000000148202</v>
      </c>
      <c r="L473" s="440">
        <f t="shared" si="352"/>
        <v>0.1259999999840522</v>
      </c>
      <c r="M473" s="440">
        <f t="shared" si="353"/>
        <v>0.25199999988756261</v>
      </c>
      <c r="N473" s="440">
        <f t="shared" si="354"/>
        <v>1.1109999998730968</v>
      </c>
    </row>
    <row r="474" spans="1:14" x14ac:dyDescent="0.2">
      <c r="B474" s="440"/>
      <c r="C474" s="428"/>
      <c r="D474" s="440"/>
      <c r="E474" s="428"/>
      <c r="F474" s="440"/>
      <c r="G474" s="428"/>
      <c r="H474" s="440"/>
      <c r="I474" s="428"/>
    </row>
    <row r="475" spans="1:14" x14ac:dyDescent="0.2">
      <c r="A475" s="423">
        <f>$A$13</f>
        <v>2022</v>
      </c>
      <c r="B475" s="440"/>
      <c r="C475" s="428"/>
      <c r="D475" s="440"/>
      <c r="E475" s="428"/>
      <c r="F475" s="440"/>
      <c r="G475" s="428"/>
      <c r="H475" s="440"/>
      <c r="I475" s="428"/>
      <c r="K475" s="426" t="str">
        <f>CONCATENATE(A475," - ",A480)</f>
        <v>2022 - 2027</v>
      </c>
    </row>
    <row r="476" spans="1:14" x14ac:dyDescent="0.2">
      <c r="A476" s="417" t="s">
        <v>390</v>
      </c>
      <c r="B476" s="440">
        <f>'Ind T6'!Q565</f>
        <v>6.6149999999977487</v>
      </c>
      <c r="C476" s="436" t="str">
        <f>CONCATENATE("(",ROUND((B476/$H478)*100,1),")")</f>
        <v>(14.7)</v>
      </c>
      <c r="D476" s="440">
        <f>'Ind T6'!R565</f>
        <v>1.0130000000011963</v>
      </c>
      <c r="E476" s="436" t="str">
        <f>CONCATENATE("(",ROUND((D476/$H478)*100,1),")")</f>
        <v>(2.2)</v>
      </c>
      <c r="F476" s="440">
        <f>'Ind T6'!S565</f>
        <v>7.2869999998435624</v>
      </c>
      <c r="G476" s="436" t="str">
        <f>CONCATENATE("(",ROUND((F476/$H478)*100,1),")")</f>
        <v>(16.2)</v>
      </c>
      <c r="H476" s="440">
        <f>SUM(B476,D476,F476)</f>
        <v>14.914999999842507</v>
      </c>
      <c r="I476" s="436" t="str">
        <f>CONCATENATE("(",ROUND((H476/$H478)*100,1),")")</f>
        <v>(33.1)</v>
      </c>
      <c r="K476" s="440">
        <f>B481-B476</f>
        <v>0.50800000000057377</v>
      </c>
      <c r="L476" s="440">
        <f>D481-D476</f>
        <v>-7.0000000011236629E-3</v>
      </c>
      <c r="M476" s="440">
        <f>F481-F476</f>
        <v>-0.26499999996603663</v>
      </c>
      <c r="N476" s="440">
        <f>SUM(K476:M476)</f>
        <v>0.23600000003341348</v>
      </c>
    </row>
    <row r="477" spans="1:14" x14ac:dyDescent="0.2">
      <c r="A477" s="417" t="s">
        <v>391</v>
      </c>
      <c r="B477" s="440">
        <f>'Ind T6'!Q564</f>
        <v>7.7029999999341356</v>
      </c>
      <c r="C477" s="436" t="str">
        <f>CONCATENATE("(",ROUND((B477/$H478)*100,1),")")</f>
        <v>(17.1)</v>
      </c>
      <c r="D477" s="440">
        <f>'Ind T6'!R564</f>
        <v>6.4530000000745495</v>
      </c>
      <c r="E477" s="436" t="str">
        <f>CONCATENATE("(",ROUND((D477/$H478)*100,1),")")</f>
        <v>(14.3)</v>
      </c>
      <c r="F477" s="440">
        <f>'Ind T6'!S564</f>
        <v>15.989000000173558</v>
      </c>
      <c r="G477" s="436" t="str">
        <f>CONCATENATE("(",ROUND((F477/$H478)*100,1),")")</f>
        <v>(35.5)</v>
      </c>
      <c r="H477" s="440">
        <f t="shared" ref="H477" si="355">SUM(B477,D477,F477)</f>
        <v>30.145000000182243</v>
      </c>
      <c r="I477" s="436" t="str">
        <f>CONCATENATE("(",ROUND((H477/$H478)*100,1),")")</f>
        <v>(66.9)</v>
      </c>
      <c r="K477" s="440">
        <f t="shared" ref="K477:K478" si="356">B482-B477</f>
        <v>-0.10399999998598553</v>
      </c>
      <c r="L477" s="440">
        <f t="shared" ref="L477:L478" si="357">D482-D477</f>
        <v>-1.9000000001767603E-2</v>
      </c>
      <c r="M477" s="440">
        <f t="shared" ref="M477:M478" si="358">F482-F477</f>
        <v>-0.18900000005578121</v>
      </c>
      <c r="N477" s="440">
        <f t="shared" ref="N477:N478" si="359">SUM(K477:M477)</f>
        <v>-0.31200000004353434</v>
      </c>
    </row>
    <row r="478" spans="1:14" x14ac:dyDescent="0.2">
      <c r="A478" s="417" t="s">
        <v>389</v>
      </c>
      <c r="B478" s="440">
        <f>SUM(B476:B477)</f>
        <v>14.317999999931885</v>
      </c>
      <c r="C478" s="436" t="str">
        <f>CONCATENATE("(",ROUND((B478/$H478)*100,1),")")</f>
        <v>(31.8)</v>
      </c>
      <c r="D478" s="440">
        <f>SUM(D476:D477)</f>
        <v>7.4660000000757458</v>
      </c>
      <c r="E478" s="436" t="str">
        <f>CONCATENATE("(",ROUND((D478/$H478)*100,1),")")</f>
        <v>(16.6)</v>
      </c>
      <c r="F478" s="440">
        <f>SUM(F476:F477)</f>
        <v>23.27600000001712</v>
      </c>
      <c r="G478" s="436" t="str">
        <f>CONCATENATE("(",ROUND((F478/$H478)*100,1),")")</f>
        <v>(51.7)</v>
      </c>
      <c r="H478" s="440">
        <f>SUM(H476:H477)</f>
        <v>45.06000000002475</v>
      </c>
      <c r="I478" s="436" t="str">
        <f>CONCATENATE("(",ROUND((H478/$H478)*100,1),")")</f>
        <v>(100)</v>
      </c>
      <c r="K478" s="440">
        <f t="shared" si="356"/>
        <v>0.40400000001458736</v>
      </c>
      <c r="L478" s="440">
        <f t="shared" si="357"/>
        <v>-2.6000000002890822E-2</v>
      </c>
      <c r="M478" s="440">
        <f t="shared" si="358"/>
        <v>-0.45400000002181784</v>
      </c>
      <c r="N478" s="440">
        <f t="shared" si="359"/>
        <v>-7.6000000010121305E-2</v>
      </c>
    </row>
    <row r="479" spans="1:14" x14ac:dyDescent="0.2">
      <c r="B479" s="440"/>
      <c r="C479" s="428"/>
      <c r="D479" s="440"/>
      <c r="E479" s="428"/>
      <c r="F479" s="440"/>
      <c r="G479" s="428"/>
      <c r="H479" s="440"/>
      <c r="I479" s="428"/>
    </row>
    <row r="480" spans="1:14" x14ac:dyDescent="0.2">
      <c r="A480" s="423">
        <f>$A$18</f>
        <v>2027</v>
      </c>
      <c r="B480" s="440"/>
      <c r="C480" s="428"/>
      <c r="D480" s="440"/>
      <c r="E480" s="428"/>
      <c r="F480" s="440"/>
      <c r="G480" s="428"/>
      <c r="H480" s="440"/>
      <c r="I480" s="428"/>
      <c r="K480" s="426" t="str">
        <f>CONCATENATE(A470," - ",A480)</f>
        <v>2017 - 2027</v>
      </c>
    </row>
    <row r="481" spans="1:15" x14ac:dyDescent="0.2">
      <c r="A481" s="417" t="s">
        <v>390</v>
      </c>
      <c r="B481" s="440">
        <f>'Ind T6'!V565</f>
        <v>7.1229999999983225</v>
      </c>
      <c r="C481" s="436" t="str">
        <f>CONCATENATE("(",ROUND((B481/$H483)*100,1),")")</f>
        <v>(15.8)</v>
      </c>
      <c r="D481" s="440">
        <f>'Ind T6'!W565</f>
        <v>1.0060000000000726</v>
      </c>
      <c r="E481" s="436" t="str">
        <f>CONCATENATE("(",ROUND((D481/$H483)*100,1),")")</f>
        <v>(2.2)</v>
      </c>
      <c r="F481" s="440">
        <f>'Ind T6'!X565</f>
        <v>7.0219999998775258</v>
      </c>
      <c r="G481" s="436" t="str">
        <f>CONCATENATE("(",ROUND((F481/$H483)*100,1),")")</f>
        <v>(15.6)</v>
      </c>
      <c r="H481" s="440">
        <f>SUM(B481,D481,F481)</f>
        <v>15.150999999875921</v>
      </c>
      <c r="I481" s="436" t="str">
        <f>CONCATENATE("(",ROUND((H481/$H483)*100,1),")")</f>
        <v>(33.7)</v>
      </c>
      <c r="K481" s="440">
        <f>B481-B471</f>
        <v>1.1540000000114219</v>
      </c>
      <c r="L481" s="440">
        <f>D481-D471</f>
        <v>-1.0000000066145986E-3</v>
      </c>
      <c r="M481" s="440">
        <f>F481-F471</f>
        <v>-0.39500000004328761</v>
      </c>
      <c r="N481" s="440">
        <f>SUM(K481:M481)</f>
        <v>0.75799999996151968</v>
      </c>
    </row>
    <row r="482" spans="1:15" x14ac:dyDescent="0.2">
      <c r="A482" s="417" t="s">
        <v>391</v>
      </c>
      <c r="B482" s="440">
        <f>'Ind T6'!V564</f>
        <v>7.5989999999481501</v>
      </c>
      <c r="C482" s="436" t="str">
        <f>CONCATENATE("(",ROUND((B482/$H483)*100,1),")")</f>
        <v>(16.9)</v>
      </c>
      <c r="D482" s="440">
        <f>'Ind T6'!W564</f>
        <v>6.4340000000727819</v>
      </c>
      <c r="E482" s="436" t="str">
        <f>CONCATENATE("(",ROUND((D482/$H483)*100,1),")")</f>
        <v>(14.3)</v>
      </c>
      <c r="F482" s="440">
        <f>'Ind T6'!X564</f>
        <v>15.800000000117777</v>
      </c>
      <c r="G482" s="436" t="str">
        <f>CONCATENATE("(",ROUND((F482/$H483)*100,1),")")</f>
        <v>(35.1)</v>
      </c>
      <c r="H482" s="440">
        <f t="shared" ref="H482" si="360">SUM(B482,D482,F482)</f>
        <v>29.833000000138711</v>
      </c>
      <c r="I482" s="436" t="str">
        <f>CONCATENATE("(",ROUND((H482/$H483)*100,1),")")</f>
        <v>(66.3)</v>
      </c>
      <c r="K482" s="440">
        <f t="shared" ref="K482:K483" si="361">B482-B472</f>
        <v>-1.6999999995351622E-2</v>
      </c>
      <c r="L482" s="440">
        <f t="shared" ref="L482:L483" si="362">D482-D472</f>
        <v>0.10099999998777509</v>
      </c>
      <c r="M482" s="440">
        <f t="shared" ref="M482:M483" si="363">F482-F472</f>
        <v>0.19299999990903238</v>
      </c>
      <c r="N482" s="440">
        <f t="shared" ref="N482:N483" si="364">SUM(K482:M482)</f>
        <v>0.27699999990145585</v>
      </c>
    </row>
    <row r="483" spans="1:15" x14ac:dyDescent="0.2">
      <c r="A483" s="408" t="s">
        <v>389</v>
      </c>
      <c r="B483" s="440">
        <f>SUM(B481:B482)</f>
        <v>14.721999999946473</v>
      </c>
      <c r="C483" s="436" t="str">
        <f>CONCATENATE("(",ROUND((B483/$H483)*100,1),")")</f>
        <v>(32.7)</v>
      </c>
      <c r="D483" s="440">
        <f>SUM(D481:D482)</f>
        <v>7.440000000072855</v>
      </c>
      <c r="E483" s="436" t="str">
        <f>CONCATENATE("(",ROUND((D483/$H483)*100,1),")")</f>
        <v>(16.5)</v>
      </c>
      <c r="F483" s="440">
        <f>SUM(F481:F482)</f>
        <v>22.821999999995302</v>
      </c>
      <c r="G483" s="436" t="str">
        <f>CONCATENATE("(",ROUND((F483/$H483)*100,1),")")</f>
        <v>(50.7)</v>
      </c>
      <c r="H483" s="440">
        <f>SUM(H481:H482)</f>
        <v>44.984000000014632</v>
      </c>
      <c r="I483" s="436" t="str">
        <f>CONCATENATE("(",ROUND((H483/$H483)*100,1),")")</f>
        <v>(100)</v>
      </c>
      <c r="K483" s="440">
        <f t="shared" si="361"/>
        <v>1.1370000000160694</v>
      </c>
      <c r="L483" s="440">
        <f t="shared" si="362"/>
        <v>9.999999998116138E-2</v>
      </c>
      <c r="M483" s="440">
        <f t="shared" si="363"/>
        <v>-0.20200000013425523</v>
      </c>
      <c r="N483" s="440">
        <f t="shared" si="364"/>
        <v>1.0349999998629755</v>
      </c>
    </row>
    <row r="484" spans="1:15" x14ac:dyDescent="0.2">
      <c r="A484" s="429"/>
      <c r="B484" s="430"/>
      <c r="C484" s="429"/>
      <c r="D484" s="430"/>
      <c r="E484" s="429"/>
      <c r="F484" s="430"/>
      <c r="G484" s="429"/>
      <c r="H484" s="430"/>
      <c r="I484" s="429"/>
      <c r="J484" s="429"/>
      <c r="K484" s="430"/>
      <c r="L484" s="430"/>
      <c r="M484" s="430"/>
      <c r="N484" s="430"/>
    </row>
    <row r="486" spans="1:15" x14ac:dyDescent="0.2">
      <c r="A486" s="408"/>
    </row>
    <row r="487" spans="1:15" x14ac:dyDescent="0.2">
      <c r="A487" s="408"/>
      <c r="B487" s="409"/>
      <c r="C487" s="408"/>
      <c r="D487" s="409"/>
      <c r="E487" s="408"/>
      <c r="F487" s="409"/>
      <c r="G487" s="408"/>
      <c r="H487" s="409"/>
      <c r="I487" s="408"/>
      <c r="K487" s="409"/>
      <c r="L487" s="409"/>
      <c r="M487" s="409"/>
      <c r="N487" s="409"/>
      <c r="O487" s="408"/>
    </row>
    <row r="488" spans="1:15" x14ac:dyDescent="0.2">
      <c r="A488" s="413"/>
      <c r="B488" s="411"/>
      <c r="C488" s="413"/>
      <c r="D488" s="411"/>
      <c r="E488" s="413"/>
      <c r="F488" s="411"/>
      <c r="G488" s="413"/>
      <c r="H488" s="409"/>
      <c r="I488" s="413"/>
      <c r="K488" s="409"/>
      <c r="L488" s="409"/>
      <c r="M488" s="409"/>
      <c r="N488" s="409"/>
      <c r="O488" s="408"/>
    </row>
    <row r="489" spans="1:15" x14ac:dyDescent="0.2">
      <c r="A489" s="408"/>
      <c r="B489" s="409"/>
      <c r="C489" s="408"/>
      <c r="D489" s="409"/>
      <c r="E489" s="408"/>
      <c r="F489" s="409"/>
      <c r="G489" s="408"/>
      <c r="H489" s="409"/>
      <c r="I489" s="408"/>
      <c r="K489" s="409"/>
      <c r="L489" s="409"/>
      <c r="M489" s="409"/>
      <c r="N489" s="415"/>
      <c r="O489" s="408"/>
    </row>
    <row r="490" spans="1:15" x14ac:dyDescent="0.2">
      <c r="A490" s="413"/>
      <c r="B490" s="514"/>
      <c r="C490" s="514"/>
      <c r="D490" s="514"/>
      <c r="E490" s="514"/>
      <c r="F490" s="514"/>
      <c r="G490" s="514"/>
      <c r="H490" s="514"/>
      <c r="I490" s="514"/>
      <c r="J490" s="413"/>
      <c r="K490" s="415"/>
      <c r="L490" s="415"/>
      <c r="M490" s="415"/>
      <c r="N490" s="415"/>
      <c r="O490" s="408"/>
    </row>
    <row r="491" spans="1:15" x14ac:dyDescent="0.2">
      <c r="A491" s="432"/>
      <c r="B491" s="415"/>
      <c r="C491" s="414"/>
      <c r="D491" s="415"/>
      <c r="E491" s="414"/>
      <c r="F491" s="415"/>
      <c r="G491" s="414"/>
      <c r="H491" s="415"/>
      <c r="I491" s="414"/>
      <c r="J491" s="413"/>
      <c r="K491" s="412"/>
      <c r="L491" s="411"/>
      <c r="M491" s="411"/>
      <c r="N491" s="409"/>
      <c r="O491" s="408"/>
    </row>
    <row r="492" spans="1:15" x14ac:dyDescent="0.2">
      <c r="A492" s="408"/>
      <c r="B492" s="416"/>
      <c r="C492" s="410"/>
      <c r="D492" s="416"/>
      <c r="E492" s="410"/>
      <c r="F492" s="416"/>
      <c r="G492" s="410"/>
      <c r="H492" s="416"/>
      <c r="I492" s="410"/>
      <c r="K492" s="416"/>
      <c r="L492" s="416"/>
      <c r="M492" s="416"/>
      <c r="N492" s="416"/>
      <c r="O492" s="408"/>
    </row>
    <row r="493" spans="1:15" x14ac:dyDescent="0.2">
      <c r="A493" s="408"/>
      <c r="B493" s="416"/>
      <c r="C493" s="410"/>
      <c r="D493" s="416"/>
      <c r="E493" s="410"/>
      <c r="F493" s="416"/>
      <c r="G493" s="410"/>
      <c r="H493" s="416"/>
      <c r="I493" s="410"/>
      <c r="K493" s="416"/>
      <c r="L493" s="416"/>
      <c r="M493" s="416"/>
      <c r="N493" s="416"/>
      <c r="O493" s="408"/>
    </row>
    <row r="494" spans="1:15" x14ac:dyDescent="0.2">
      <c r="A494" s="408"/>
      <c r="B494" s="416"/>
      <c r="C494" s="410"/>
      <c r="D494" s="416"/>
      <c r="E494" s="410"/>
      <c r="F494" s="416"/>
      <c r="G494" s="410"/>
      <c r="H494" s="416"/>
      <c r="I494" s="410"/>
      <c r="K494" s="416"/>
      <c r="L494" s="416"/>
      <c r="M494" s="416"/>
      <c r="N494" s="416"/>
      <c r="O494" s="408"/>
    </row>
    <row r="495" spans="1:15" x14ac:dyDescent="0.2">
      <c r="A495" s="408"/>
      <c r="B495" s="416"/>
      <c r="C495" s="410"/>
      <c r="D495" s="416"/>
      <c r="E495" s="410"/>
      <c r="F495" s="416"/>
      <c r="G495" s="410"/>
      <c r="H495" s="416"/>
      <c r="I495" s="410"/>
      <c r="K495" s="409"/>
      <c r="L495" s="409"/>
      <c r="M495" s="409"/>
      <c r="N495" s="409"/>
      <c r="O495" s="408"/>
    </row>
    <row r="496" spans="1:15" x14ac:dyDescent="0.2">
      <c r="A496" s="432"/>
      <c r="B496" s="416"/>
      <c r="C496" s="410"/>
      <c r="D496" s="416"/>
      <c r="E496" s="410"/>
      <c r="F496" s="416"/>
      <c r="G496" s="410"/>
      <c r="H496" s="416"/>
      <c r="I496" s="410"/>
      <c r="K496" s="411"/>
      <c r="L496" s="409"/>
      <c r="M496" s="409"/>
      <c r="N496" s="409"/>
      <c r="O496" s="408"/>
    </row>
    <row r="497" spans="1:15" x14ac:dyDescent="0.2">
      <c r="A497" s="408"/>
      <c r="B497" s="416"/>
      <c r="C497" s="410"/>
      <c r="D497" s="416"/>
      <c r="E497" s="410"/>
      <c r="F497" s="416"/>
      <c r="G497" s="410"/>
      <c r="H497" s="416"/>
      <c r="I497" s="410"/>
      <c r="K497" s="416"/>
      <c r="L497" s="416"/>
      <c r="M497" s="416"/>
      <c r="N497" s="416"/>
      <c r="O497" s="408"/>
    </row>
    <row r="498" spans="1:15" x14ac:dyDescent="0.2">
      <c r="A498" s="408"/>
      <c r="B498" s="416"/>
      <c r="C498" s="410"/>
      <c r="D498" s="416"/>
      <c r="E498" s="410"/>
      <c r="F498" s="416"/>
      <c r="G498" s="410"/>
      <c r="H498" s="416"/>
      <c r="I498" s="410"/>
      <c r="K498" s="416"/>
      <c r="L498" s="416"/>
      <c r="M498" s="416"/>
      <c r="N498" s="416"/>
      <c r="O498" s="408"/>
    </row>
    <row r="499" spans="1:15" x14ac:dyDescent="0.2">
      <c r="A499" s="408"/>
      <c r="B499" s="416"/>
      <c r="C499" s="410"/>
      <c r="D499" s="416"/>
      <c r="E499" s="410"/>
      <c r="F499" s="416"/>
      <c r="G499" s="410"/>
      <c r="H499" s="416"/>
      <c r="I499" s="410"/>
      <c r="K499" s="416"/>
      <c r="L499" s="416"/>
      <c r="M499" s="416"/>
      <c r="N499" s="416"/>
      <c r="O499" s="408"/>
    </row>
    <row r="500" spans="1:15" x14ac:dyDescent="0.2">
      <c r="A500" s="408"/>
      <c r="B500" s="416"/>
      <c r="C500" s="410"/>
      <c r="D500" s="416"/>
      <c r="E500" s="410"/>
      <c r="F500" s="416"/>
      <c r="G500" s="410"/>
      <c r="H500" s="416"/>
      <c r="I500" s="410"/>
      <c r="K500" s="409"/>
      <c r="L500" s="409"/>
      <c r="M500" s="409"/>
      <c r="N500" s="409"/>
      <c r="O500" s="408"/>
    </row>
    <row r="501" spans="1:15" x14ac:dyDescent="0.2">
      <c r="A501" s="432"/>
      <c r="B501" s="416"/>
      <c r="C501" s="410"/>
      <c r="D501" s="416"/>
      <c r="E501" s="410"/>
      <c r="F501" s="416"/>
      <c r="G501" s="410"/>
      <c r="H501" s="416"/>
      <c r="I501" s="410"/>
      <c r="K501" s="411"/>
      <c r="L501" s="409"/>
      <c r="M501" s="409"/>
      <c r="N501" s="409"/>
      <c r="O501" s="408"/>
    </row>
    <row r="502" spans="1:15" x14ac:dyDescent="0.2">
      <c r="A502" s="408"/>
      <c r="B502" s="416"/>
      <c r="C502" s="410"/>
      <c r="D502" s="416"/>
      <c r="E502" s="410"/>
      <c r="F502" s="416"/>
      <c r="G502" s="410"/>
      <c r="H502" s="416"/>
      <c r="I502" s="410"/>
      <c r="K502" s="416"/>
      <c r="L502" s="416"/>
      <c r="M502" s="416"/>
      <c r="N502" s="416"/>
      <c r="O502" s="408"/>
    </row>
    <row r="503" spans="1:15" x14ac:dyDescent="0.2">
      <c r="A503" s="408"/>
      <c r="B503" s="416"/>
      <c r="C503" s="410"/>
      <c r="D503" s="416"/>
      <c r="E503" s="410"/>
      <c r="F503" s="416"/>
      <c r="G503" s="410"/>
      <c r="H503" s="416"/>
      <c r="I503" s="410"/>
      <c r="K503" s="416"/>
      <c r="L503" s="416"/>
      <c r="M503" s="416"/>
      <c r="N503" s="416"/>
      <c r="O503" s="408"/>
    </row>
    <row r="504" spans="1:15" x14ac:dyDescent="0.2">
      <c r="A504" s="408"/>
      <c r="B504" s="416"/>
      <c r="C504" s="410"/>
      <c r="D504" s="416"/>
      <c r="E504" s="410"/>
      <c r="F504" s="416"/>
      <c r="G504" s="410"/>
      <c r="H504" s="416"/>
      <c r="I504" s="410"/>
      <c r="K504" s="416"/>
      <c r="L504" s="416"/>
      <c r="M504" s="416"/>
      <c r="N504" s="416"/>
      <c r="O504" s="408"/>
    </row>
    <row r="505" spans="1:15" x14ac:dyDescent="0.2">
      <c r="A505" s="408"/>
      <c r="B505" s="409"/>
      <c r="C505" s="408"/>
      <c r="D505" s="409"/>
      <c r="E505" s="408"/>
      <c r="F505" s="409"/>
      <c r="G505" s="408"/>
      <c r="H505" s="409"/>
      <c r="I505" s="408"/>
      <c r="K505" s="409"/>
      <c r="L505" s="409"/>
      <c r="M505" s="409"/>
      <c r="N505" s="409"/>
      <c r="O505" s="408"/>
    </row>
    <row r="506" spans="1:15" x14ac:dyDescent="0.2">
      <c r="A506" s="408"/>
      <c r="B506" s="409"/>
      <c r="C506" s="408"/>
      <c r="D506" s="409"/>
      <c r="E506" s="408"/>
      <c r="F506" s="409"/>
      <c r="G506" s="408"/>
      <c r="H506" s="409"/>
      <c r="I506" s="408"/>
      <c r="K506" s="409"/>
      <c r="L506" s="409"/>
      <c r="M506" s="409"/>
      <c r="N506" s="409"/>
      <c r="O506" s="408"/>
    </row>
    <row r="507" spans="1:15" x14ac:dyDescent="0.2">
      <c r="A507" s="408"/>
      <c r="B507" s="409"/>
      <c r="C507" s="408"/>
      <c r="D507" s="409"/>
      <c r="E507" s="408"/>
      <c r="F507" s="409"/>
      <c r="G507" s="408"/>
      <c r="H507" s="409"/>
      <c r="I507" s="408"/>
      <c r="K507" s="409"/>
      <c r="L507" s="409"/>
      <c r="M507" s="409"/>
      <c r="N507" s="409"/>
      <c r="O507" s="408"/>
    </row>
    <row r="508" spans="1:15" x14ac:dyDescent="0.2">
      <c r="A508" s="408"/>
      <c r="B508" s="409"/>
      <c r="C508" s="408"/>
      <c r="D508" s="409"/>
      <c r="E508" s="408"/>
      <c r="F508" s="409"/>
      <c r="G508" s="408"/>
      <c r="H508" s="409"/>
      <c r="I508" s="408"/>
      <c r="K508" s="409"/>
      <c r="L508" s="409"/>
      <c r="M508" s="409"/>
      <c r="N508" s="409"/>
      <c r="O508" s="408"/>
    </row>
    <row r="509" spans="1:15" x14ac:dyDescent="0.2">
      <c r="A509" s="413"/>
      <c r="B509" s="411"/>
      <c r="C509" s="413"/>
      <c r="D509" s="411"/>
      <c r="E509" s="413"/>
      <c r="F509" s="411"/>
      <c r="G509" s="413"/>
      <c r="H509" s="409"/>
      <c r="I509" s="413"/>
      <c r="K509" s="409"/>
      <c r="L509" s="409"/>
      <c r="M509" s="409"/>
      <c r="N509" s="409"/>
      <c r="O509" s="408"/>
    </row>
    <row r="510" spans="1:15" x14ac:dyDescent="0.2">
      <c r="A510" s="408"/>
      <c r="B510" s="409"/>
      <c r="C510" s="408"/>
      <c r="D510" s="409"/>
      <c r="E510" s="408"/>
      <c r="F510" s="409"/>
      <c r="G510" s="408"/>
      <c r="H510" s="409"/>
      <c r="I510" s="408"/>
      <c r="K510" s="409"/>
      <c r="L510" s="409"/>
      <c r="M510" s="409"/>
      <c r="N510" s="415"/>
      <c r="O510" s="408"/>
    </row>
    <row r="511" spans="1:15" x14ac:dyDescent="0.2">
      <c r="A511" s="413"/>
      <c r="B511" s="514"/>
      <c r="C511" s="514"/>
      <c r="D511" s="514"/>
      <c r="E511" s="514"/>
      <c r="F511" s="514"/>
      <c r="G511" s="514"/>
      <c r="H511" s="514"/>
      <c r="I511" s="514"/>
      <c r="J511" s="413"/>
      <c r="K511" s="415"/>
      <c r="L511" s="415"/>
      <c r="M511" s="415"/>
      <c r="N511" s="415"/>
      <c r="O511" s="408"/>
    </row>
    <row r="512" spans="1:15" x14ac:dyDescent="0.2">
      <c r="A512" s="432"/>
      <c r="B512" s="415"/>
      <c r="C512" s="414"/>
      <c r="D512" s="415"/>
      <c r="E512" s="414"/>
      <c r="F512" s="415"/>
      <c r="G512" s="414"/>
      <c r="H512" s="415"/>
      <c r="I512" s="414"/>
      <c r="J512" s="413"/>
      <c r="K512" s="412"/>
      <c r="L512" s="411"/>
      <c r="M512" s="411"/>
      <c r="N512" s="409"/>
      <c r="O512" s="408"/>
    </row>
    <row r="513" spans="1:15" x14ac:dyDescent="0.2">
      <c r="A513" s="408"/>
      <c r="B513" s="416"/>
      <c r="C513" s="410"/>
      <c r="D513" s="416"/>
      <c r="E513" s="410"/>
      <c r="F513" s="416"/>
      <c r="G513" s="410"/>
      <c r="H513" s="416"/>
      <c r="I513" s="410"/>
      <c r="K513" s="416"/>
      <c r="L513" s="416"/>
      <c r="M513" s="416"/>
      <c r="N513" s="416"/>
      <c r="O513" s="408"/>
    </row>
    <row r="514" spans="1:15" x14ac:dyDescent="0.2">
      <c r="A514" s="408"/>
      <c r="B514" s="416"/>
      <c r="C514" s="410"/>
      <c r="D514" s="416"/>
      <c r="E514" s="410"/>
      <c r="F514" s="416"/>
      <c r="G514" s="410"/>
      <c r="H514" s="416"/>
      <c r="I514" s="410"/>
      <c r="K514" s="416"/>
      <c r="L514" s="416"/>
      <c r="M514" s="416"/>
      <c r="N514" s="416"/>
      <c r="O514" s="408"/>
    </row>
    <row r="515" spans="1:15" x14ac:dyDescent="0.2">
      <c r="A515" s="408"/>
      <c r="B515" s="416"/>
      <c r="C515" s="410"/>
      <c r="D515" s="416"/>
      <c r="E515" s="410"/>
      <c r="F515" s="416"/>
      <c r="G515" s="410"/>
      <c r="H515" s="416"/>
      <c r="I515" s="410"/>
      <c r="K515" s="416"/>
      <c r="L515" s="416"/>
      <c r="M515" s="416"/>
      <c r="N515" s="416"/>
      <c r="O515" s="408"/>
    </row>
    <row r="516" spans="1:15" x14ac:dyDescent="0.2">
      <c r="A516" s="408"/>
      <c r="B516" s="416"/>
      <c r="C516" s="410"/>
      <c r="D516" s="416"/>
      <c r="E516" s="410"/>
      <c r="F516" s="416"/>
      <c r="G516" s="410"/>
      <c r="H516" s="416"/>
      <c r="I516" s="410"/>
      <c r="K516" s="409"/>
      <c r="L516" s="409"/>
      <c r="M516" s="409"/>
      <c r="N516" s="409"/>
      <c r="O516" s="408"/>
    </row>
    <row r="517" spans="1:15" x14ac:dyDescent="0.2">
      <c r="A517" s="432"/>
      <c r="B517" s="416"/>
      <c r="C517" s="410"/>
      <c r="D517" s="416"/>
      <c r="E517" s="410"/>
      <c r="F517" s="416"/>
      <c r="G517" s="410"/>
      <c r="H517" s="416"/>
      <c r="I517" s="410"/>
      <c r="K517" s="411"/>
      <c r="L517" s="409"/>
      <c r="M517" s="409"/>
      <c r="N517" s="409"/>
      <c r="O517" s="408"/>
    </row>
    <row r="518" spans="1:15" x14ac:dyDescent="0.2">
      <c r="A518" s="408"/>
      <c r="B518" s="416"/>
      <c r="C518" s="410"/>
      <c r="D518" s="416"/>
      <c r="E518" s="410"/>
      <c r="F518" s="416"/>
      <c r="G518" s="410"/>
      <c r="H518" s="416"/>
      <c r="I518" s="410"/>
      <c r="K518" s="416"/>
      <c r="L518" s="416"/>
      <c r="M518" s="416"/>
      <c r="N518" s="416"/>
      <c r="O518" s="408"/>
    </row>
    <row r="519" spans="1:15" x14ac:dyDescent="0.2">
      <c r="A519" s="408"/>
      <c r="B519" s="416"/>
      <c r="C519" s="410"/>
      <c r="D519" s="416"/>
      <c r="E519" s="410"/>
      <c r="F519" s="416"/>
      <c r="G519" s="410"/>
      <c r="H519" s="416"/>
      <c r="I519" s="410"/>
      <c r="K519" s="416"/>
      <c r="L519" s="416"/>
      <c r="M519" s="416"/>
      <c r="N519" s="416"/>
      <c r="O519" s="408"/>
    </row>
    <row r="520" spans="1:15" x14ac:dyDescent="0.2">
      <c r="A520" s="408"/>
      <c r="B520" s="416"/>
      <c r="C520" s="410"/>
      <c r="D520" s="416"/>
      <c r="E520" s="410"/>
      <c r="F520" s="416"/>
      <c r="G520" s="410"/>
      <c r="H520" s="416"/>
      <c r="I520" s="410"/>
      <c r="K520" s="416"/>
      <c r="L520" s="416"/>
      <c r="M520" s="416"/>
      <c r="N520" s="416"/>
      <c r="O520" s="408"/>
    </row>
    <row r="521" spans="1:15" x14ac:dyDescent="0.2">
      <c r="A521" s="408"/>
      <c r="B521" s="416"/>
      <c r="C521" s="410"/>
      <c r="D521" s="416"/>
      <c r="E521" s="410"/>
      <c r="F521" s="416"/>
      <c r="G521" s="410"/>
      <c r="H521" s="416"/>
      <c r="I521" s="410"/>
      <c r="K521" s="409"/>
      <c r="L521" s="409"/>
      <c r="M521" s="409"/>
      <c r="N521" s="409"/>
      <c r="O521" s="408"/>
    </row>
    <row r="522" spans="1:15" x14ac:dyDescent="0.2">
      <c r="A522" s="432"/>
      <c r="B522" s="416"/>
      <c r="C522" s="410"/>
      <c r="D522" s="416"/>
      <c r="E522" s="410"/>
      <c r="F522" s="416"/>
      <c r="G522" s="410"/>
      <c r="H522" s="416"/>
      <c r="I522" s="410"/>
      <c r="K522" s="411"/>
      <c r="L522" s="409"/>
      <c r="M522" s="409"/>
      <c r="N522" s="409"/>
      <c r="O522" s="408"/>
    </row>
    <row r="523" spans="1:15" x14ac:dyDescent="0.2">
      <c r="A523" s="408"/>
      <c r="B523" s="416"/>
      <c r="C523" s="410"/>
      <c r="D523" s="416"/>
      <c r="E523" s="410"/>
      <c r="F523" s="416"/>
      <c r="G523" s="410"/>
      <c r="H523" s="416"/>
      <c r="I523" s="410"/>
      <c r="K523" s="416"/>
      <c r="L523" s="416"/>
      <c r="M523" s="416"/>
      <c r="N523" s="416"/>
      <c r="O523" s="408"/>
    </row>
    <row r="524" spans="1:15" x14ac:dyDescent="0.2">
      <c r="A524" s="408"/>
      <c r="B524" s="416"/>
      <c r="C524" s="410"/>
      <c r="D524" s="416"/>
      <c r="E524" s="410"/>
      <c r="F524" s="416"/>
      <c r="G524" s="410"/>
      <c r="H524" s="416"/>
      <c r="I524" s="410"/>
      <c r="K524" s="416"/>
      <c r="L524" s="416"/>
      <c r="M524" s="416"/>
      <c r="N524" s="416"/>
      <c r="O524" s="408"/>
    </row>
    <row r="525" spans="1:15" x14ac:dyDescent="0.2">
      <c r="A525" s="408"/>
      <c r="B525" s="416"/>
      <c r="C525" s="410"/>
      <c r="D525" s="416"/>
      <c r="E525" s="410"/>
      <c r="F525" s="416"/>
      <c r="G525" s="410"/>
      <c r="H525" s="416"/>
      <c r="I525" s="410"/>
      <c r="K525" s="416"/>
      <c r="L525" s="416"/>
      <c r="M525" s="416"/>
      <c r="N525" s="416"/>
      <c r="O525" s="408"/>
    </row>
    <row r="526" spans="1:15" x14ac:dyDescent="0.2">
      <c r="A526" s="408"/>
      <c r="B526" s="409"/>
      <c r="C526" s="408"/>
      <c r="D526" s="409"/>
      <c r="E526" s="408"/>
      <c r="F526" s="409"/>
      <c r="G526" s="408"/>
      <c r="H526" s="409"/>
      <c r="I526" s="408"/>
      <c r="K526" s="409"/>
      <c r="L526" s="409"/>
      <c r="M526" s="409"/>
      <c r="N526" s="409"/>
      <c r="O526" s="408"/>
    </row>
    <row r="527" spans="1:15" x14ac:dyDescent="0.2">
      <c r="A527" s="408"/>
      <c r="B527" s="409"/>
      <c r="C527" s="408"/>
      <c r="D527" s="409"/>
      <c r="E527" s="408"/>
      <c r="F527" s="409"/>
      <c r="G527" s="408"/>
      <c r="H527" s="409"/>
      <c r="I527" s="408"/>
      <c r="K527" s="409"/>
      <c r="L527" s="409"/>
      <c r="M527" s="409"/>
      <c r="N527" s="409"/>
      <c r="O527" s="408"/>
    </row>
    <row r="528" spans="1:15" x14ac:dyDescent="0.2">
      <c r="A528" s="408"/>
      <c r="B528" s="409"/>
      <c r="C528" s="408"/>
      <c r="D528" s="409"/>
      <c r="E528" s="408"/>
      <c r="F528" s="409"/>
      <c r="G528" s="408"/>
      <c r="H528" s="409"/>
      <c r="I528" s="408"/>
      <c r="K528" s="409"/>
      <c r="L528" s="409"/>
      <c r="M528" s="409"/>
      <c r="N528" s="409"/>
      <c r="O528" s="408"/>
    </row>
    <row r="529" spans="1:15" x14ac:dyDescent="0.2">
      <c r="A529" s="408"/>
      <c r="B529" s="409"/>
      <c r="C529" s="408"/>
      <c r="D529" s="409"/>
      <c r="E529" s="408"/>
      <c r="F529" s="409"/>
      <c r="G529" s="408"/>
      <c r="H529" s="409"/>
      <c r="I529" s="408"/>
      <c r="K529" s="409"/>
      <c r="L529" s="409"/>
      <c r="M529" s="409"/>
      <c r="N529" s="409"/>
      <c r="O529" s="408"/>
    </row>
    <row r="530" spans="1:15" x14ac:dyDescent="0.2">
      <c r="A530" s="413"/>
      <c r="B530" s="411"/>
      <c r="C530" s="413"/>
      <c r="D530" s="411"/>
      <c r="E530" s="413"/>
      <c r="F530" s="411"/>
      <c r="G530" s="413"/>
      <c r="H530" s="411"/>
      <c r="I530" s="413"/>
      <c r="K530" s="409"/>
      <c r="L530" s="409"/>
      <c r="M530" s="409"/>
      <c r="N530" s="409"/>
      <c r="O530" s="408"/>
    </row>
    <row r="531" spans="1:15" x14ac:dyDescent="0.2">
      <c r="A531" s="408"/>
      <c r="B531" s="409"/>
      <c r="C531" s="408"/>
      <c r="D531" s="409"/>
      <c r="E531" s="408"/>
      <c r="F531" s="409"/>
      <c r="G531" s="408"/>
      <c r="H531" s="409"/>
      <c r="I531" s="408"/>
      <c r="K531" s="409"/>
      <c r="L531" s="409"/>
      <c r="M531" s="409"/>
      <c r="N531" s="415"/>
      <c r="O531" s="408"/>
    </row>
    <row r="532" spans="1:15" x14ac:dyDescent="0.2">
      <c r="A532" s="413"/>
      <c r="B532" s="411"/>
      <c r="C532" s="413"/>
      <c r="D532" s="411"/>
      <c r="E532" s="413"/>
      <c r="F532" s="411"/>
      <c r="G532" s="413"/>
      <c r="H532" s="411"/>
      <c r="I532" s="413"/>
      <c r="J532" s="413"/>
      <c r="K532" s="415"/>
      <c r="L532" s="415"/>
      <c r="M532" s="415"/>
      <c r="N532" s="415"/>
      <c r="O532" s="408"/>
    </row>
    <row r="533" spans="1:15" x14ac:dyDescent="0.2">
      <c r="A533" s="432"/>
      <c r="B533" s="415"/>
      <c r="C533" s="414"/>
      <c r="D533" s="415"/>
      <c r="E533" s="414"/>
      <c r="F533" s="415"/>
      <c r="G533" s="414"/>
      <c r="H533" s="415"/>
      <c r="I533" s="414"/>
      <c r="J533" s="413"/>
      <c r="K533" s="412"/>
      <c r="L533" s="411"/>
      <c r="M533" s="411"/>
      <c r="N533" s="409"/>
      <c r="O533" s="408"/>
    </row>
    <row r="534" spans="1:15" x14ac:dyDescent="0.2">
      <c r="A534" s="408"/>
      <c r="B534" s="409"/>
      <c r="C534" s="410"/>
      <c r="D534" s="409"/>
      <c r="E534" s="410"/>
      <c r="F534" s="409"/>
      <c r="G534" s="410"/>
      <c r="H534" s="409"/>
      <c r="I534" s="410"/>
      <c r="K534" s="409"/>
      <c r="L534" s="409"/>
      <c r="M534" s="409"/>
      <c r="N534" s="409"/>
      <c r="O534" s="408"/>
    </row>
    <row r="535" spans="1:15" x14ac:dyDescent="0.2">
      <c r="A535" s="408"/>
      <c r="B535" s="409"/>
      <c r="C535" s="410"/>
      <c r="D535" s="409"/>
      <c r="E535" s="410"/>
      <c r="F535" s="409"/>
      <c r="G535" s="410"/>
      <c r="H535" s="409"/>
      <c r="I535" s="410"/>
      <c r="K535" s="409"/>
      <c r="L535" s="409"/>
      <c r="M535" s="409"/>
      <c r="N535" s="409"/>
      <c r="O535" s="408"/>
    </row>
    <row r="536" spans="1:15" x14ac:dyDescent="0.2">
      <c r="A536" s="408"/>
      <c r="B536" s="409"/>
      <c r="C536" s="410"/>
      <c r="D536" s="409"/>
      <c r="E536" s="410"/>
      <c r="F536" s="409"/>
      <c r="G536" s="410"/>
      <c r="H536" s="409"/>
      <c r="I536" s="410"/>
      <c r="K536" s="409"/>
      <c r="L536" s="409"/>
      <c r="M536" s="409"/>
      <c r="N536" s="409"/>
      <c r="O536" s="408"/>
    </row>
    <row r="537" spans="1:15" x14ac:dyDescent="0.2">
      <c r="A537" s="408"/>
      <c r="B537" s="409"/>
      <c r="C537" s="410"/>
      <c r="D537" s="409"/>
      <c r="E537" s="410"/>
      <c r="F537" s="409"/>
      <c r="G537" s="410"/>
      <c r="H537" s="409"/>
      <c r="I537" s="410"/>
      <c r="K537" s="409"/>
      <c r="L537" s="409"/>
      <c r="M537" s="409"/>
      <c r="N537" s="409"/>
      <c r="O537" s="408"/>
    </row>
    <row r="538" spans="1:15" x14ac:dyDescent="0.2">
      <c r="A538" s="432"/>
      <c r="B538" s="409"/>
      <c r="C538" s="410"/>
      <c r="D538" s="409"/>
      <c r="E538" s="410"/>
      <c r="F538" s="409"/>
      <c r="G538" s="410"/>
      <c r="H538" s="409"/>
      <c r="I538" s="410"/>
      <c r="K538" s="411"/>
      <c r="L538" s="409"/>
      <c r="M538" s="409"/>
      <c r="N538" s="409"/>
      <c r="O538" s="408"/>
    </row>
    <row r="539" spans="1:15" x14ac:dyDescent="0.2">
      <c r="A539" s="408"/>
      <c r="B539" s="409"/>
      <c r="C539" s="410"/>
      <c r="D539" s="409"/>
      <c r="E539" s="410"/>
      <c r="F539" s="409"/>
      <c r="G539" s="410"/>
      <c r="H539" s="409"/>
      <c r="I539" s="410"/>
      <c r="K539" s="409"/>
      <c r="L539" s="409"/>
      <c r="M539" s="409"/>
      <c r="N539" s="409"/>
      <c r="O539" s="408"/>
    </row>
    <row r="540" spans="1:15" x14ac:dyDescent="0.2">
      <c r="A540" s="408"/>
      <c r="B540" s="409"/>
      <c r="C540" s="410"/>
      <c r="D540" s="409"/>
      <c r="E540" s="410"/>
      <c r="F540" s="409"/>
      <c r="G540" s="410"/>
      <c r="H540" s="409"/>
      <c r="I540" s="410"/>
      <c r="K540" s="409"/>
      <c r="L540" s="409"/>
      <c r="M540" s="409"/>
      <c r="N540" s="409"/>
    </row>
    <row r="541" spans="1:15" x14ac:dyDescent="0.2">
      <c r="A541" s="408"/>
      <c r="B541" s="409"/>
      <c r="C541" s="410"/>
      <c r="D541" s="409"/>
      <c r="E541" s="410"/>
      <c r="F541" s="409"/>
      <c r="G541" s="410"/>
      <c r="H541" s="409"/>
      <c r="I541" s="410"/>
      <c r="K541" s="409"/>
      <c r="L541" s="409"/>
      <c r="M541" s="409"/>
      <c r="N541" s="409"/>
    </row>
    <row r="542" spans="1:15" x14ac:dyDescent="0.2">
      <c r="A542" s="408"/>
      <c r="B542" s="409"/>
      <c r="C542" s="410"/>
      <c r="D542" s="409"/>
      <c r="E542" s="410"/>
      <c r="F542" s="409"/>
      <c r="G542" s="410"/>
      <c r="H542" s="409"/>
      <c r="I542" s="410"/>
      <c r="K542" s="409"/>
      <c r="L542" s="409"/>
      <c r="M542" s="409"/>
      <c r="N542" s="409"/>
    </row>
    <row r="543" spans="1:15" x14ac:dyDescent="0.2">
      <c r="A543" s="432"/>
      <c r="B543" s="409"/>
      <c r="C543" s="410"/>
      <c r="D543" s="409"/>
      <c r="E543" s="410"/>
      <c r="F543" s="409"/>
      <c r="G543" s="410"/>
      <c r="H543" s="409"/>
      <c r="I543" s="410"/>
      <c r="K543" s="411"/>
      <c r="L543" s="409"/>
      <c r="M543" s="409"/>
      <c r="N543" s="409"/>
    </row>
    <row r="544" spans="1:15" x14ac:dyDescent="0.2">
      <c r="A544" s="408"/>
      <c r="B544" s="409"/>
      <c r="C544" s="410"/>
      <c r="D544" s="409"/>
      <c r="E544" s="410"/>
      <c r="F544" s="409"/>
      <c r="G544" s="410"/>
      <c r="H544" s="409"/>
      <c r="I544" s="410"/>
      <c r="K544" s="409"/>
      <c r="L544" s="409"/>
      <c r="M544" s="409"/>
      <c r="N544" s="409"/>
    </row>
    <row r="545" spans="1:14" x14ac:dyDescent="0.2">
      <c r="A545" s="408"/>
      <c r="B545" s="409"/>
      <c r="C545" s="410"/>
      <c r="D545" s="409"/>
      <c r="E545" s="410"/>
      <c r="F545" s="409"/>
      <c r="G545" s="410"/>
      <c r="H545" s="409"/>
      <c r="I545" s="410"/>
      <c r="K545" s="409"/>
      <c r="L545" s="409"/>
      <c r="M545" s="409"/>
      <c r="N545" s="409"/>
    </row>
    <row r="546" spans="1:14" x14ac:dyDescent="0.2">
      <c r="A546" s="408"/>
      <c r="B546" s="409"/>
      <c r="C546" s="410"/>
      <c r="D546" s="409"/>
      <c r="E546" s="410"/>
      <c r="F546" s="409"/>
      <c r="G546" s="410"/>
      <c r="H546" s="409"/>
      <c r="I546" s="410"/>
      <c r="K546" s="409"/>
      <c r="L546" s="409"/>
      <c r="M546" s="409"/>
      <c r="N546" s="409"/>
    </row>
    <row r="547" spans="1:14" x14ac:dyDescent="0.2">
      <c r="A547" s="408"/>
      <c r="B547" s="409"/>
      <c r="C547" s="408"/>
      <c r="D547" s="409"/>
      <c r="E547" s="408"/>
      <c r="F547" s="409"/>
      <c r="G547" s="408"/>
      <c r="H547" s="409"/>
      <c r="I547" s="408"/>
      <c r="K547" s="409"/>
      <c r="L547" s="409"/>
      <c r="M547" s="409"/>
      <c r="N547" s="409"/>
    </row>
    <row r="548" spans="1:14" x14ac:dyDescent="0.2">
      <c r="A548" s="408"/>
      <c r="B548" s="409"/>
      <c r="C548" s="408"/>
      <c r="D548" s="409"/>
      <c r="E548" s="408"/>
      <c r="F548" s="409"/>
      <c r="G548" s="408"/>
      <c r="H548" s="409"/>
      <c r="I548" s="408"/>
      <c r="K548" s="409"/>
      <c r="L548" s="409"/>
      <c r="M548" s="409"/>
      <c r="N548" s="409"/>
    </row>
    <row r="549" spans="1:14" x14ac:dyDescent="0.2">
      <c r="A549" s="408"/>
      <c r="B549" s="409"/>
      <c r="C549" s="408"/>
      <c r="D549" s="409"/>
      <c r="E549" s="408"/>
      <c r="F549" s="409"/>
      <c r="G549" s="408"/>
      <c r="H549" s="409"/>
      <c r="I549" s="408"/>
      <c r="K549" s="409"/>
      <c r="L549" s="409"/>
      <c r="M549" s="409"/>
      <c r="N549" s="409"/>
    </row>
    <row r="550" spans="1:14" x14ac:dyDescent="0.2">
      <c r="A550" s="408"/>
      <c r="B550" s="409"/>
      <c r="C550" s="408"/>
      <c r="D550" s="409"/>
      <c r="E550" s="408"/>
      <c r="F550" s="409"/>
      <c r="G550" s="408"/>
      <c r="H550" s="409"/>
      <c r="I550" s="408"/>
      <c r="K550" s="409"/>
      <c r="L550" s="409"/>
      <c r="M550" s="409"/>
      <c r="N550" s="409"/>
    </row>
    <row r="551" spans="1:14" x14ac:dyDescent="0.2">
      <c r="A551" s="408"/>
      <c r="B551" s="409"/>
      <c r="C551" s="408"/>
      <c r="D551" s="409"/>
      <c r="E551" s="408"/>
      <c r="F551" s="409"/>
      <c r="G551" s="408"/>
      <c r="H551" s="409"/>
      <c r="I551" s="408"/>
      <c r="K551" s="409"/>
      <c r="L551" s="409"/>
      <c r="M551" s="409"/>
      <c r="N551" s="409"/>
    </row>
    <row r="552" spans="1:14" x14ac:dyDescent="0.2">
      <c r="A552" s="408"/>
      <c r="B552" s="409"/>
      <c r="C552" s="408"/>
      <c r="D552" s="409"/>
      <c r="E552" s="408"/>
      <c r="F552" s="409"/>
      <c r="G552" s="408"/>
      <c r="H552" s="409"/>
      <c r="I552" s="408"/>
      <c r="K552" s="409"/>
      <c r="L552" s="409"/>
      <c r="M552" s="409"/>
      <c r="N552" s="409"/>
    </row>
    <row r="553" spans="1:14" x14ac:dyDescent="0.2">
      <c r="A553" s="408"/>
      <c r="B553" s="409"/>
      <c r="C553" s="408"/>
      <c r="D553" s="409"/>
      <c r="E553" s="408"/>
      <c r="F553" s="409"/>
      <c r="G553" s="408"/>
      <c r="H553" s="409"/>
      <c r="I553" s="408"/>
      <c r="K553" s="409"/>
      <c r="L553" s="409"/>
      <c r="M553" s="409"/>
      <c r="N553" s="409"/>
    </row>
    <row r="554" spans="1:14" x14ac:dyDescent="0.2">
      <c r="A554" s="408"/>
      <c r="B554" s="409"/>
      <c r="C554" s="408"/>
      <c r="D554" s="409"/>
      <c r="E554" s="408"/>
      <c r="F554" s="409"/>
      <c r="G554" s="408"/>
      <c r="H554" s="409"/>
      <c r="I554" s="408"/>
      <c r="K554" s="409"/>
      <c r="L554" s="409"/>
      <c r="M554" s="409"/>
      <c r="N554" s="409"/>
    </row>
    <row r="555" spans="1:14" x14ac:dyDescent="0.2">
      <c r="A555" s="408"/>
      <c r="B555" s="409"/>
      <c r="C555" s="408"/>
      <c r="D555" s="409"/>
      <c r="E555" s="408"/>
      <c r="F555" s="409"/>
      <c r="G555" s="408"/>
      <c r="H555" s="409"/>
      <c r="I555" s="408"/>
      <c r="K555" s="409"/>
      <c r="L555" s="409"/>
      <c r="M555" s="409"/>
      <c r="N555" s="409"/>
    </row>
    <row r="556" spans="1:14" x14ac:dyDescent="0.2">
      <c r="A556" s="408"/>
      <c r="B556" s="409"/>
      <c r="C556" s="408"/>
      <c r="D556" s="409"/>
      <c r="E556" s="408"/>
      <c r="F556" s="409"/>
      <c r="G556" s="408"/>
      <c r="H556" s="409"/>
      <c r="I556" s="408"/>
      <c r="K556" s="409"/>
      <c r="L556" s="409"/>
      <c r="M556" s="409"/>
      <c r="N556" s="409"/>
    </row>
    <row r="557" spans="1:14" x14ac:dyDescent="0.2">
      <c r="A557" s="408"/>
      <c r="B557" s="409"/>
      <c r="C557" s="413"/>
      <c r="D557" s="409"/>
      <c r="E557" s="413"/>
      <c r="F557" s="409"/>
      <c r="G557" s="413"/>
      <c r="H557" s="409"/>
      <c r="I557" s="413"/>
      <c r="K557" s="409"/>
      <c r="L557" s="409"/>
      <c r="M557" s="409"/>
      <c r="N557" s="409"/>
    </row>
    <row r="558" spans="1:14" x14ac:dyDescent="0.2">
      <c r="A558" s="413"/>
      <c r="B558" s="411"/>
      <c r="C558" s="413"/>
      <c r="D558" s="411"/>
      <c r="E558" s="413"/>
      <c r="F558" s="411"/>
      <c r="G558" s="413"/>
      <c r="H558" s="411"/>
      <c r="I558" s="413"/>
      <c r="K558" s="409"/>
      <c r="L558" s="409"/>
      <c r="M558" s="409"/>
      <c r="N558" s="409"/>
    </row>
    <row r="559" spans="1:14" x14ac:dyDescent="0.2">
      <c r="A559" s="413"/>
      <c r="B559" s="411"/>
      <c r="C559" s="413"/>
      <c r="D559" s="411"/>
      <c r="E559" s="413"/>
      <c r="F559" s="411"/>
      <c r="G559" s="413"/>
      <c r="H559" s="411"/>
      <c r="I559" s="413"/>
      <c r="K559" s="409"/>
      <c r="L559" s="409"/>
      <c r="M559" s="409"/>
      <c r="N559" s="409"/>
    </row>
    <row r="560" spans="1:14" x14ac:dyDescent="0.2">
      <c r="A560" s="413"/>
      <c r="B560" s="411"/>
      <c r="C560" s="413"/>
      <c r="D560" s="411"/>
      <c r="E560" s="413"/>
      <c r="F560" s="411"/>
      <c r="G560" s="413"/>
      <c r="H560" s="411"/>
      <c r="I560" s="413"/>
      <c r="K560" s="409"/>
      <c r="L560" s="409"/>
      <c r="M560" s="409"/>
      <c r="N560" s="409"/>
    </row>
    <row r="561" spans="1:14" x14ac:dyDescent="0.2">
      <c r="A561" s="413"/>
      <c r="B561" s="411"/>
      <c r="C561" s="413"/>
      <c r="D561" s="411"/>
      <c r="E561" s="413"/>
      <c r="F561" s="411"/>
      <c r="G561" s="413"/>
      <c r="H561" s="411"/>
      <c r="I561" s="413"/>
      <c r="K561" s="409"/>
      <c r="L561" s="409"/>
      <c r="M561" s="409"/>
      <c r="N561" s="409"/>
    </row>
    <row r="562" spans="1:14" x14ac:dyDescent="0.2">
      <c r="A562" s="413"/>
      <c r="B562" s="411"/>
      <c r="C562" s="413"/>
      <c r="D562" s="411"/>
      <c r="E562" s="413"/>
      <c r="F562" s="411"/>
      <c r="G562" s="413"/>
      <c r="H562" s="411"/>
      <c r="I562" s="413"/>
      <c r="K562" s="409"/>
      <c r="L562" s="409"/>
      <c r="M562" s="409"/>
      <c r="N562" s="409"/>
    </row>
    <row r="563" spans="1:14" x14ac:dyDescent="0.2">
      <c r="A563" s="413"/>
      <c r="B563" s="411"/>
      <c r="C563" s="413"/>
      <c r="D563" s="411"/>
      <c r="E563" s="413"/>
      <c r="F563" s="411"/>
      <c r="G563" s="413"/>
      <c r="H563" s="411"/>
      <c r="I563" s="413"/>
      <c r="K563" s="409"/>
      <c r="L563" s="409"/>
      <c r="M563" s="409"/>
      <c r="N563" s="409"/>
    </row>
    <row r="564" spans="1:14" x14ac:dyDescent="0.2">
      <c r="A564" s="413"/>
      <c r="B564" s="411"/>
      <c r="C564" s="413"/>
      <c r="D564" s="411"/>
      <c r="E564" s="413"/>
      <c r="F564" s="411"/>
      <c r="G564" s="413"/>
      <c r="H564" s="411"/>
      <c r="I564" s="413"/>
      <c r="K564" s="409"/>
      <c r="L564" s="409"/>
      <c r="M564" s="409"/>
      <c r="N564" s="409"/>
    </row>
    <row r="565" spans="1:14" x14ac:dyDescent="0.2">
      <c r="A565" s="413"/>
      <c r="B565" s="411"/>
      <c r="C565" s="413"/>
      <c r="D565" s="411"/>
      <c r="E565" s="413"/>
      <c r="F565" s="411"/>
      <c r="G565" s="413"/>
      <c r="H565" s="411"/>
      <c r="I565" s="413"/>
      <c r="K565" s="409"/>
      <c r="L565" s="409"/>
      <c r="M565" s="409"/>
      <c r="N565" s="409"/>
    </row>
    <row r="566" spans="1:14" x14ac:dyDescent="0.2">
      <c r="A566" s="413"/>
      <c r="B566" s="411"/>
      <c r="C566" s="413"/>
      <c r="D566" s="411"/>
      <c r="E566" s="413"/>
      <c r="F566" s="411"/>
      <c r="G566" s="413"/>
      <c r="H566" s="411"/>
      <c r="I566" s="413"/>
      <c r="K566" s="409"/>
      <c r="L566" s="409"/>
      <c r="M566" s="409"/>
      <c r="N566" s="409"/>
    </row>
    <row r="567" spans="1:14" x14ac:dyDescent="0.2">
      <c r="A567" s="413"/>
      <c r="B567" s="411"/>
      <c r="C567" s="413"/>
      <c r="D567" s="411"/>
      <c r="E567" s="413"/>
      <c r="F567" s="411"/>
      <c r="G567" s="413"/>
      <c r="H567" s="411"/>
      <c r="I567" s="413"/>
      <c r="K567" s="409"/>
      <c r="L567" s="409"/>
      <c r="M567" s="409"/>
      <c r="N567" s="409"/>
    </row>
    <row r="568" spans="1:14" x14ac:dyDescent="0.2">
      <c r="A568" s="413"/>
      <c r="B568" s="411"/>
      <c r="C568" s="413"/>
      <c r="D568" s="411"/>
      <c r="E568" s="413"/>
      <c r="F568" s="411"/>
      <c r="G568" s="413"/>
      <c r="H568" s="411"/>
      <c r="I568" s="413"/>
      <c r="K568" s="409"/>
      <c r="L568" s="409"/>
      <c r="M568" s="409"/>
      <c r="N568" s="409"/>
    </row>
    <row r="569" spans="1:14" x14ac:dyDescent="0.2">
      <c r="A569" s="413"/>
      <c r="B569" s="411"/>
      <c r="C569" s="413"/>
      <c r="D569" s="411"/>
      <c r="E569" s="413"/>
      <c r="F569" s="411"/>
      <c r="G569" s="413"/>
      <c r="H569" s="411"/>
      <c r="I569" s="413"/>
      <c r="K569" s="409"/>
      <c r="L569" s="409"/>
      <c r="M569" s="409"/>
      <c r="N569" s="409"/>
    </row>
    <row r="570" spans="1:14" x14ac:dyDescent="0.2">
      <c r="A570" s="413"/>
      <c r="B570" s="411"/>
      <c r="C570" s="413"/>
      <c r="D570" s="411"/>
      <c r="E570" s="413"/>
      <c r="F570" s="411"/>
      <c r="G570" s="413"/>
      <c r="H570" s="411"/>
      <c r="I570" s="413"/>
      <c r="K570" s="409"/>
      <c r="L570" s="409"/>
      <c r="M570" s="409"/>
      <c r="N570" s="409"/>
    </row>
    <row r="571" spans="1:14" x14ac:dyDescent="0.2">
      <c r="A571" s="413"/>
      <c r="B571" s="411"/>
      <c r="C571" s="413"/>
      <c r="D571" s="411"/>
      <c r="E571" s="413"/>
      <c r="F571" s="411"/>
      <c r="G571" s="413"/>
      <c r="H571" s="411"/>
      <c r="I571" s="413"/>
      <c r="K571" s="409"/>
      <c r="L571" s="409"/>
      <c r="M571" s="409"/>
      <c r="N571" s="409"/>
    </row>
    <row r="572" spans="1:14" x14ac:dyDescent="0.2">
      <c r="A572" s="413"/>
      <c r="B572" s="411"/>
      <c r="C572" s="413"/>
      <c r="D572" s="411"/>
      <c r="E572" s="413"/>
      <c r="F572" s="411"/>
      <c r="G572" s="413"/>
      <c r="H572" s="411"/>
      <c r="I572" s="413"/>
      <c r="K572" s="409"/>
      <c r="L572" s="409"/>
      <c r="M572" s="409"/>
      <c r="N572" s="409"/>
    </row>
    <row r="573" spans="1:14" x14ac:dyDescent="0.2">
      <c r="A573" s="413"/>
      <c r="B573" s="411"/>
      <c r="C573" s="413"/>
      <c r="D573" s="411"/>
      <c r="E573" s="413"/>
      <c r="F573" s="411"/>
      <c r="G573" s="413"/>
      <c r="H573" s="411"/>
      <c r="I573" s="413"/>
      <c r="K573" s="409"/>
      <c r="L573" s="409"/>
      <c r="M573" s="409"/>
      <c r="N573" s="409"/>
    </row>
    <row r="574" spans="1:14" x14ac:dyDescent="0.2">
      <c r="A574" s="413"/>
      <c r="B574" s="411"/>
      <c r="C574" s="413"/>
      <c r="D574" s="411"/>
      <c r="E574" s="413"/>
      <c r="F574" s="411"/>
      <c r="G574" s="413"/>
      <c r="H574" s="411"/>
      <c r="I574" s="413"/>
      <c r="K574" s="409"/>
      <c r="L574" s="409"/>
      <c r="M574" s="409"/>
      <c r="N574" s="409"/>
    </row>
    <row r="575" spans="1:14" x14ac:dyDescent="0.2">
      <c r="A575" s="413"/>
      <c r="B575" s="411"/>
      <c r="C575" s="413"/>
      <c r="D575" s="411"/>
      <c r="E575" s="413"/>
      <c r="F575" s="411"/>
      <c r="G575" s="413"/>
      <c r="H575" s="411"/>
      <c r="I575" s="413"/>
      <c r="K575" s="409"/>
      <c r="L575" s="409"/>
      <c r="M575" s="409"/>
      <c r="N575" s="409"/>
    </row>
    <row r="576" spans="1:14" x14ac:dyDescent="0.2">
      <c r="A576" s="413"/>
      <c r="B576" s="411"/>
      <c r="C576" s="413"/>
      <c r="D576" s="411"/>
      <c r="E576" s="413"/>
      <c r="F576" s="411"/>
      <c r="G576" s="413"/>
      <c r="H576" s="411"/>
      <c r="I576" s="413"/>
      <c r="K576" s="409"/>
      <c r="L576" s="409"/>
      <c r="M576" s="409"/>
      <c r="N576" s="409"/>
    </row>
    <row r="577" spans="1:14" x14ac:dyDescent="0.2">
      <c r="A577" s="413"/>
      <c r="B577" s="411"/>
      <c r="C577" s="408"/>
      <c r="D577" s="411"/>
      <c r="E577" s="408"/>
      <c r="F577" s="411"/>
      <c r="G577" s="408"/>
      <c r="H577" s="411"/>
      <c r="I577" s="408"/>
      <c r="K577" s="409"/>
      <c r="L577" s="409"/>
      <c r="M577" s="409"/>
      <c r="N577" s="409"/>
    </row>
  </sheetData>
  <mergeCells count="100">
    <mergeCell ref="B490:C490"/>
    <mergeCell ref="D490:E490"/>
    <mergeCell ref="F490:G490"/>
    <mergeCell ref="H490:I490"/>
    <mergeCell ref="B511:C511"/>
    <mergeCell ref="D511:E511"/>
    <mergeCell ref="F511:G511"/>
    <mergeCell ref="H511:I511"/>
    <mergeCell ref="B7:C7"/>
    <mergeCell ref="D7:E7"/>
    <mergeCell ref="F7:G7"/>
    <mergeCell ref="H7:I7"/>
    <mergeCell ref="B28:C28"/>
    <mergeCell ref="D28:E28"/>
    <mergeCell ref="F28:G28"/>
    <mergeCell ref="H28:I28"/>
    <mergeCell ref="B49:C49"/>
    <mergeCell ref="D49:E49"/>
    <mergeCell ref="F49:G49"/>
    <mergeCell ref="H49:I49"/>
    <mergeCell ref="B70:C70"/>
    <mergeCell ref="D70:E70"/>
    <mergeCell ref="F70:G70"/>
    <mergeCell ref="H70:I70"/>
    <mergeCell ref="B91:C91"/>
    <mergeCell ref="D91:E91"/>
    <mergeCell ref="F91:G91"/>
    <mergeCell ref="H91:I91"/>
    <mergeCell ref="B112:C112"/>
    <mergeCell ref="D112:E112"/>
    <mergeCell ref="F112:G112"/>
    <mergeCell ref="H112:I112"/>
    <mergeCell ref="B133:C133"/>
    <mergeCell ref="D133:E133"/>
    <mergeCell ref="F133:G133"/>
    <mergeCell ref="H133:I133"/>
    <mergeCell ref="B154:C154"/>
    <mergeCell ref="D154:E154"/>
    <mergeCell ref="F154:G154"/>
    <mergeCell ref="H154:I154"/>
    <mergeCell ref="B175:C175"/>
    <mergeCell ref="D175:E175"/>
    <mergeCell ref="F175:G175"/>
    <mergeCell ref="H175:I175"/>
    <mergeCell ref="B196:C196"/>
    <mergeCell ref="D196:E196"/>
    <mergeCell ref="F196:G196"/>
    <mergeCell ref="H196:I196"/>
    <mergeCell ref="B217:C217"/>
    <mergeCell ref="D217:E217"/>
    <mergeCell ref="F217:G217"/>
    <mergeCell ref="H217:I217"/>
    <mergeCell ref="B238:C238"/>
    <mergeCell ref="D238:E238"/>
    <mergeCell ref="F238:G238"/>
    <mergeCell ref="H238:I238"/>
    <mergeCell ref="B259:C259"/>
    <mergeCell ref="D259:E259"/>
    <mergeCell ref="F259:G259"/>
    <mergeCell ref="H259:I259"/>
    <mergeCell ref="B280:C280"/>
    <mergeCell ref="D280:E280"/>
    <mergeCell ref="F280:G280"/>
    <mergeCell ref="H280:I280"/>
    <mergeCell ref="B301:C301"/>
    <mergeCell ref="D301:E301"/>
    <mergeCell ref="F301:G301"/>
    <mergeCell ref="H301:I301"/>
    <mergeCell ref="B322:C322"/>
    <mergeCell ref="D322:E322"/>
    <mergeCell ref="F322:G322"/>
    <mergeCell ref="H322:I322"/>
    <mergeCell ref="B343:C343"/>
    <mergeCell ref="D343:E343"/>
    <mergeCell ref="F343:G343"/>
    <mergeCell ref="H343:I343"/>
    <mergeCell ref="B364:C364"/>
    <mergeCell ref="D364:E364"/>
    <mergeCell ref="F364:G364"/>
    <mergeCell ref="H364:I364"/>
    <mergeCell ref="B385:C385"/>
    <mergeCell ref="D385:E385"/>
    <mergeCell ref="F385:G385"/>
    <mergeCell ref="H385:I385"/>
    <mergeCell ref="B406:C406"/>
    <mergeCell ref="D406:E406"/>
    <mergeCell ref="F406:G406"/>
    <mergeCell ref="H406:I406"/>
    <mergeCell ref="B469:C469"/>
    <mergeCell ref="D469:E469"/>
    <mergeCell ref="F469:G469"/>
    <mergeCell ref="H469:I469"/>
    <mergeCell ref="B427:C427"/>
    <mergeCell ref="D427:E427"/>
    <mergeCell ref="F427:G427"/>
    <mergeCell ref="H427:I427"/>
    <mergeCell ref="B448:C448"/>
    <mergeCell ref="D448:E448"/>
    <mergeCell ref="F448:G448"/>
    <mergeCell ref="H448:I448"/>
  </mergeCells>
  <pageMargins left="0.55118110236220474" right="0.55118110236220474" top="0.78740157480314965" bottom="0.78740157480314965" header="0.51181102362204722" footer="0.51181102362204722"/>
  <pageSetup scale="85" orientation="landscape" r:id="rId1"/>
  <headerFooter alignWithMargins="0"/>
  <rowBreaks count="12" manualBreakCount="12">
    <brk id="46" max="16383" man="1"/>
    <brk id="88" max="16383" man="1"/>
    <brk id="130" max="16383" man="1"/>
    <brk id="172" max="16383" man="1"/>
    <brk id="214" max="16383" man="1"/>
    <brk id="256" max="16383" man="1"/>
    <brk id="298" max="16383" man="1"/>
    <brk id="340" max="16383" man="1"/>
    <brk id="382" max="16383" man="1"/>
    <brk id="424" max="16383" man="1"/>
    <brk id="466" max="16383" man="1"/>
    <brk id="508" max="16383" man="1"/>
  </rowBreaks>
  <ignoredErrors>
    <ignoredError sqref="B9:I484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Y1061"/>
  <sheetViews>
    <sheetView showGridLines="0" zoomScale="85" zoomScaleNormal="85" zoomScaleSheetLayoutView="85" workbookViewId="0"/>
  </sheetViews>
  <sheetFormatPr defaultColWidth="6.28515625" defaultRowHeight="12.75" x14ac:dyDescent="0.2"/>
  <cols>
    <col min="1" max="1" width="40.7109375" style="382" customWidth="1"/>
    <col min="2" max="2" width="6.7109375" style="453" customWidth="1"/>
    <col min="3" max="3" width="6.7109375" style="454" customWidth="1"/>
    <col min="4" max="25" width="6.7109375" style="453" customWidth="1"/>
    <col min="26" max="26" width="7.5703125" style="376" customWidth="1"/>
    <col min="27" max="266" width="6.28515625" style="376"/>
    <col min="267" max="267" width="43.5703125" style="376" customWidth="1"/>
    <col min="268" max="268" width="7.5703125" style="376" customWidth="1"/>
    <col min="269" max="270" width="8.42578125" style="376" customWidth="1"/>
    <col min="271" max="271" width="6.7109375" style="376" customWidth="1"/>
    <col min="272" max="273" width="7.5703125" style="376" customWidth="1"/>
    <col min="274" max="275" width="8.42578125" style="376" customWidth="1"/>
    <col min="276" max="276" width="6.7109375" style="376" customWidth="1"/>
    <col min="277" max="278" width="7.5703125" style="376" customWidth="1"/>
    <col min="279" max="280" width="8.42578125" style="376" customWidth="1"/>
    <col min="281" max="281" width="6.7109375" style="376" customWidth="1"/>
    <col min="282" max="282" width="7.5703125" style="376" customWidth="1"/>
    <col min="283" max="522" width="6.28515625" style="376"/>
    <col min="523" max="523" width="43.5703125" style="376" customWidth="1"/>
    <col min="524" max="524" width="7.5703125" style="376" customWidth="1"/>
    <col min="525" max="526" width="8.42578125" style="376" customWidth="1"/>
    <col min="527" max="527" width="6.7109375" style="376" customWidth="1"/>
    <col min="528" max="529" width="7.5703125" style="376" customWidth="1"/>
    <col min="530" max="531" width="8.42578125" style="376" customWidth="1"/>
    <col min="532" max="532" width="6.7109375" style="376" customWidth="1"/>
    <col min="533" max="534" width="7.5703125" style="376" customWidth="1"/>
    <col min="535" max="536" width="8.42578125" style="376" customWidth="1"/>
    <col min="537" max="537" width="6.7109375" style="376" customWidth="1"/>
    <col min="538" max="538" width="7.5703125" style="376" customWidth="1"/>
    <col min="539" max="778" width="6.28515625" style="376"/>
    <col min="779" max="779" width="43.5703125" style="376" customWidth="1"/>
    <col min="780" max="780" width="7.5703125" style="376" customWidth="1"/>
    <col min="781" max="782" width="8.42578125" style="376" customWidth="1"/>
    <col min="783" max="783" width="6.7109375" style="376" customWidth="1"/>
    <col min="784" max="785" width="7.5703125" style="376" customWidth="1"/>
    <col min="786" max="787" width="8.42578125" style="376" customWidth="1"/>
    <col min="788" max="788" width="6.7109375" style="376" customWidth="1"/>
    <col min="789" max="790" width="7.5703125" style="376" customWidth="1"/>
    <col min="791" max="792" width="8.42578125" style="376" customWidth="1"/>
    <col min="793" max="793" width="6.7109375" style="376" customWidth="1"/>
    <col min="794" max="794" width="7.5703125" style="376" customWidth="1"/>
    <col min="795" max="1034" width="6.28515625" style="376"/>
    <col min="1035" max="1035" width="43.5703125" style="376" customWidth="1"/>
    <col min="1036" max="1036" width="7.5703125" style="376" customWidth="1"/>
    <col min="1037" max="1038" width="8.42578125" style="376" customWidth="1"/>
    <col min="1039" max="1039" width="6.7109375" style="376" customWidth="1"/>
    <col min="1040" max="1041" width="7.5703125" style="376" customWidth="1"/>
    <col min="1042" max="1043" width="8.42578125" style="376" customWidth="1"/>
    <col min="1044" max="1044" width="6.7109375" style="376" customWidth="1"/>
    <col min="1045" max="1046" width="7.5703125" style="376" customWidth="1"/>
    <col min="1047" max="1048" width="8.42578125" style="376" customWidth="1"/>
    <col min="1049" max="1049" width="6.7109375" style="376" customWidth="1"/>
    <col min="1050" max="1050" width="7.5703125" style="376" customWidth="1"/>
    <col min="1051" max="1290" width="6.28515625" style="376"/>
    <col min="1291" max="1291" width="43.5703125" style="376" customWidth="1"/>
    <col min="1292" max="1292" width="7.5703125" style="376" customWidth="1"/>
    <col min="1293" max="1294" width="8.42578125" style="376" customWidth="1"/>
    <col min="1295" max="1295" width="6.7109375" style="376" customWidth="1"/>
    <col min="1296" max="1297" width="7.5703125" style="376" customWidth="1"/>
    <col min="1298" max="1299" width="8.42578125" style="376" customWidth="1"/>
    <col min="1300" max="1300" width="6.7109375" style="376" customWidth="1"/>
    <col min="1301" max="1302" width="7.5703125" style="376" customWidth="1"/>
    <col min="1303" max="1304" width="8.42578125" style="376" customWidth="1"/>
    <col min="1305" max="1305" width="6.7109375" style="376" customWidth="1"/>
    <col min="1306" max="1306" width="7.5703125" style="376" customWidth="1"/>
    <col min="1307" max="1546" width="6.28515625" style="376"/>
    <col min="1547" max="1547" width="43.5703125" style="376" customWidth="1"/>
    <col min="1548" max="1548" width="7.5703125" style="376" customWidth="1"/>
    <col min="1549" max="1550" width="8.42578125" style="376" customWidth="1"/>
    <col min="1551" max="1551" width="6.7109375" style="376" customWidth="1"/>
    <col min="1552" max="1553" width="7.5703125" style="376" customWidth="1"/>
    <col min="1554" max="1555" width="8.42578125" style="376" customWidth="1"/>
    <col min="1556" max="1556" width="6.7109375" style="376" customWidth="1"/>
    <col min="1557" max="1558" width="7.5703125" style="376" customWidth="1"/>
    <col min="1559" max="1560" width="8.42578125" style="376" customWidth="1"/>
    <col min="1561" max="1561" width="6.7109375" style="376" customWidth="1"/>
    <col min="1562" max="1562" width="7.5703125" style="376" customWidth="1"/>
    <col min="1563" max="1802" width="6.28515625" style="376"/>
    <col min="1803" max="1803" width="43.5703125" style="376" customWidth="1"/>
    <col min="1804" max="1804" width="7.5703125" style="376" customWidth="1"/>
    <col min="1805" max="1806" width="8.42578125" style="376" customWidth="1"/>
    <col min="1807" max="1807" width="6.7109375" style="376" customWidth="1"/>
    <col min="1808" max="1809" width="7.5703125" style="376" customWidth="1"/>
    <col min="1810" max="1811" width="8.42578125" style="376" customWidth="1"/>
    <col min="1812" max="1812" width="6.7109375" style="376" customWidth="1"/>
    <col min="1813" max="1814" width="7.5703125" style="376" customWidth="1"/>
    <col min="1815" max="1816" width="8.42578125" style="376" customWidth="1"/>
    <col min="1817" max="1817" width="6.7109375" style="376" customWidth="1"/>
    <col min="1818" max="1818" width="7.5703125" style="376" customWidth="1"/>
    <col min="1819" max="2058" width="6.28515625" style="376"/>
    <col min="2059" max="2059" width="43.5703125" style="376" customWidth="1"/>
    <col min="2060" max="2060" width="7.5703125" style="376" customWidth="1"/>
    <col min="2061" max="2062" width="8.42578125" style="376" customWidth="1"/>
    <col min="2063" max="2063" width="6.7109375" style="376" customWidth="1"/>
    <col min="2064" max="2065" width="7.5703125" style="376" customWidth="1"/>
    <col min="2066" max="2067" width="8.42578125" style="376" customWidth="1"/>
    <col min="2068" max="2068" width="6.7109375" style="376" customWidth="1"/>
    <col min="2069" max="2070" width="7.5703125" style="376" customWidth="1"/>
    <col min="2071" max="2072" width="8.42578125" style="376" customWidth="1"/>
    <col min="2073" max="2073" width="6.7109375" style="376" customWidth="1"/>
    <col min="2074" max="2074" width="7.5703125" style="376" customWidth="1"/>
    <col min="2075" max="2314" width="6.28515625" style="376"/>
    <col min="2315" max="2315" width="43.5703125" style="376" customWidth="1"/>
    <col min="2316" max="2316" width="7.5703125" style="376" customWidth="1"/>
    <col min="2317" max="2318" width="8.42578125" style="376" customWidth="1"/>
    <col min="2319" max="2319" width="6.7109375" style="376" customWidth="1"/>
    <col min="2320" max="2321" width="7.5703125" style="376" customWidth="1"/>
    <col min="2322" max="2323" width="8.42578125" style="376" customWidth="1"/>
    <col min="2324" max="2324" width="6.7109375" style="376" customWidth="1"/>
    <col min="2325" max="2326" width="7.5703125" style="376" customWidth="1"/>
    <col min="2327" max="2328" width="8.42578125" style="376" customWidth="1"/>
    <col min="2329" max="2329" width="6.7109375" style="376" customWidth="1"/>
    <col min="2330" max="2330" width="7.5703125" style="376" customWidth="1"/>
    <col min="2331" max="2570" width="6.28515625" style="376"/>
    <col min="2571" max="2571" width="43.5703125" style="376" customWidth="1"/>
    <col min="2572" max="2572" width="7.5703125" style="376" customWidth="1"/>
    <col min="2573" max="2574" width="8.42578125" style="376" customWidth="1"/>
    <col min="2575" max="2575" width="6.7109375" style="376" customWidth="1"/>
    <col min="2576" max="2577" width="7.5703125" style="376" customWidth="1"/>
    <col min="2578" max="2579" width="8.42578125" style="376" customWidth="1"/>
    <col min="2580" max="2580" width="6.7109375" style="376" customWidth="1"/>
    <col min="2581" max="2582" width="7.5703125" style="376" customWidth="1"/>
    <col min="2583" max="2584" width="8.42578125" style="376" customWidth="1"/>
    <col min="2585" max="2585" width="6.7109375" style="376" customWidth="1"/>
    <col min="2586" max="2586" width="7.5703125" style="376" customWidth="1"/>
    <col min="2587" max="2826" width="6.28515625" style="376"/>
    <col min="2827" max="2827" width="43.5703125" style="376" customWidth="1"/>
    <col min="2828" max="2828" width="7.5703125" style="376" customWidth="1"/>
    <col min="2829" max="2830" width="8.42578125" style="376" customWidth="1"/>
    <col min="2831" max="2831" width="6.7109375" style="376" customWidth="1"/>
    <col min="2832" max="2833" width="7.5703125" style="376" customWidth="1"/>
    <col min="2834" max="2835" width="8.42578125" style="376" customWidth="1"/>
    <col min="2836" max="2836" width="6.7109375" style="376" customWidth="1"/>
    <col min="2837" max="2838" width="7.5703125" style="376" customWidth="1"/>
    <col min="2839" max="2840" width="8.42578125" style="376" customWidth="1"/>
    <col min="2841" max="2841" width="6.7109375" style="376" customWidth="1"/>
    <col min="2842" max="2842" width="7.5703125" style="376" customWidth="1"/>
    <col min="2843" max="3082" width="6.28515625" style="376"/>
    <col min="3083" max="3083" width="43.5703125" style="376" customWidth="1"/>
    <col min="3084" max="3084" width="7.5703125" style="376" customWidth="1"/>
    <col min="3085" max="3086" width="8.42578125" style="376" customWidth="1"/>
    <col min="3087" max="3087" width="6.7109375" style="376" customWidth="1"/>
    <col min="3088" max="3089" width="7.5703125" style="376" customWidth="1"/>
    <col min="3090" max="3091" width="8.42578125" style="376" customWidth="1"/>
    <col min="3092" max="3092" width="6.7109375" style="376" customWidth="1"/>
    <col min="3093" max="3094" width="7.5703125" style="376" customWidth="1"/>
    <col min="3095" max="3096" width="8.42578125" style="376" customWidth="1"/>
    <col min="3097" max="3097" width="6.7109375" style="376" customWidth="1"/>
    <col min="3098" max="3098" width="7.5703125" style="376" customWidth="1"/>
    <col min="3099" max="3338" width="6.28515625" style="376"/>
    <col min="3339" max="3339" width="43.5703125" style="376" customWidth="1"/>
    <col min="3340" max="3340" width="7.5703125" style="376" customWidth="1"/>
    <col min="3341" max="3342" width="8.42578125" style="376" customWidth="1"/>
    <col min="3343" max="3343" width="6.7109375" style="376" customWidth="1"/>
    <col min="3344" max="3345" width="7.5703125" style="376" customWidth="1"/>
    <col min="3346" max="3347" width="8.42578125" style="376" customWidth="1"/>
    <col min="3348" max="3348" width="6.7109375" style="376" customWidth="1"/>
    <col min="3349" max="3350" width="7.5703125" style="376" customWidth="1"/>
    <col min="3351" max="3352" width="8.42578125" style="376" customWidth="1"/>
    <col min="3353" max="3353" width="6.7109375" style="376" customWidth="1"/>
    <col min="3354" max="3354" width="7.5703125" style="376" customWidth="1"/>
    <col min="3355" max="3594" width="6.28515625" style="376"/>
    <col min="3595" max="3595" width="43.5703125" style="376" customWidth="1"/>
    <col min="3596" max="3596" width="7.5703125" style="376" customWidth="1"/>
    <col min="3597" max="3598" width="8.42578125" style="376" customWidth="1"/>
    <col min="3599" max="3599" width="6.7109375" style="376" customWidth="1"/>
    <col min="3600" max="3601" width="7.5703125" style="376" customWidth="1"/>
    <col min="3602" max="3603" width="8.42578125" style="376" customWidth="1"/>
    <col min="3604" max="3604" width="6.7109375" style="376" customWidth="1"/>
    <col min="3605" max="3606" width="7.5703125" style="376" customWidth="1"/>
    <col min="3607" max="3608" width="8.42578125" style="376" customWidth="1"/>
    <col min="3609" max="3609" width="6.7109375" style="376" customWidth="1"/>
    <col min="3610" max="3610" width="7.5703125" style="376" customWidth="1"/>
    <col min="3611" max="3850" width="6.28515625" style="376"/>
    <col min="3851" max="3851" width="43.5703125" style="376" customWidth="1"/>
    <col min="3852" max="3852" width="7.5703125" style="376" customWidth="1"/>
    <col min="3853" max="3854" width="8.42578125" style="376" customWidth="1"/>
    <col min="3855" max="3855" width="6.7109375" style="376" customWidth="1"/>
    <col min="3856" max="3857" width="7.5703125" style="376" customWidth="1"/>
    <col min="3858" max="3859" width="8.42578125" style="376" customWidth="1"/>
    <col min="3860" max="3860" width="6.7109375" style="376" customWidth="1"/>
    <col min="3861" max="3862" width="7.5703125" style="376" customWidth="1"/>
    <col min="3863" max="3864" width="8.42578125" style="376" customWidth="1"/>
    <col min="3865" max="3865" width="6.7109375" style="376" customWidth="1"/>
    <col min="3866" max="3866" width="7.5703125" style="376" customWidth="1"/>
    <col min="3867" max="4106" width="6.28515625" style="376"/>
    <col min="4107" max="4107" width="43.5703125" style="376" customWidth="1"/>
    <col min="4108" max="4108" width="7.5703125" style="376" customWidth="1"/>
    <col min="4109" max="4110" width="8.42578125" style="376" customWidth="1"/>
    <col min="4111" max="4111" width="6.7109375" style="376" customWidth="1"/>
    <col min="4112" max="4113" width="7.5703125" style="376" customWidth="1"/>
    <col min="4114" max="4115" width="8.42578125" style="376" customWidth="1"/>
    <col min="4116" max="4116" width="6.7109375" style="376" customWidth="1"/>
    <col min="4117" max="4118" width="7.5703125" style="376" customWidth="1"/>
    <col min="4119" max="4120" width="8.42578125" style="376" customWidth="1"/>
    <col min="4121" max="4121" width="6.7109375" style="376" customWidth="1"/>
    <col min="4122" max="4122" width="7.5703125" style="376" customWidth="1"/>
    <col min="4123" max="4362" width="6.28515625" style="376"/>
    <col min="4363" max="4363" width="43.5703125" style="376" customWidth="1"/>
    <col min="4364" max="4364" width="7.5703125" style="376" customWidth="1"/>
    <col min="4365" max="4366" width="8.42578125" style="376" customWidth="1"/>
    <col min="4367" max="4367" width="6.7109375" style="376" customWidth="1"/>
    <col min="4368" max="4369" width="7.5703125" style="376" customWidth="1"/>
    <col min="4370" max="4371" width="8.42578125" style="376" customWidth="1"/>
    <col min="4372" max="4372" width="6.7109375" style="376" customWidth="1"/>
    <col min="4373" max="4374" width="7.5703125" style="376" customWidth="1"/>
    <col min="4375" max="4376" width="8.42578125" style="376" customWidth="1"/>
    <col min="4377" max="4377" width="6.7109375" style="376" customWidth="1"/>
    <col min="4378" max="4378" width="7.5703125" style="376" customWidth="1"/>
    <col min="4379" max="4618" width="6.28515625" style="376"/>
    <col min="4619" max="4619" width="43.5703125" style="376" customWidth="1"/>
    <col min="4620" max="4620" width="7.5703125" style="376" customWidth="1"/>
    <col min="4621" max="4622" width="8.42578125" style="376" customWidth="1"/>
    <col min="4623" max="4623" width="6.7109375" style="376" customWidth="1"/>
    <col min="4624" max="4625" width="7.5703125" style="376" customWidth="1"/>
    <col min="4626" max="4627" width="8.42578125" style="376" customWidth="1"/>
    <col min="4628" max="4628" width="6.7109375" style="376" customWidth="1"/>
    <col min="4629" max="4630" width="7.5703125" style="376" customWidth="1"/>
    <col min="4631" max="4632" width="8.42578125" style="376" customWidth="1"/>
    <col min="4633" max="4633" width="6.7109375" style="376" customWidth="1"/>
    <col min="4634" max="4634" width="7.5703125" style="376" customWidth="1"/>
    <col min="4635" max="4874" width="6.28515625" style="376"/>
    <col min="4875" max="4875" width="43.5703125" style="376" customWidth="1"/>
    <col min="4876" max="4876" width="7.5703125" style="376" customWidth="1"/>
    <col min="4877" max="4878" width="8.42578125" style="376" customWidth="1"/>
    <col min="4879" max="4879" width="6.7109375" style="376" customWidth="1"/>
    <col min="4880" max="4881" width="7.5703125" style="376" customWidth="1"/>
    <col min="4882" max="4883" width="8.42578125" style="376" customWidth="1"/>
    <col min="4884" max="4884" width="6.7109375" style="376" customWidth="1"/>
    <col min="4885" max="4886" width="7.5703125" style="376" customWidth="1"/>
    <col min="4887" max="4888" width="8.42578125" style="376" customWidth="1"/>
    <col min="4889" max="4889" width="6.7109375" style="376" customWidth="1"/>
    <col min="4890" max="4890" width="7.5703125" style="376" customWidth="1"/>
    <col min="4891" max="5130" width="6.28515625" style="376"/>
    <col min="5131" max="5131" width="43.5703125" style="376" customWidth="1"/>
    <col min="5132" max="5132" width="7.5703125" style="376" customWidth="1"/>
    <col min="5133" max="5134" width="8.42578125" style="376" customWidth="1"/>
    <col min="5135" max="5135" width="6.7109375" style="376" customWidth="1"/>
    <col min="5136" max="5137" width="7.5703125" style="376" customWidth="1"/>
    <col min="5138" max="5139" width="8.42578125" style="376" customWidth="1"/>
    <col min="5140" max="5140" width="6.7109375" style="376" customWidth="1"/>
    <col min="5141" max="5142" width="7.5703125" style="376" customWidth="1"/>
    <col min="5143" max="5144" width="8.42578125" style="376" customWidth="1"/>
    <col min="5145" max="5145" width="6.7109375" style="376" customWidth="1"/>
    <col min="5146" max="5146" width="7.5703125" style="376" customWidth="1"/>
    <col min="5147" max="5386" width="6.28515625" style="376"/>
    <col min="5387" max="5387" width="43.5703125" style="376" customWidth="1"/>
    <col min="5388" max="5388" width="7.5703125" style="376" customWidth="1"/>
    <col min="5389" max="5390" width="8.42578125" style="376" customWidth="1"/>
    <col min="5391" max="5391" width="6.7109375" style="376" customWidth="1"/>
    <col min="5392" max="5393" width="7.5703125" style="376" customWidth="1"/>
    <col min="5394" max="5395" width="8.42578125" style="376" customWidth="1"/>
    <col min="5396" max="5396" width="6.7109375" style="376" customWidth="1"/>
    <col min="5397" max="5398" width="7.5703125" style="376" customWidth="1"/>
    <col min="5399" max="5400" width="8.42578125" style="376" customWidth="1"/>
    <col min="5401" max="5401" width="6.7109375" style="376" customWidth="1"/>
    <col min="5402" max="5402" width="7.5703125" style="376" customWidth="1"/>
    <col min="5403" max="5642" width="6.28515625" style="376"/>
    <col min="5643" max="5643" width="43.5703125" style="376" customWidth="1"/>
    <col min="5644" max="5644" width="7.5703125" style="376" customWidth="1"/>
    <col min="5645" max="5646" width="8.42578125" style="376" customWidth="1"/>
    <col min="5647" max="5647" width="6.7109375" style="376" customWidth="1"/>
    <col min="5648" max="5649" width="7.5703125" style="376" customWidth="1"/>
    <col min="5650" max="5651" width="8.42578125" style="376" customWidth="1"/>
    <col min="5652" max="5652" width="6.7109375" style="376" customWidth="1"/>
    <col min="5653" max="5654" width="7.5703125" style="376" customWidth="1"/>
    <col min="5655" max="5656" width="8.42578125" style="376" customWidth="1"/>
    <col min="5657" max="5657" width="6.7109375" style="376" customWidth="1"/>
    <col min="5658" max="5658" width="7.5703125" style="376" customWidth="1"/>
    <col min="5659" max="5898" width="6.28515625" style="376"/>
    <col min="5899" max="5899" width="43.5703125" style="376" customWidth="1"/>
    <col min="5900" max="5900" width="7.5703125" style="376" customWidth="1"/>
    <col min="5901" max="5902" width="8.42578125" style="376" customWidth="1"/>
    <col min="5903" max="5903" width="6.7109375" style="376" customWidth="1"/>
    <col min="5904" max="5905" width="7.5703125" style="376" customWidth="1"/>
    <col min="5906" max="5907" width="8.42578125" style="376" customWidth="1"/>
    <col min="5908" max="5908" width="6.7109375" style="376" customWidth="1"/>
    <col min="5909" max="5910" width="7.5703125" style="376" customWidth="1"/>
    <col min="5911" max="5912" width="8.42578125" style="376" customWidth="1"/>
    <col min="5913" max="5913" width="6.7109375" style="376" customWidth="1"/>
    <col min="5914" max="5914" width="7.5703125" style="376" customWidth="1"/>
    <col min="5915" max="6154" width="6.28515625" style="376"/>
    <col min="6155" max="6155" width="43.5703125" style="376" customWidth="1"/>
    <col min="6156" max="6156" width="7.5703125" style="376" customWidth="1"/>
    <col min="6157" max="6158" width="8.42578125" style="376" customWidth="1"/>
    <col min="6159" max="6159" width="6.7109375" style="376" customWidth="1"/>
    <col min="6160" max="6161" width="7.5703125" style="376" customWidth="1"/>
    <col min="6162" max="6163" width="8.42578125" style="376" customWidth="1"/>
    <col min="6164" max="6164" width="6.7109375" style="376" customWidth="1"/>
    <col min="6165" max="6166" width="7.5703125" style="376" customWidth="1"/>
    <col min="6167" max="6168" width="8.42578125" style="376" customWidth="1"/>
    <col min="6169" max="6169" width="6.7109375" style="376" customWidth="1"/>
    <col min="6170" max="6170" width="7.5703125" style="376" customWidth="1"/>
    <col min="6171" max="6410" width="6.28515625" style="376"/>
    <col min="6411" max="6411" width="43.5703125" style="376" customWidth="1"/>
    <col min="6412" max="6412" width="7.5703125" style="376" customWidth="1"/>
    <col min="6413" max="6414" width="8.42578125" style="376" customWidth="1"/>
    <col min="6415" max="6415" width="6.7109375" style="376" customWidth="1"/>
    <col min="6416" max="6417" width="7.5703125" style="376" customWidth="1"/>
    <col min="6418" max="6419" width="8.42578125" style="376" customWidth="1"/>
    <col min="6420" max="6420" width="6.7109375" style="376" customWidth="1"/>
    <col min="6421" max="6422" width="7.5703125" style="376" customWidth="1"/>
    <col min="6423" max="6424" width="8.42578125" style="376" customWidth="1"/>
    <col min="6425" max="6425" width="6.7109375" style="376" customWidth="1"/>
    <col min="6426" max="6426" width="7.5703125" style="376" customWidth="1"/>
    <col min="6427" max="6666" width="6.28515625" style="376"/>
    <col min="6667" max="6667" width="43.5703125" style="376" customWidth="1"/>
    <col min="6668" max="6668" width="7.5703125" style="376" customWidth="1"/>
    <col min="6669" max="6670" width="8.42578125" style="376" customWidth="1"/>
    <col min="6671" max="6671" width="6.7109375" style="376" customWidth="1"/>
    <col min="6672" max="6673" width="7.5703125" style="376" customWidth="1"/>
    <col min="6674" max="6675" width="8.42578125" style="376" customWidth="1"/>
    <col min="6676" max="6676" width="6.7109375" style="376" customWidth="1"/>
    <col min="6677" max="6678" width="7.5703125" style="376" customWidth="1"/>
    <col min="6679" max="6680" width="8.42578125" style="376" customWidth="1"/>
    <col min="6681" max="6681" width="6.7109375" style="376" customWidth="1"/>
    <col min="6682" max="6682" width="7.5703125" style="376" customWidth="1"/>
    <col min="6683" max="6922" width="6.28515625" style="376"/>
    <col min="6923" max="6923" width="43.5703125" style="376" customWidth="1"/>
    <col min="6924" max="6924" width="7.5703125" style="376" customWidth="1"/>
    <col min="6925" max="6926" width="8.42578125" style="376" customWidth="1"/>
    <col min="6927" max="6927" width="6.7109375" style="376" customWidth="1"/>
    <col min="6928" max="6929" width="7.5703125" style="376" customWidth="1"/>
    <col min="6930" max="6931" width="8.42578125" style="376" customWidth="1"/>
    <col min="6932" max="6932" width="6.7109375" style="376" customWidth="1"/>
    <col min="6933" max="6934" width="7.5703125" style="376" customWidth="1"/>
    <col min="6935" max="6936" width="8.42578125" style="376" customWidth="1"/>
    <col min="6937" max="6937" width="6.7109375" style="376" customWidth="1"/>
    <col min="6938" max="6938" width="7.5703125" style="376" customWidth="1"/>
    <col min="6939" max="7178" width="6.28515625" style="376"/>
    <col min="7179" max="7179" width="43.5703125" style="376" customWidth="1"/>
    <col min="7180" max="7180" width="7.5703125" style="376" customWidth="1"/>
    <col min="7181" max="7182" width="8.42578125" style="376" customWidth="1"/>
    <col min="7183" max="7183" width="6.7109375" style="376" customWidth="1"/>
    <col min="7184" max="7185" width="7.5703125" style="376" customWidth="1"/>
    <col min="7186" max="7187" width="8.42578125" style="376" customWidth="1"/>
    <col min="7188" max="7188" width="6.7109375" style="376" customWidth="1"/>
    <col min="7189" max="7190" width="7.5703125" style="376" customWidth="1"/>
    <col min="7191" max="7192" width="8.42578125" style="376" customWidth="1"/>
    <col min="7193" max="7193" width="6.7109375" style="376" customWidth="1"/>
    <col min="7194" max="7194" width="7.5703125" style="376" customWidth="1"/>
    <col min="7195" max="7434" width="6.28515625" style="376"/>
    <col min="7435" max="7435" width="43.5703125" style="376" customWidth="1"/>
    <col min="7436" max="7436" width="7.5703125" style="376" customWidth="1"/>
    <col min="7437" max="7438" width="8.42578125" style="376" customWidth="1"/>
    <col min="7439" max="7439" width="6.7109375" style="376" customWidth="1"/>
    <col min="7440" max="7441" width="7.5703125" style="376" customWidth="1"/>
    <col min="7442" max="7443" width="8.42578125" style="376" customWidth="1"/>
    <col min="7444" max="7444" width="6.7109375" style="376" customWidth="1"/>
    <col min="7445" max="7446" width="7.5703125" style="376" customWidth="1"/>
    <col min="7447" max="7448" width="8.42578125" style="376" customWidth="1"/>
    <col min="7449" max="7449" width="6.7109375" style="376" customWidth="1"/>
    <col min="7450" max="7450" width="7.5703125" style="376" customWidth="1"/>
    <col min="7451" max="7690" width="6.28515625" style="376"/>
    <col min="7691" max="7691" width="43.5703125" style="376" customWidth="1"/>
    <col min="7692" max="7692" width="7.5703125" style="376" customWidth="1"/>
    <col min="7693" max="7694" width="8.42578125" style="376" customWidth="1"/>
    <col min="7695" max="7695" width="6.7109375" style="376" customWidth="1"/>
    <col min="7696" max="7697" width="7.5703125" style="376" customWidth="1"/>
    <col min="7698" max="7699" width="8.42578125" style="376" customWidth="1"/>
    <col min="7700" max="7700" width="6.7109375" style="376" customWidth="1"/>
    <col min="7701" max="7702" width="7.5703125" style="376" customWidth="1"/>
    <col min="7703" max="7704" width="8.42578125" style="376" customWidth="1"/>
    <col min="7705" max="7705" width="6.7109375" style="376" customWidth="1"/>
    <col min="7706" max="7706" width="7.5703125" style="376" customWidth="1"/>
    <col min="7707" max="7946" width="6.28515625" style="376"/>
    <col min="7947" max="7947" width="43.5703125" style="376" customWidth="1"/>
    <col min="7948" max="7948" width="7.5703125" style="376" customWidth="1"/>
    <col min="7949" max="7950" width="8.42578125" style="376" customWidth="1"/>
    <col min="7951" max="7951" width="6.7109375" style="376" customWidth="1"/>
    <col min="7952" max="7953" width="7.5703125" style="376" customWidth="1"/>
    <col min="7954" max="7955" width="8.42578125" style="376" customWidth="1"/>
    <col min="7956" max="7956" width="6.7109375" style="376" customWidth="1"/>
    <col min="7957" max="7958" width="7.5703125" style="376" customWidth="1"/>
    <col min="7959" max="7960" width="8.42578125" style="376" customWidth="1"/>
    <col min="7961" max="7961" width="6.7109375" style="376" customWidth="1"/>
    <col min="7962" max="7962" width="7.5703125" style="376" customWidth="1"/>
    <col min="7963" max="8202" width="6.28515625" style="376"/>
    <col min="8203" max="8203" width="43.5703125" style="376" customWidth="1"/>
    <col min="8204" max="8204" width="7.5703125" style="376" customWidth="1"/>
    <col min="8205" max="8206" width="8.42578125" style="376" customWidth="1"/>
    <col min="8207" max="8207" width="6.7109375" style="376" customWidth="1"/>
    <col min="8208" max="8209" width="7.5703125" style="376" customWidth="1"/>
    <col min="8210" max="8211" width="8.42578125" style="376" customWidth="1"/>
    <col min="8212" max="8212" width="6.7109375" style="376" customWidth="1"/>
    <col min="8213" max="8214" width="7.5703125" style="376" customWidth="1"/>
    <col min="8215" max="8216" width="8.42578125" style="376" customWidth="1"/>
    <col min="8217" max="8217" width="6.7109375" style="376" customWidth="1"/>
    <col min="8218" max="8218" width="7.5703125" style="376" customWidth="1"/>
    <col min="8219" max="8458" width="6.28515625" style="376"/>
    <col min="8459" max="8459" width="43.5703125" style="376" customWidth="1"/>
    <col min="8460" max="8460" width="7.5703125" style="376" customWidth="1"/>
    <col min="8461" max="8462" width="8.42578125" style="376" customWidth="1"/>
    <col min="8463" max="8463" width="6.7109375" style="376" customWidth="1"/>
    <col min="8464" max="8465" width="7.5703125" style="376" customWidth="1"/>
    <col min="8466" max="8467" width="8.42578125" style="376" customWidth="1"/>
    <col min="8468" max="8468" width="6.7109375" style="376" customWidth="1"/>
    <col min="8469" max="8470" width="7.5703125" style="376" customWidth="1"/>
    <col min="8471" max="8472" width="8.42578125" style="376" customWidth="1"/>
    <col min="8473" max="8473" width="6.7109375" style="376" customWidth="1"/>
    <col min="8474" max="8474" width="7.5703125" style="376" customWidth="1"/>
    <col min="8475" max="8714" width="6.28515625" style="376"/>
    <col min="8715" max="8715" width="43.5703125" style="376" customWidth="1"/>
    <col min="8716" max="8716" width="7.5703125" style="376" customWidth="1"/>
    <col min="8717" max="8718" width="8.42578125" style="376" customWidth="1"/>
    <col min="8719" max="8719" width="6.7109375" style="376" customWidth="1"/>
    <col min="8720" max="8721" width="7.5703125" style="376" customWidth="1"/>
    <col min="8722" max="8723" width="8.42578125" style="376" customWidth="1"/>
    <col min="8724" max="8724" width="6.7109375" style="376" customWidth="1"/>
    <col min="8725" max="8726" width="7.5703125" style="376" customWidth="1"/>
    <col min="8727" max="8728" width="8.42578125" style="376" customWidth="1"/>
    <col min="8729" max="8729" width="6.7109375" style="376" customWidth="1"/>
    <col min="8730" max="8730" width="7.5703125" style="376" customWidth="1"/>
    <col min="8731" max="8970" width="6.28515625" style="376"/>
    <col min="8971" max="8971" width="43.5703125" style="376" customWidth="1"/>
    <col min="8972" max="8972" width="7.5703125" style="376" customWidth="1"/>
    <col min="8973" max="8974" width="8.42578125" style="376" customWidth="1"/>
    <col min="8975" max="8975" width="6.7109375" style="376" customWidth="1"/>
    <col min="8976" max="8977" width="7.5703125" style="376" customWidth="1"/>
    <col min="8978" max="8979" width="8.42578125" style="376" customWidth="1"/>
    <col min="8980" max="8980" width="6.7109375" style="376" customWidth="1"/>
    <col min="8981" max="8982" width="7.5703125" style="376" customWidth="1"/>
    <col min="8983" max="8984" width="8.42578125" style="376" customWidth="1"/>
    <col min="8985" max="8985" width="6.7109375" style="376" customWidth="1"/>
    <col min="8986" max="8986" width="7.5703125" style="376" customWidth="1"/>
    <col min="8987" max="9226" width="6.28515625" style="376"/>
    <col min="9227" max="9227" width="43.5703125" style="376" customWidth="1"/>
    <col min="9228" max="9228" width="7.5703125" style="376" customWidth="1"/>
    <col min="9229" max="9230" width="8.42578125" style="376" customWidth="1"/>
    <col min="9231" max="9231" width="6.7109375" style="376" customWidth="1"/>
    <col min="9232" max="9233" width="7.5703125" style="376" customWidth="1"/>
    <col min="9234" max="9235" width="8.42578125" style="376" customWidth="1"/>
    <col min="9236" max="9236" width="6.7109375" style="376" customWidth="1"/>
    <col min="9237" max="9238" width="7.5703125" style="376" customWidth="1"/>
    <col min="9239" max="9240" width="8.42578125" style="376" customWidth="1"/>
    <col min="9241" max="9241" width="6.7109375" style="376" customWidth="1"/>
    <col min="9242" max="9242" width="7.5703125" style="376" customWidth="1"/>
    <col min="9243" max="9482" width="6.28515625" style="376"/>
    <col min="9483" max="9483" width="43.5703125" style="376" customWidth="1"/>
    <col min="9484" max="9484" width="7.5703125" style="376" customWidth="1"/>
    <col min="9485" max="9486" width="8.42578125" style="376" customWidth="1"/>
    <col min="9487" max="9487" width="6.7109375" style="376" customWidth="1"/>
    <col min="9488" max="9489" width="7.5703125" style="376" customWidth="1"/>
    <col min="9490" max="9491" width="8.42578125" style="376" customWidth="1"/>
    <col min="9492" max="9492" width="6.7109375" style="376" customWidth="1"/>
    <col min="9493" max="9494" width="7.5703125" style="376" customWidth="1"/>
    <col min="9495" max="9496" width="8.42578125" style="376" customWidth="1"/>
    <col min="9497" max="9497" width="6.7109375" style="376" customWidth="1"/>
    <col min="9498" max="9498" width="7.5703125" style="376" customWidth="1"/>
    <col min="9499" max="9738" width="6.28515625" style="376"/>
    <col min="9739" max="9739" width="43.5703125" style="376" customWidth="1"/>
    <col min="9740" max="9740" width="7.5703125" style="376" customWidth="1"/>
    <col min="9741" max="9742" width="8.42578125" style="376" customWidth="1"/>
    <col min="9743" max="9743" width="6.7109375" style="376" customWidth="1"/>
    <col min="9744" max="9745" width="7.5703125" style="376" customWidth="1"/>
    <col min="9746" max="9747" width="8.42578125" style="376" customWidth="1"/>
    <col min="9748" max="9748" width="6.7109375" style="376" customWidth="1"/>
    <col min="9749" max="9750" width="7.5703125" style="376" customWidth="1"/>
    <col min="9751" max="9752" width="8.42578125" style="376" customWidth="1"/>
    <col min="9753" max="9753" width="6.7109375" style="376" customWidth="1"/>
    <col min="9754" max="9754" width="7.5703125" style="376" customWidth="1"/>
    <col min="9755" max="9994" width="6.28515625" style="376"/>
    <col min="9995" max="9995" width="43.5703125" style="376" customWidth="1"/>
    <col min="9996" max="9996" width="7.5703125" style="376" customWidth="1"/>
    <col min="9997" max="9998" width="8.42578125" style="376" customWidth="1"/>
    <col min="9999" max="9999" width="6.7109375" style="376" customWidth="1"/>
    <col min="10000" max="10001" width="7.5703125" style="376" customWidth="1"/>
    <col min="10002" max="10003" width="8.42578125" style="376" customWidth="1"/>
    <col min="10004" max="10004" width="6.7109375" style="376" customWidth="1"/>
    <col min="10005" max="10006" width="7.5703125" style="376" customWidth="1"/>
    <col min="10007" max="10008" width="8.42578125" style="376" customWidth="1"/>
    <col min="10009" max="10009" width="6.7109375" style="376" customWidth="1"/>
    <col min="10010" max="10010" width="7.5703125" style="376" customWidth="1"/>
    <col min="10011" max="10250" width="6.28515625" style="376"/>
    <col min="10251" max="10251" width="43.5703125" style="376" customWidth="1"/>
    <col min="10252" max="10252" width="7.5703125" style="376" customWidth="1"/>
    <col min="10253" max="10254" width="8.42578125" style="376" customWidth="1"/>
    <col min="10255" max="10255" width="6.7109375" style="376" customWidth="1"/>
    <col min="10256" max="10257" width="7.5703125" style="376" customWidth="1"/>
    <col min="10258" max="10259" width="8.42578125" style="376" customWidth="1"/>
    <col min="10260" max="10260" width="6.7109375" style="376" customWidth="1"/>
    <col min="10261" max="10262" width="7.5703125" style="376" customWidth="1"/>
    <col min="10263" max="10264" width="8.42578125" style="376" customWidth="1"/>
    <col min="10265" max="10265" width="6.7109375" style="376" customWidth="1"/>
    <col min="10266" max="10266" width="7.5703125" style="376" customWidth="1"/>
    <col min="10267" max="10506" width="6.28515625" style="376"/>
    <col min="10507" max="10507" width="43.5703125" style="376" customWidth="1"/>
    <col min="10508" max="10508" width="7.5703125" style="376" customWidth="1"/>
    <col min="10509" max="10510" width="8.42578125" style="376" customWidth="1"/>
    <col min="10511" max="10511" width="6.7109375" style="376" customWidth="1"/>
    <col min="10512" max="10513" width="7.5703125" style="376" customWidth="1"/>
    <col min="10514" max="10515" width="8.42578125" style="376" customWidth="1"/>
    <col min="10516" max="10516" width="6.7109375" style="376" customWidth="1"/>
    <col min="10517" max="10518" width="7.5703125" style="376" customWidth="1"/>
    <col min="10519" max="10520" width="8.42578125" style="376" customWidth="1"/>
    <col min="10521" max="10521" width="6.7109375" style="376" customWidth="1"/>
    <col min="10522" max="10522" width="7.5703125" style="376" customWidth="1"/>
    <col min="10523" max="10762" width="6.28515625" style="376"/>
    <col min="10763" max="10763" width="43.5703125" style="376" customWidth="1"/>
    <col min="10764" max="10764" width="7.5703125" style="376" customWidth="1"/>
    <col min="10765" max="10766" width="8.42578125" style="376" customWidth="1"/>
    <col min="10767" max="10767" width="6.7109375" style="376" customWidth="1"/>
    <col min="10768" max="10769" width="7.5703125" style="376" customWidth="1"/>
    <col min="10770" max="10771" width="8.42578125" style="376" customWidth="1"/>
    <col min="10772" max="10772" width="6.7109375" style="376" customWidth="1"/>
    <col min="10773" max="10774" width="7.5703125" style="376" customWidth="1"/>
    <col min="10775" max="10776" width="8.42578125" style="376" customWidth="1"/>
    <col min="10777" max="10777" width="6.7109375" style="376" customWidth="1"/>
    <col min="10778" max="10778" width="7.5703125" style="376" customWidth="1"/>
    <col min="10779" max="11018" width="6.28515625" style="376"/>
    <col min="11019" max="11019" width="43.5703125" style="376" customWidth="1"/>
    <col min="11020" max="11020" width="7.5703125" style="376" customWidth="1"/>
    <col min="11021" max="11022" width="8.42578125" style="376" customWidth="1"/>
    <col min="11023" max="11023" width="6.7109375" style="376" customWidth="1"/>
    <col min="11024" max="11025" width="7.5703125" style="376" customWidth="1"/>
    <col min="11026" max="11027" width="8.42578125" style="376" customWidth="1"/>
    <col min="11028" max="11028" width="6.7109375" style="376" customWidth="1"/>
    <col min="11029" max="11030" width="7.5703125" style="376" customWidth="1"/>
    <col min="11031" max="11032" width="8.42578125" style="376" customWidth="1"/>
    <col min="11033" max="11033" width="6.7109375" style="376" customWidth="1"/>
    <col min="11034" max="11034" width="7.5703125" style="376" customWidth="1"/>
    <col min="11035" max="11274" width="6.28515625" style="376"/>
    <col min="11275" max="11275" width="43.5703125" style="376" customWidth="1"/>
    <col min="11276" max="11276" width="7.5703125" style="376" customWidth="1"/>
    <col min="11277" max="11278" width="8.42578125" style="376" customWidth="1"/>
    <col min="11279" max="11279" width="6.7109375" style="376" customWidth="1"/>
    <col min="11280" max="11281" width="7.5703125" style="376" customWidth="1"/>
    <col min="11282" max="11283" width="8.42578125" style="376" customWidth="1"/>
    <col min="11284" max="11284" width="6.7109375" style="376" customWidth="1"/>
    <col min="11285" max="11286" width="7.5703125" style="376" customWidth="1"/>
    <col min="11287" max="11288" width="8.42578125" style="376" customWidth="1"/>
    <col min="11289" max="11289" width="6.7109375" style="376" customWidth="1"/>
    <col min="11290" max="11290" width="7.5703125" style="376" customWidth="1"/>
    <col min="11291" max="11530" width="6.28515625" style="376"/>
    <col min="11531" max="11531" width="43.5703125" style="376" customWidth="1"/>
    <col min="11532" max="11532" width="7.5703125" style="376" customWidth="1"/>
    <col min="11533" max="11534" width="8.42578125" style="376" customWidth="1"/>
    <col min="11535" max="11535" width="6.7109375" style="376" customWidth="1"/>
    <col min="11536" max="11537" width="7.5703125" style="376" customWidth="1"/>
    <col min="11538" max="11539" width="8.42578125" style="376" customWidth="1"/>
    <col min="11540" max="11540" width="6.7109375" style="376" customWidth="1"/>
    <col min="11541" max="11542" width="7.5703125" style="376" customWidth="1"/>
    <col min="11543" max="11544" width="8.42578125" style="376" customWidth="1"/>
    <col min="11545" max="11545" width="6.7109375" style="376" customWidth="1"/>
    <col min="11546" max="11546" width="7.5703125" style="376" customWidth="1"/>
    <col min="11547" max="11786" width="6.28515625" style="376"/>
    <col min="11787" max="11787" width="43.5703125" style="376" customWidth="1"/>
    <col min="11788" max="11788" width="7.5703125" style="376" customWidth="1"/>
    <col min="11789" max="11790" width="8.42578125" style="376" customWidth="1"/>
    <col min="11791" max="11791" width="6.7109375" style="376" customWidth="1"/>
    <col min="11792" max="11793" width="7.5703125" style="376" customWidth="1"/>
    <col min="11794" max="11795" width="8.42578125" style="376" customWidth="1"/>
    <col min="11796" max="11796" width="6.7109375" style="376" customWidth="1"/>
    <col min="11797" max="11798" width="7.5703125" style="376" customWidth="1"/>
    <col min="11799" max="11800" width="8.42578125" style="376" customWidth="1"/>
    <col min="11801" max="11801" width="6.7109375" style="376" customWidth="1"/>
    <col min="11802" max="11802" width="7.5703125" style="376" customWidth="1"/>
    <col min="11803" max="12042" width="6.28515625" style="376"/>
    <col min="12043" max="12043" width="43.5703125" style="376" customWidth="1"/>
    <col min="12044" max="12044" width="7.5703125" style="376" customWidth="1"/>
    <col min="12045" max="12046" width="8.42578125" style="376" customWidth="1"/>
    <col min="12047" max="12047" width="6.7109375" style="376" customWidth="1"/>
    <col min="12048" max="12049" width="7.5703125" style="376" customWidth="1"/>
    <col min="12050" max="12051" width="8.42578125" style="376" customWidth="1"/>
    <col min="12052" max="12052" width="6.7109375" style="376" customWidth="1"/>
    <col min="12053" max="12054" width="7.5703125" style="376" customWidth="1"/>
    <col min="12055" max="12056" width="8.42578125" style="376" customWidth="1"/>
    <col min="12057" max="12057" width="6.7109375" style="376" customWidth="1"/>
    <col min="12058" max="12058" width="7.5703125" style="376" customWidth="1"/>
    <col min="12059" max="12298" width="6.28515625" style="376"/>
    <col min="12299" max="12299" width="43.5703125" style="376" customWidth="1"/>
    <col min="12300" max="12300" width="7.5703125" style="376" customWidth="1"/>
    <col min="12301" max="12302" width="8.42578125" style="376" customWidth="1"/>
    <col min="12303" max="12303" width="6.7109375" style="376" customWidth="1"/>
    <col min="12304" max="12305" width="7.5703125" style="376" customWidth="1"/>
    <col min="12306" max="12307" width="8.42578125" style="376" customWidth="1"/>
    <col min="12308" max="12308" width="6.7109375" style="376" customWidth="1"/>
    <col min="12309" max="12310" width="7.5703125" style="376" customWidth="1"/>
    <col min="12311" max="12312" width="8.42578125" style="376" customWidth="1"/>
    <col min="12313" max="12313" width="6.7109375" style="376" customWidth="1"/>
    <col min="12314" max="12314" width="7.5703125" style="376" customWidth="1"/>
    <col min="12315" max="12554" width="6.28515625" style="376"/>
    <col min="12555" max="12555" width="43.5703125" style="376" customWidth="1"/>
    <col min="12556" max="12556" width="7.5703125" style="376" customWidth="1"/>
    <col min="12557" max="12558" width="8.42578125" style="376" customWidth="1"/>
    <col min="12559" max="12559" width="6.7109375" style="376" customWidth="1"/>
    <col min="12560" max="12561" width="7.5703125" style="376" customWidth="1"/>
    <col min="12562" max="12563" width="8.42578125" style="376" customWidth="1"/>
    <col min="12564" max="12564" width="6.7109375" style="376" customWidth="1"/>
    <col min="12565" max="12566" width="7.5703125" style="376" customWidth="1"/>
    <col min="12567" max="12568" width="8.42578125" style="376" customWidth="1"/>
    <col min="12569" max="12569" width="6.7109375" style="376" customWidth="1"/>
    <col min="12570" max="12570" width="7.5703125" style="376" customWidth="1"/>
    <col min="12571" max="12810" width="6.28515625" style="376"/>
    <col min="12811" max="12811" width="43.5703125" style="376" customWidth="1"/>
    <col min="12812" max="12812" width="7.5703125" style="376" customWidth="1"/>
    <col min="12813" max="12814" width="8.42578125" style="376" customWidth="1"/>
    <col min="12815" max="12815" width="6.7109375" style="376" customWidth="1"/>
    <col min="12816" max="12817" width="7.5703125" style="376" customWidth="1"/>
    <col min="12818" max="12819" width="8.42578125" style="376" customWidth="1"/>
    <col min="12820" max="12820" width="6.7109375" style="376" customWidth="1"/>
    <col min="12821" max="12822" width="7.5703125" style="376" customWidth="1"/>
    <col min="12823" max="12824" width="8.42578125" style="376" customWidth="1"/>
    <col min="12825" max="12825" width="6.7109375" style="376" customWidth="1"/>
    <col min="12826" max="12826" width="7.5703125" style="376" customWidth="1"/>
    <col min="12827" max="13066" width="6.28515625" style="376"/>
    <col min="13067" max="13067" width="43.5703125" style="376" customWidth="1"/>
    <col min="13068" max="13068" width="7.5703125" style="376" customWidth="1"/>
    <col min="13069" max="13070" width="8.42578125" style="376" customWidth="1"/>
    <col min="13071" max="13071" width="6.7109375" style="376" customWidth="1"/>
    <col min="13072" max="13073" width="7.5703125" style="376" customWidth="1"/>
    <col min="13074" max="13075" width="8.42578125" style="376" customWidth="1"/>
    <col min="13076" max="13076" width="6.7109375" style="376" customWidth="1"/>
    <col min="13077" max="13078" width="7.5703125" style="376" customWidth="1"/>
    <col min="13079" max="13080" width="8.42578125" style="376" customWidth="1"/>
    <col min="13081" max="13081" width="6.7109375" style="376" customWidth="1"/>
    <col min="13082" max="13082" width="7.5703125" style="376" customWidth="1"/>
    <col min="13083" max="13322" width="6.28515625" style="376"/>
    <col min="13323" max="13323" width="43.5703125" style="376" customWidth="1"/>
    <col min="13324" max="13324" width="7.5703125" style="376" customWidth="1"/>
    <col min="13325" max="13326" width="8.42578125" style="376" customWidth="1"/>
    <col min="13327" max="13327" width="6.7109375" style="376" customWidth="1"/>
    <col min="13328" max="13329" width="7.5703125" style="376" customWidth="1"/>
    <col min="13330" max="13331" width="8.42578125" style="376" customWidth="1"/>
    <col min="13332" max="13332" width="6.7109375" style="376" customWidth="1"/>
    <col min="13333" max="13334" width="7.5703125" style="376" customWidth="1"/>
    <col min="13335" max="13336" width="8.42578125" style="376" customWidth="1"/>
    <col min="13337" max="13337" width="6.7109375" style="376" customWidth="1"/>
    <col min="13338" max="13338" width="7.5703125" style="376" customWidth="1"/>
    <col min="13339" max="13578" width="6.28515625" style="376"/>
    <col min="13579" max="13579" width="43.5703125" style="376" customWidth="1"/>
    <col min="13580" max="13580" width="7.5703125" style="376" customWidth="1"/>
    <col min="13581" max="13582" width="8.42578125" style="376" customWidth="1"/>
    <col min="13583" max="13583" width="6.7109375" style="376" customWidth="1"/>
    <col min="13584" max="13585" width="7.5703125" style="376" customWidth="1"/>
    <col min="13586" max="13587" width="8.42578125" style="376" customWidth="1"/>
    <col min="13588" max="13588" width="6.7109375" style="376" customWidth="1"/>
    <col min="13589" max="13590" width="7.5703125" style="376" customWidth="1"/>
    <col min="13591" max="13592" width="8.42578125" style="376" customWidth="1"/>
    <col min="13593" max="13593" width="6.7109375" style="376" customWidth="1"/>
    <col min="13594" max="13594" width="7.5703125" style="376" customWidth="1"/>
    <col min="13595" max="13834" width="6.28515625" style="376"/>
    <col min="13835" max="13835" width="43.5703125" style="376" customWidth="1"/>
    <col min="13836" max="13836" width="7.5703125" style="376" customWidth="1"/>
    <col min="13837" max="13838" width="8.42578125" style="376" customWidth="1"/>
    <col min="13839" max="13839" width="6.7109375" style="376" customWidth="1"/>
    <col min="13840" max="13841" width="7.5703125" style="376" customWidth="1"/>
    <col min="13842" max="13843" width="8.42578125" style="376" customWidth="1"/>
    <col min="13844" max="13844" width="6.7109375" style="376" customWidth="1"/>
    <col min="13845" max="13846" width="7.5703125" style="376" customWidth="1"/>
    <col min="13847" max="13848" width="8.42578125" style="376" customWidth="1"/>
    <col min="13849" max="13849" width="6.7109375" style="376" customWidth="1"/>
    <col min="13850" max="13850" width="7.5703125" style="376" customWidth="1"/>
    <col min="13851" max="14090" width="6.28515625" style="376"/>
    <col min="14091" max="14091" width="43.5703125" style="376" customWidth="1"/>
    <col min="14092" max="14092" width="7.5703125" style="376" customWidth="1"/>
    <col min="14093" max="14094" width="8.42578125" style="376" customWidth="1"/>
    <col min="14095" max="14095" width="6.7109375" style="376" customWidth="1"/>
    <col min="14096" max="14097" width="7.5703125" style="376" customWidth="1"/>
    <col min="14098" max="14099" width="8.42578125" style="376" customWidth="1"/>
    <col min="14100" max="14100" width="6.7109375" style="376" customWidth="1"/>
    <col min="14101" max="14102" width="7.5703125" style="376" customWidth="1"/>
    <col min="14103" max="14104" width="8.42578125" style="376" customWidth="1"/>
    <col min="14105" max="14105" width="6.7109375" style="376" customWidth="1"/>
    <col min="14106" max="14106" width="7.5703125" style="376" customWidth="1"/>
    <col min="14107" max="14346" width="6.28515625" style="376"/>
    <col min="14347" max="14347" width="43.5703125" style="376" customWidth="1"/>
    <col min="14348" max="14348" width="7.5703125" style="376" customWidth="1"/>
    <col min="14349" max="14350" width="8.42578125" style="376" customWidth="1"/>
    <col min="14351" max="14351" width="6.7109375" style="376" customWidth="1"/>
    <col min="14352" max="14353" width="7.5703125" style="376" customWidth="1"/>
    <col min="14354" max="14355" width="8.42578125" style="376" customWidth="1"/>
    <col min="14356" max="14356" width="6.7109375" style="376" customWidth="1"/>
    <col min="14357" max="14358" width="7.5703125" style="376" customWidth="1"/>
    <col min="14359" max="14360" width="8.42578125" style="376" customWidth="1"/>
    <col min="14361" max="14361" width="6.7109375" style="376" customWidth="1"/>
    <col min="14362" max="14362" width="7.5703125" style="376" customWidth="1"/>
    <col min="14363" max="14602" width="6.28515625" style="376"/>
    <col min="14603" max="14603" width="43.5703125" style="376" customWidth="1"/>
    <col min="14604" max="14604" width="7.5703125" style="376" customWidth="1"/>
    <col min="14605" max="14606" width="8.42578125" style="376" customWidth="1"/>
    <col min="14607" max="14607" width="6.7109375" style="376" customWidth="1"/>
    <col min="14608" max="14609" width="7.5703125" style="376" customWidth="1"/>
    <col min="14610" max="14611" width="8.42578125" style="376" customWidth="1"/>
    <col min="14612" max="14612" width="6.7109375" style="376" customWidth="1"/>
    <col min="14613" max="14614" width="7.5703125" style="376" customWidth="1"/>
    <col min="14615" max="14616" width="8.42578125" style="376" customWidth="1"/>
    <col min="14617" max="14617" width="6.7109375" style="376" customWidth="1"/>
    <col min="14618" max="14618" width="7.5703125" style="376" customWidth="1"/>
    <col min="14619" max="14858" width="6.28515625" style="376"/>
    <col min="14859" max="14859" width="43.5703125" style="376" customWidth="1"/>
    <col min="14860" max="14860" width="7.5703125" style="376" customWidth="1"/>
    <col min="14861" max="14862" width="8.42578125" style="376" customWidth="1"/>
    <col min="14863" max="14863" width="6.7109375" style="376" customWidth="1"/>
    <col min="14864" max="14865" width="7.5703125" style="376" customWidth="1"/>
    <col min="14866" max="14867" width="8.42578125" style="376" customWidth="1"/>
    <col min="14868" max="14868" width="6.7109375" style="376" customWidth="1"/>
    <col min="14869" max="14870" width="7.5703125" style="376" customWidth="1"/>
    <col min="14871" max="14872" width="8.42578125" style="376" customWidth="1"/>
    <col min="14873" max="14873" width="6.7109375" style="376" customWidth="1"/>
    <col min="14874" max="14874" width="7.5703125" style="376" customWidth="1"/>
    <col min="14875" max="15114" width="6.28515625" style="376"/>
    <col min="15115" max="15115" width="43.5703125" style="376" customWidth="1"/>
    <col min="15116" max="15116" width="7.5703125" style="376" customWidth="1"/>
    <col min="15117" max="15118" width="8.42578125" style="376" customWidth="1"/>
    <col min="15119" max="15119" width="6.7109375" style="376" customWidth="1"/>
    <col min="15120" max="15121" width="7.5703125" style="376" customWidth="1"/>
    <col min="15122" max="15123" width="8.42578125" style="376" customWidth="1"/>
    <col min="15124" max="15124" width="6.7109375" style="376" customWidth="1"/>
    <col min="15125" max="15126" width="7.5703125" style="376" customWidth="1"/>
    <col min="15127" max="15128" width="8.42578125" style="376" customWidth="1"/>
    <col min="15129" max="15129" width="6.7109375" style="376" customWidth="1"/>
    <col min="15130" max="15130" width="7.5703125" style="376" customWidth="1"/>
    <col min="15131" max="15370" width="6.28515625" style="376"/>
    <col min="15371" max="15371" width="43.5703125" style="376" customWidth="1"/>
    <col min="15372" max="15372" width="7.5703125" style="376" customWidth="1"/>
    <col min="15373" max="15374" width="8.42578125" style="376" customWidth="1"/>
    <col min="15375" max="15375" width="6.7109375" style="376" customWidth="1"/>
    <col min="15376" max="15377" width="7.5703125" style="376" customWidth="1"/>
    <col min="15378" max="15379" width="8.42578125" style="376" customWidth="1"/>
    <col min="15380" max="15380" width="6.7109375" style="376" customWidth="1"/>
    <col min="15381" max="15382" width="7.5703125" style="376" customWidth="1"/>
    <col min="15383" max="15384" width="8.42578125" style="376" customWidth="1"/>
    <col min="15385" max="15385" width="6.7109375" style="376" customWidth="1"/>
    <col min="15386" max="15386" width="7.5703125" style="376" customWidth="1"/>
    <col min="15387" max="15626" width="6.28515625" style="376"/>
    <col min="15627" max="15627" width="43.5703125" style="376" customWidth="1"/>
    <col min="15628" max="15628" width="7.5703125" style="376" customWidth="1"/>
    <col min="15629" max="15630" width="8.42578125" style="376" customWidth="1"/>
    <col min="15631" max="15631" width="6.7109375" style="376" customWidth="1"/>
    <col min="15632" max="15633" width="7.5703125" style="376" customWidth="1"/>
    <col min="15634" max="15635" width="8.42578125" style="376" customWidth="1"/>
    <col min="15636" max="15636" width="6.7109375" style="376" customWidth="1"/>
    <col min="15637" max="15638" width="7.5703125" style="376" customWidth="1"/>
    <col min="15639" max="15640" width="8.42578125" style="376" customWidth="1"/>
    <col min="15641" max="15641" width="6.7109375" style="376" customWidth="1"/>
    <col min="15642" max="15642" width="7.5703125" style="376" customWidth="1"/>
    <col min="15643" max="15882" width="6.28515625" style="376"/>
    <col min="15883" max="15883" width="43.5703125" style="376" customWidth="1"/>
    <col min="15884" max="15884" width="7.5703125" style="376" customWidth="1"/>
    <col min="15885" max="15886" width="8.42578125" style="376" customWidth="1"/>
    <col min="15887" max="15887" width="6.7109375" style="376" customWidth="1"/>
    <col min="15888" max="15889" width="7.5703125" style="376" customWidth="1"/>
    <col min="15890" max="15891" width="8.42578125" style="376" customWidth="1"/>
    <col min="15892" max="15892" width="6.7109375" style="376" customWidth="1"/>
    <col min="15893" max="15894" width="7.5703125" style="376" customWidth="1"/>
    <col min="15895" max="15896" width="8.42578125" style="376" customWidth="1"/>
    <col min="15897" max="15897" width="6.7109375" style="376" customWidth="1"/>
    <col min="15898" max="15898" width="7.5703125" style="376" customWidth="1"/>
    <col min="15899" max="16138" width="6.28515625" style="376"/>
    <col min="16139" max="16139" width="43.5703125" style="376" customWidth="1"/>
    <col min="16140" max="16140" width="7.5703125" style="376" customWidth="1"/>
    <col min="16141" max="16142" width="8.42578125" style="376" customWidth="1"/>
    <col min="16143" max="16143" width="6.7109375" style="376" customWidth="1"/>
    <col min="16144" max="16145" width="7.5703125" style="376" customWidth="1"/>
    <col min="16146" max="16147" width="8.42578125" style="376" customWidth="1"/>
    <col min="16148" max="16148" width="6.7109375" style="376" customWidth="1"/>
    <col min="16149" max="16150" width="7.5703125" style="376" customWidth="1"/>
    <col min="16151" max="16152" width="8.42578125" style="376" customWidth="1"/>
    <col min="16153" max="16153" width="6.7109375" style="376" customWidth="1"/>
    <col min="16154" max="16154" width="7.5703125" style="376" customWidth="1"/>
    <col min="16155" max="16384" width="6.28515625" style="376"/>
  </cols>
  <sheetData>
    <row r="1" spans="1:25" ht="15.75" x14ac:dyDescent="0.25">
      <c r="A1" s="265" t="str">
        <f>CONCATENATE("Industry Table 6  Employment status by Industry (SIC 2007) and Gender, ",B$5,"-",V$5)</f>
        <v>Industry Table 6  Employment status by Industry (SIC 2007) and Gender, 2007-2027</v>
      </c>
    </row>
    <row r="3" spans="1:25" x14ac:dyDescent="0.2">
      <c r="A3" s="377"/>
      <c r="B3" s="380"/>
      <c r="C3" s="455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</row>
    <row r="4" spans="1:25" x14ac:dyDescent="0.2">
      <c r="A4" s="381"/>
      <c r="B4" s="456"/>
      <c r="C4" s="457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 t="s">
        <v>35</v>
      </c>
    </row>
    <row r="5" spans="1:25" ht="15" x14ac:dyDescent="0.25">
      <c r="A5" s="385" t="str">
        <f>"Industry 1 : "&amp; name!B4</f>
        <v>Industry 1 : Agriculture</v>
      </c>
      <c r="B5" s="516">
        <v>2007</v>
      </c>
      <c r="C5" s="516"/>
      <c r="D5" s="516"/>
      <c r="E5" s="516"/>
      <c r="F5" s="458"/>
      <c r="G5" s="516">
        <v>2012</v>
      </c>
      <c r="H5" s="516"/>
      <c r="I5" s="516"/>
      <c r="J5" s="516"/>
      <c r="K5" s="459"/>
      <c r="L5" s="516">
        <v>2017</v>
      </c>
      <c r="M5" s="516"/>
      <c r="N5" s="516"/>
      <c r="O5" s="516"/>
      <c r="P5" s="459"/>
      <c r="Q5" s="516">
        <v>2022</v>
      </c>
      <c r="R5" s="516"/>
      <c r="S5" s="516"/>
      <c r="T5" s="516"/>
      <c r="U5" s="458"/>
      <c r="V5" s="516">
        <v>2027</v>
      </c>
      <c r="W5" s="516"/>
      <c r="X5" s="516"/>
      <c r="Y5" s="516"/>
    </row>
    <row r="6" spans="1:25" x14ac:dyDescent="0.2">
      <c r="A6" s="387"/>
      <c r="B6" s="388" t="str">
        <f>name!$J$5</f>
        <v>FT</v>
      </c>
      <c r="C6" s="388" t="str">
        <f>name!$J$6</f>
        <v>PT</v>
      </c>
      <c r="D6" s="388" t="str">
        <f>name!$J$4</f>
        <v>SE</v>
      </c>
      <c r="E6" s="388" t="s">
        <v>32</v>
      </c>
      <c r="F6" s="388"/>
      <c r="G6" s="388" t="str">
        <f>name!$J$5</f>
        <v>FT</v>
      </c>
      <c r="H6" s="388" t="str">
        <f>name!$J$6</f>
        <v>PT</v>
      </c>
      <c r="I6" s="388" t="str">
        <f>name!$J$4</f>
        <v>SE</v>
      </c>
      <c r="J6" s="388" t="s">
        <v>32</v>
      </c>
      <c r="K6" s="388"/>
      <c r="L6" s="388" t="str">
        <f>name!$J$5</f>
        <v>FT</v>
      </c>
      <c r="M6" s="388" t="str">
        <f>name!$J$6</f>
        <v>PT</v>
      </c>
      <c r="N6" s="388" t="str">
        <f>name!$J$4</f>
        <v>SE</v>
      </c>
      <c r="O6" s="388" t="s">
        <v>32</v>
      </c>
      <c r="P6" s="388"/>
      <c r="Q6" s="388" t="str">
        <f>name!$J$5</f>
        <v>FT</v>
      </c>
      <c r="R6" s="388" t="str">
        <f>name!$J$6</f>
        <v>PT</v>
      </c>
      <c r="S6" s="388" t="str">
        <f>name!$J$4</f>
        <v>SE</v>
      </c>
      <c r="T6" s="388" t="s">
        <v>32</v>
      </c>
      <c r="U6" s="388"/>
      <c r="V6" s="388" t="str">
        <f>name!$J$5</f>
        <v>FT</v>
      </c>
      <c r="W6" s="388" t="str">
        <f>name!$J$6</f>
        <v>PT</v>
      </c>
      <c r="X6" s="388" t="str">
        <f>name!$J$4</f>
        <v>SE</v>
      </c>
      <c r="Y6" s="388" t="s">
        <v>32</v>
      </c>
    </row>
    <row r="7" spans="1:25" x14ac:dyDescent="0.2">
      <c r="A7" s="389"/>
      <c r="B7" s="380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</row>
    <row r="8" spans="1:25" x14ac:dyDescent="0.2">
      <c r="A8" s="378" t="str">
        <f>name!A4</f>
        <v>Agriculture, etc</v>
      </c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</row>
    <row r="9" spans="1:25" x14ac:dyDescent="0.2">
      <c r="A9" s="382" t="s">
        <v>391</v>
      </c>
      <c r="B9" s="437">
        <v>2.6519999999709722</v>
      </c>
      <c r="C9" s="437">
        <v>3.0389999999687758</v>
      </c>
      <c r="D9" s="437">
        <v>5.1150000001067388</v>
      </c>
      <c r="E9" s="437">
        <f>SUM(B9:D9)</f>
        <v>10.806000000046488</v>
      </c>
      <c r="F9" s="437"/>
      <c r="G9" s="437">
        <v>1.8639999999835597</v>
      </c>
      <c r="H9" s="437">
        <v>2.9219999999818351</v>
      </c>
      <c r="I9" s="437">
        <v>7.3630000001858367</v>
      </c>
      <c r="J9" s="437">
        <f>SUM(G9:I9)</f>
        <v>12.149000000151231</v>
      </c>
      <c r="K9" s="437"/>
      <c r="L9" s="437">
        <v>0.16499999999852402</v>
      </c>
      <c r="M9" s="437">
        <v>5.8350000000762332</v>
      </c>
      <c r="N9" s="437">
        <v>10.039000000426594</v>
      </c>
      <c r="O9" s="437">
        <f>SUM(L9:N9)</f>
        <v>16.03900000050135</v>
      </c>
      <c r="P9" s="437"/>
      <c r="Q9" s="437">
        <v>0.1799999999975247</v>
      </c>
      <c r="R9" s="437">
        <v>6.8910000000976126</v>
      </c>
      <c r="S9" s="437">
        <v>9.9870000004501627</v>
      </c>
      <c r="T9" s="437">
        <f>SUM(Q9:S9)</f>
        <v>17.058000000545299</v>
      </c>
      <c r="U9" s="437"/>
      <c r="V9" s="437">
        <v>0.19799999999866338</v>
      </c>
      <c r="W9" s="437">
        <v>8.1950000000995455</v>
      </c>
      <c r="X9" s="437">
        <v>10.02000000036848</v>
      </c>
      <c r="Y9" s="437">
        <f>SUM(V9:X9)</f>
        <v>18.413000000466688</v>
      </c>
    </row>
    <row r="10" spans="1:25" x14ac:dyDescent="0.2">
      <c r="A10" s="382" t="s">
        <v>390</v>
      </c>
      <c r="B10" s="437">
        <v>9.3120000000182568</v>
      </c>
      <c r="C10" s="437">
        <v>3.4350000000048122</v>
      </c>
      <c r="D10" s="437">
        <v>13.564999999933711</v>
      </c>
      <c r="E10" s="437">
        <f t="shared" ref="E10:E11" si="0">SUM(B10:D10)</f>
        <v>26.311999999956782</v>
      </c>
      <c r="F10" s="437"/>
      <c r="G10" s="437">
        <v>9.3519999998709853</v>
      </c>
      <c r="H10" s="437">
        <v>0.24899999999750369</v>
      </c>
      <c r="I10" s="437">
        <v>13.546999999774549</v>
      </c>
      <c r="J10" s="437">
        <f t="shared" ref="J10:J11" si="1">SUM(G10:I10)</f>
        <v>23.147999999643037</v>
      </c>
      <c r="K10" s="437"/>
      <c r="L10" s="437">
        <v>16.702000000009445</v>
      </c>
      <c r="M10" s="437">
        <v>0.27400000000043229</v>
      </c>
      <c r="N10" s="437">
        <v>26.806000000021722</v>
      </c>
      <c r="O10" s="437">
        <f t="shared" ref="O10:O11" si="2">SUM(L10:N10)</f>
        <v>43.782000000031601</v>
      </c>
      <c r="P10" s="437"/>
      <c r="Q10" s="437">
        <v>16.971999999847007</v>
      </c>
      <c r="R10" s="437">
        <v>0.28399999999723063</v>
      </c>
      <c r="S10" s="437">
        <v>25.373999999943624</v>
      </c>
      <c r="T10" s="437">
        <f t="shared" ref="T10:T11" si="3">SUM(Q10:S10)</f>
        <v>42.629999999787863</v>
      </c>
      <c r="U10" s="437"/>
      <c r="V10" s="437">
        <v>17.347999999836411</v>
      </c>
      <c r="W10" s="437">
        <v>0.29799999999586829</v>
      </c>
      <c r="X10" s="437">
        <v>23.947000000026843</v>
      </c>
      <c r="Y10" s="437">
        <f t="shared" ref="Y10:Y11" si="4">SUM(V10:X10)</f>
        <v>41.592999999859124</v>
      </c>
    </row>
    <row r="11" spans="1:25" x14ac:dyDescent="0.2">
      <c r="A11" s="381" t="s">
        <v>389</v>
      </c>
      <c r="B11" s="439">
        <f>SUM(B9:B10)</f>
        <v>11.963999999989229</v>
      </c>
      <c r="C11" s="439">
        <f t="shared" ref="C11:D11" si="5">SUM(C9:C10)</f>
        <v>6.4739999999735875</v>
      </c>
      <c r="D11" s="439">
        <f t="shared" si="5"/>
        <v>18.680000000040451</v>
      </c>
      <c r="E11" s="439">
        <f t="shared" si="0"/>
        <v>37.118000000003263</v>
      </c>
      <c r="F11" s="439"/>
      <c r="G11" s="439">
        <f>SUM(G9:G10)</f>
        <v>11.215999999854546</v>
      </c>
      <c r="H11" s="439">
        <f t="shared" ref="H11" si="6">SUM(H9:H10)</f>
        <v>3.170999999979339</v>
      </c>
      <c r="I11" s="439">
        <f t="shared" ref="I11" si="7">SUM(I9:I10)</f>
        <v>20.909999999960384</v>
      </c>
      <c r="J11" s="439">
        <f t="shared" si="1"/>
        <v>35.296999999794267</v>
      </c>
      <c r="K11" s="439"/>
      <c r="L11" s="439">
        <f>SUM(L9:L10)</f>
        <v>16.86700000000797</v>
      </c>
      <c r="M11" s="439">
        <f t="shared" ref="M11" si="8">SUM(M9:M10)</f>
        <v>6.1090000000766658</v>
      </c>
      <c r="N11" s="439">
        <f t="shared" ref="N11" si="9">SUM(N9:N10)</f>
        <v>36.845000000448316</v>
      </c>
      <c r="O11" s="439">
        <f t="shared" si="2"/>
        <v>59.821000000532948</v>
      </c>
      <c r="P11" s="439"/>
      <c r="Q11" s="439">
        <f>SUM(Q9:Q10)</f>
        <v>17.151999999844531</v>
      </c>
      <c r="R11" s="439">
        <f t="shared" ref="R11" si="10">SUM(R9:R10)</f>
        <v>7.1750000000948431</v>
      </c>
      <c r="S11" s="439">
        <f t="shared" ref="S11" si="11">SUM(S9:S10)</f>
        <v>35.361000000393787</v>
      </c>
      <c r="T11" s="439">
        <f t="shared" si="3"/>
        <v>59.688000000333162</v>
      </c>
      <c r="U11" s="439"/>
      <c r="V11" s="439">
        <f>SUM(V9:V10)</f>
        <v>17.545999999835075</v>
      </c>
      <c r="W11" s="439">
        <f t="shared" ref="W11" si="12">SUM(W9:W10)</f>
        <v>8.4930000000954138</v>
      </c>
      <c r="X11" s="439">
        <f t="shared" ref="X11" si="13">SUM(X9:X10)</f>
        <v>33.967000000395323</v>
      </c>
      <c r="Y11" s="439">
        <f t="shared" si="4"/>
        <v>60.006000000325812</v>
      </c>
    </row>
    <row r="13" spans="1:25" x14ac:dyDescent="0.2">
      <c r="A13" s="383"/>
    </row>
    <row r="14" spans="1:25" x14ac:dyDescent="0.2">
      <c r="C14" s="453"/>
    </row>
    <row r="15" spans="1:25" ht="15" x14ac:dyDescent="0.25">
      <c r="A15" s="385" t="str">
        <f>"Industry 2 : "&amp; name!B5</f>
        <v>Industry 2 : Mining and quarrying</v>
      </c>
      <c r="B15" s="516">
        <f>$B$5</f>
        <v>2007</v>
      </c>
      <c r="C15" s="516"/>
      <c r="D15" s="516"/>
      <c r="E15" s="516"/>
      <c r="F15" s="461"/>
      <c r="G15" s="516">
        <f>$G$5</f>
        <v>2012</v>
      </c>
      <c r="H15" s="516"/>
      <c r="I15" s="516"/>
      <c r="J15" s="516"/>
      <c r="K15" s="461"/>
      <c r="L15" s="516">
        <f>$L$5</f>
        <v>2017</v>
      </c>
      <c r="M15" s="516"/>
      <c r="N15" s="516"/>
      <c r="O15" s="516"/>
      <c r="P15" s="459"/>
      <c r="Q15" s="516">
        <f>$Q$5</f>
        <v>2022</v>
      </c>
      <c r="R15" s="516"/>
      <c r="S15" s="516"/>
      <c r="T15" s="516"/>
      <c r="U15" s="461"/>
      <c r="V15" s="516">
        <f>$V$5</f>
        <v>2027</v>
      </c>
      <c r="W15" s="516"/>
      <c r="X15" s="516"/>
      <c r="Y15" s="516"/>
    </row>
    <row r="16" spans="1:25" x14ac:dyDescent="0.2">
      <c r="A16" s="381"/>
      <c r="B16" s="388" t="str">
        <f>$B$6</f>
        <v>FT</v>
      </c>
      <c r="C16" s="388" t="str">
        <f>$C$6</f>
        <v>PT</v>
      </c>
      <c r="D16" s="388" t="str">
        <f>$D$6</f>
        <v>SE</v>
      </c>
      <c r="E16" s="388" t="str">
        <f>$E$6</f>
        <v>Total</v>
      </c>
      <c r="F16" s="388"/>
      <c r="G16" s="388" t="str">
        <f>$B$6</f>
        <v>FT</v>
      </c>
      <c r="H16" s="388" t="str">
        <f>$C$6</f>
        <v>PT</v>
      </c>
      <c r="I16" s="388" t="str">
        <f>$D$6</f>
        <v>SE</v>
      </c>
      <c r="J16" s="388" t="str">
        <f>$E$6</f>
        <v>Total</v>
      </c>
      <c r="K16" s="388"/>
      <c r="L16" s="388" t="str">
        <f>$L$6</f>
        <v>FT</v>
      </c>
      <c r="M16" s="388" t="str">
        <f>$M$6</f>
        <v>PT</v>
      </c>
      <c r="N16" s="388" t="str">
        <f>$N$6</f>
        <v>SE</v>
      </c>
      <c r="O16" s="388" t="str">
        <f>$O$6</f>
        <v>Total</v>
      </c>
      <c r="P16" s="388"/>
      <c r="Q16" s="388" t="str">
        <f>$L$6</f>
        <v>FT</v>
      </c>
      <c r="R16" s="388" t="str">
        <f>$M$6</f>
        <v>PT</v>
      </c>
      <c r="S16" s="388" t="str">
        <f>$N$6</f>
        <v>SE</v>
      </c>
      <c r="T16" s="388" t="str">
        <f>$O$6</f>
        <v>Total</v>
      </c>
      <c r="U16" s="388"/>
      <c r="V16" s="388" t="str">
        <f>$V$6</f>
        <v>FT</v>
      </c>
      <c r="W16" s="388" t="str">
        <f>$W$6</f>
        <v>PT</v>
      </c>
      <c r="X16" s="388" t="str">
        <f>$X$6</f>
        <v>SE</v>
      </c>
      <c r="Y16" s="388" t="str">
        <f>$Y$6</f>
        <v>Total</v>
      </c>
    </row>
    <row r="17" spans="1:25" x14ac:dyDescent="0.2">
      <c r="B17" s="380"/>
      <c r="C17" s="460"/>
      <c r="D17" s="460"/>
      <c r="E17" s="460"/>
      <c r="F17" s="460"/>
      <c r="G17" s="460"/>
      <c r="H17" s="460"/>
      <c r="I17" s="460"/>
      <c r="J17" s="460"/>
      <c r="K17" s="460"/>
      <c r="L17" s="460"/>
      <c r="M17" s="460"/>
      <c r="N17" s="460"/>
      <c r="O17" s="460"/>
      <c r="P17" s="460"/>
      <c r="Q17" s="460"/>
      <c r="R17" s="460"/>
      <c r="S17" s="460"/>
      <c r="T17" s="460"/>
      <c r="U17" s="460"/>
      <c r="V17" s="460"/>
      <c r="W17" s="460"/>
      <c r="X17" s="460"/>
      <c r="Y17" s="460"/>
    </row>
    <row r="18" spans="1:25" x14ac:dyDescent="0.2">
      <c r="A18" s="378" t="str">
        <f>name!A5</f>
        <v>Coal, oil &amp; gas; Mining &amp; related</v>
      </c>
      <c r="C18" s="380"/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</row>
    <row r="19" spans="1:25" x14ac:dyDescent="0.2">
      <c r="A19" s="382" t="s">
        <v>391</v>
      </c>
      <c r="B19" s="437">
        <v>7.3000000000544379E-2</v>
      </c>
      <c r="C19" s="437">
        <v>4.2999999999526681E-2</v>
      </c>
      <c r="D19" s="437">
        <v>9.999999999952987E-4</v>
      </c>
      <c r="E19" s="437">
        <f>SUM(B19:D19)</f>
        <v>0.11700000000006636</v>
      </c>
      <c r="F19" s="437"/>
      <c r="G19" s="437">
        <v>0.13400000000081827</v>
      </c>
      <c r="H19" s="437">
        <v>3.3000000000248414E-2</v>
      </c>
      <c r="I19" s="437">
        <v>1.0000000000190113E-3</v>
      </c>
      <c r="J19" s="437">
        <f>SUM(G19:I19)</f>
        <v>0.1680000000010857</v>
      </c>
      <c r="K19" s="437"/>
      <c r="L19" s="437">
        <v>0.14800000000095653</v>
      </c>
      <c r="M19" s="437">
        <v>2.5999999999953217E-2</v>
      </c>
      <c r="N19" s="437">
        <v>7.4000000000016178E-2</v>
      </c>
      <c r="O19" s="437">
        <f>SUM(L19:N19)</f>
        <v>0.24800000000092592</v>
      </c>
      <c r="P19" s="437"/>
      <c r="Q19" s="437">
        <v>0.14199999999776503</v>
      </c>
      <c r="R19" s="437">
        <v>2.3999999999994366E-2</v>
      </c>
      <c r="S19" s="437">
        <v>7.5000000000156511E-2</v>
      </c>
      <c r="T19" s="437">
        <f>SUM(Q19:S19)</f>
        <v>0.24099999999791588</v>
      </c>
      <c r="U19" s="437"/>
      <c r="V19" s="437">
        <v>0.12299999999865575</v>
      </c>
      <c r="W19" s="437">
        <v>2.1000000000048803E-2</v>
      </c>
      <c r="X19" s="437">
        <v>7.1000000000108435E-2</v>
      </c>
      <c r="Y19" s="437">
        <f>SUM(V19:X19)</f>
        <v>0.21499999999881297</v>
      </c>
    </row>
    <row r="20" spans="1:25" x14ac:dyDescent="0.2">
      <c r="A20" s="382" t="s">
        <v>390</v>
      </c>
      <c r="B20" s="437">
        <v>1.4379999999963002</v>
      </c>
      <c r="C20" s="437">
        <v>7.2999999999870072E-2</v>
      </c>
      <c r="D20" s="437">
        <v>0</v>
      </c>
      <c r="E20" s="437">
        <f t="shared" ref="E20:E21" si="14">SUM(B20:D20)</f>
        <v>1.5109999999961703</v>
      </c>
      <c r="F20" s="437"/>
      <c r="G20" s="437">
        <v>1.9519999999952835</v>
      </c>
      <c r="H20" s="437">
        <v>1.4000000000028467E-2</v>
      </c>
      <c r="I20" s="437">
        <v>0.87399999999147193</v>
      </c>
      <c r="J20" s="437">
        <f t="shared" ref="J20:J21" si="15">SUM(G20:I20)</f>
        <v>2.8399999999867838</v>
      </c>
      <c r="K20" s="437"/>
      <c r="L20" s="437">
        <v>2.4729999999931316</v>
      </c>
      <c r="M20" s="437">
        <v>2.9999999999960063E-3</v>
      </c>
      <c r="N20" s="437">
        <v>0</v>
      </c>
      <c r="O20" s="437">
        <f t="shared" ref="O20:O21" si="16">SUM(L20:N20)</f>
        <v>2.4759999999931277</v>
      </c>
      <c r="P20" s="437"/>
      <c r="Q20" s="437">
        <v>2.3149999999916822</v>
      </c>
      <c r="R20" s="437">
        <v>2.9999999999614072E-3</v>
      </c>
      <c r="S20" s="437">
        <v>0</v>
      </c>
      <c r="T20" s="437">
        <f t="shared" ref="T20:T21" si="17">SUM(Q20:S20)</f>
        <v>2.3179999999916436</v>
      </c>
      <c r="U20" s="437"/>
      <c r="V20" s="437">
        <v>1.9979999999905145</v>
      </c>
      <c r="W20" s="437">
        <v>2.9999999999516186E-3</v>
      </c>
      <c r="X20" s="437">
        <v>0</v>
      </c>
      <c r="Y20" s="437">
        <f t="shared" ref="Y20:Y21" si="18">SUM(V20:X20)</f>
        <v>2.0009999999904662</v>
      </c>
    </row>
    <row r="21" spans="1:25" x14ac:dyDescent="0.2">
      <c r="A21" s="381" t="s">
        <v>389</v>
      </c>
      <c r="B21" s="439">
        <f>SUM(B19:B20)</f>
        <v>1.5109999999968446</v>
      </c>
      <c r="C21" s="439">
        <f t="shared" ref="C21" si="19">SUM(C19:C20)</f>
        <v>0.11599999999939675</v>
      </c>
      <c r="D21" s="439">
        <f t="shared" ref="D21" si="20">SUM(D19:D20)</f>
        <v>9.999999999952987E-4</v>
      </c>
      <c r="E21" s="439">
        <f t="shared" si="14"/>
        <v>1.6279999999962367</v>
      </c>
      <c r="F21" s="439"/>
      <c r="G21" s="439">
        <f>SUM(G19:G20)</f>
        <v>2.0859999999961016</v>
      </c>
      <c r="H21" s="439">
        <f t="shared" ref="H21" si="21">SUM(H19:H20)</f>
        <v>4.7000000000276883E-2</v>
      </c>
      <c r="I21" s="439">
        <f t="shared" ref="I21" si="22">SUM(I19:I20)</f>
        <v>0.87499999999149092</v>
      </c>
      <c r="J21" s="439">
        <f t="shared" si="15"/>
        <v>3.0079999999878693</v>
      </c>
      <c r="K21" s="439"/>
      <c r="L21" s="439">
        <f>SUM(L19:L20)</f>
        <v>2.6209999999940883</v>
      </c>
      <c r="M21" s="439">
        <f t="shared" ref="M21" si="23">SUM(M19:M20)</f>
        <v>2.8999999999949223E-2</v>
      </c>
      <c r="N21" s="439">
        <f t="shared" ref="N21" si="24">SUM(N19:N20)</f>
        <v>7.4000000000016178E-2</v>
      </c>
      <c r="O21" s="439">
        <f t="shared" si="16"/>
        <v>2.7239999999940538</v>
      </c>
      <c r="P21" s="439"/>
      <c r="Q21" s="439">
        <f>SUM(Q19:Q20)</f>
        <v>2.4569999999894474</v>
      </c>
      <c r="R21" s="439">
        <f t="shared" ref="R21" si="25">SUM(R19:R20)</f>
        <v>2.6999999999955775E-2</v>
      </c>
      <c r="S21" s="439">
        <f t="shared" ref="S21" si="26">SUM(S19:S20)</f>
        <v>7.5000000000156511E-2</v>
      </c>
      <c r="T21" s="439">
        <f t="shared" si="17"/>
        <v>2.5589999999895596</v>
      </c>
      <c r="U21" s="439"/>
      <c r="V21" s="439">
        <f>SUM(V19:V20)</f>
        <v>2.1209999999891704</v>
      </c>
      <c r="W21" s="439">
        <f t="shared" ref="W21" si="27">SUM(W19:W20)</f>
        <v>2.400000000000042E-2</v>
      </c>
      <c r="X21" s="439">
        <f t="shared" ref="X21" si="28">SUM(X19:X20)</f>
        <v>7.1000000000108435E-2</v>
      </c>
      <c r="Y21" s="439">
        <f t="shared" si="18"/>
        <v>2.2159999999892794</v>
      </c>
    </row>
    <row r="22" spans="1:25" x14ac:dyDescent="0.2">
      <c r="A22" s="384"/>
    </row>
    <row r="23" spans="1:25" x14ac:dyDescent="0.2">
      <c r="A23" s="384"/>
    </row>
    <row r="24" spans="1:25" x14ac:dyDescent="0.2">
      <c r="A24" s="384"/>
    </row>
    <row r="25" spans="1:25" ht="15" x14ac:dyDescent="0.25">
      <c r="A25" s="385" t="str">
        <f>"Industry 3 : "&amp; name!B6</f>
        <v>Industry 3 : Food drink and tobacco</v>
      </c>
      <c r="B25" s="516">
        <f>$B$5</f>
        <v>2007</v>
      </c>
      <c r="C25" s="516"/>
      <c r="D25" s="516"/>
      <c r="E25" s="516"/>
      <c r="F25" s="461"/>
      <c r="G25" s="516">
        <f>$G$5</f>
        <v>2012</v>
      </c>
      <c r="H25" s="516"/>
      <c r="I25" s="516"/>
      <c r="J25" s="516"/>
      <c r="K25" s="461"/>
      <c r="L25" s="516">
        <f>$L$5</f>
        <v>2017</v>
      </c>
      <c r="M25" s="516"/>
      <c r="N25" s="516"/>
      <c r="O25" s="516"/>
      <c r="P25" s="459"/>
      <c r="Q25" s="516">
        <f>$Q$5</f>
        <v>2022</v>
      </c>
      <c r="R25" s="516"/>
      <c r="S25" s="516"/>
      <c r="T25" s="516"/>
      <c r="U25" s="461"/>
      <c r="V25" s="516">
        <f>$V$5</f>
        <v>2027</v>
      </c>
      <c r="W25" s="516"/>
      <c r="X25" s="516"/>
      <c r="Y25" s="516"/>
    </row>
    <row r="26" spans="1:25" x14ac:dyDescent="0.2">
      <c r="A26" s="381"/>
      <c r="B26" s="388" t="str">
        <f>$B$6</f>
        <v>FT</v>
      </c>
      <c r="C26" s="388" t="str">
        <f>$C$6</f>
        <v>PT</v>
      </c>
      <c r="D26" s="388" t="str">
        <f>$D$6</f>
        <v>SE</v>
      </c>
      <c r="E26" s="388" t="str">
        <f>$E$6</f>
        <v>Total</v>
      </c>
      <c r="F26" s="388"/>
      <c r="G26" s="388" t="str">
        <f>$B$6</f>
        <v>FT</v>
      </c>
      <c r="H26" s="388" t="str">
        <f>$C$6</f>
        <v>PT</v>
      </c>
      <c r="I26" s="388" t="str">
        <f>$D$6</f>
        <v>SE</v>
      </c>
      <c r="J26" s="388" t="str">
        <f>$E$6</f>
        <v>Total</v>
      </c>
      <c r="K26" s="388"/>
      <c r="L26" s="388" t="str">
        <f>$L$6</f>
        <v>FT</v>
      </c>
      <c r="M26" s="388" t="str">
        <f>$M$6</f>
        <v>PT</v>
      </c>
      <c r="N26" s="388" t="str">
        <f>$N$6</f>
        <v>SE</v>
      </c>
      <c r="O26" s="388" t="str">
        <f>$O$6</f>
        <v>Total</v>
      </c>
      <c r="P26" s="388"/>
      <c r="Q26" s="388" t="str">
        <f>$L$6</f>
        <v>FT</v>
      </c>
      <c r="R26" s="388" t="str">
        <f>$M$6</f>
        <v>PT</v>
      </c>
      <c r="S26" s="388" t="str">
        <f>$N$6</f>
        <v>SE</v>
      </c>
      <c r="T26" s="388" t="str">
        <f>$O$6</f>
        <v>Total</v>
      </c>
      <c r="U26" s="388"/>
      <c r="V26" s="388" t="str">
        <f>$V$6</f>
        <v>FT</v>
      </c>
      <c r="W26" s="388" t="str">
        <f>$W$6</f>
        <v>PT</v>
      </c>
      <c r="X26" s="388" t="str">
        <f>$X$6</f>
        <v>SE</v>
      </c>
      <c r="Y26" s="388" t="str">
        <f>$Y$6</f>
        <v>Total</v>
      </c>
    </row>
    <row r="27" spans="1:25" x14ac:dyDescent="0.2">
      <c r="B27" s="380"/>
      <c r="C27" s="460"/>
      <c r="D27" s="460"/>
      <c r="E27" s="460"/>
      <c r="F27" s="460"/>
      <c r="G27" s="460"/>
      <c r="H27" s="460"/>
      <c r="I27" s="460"/>
      <c r="J27" s="460"/>
      <c r="K27" s="460"/>
      <c r="L27" s="460"/>
      <c r="M27" s="460"/>
      <c r="N27" s="460"/>
      <c r="O27" s="460"/>
      <c r="P27" s="460"/>
      <c r="Q27" s="460"/>
      <c r="R27" s="460"/>
      <c r="S27" s="460"/>
      <c r="T27" s="460"/>
      <c r="U27" s="460"/>
      <c r="V27" s="460"/>
      <c r="W27" s="460"/>
      <c r="X27" s="460"/>
      <c r="Y27" s="460"/>
    </row>
    <row r="28" spans="1:25" x14ac:dyDescent="0.2">
      <c r="A28" s="378" t="str">
        <f>name!A6</f>
        <v>Food products</v>
      </c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</row>
    <row r="29" spans="1:25" x14ac:dyDescent="0.2">
      <c r="A29" s="382" t="s">
        <v>391</v>
      </c>
      <c r="B29" s="437">
        <v>4.7889999998660802</v>
      </c>
      <c r="C29" s="437">
        <v>1.6689999999948937</v>
      </c>
      <c r="D29" s="437">
        <v>0.253000000001045</v>
      </c>
      <c r="E29" s="437">
        <f>SUM(B29:D29)</f>
        <v>6.7109999998620182</v>
      </c>
      <c r="F29" s="437"/>
      <c r="G29" s="437">
        <v>4.2359999998893763</v>
      </c>
      <c r="H29" s="437">
        <v>1.3570000000060813</v>
      </c>
      <c r="I29" s="437">
        <v>0.70800000000502894</v>
      </c>
      <c r="J29" s="437">
        <f>SUM(G29:I29)</f>
        <v>6.3009999999004869</v>
      </c>
      <c r="K29" s="437"/>
      <c r="L29" s="437">
        <v>3.8300000000257226</v>
      </c>
      <c r="M29" s="437">
        <v>1.134000000045845</v>
      </c>
      <c r="N29" s="437">
        <v>0.81800000002832152</v>
      </c>
      <c r="O29" s="437">
        <f>SUM(L29:N29)</f>
        <v>5.7820000000998899</v>
      </c>
      <c r="P29" s="437"/>
      <c r="Q29" s="437">
        <v>3.6299999999936032</v>
      </c>
      <c r="R29" s="437">
        <v>1.0960000000297501</v>
      </c>
      <c r="S29" s="437">
        <v>0.7580000000234236</v>
      </c>
      <c r="T29" s="437">
        <f>SUM(Q29:S29)</f>
        <v>5.4840000000467768</v>
      </c>
      <c r="U29" s="437"/>
      <c r="V29" s="437">
        <v>3.4599999999905169</v>
      </c>
      <c r="W29" s="437">
        <v>1.0650000000252779</v>
      </c>
      <c r="X29" s="437">
        <v>0.70700000001636054</v>
      </c>
      <c r="Y29" s="437">
        <f>SUM(V29:X29)</f>
        <v>5.2320000000321549</v>
      </c>
    </row>
    <row r="30" spans="1:25" x14ac:dyDescent="0.2">
      <c r="A30" s="382" t="s">
        <v>390</v>
      </c>
      <c r="B30" s="438">
        <v>13.821000000028596</v>
      </c>
      <c r="C30" s="438">
        <v>0.39499999999922264</v>
      </c>
      <c r="D30" s="438">
        <v>0.80399999998470228</v>
      </c>
      <c r="E30" s="438">
        <f t="shared" ref="E30:E31" si="29">SUM(B30:D30)</f>
        <v>15.020000000012521</v>
      </c>
      <c r="F30" s="438"/>
      <c r="G30" s="438">
        <v>13.374999999693143</v>
      </c>
      <c r="H30" s="438">
        <v>0.49799999999870209</v>
      </c>
      <c r="I30" s="438">
        <v>0.3370000000010181</v>
      </c>
      <c r="J30" s="438">
        <f t="shared" ref="J30:J31" si="30">SUM(G30:I30)</f>
        <v>14.209999999692863</v>
      </c>
      <c r="K30" s="438"/>
      <c r="L30" s="438">
        <v>11.52300000001711</v>
      </c>
      <c r="M30" s="438">
        <v>0.61099999999386545</v>
      </c>
      <c r="N30" s="438">
        <v>0.35499999999525983</v>
      </c>
      <c r="O30" s="438">
        <f t="shared" ref="O30:O31" si="31">SUM(L30:N30)</f>
        <v>12.489000000006234</v>
      </c>
      <c r="P30" s="438"/>
      <c r="Q30" s="438">
        <v>10.743999999819977</v>
      </c>
      <c r="R30" s="438">
        <v>0.68100000000009753</v>
      </c>
      <c r="S30" s="438">
        <v>0.32999999999908136</v>
      </c>
      <c r="T30" s="438">
        <f t="shared" ref="T30:T31" si="32">SUM(Q30:S30)</f>
        <v>11.754999999819155</v>
      </c>
      <c r="U30" s="438"/>
      <c r="V30" s="438">
        <v>10.085999999813096</v>
      </c>
      <c r="W30" s="438">
        <v>0.7430000000008804</v>
      </c>
      <c r="X30" s="438">
        <v>0.30999999999967481</v>
      </c>
      <c r="Y30" s="438">
        <f t="shared" ref="Y30:Y31" si="33">SUM(V30:X30)</f>
        <v>11.138999999813651</v>
      </c>
    </row>
    <row r="31" spans="1:25" x14ac:dyDescent="0.2">
      <c r="A31" s="382" t="s">
        <v>389</v>
      </c>
      <c r="B31" s="438">
        <f>SUM(B29:B30)</f>
        <v>18.609999999894676</v>
      </c>
      <c r="C31" s="438">
        <f t="shared" ref="C31" si="34">SUM(C29:C30)</f>
        <v>2.0639999999941163</v>
      </c>
      <c r="D31" s="438">
        <f t="shared" ref="D31" si="35">SUM(D29:D30)</f>
        <v>1.0569999999857473</v>
      </c>
      <c r="E31" s="438">
        <f t="shared" si="29"/>
        <v>21.730999999874541</v>
      </c>
      <c r="F31" s="438"/>
      <c r="G31" s="438">
        <f>SUM(G29:G30)</f>
        <v>17.610999999582518</v>
      </c>
      <c r="H31" s="438">
        <f t="shared" ref="H31" si="36">SUM(H29:H30)</f>
        <v>1.8550000000047835</v>
      </c>
      <c r="I31" s="438">
        <f t="shared" ref="I31" si="37">SUM(I29:I30)</f>
        <v>1.0450000000060471</v>
      </c>
      <c r="J31" s="438">
        <f t="shared" si="30"/>
        <v>20.510999999593349</v>
      </c>
      <c r="K31" s="438"/>
      <c r="L31" s="438">
        <f>SUM(L29:L30)</f>
        <v>15.353000000042833</v>
      </c>
      <c r="M31" s="438">
        <f t="shared" ref="M31" si="38">SUM(M29:M30)</f>
        <v>1.7450000000397106</v>
      </c>
      <c r="N31" s="438">
        <f t="shared" ref="N31" si="39">SUM(N29:N30)</f>
        <v>1.1730000000235814</v>
      </c>
      <c r="O31" s="438">
        <f t="shared" si="31"/>
        <v>18.271000000106124</v>
      </c>
      <c r="P31" s="438"/>
      <c r="Q31" s="438">
        <f>SUM(Q29:Q30)</f>
        <v>14.373999999813581</v>
      </c>
      <c r="R31" s="438">
        <f t="shared" ref="R31" si="40">SUM(R29:R30)</f>
        <v>1.7770000000298476</v>
      </c>
      <c r="S31" s="438">
        <f t="shared" ref="S31" si="41">SUM(S29:S30)</f>
        <v>1.088000000022505</v>
      </c>
      <c r="T31" s="438">
        <f t="shared" si="32"/>
        <v>17.238999999865932</v>
      </c>
      <c r="U31" s="438"/>
      <c r="V31" s="438">
        <f>SUM(V29:V30)</f>
        <v>13.545999999803612</v>
      </c>
      <c r="W31" s="438">
        <f t="shared" ref="W31" si="42">SUM(W29:W30)</f>
        <v>1.8080000000261585</v>
      </c>
      <c r="X31" s="438">
        <f t="shared" ref="X31" si="43">SUM(X29:X30)</f>
        <v>1.0170000000160353</v>
      </c>
      <c r="Y31" s="438">
        <f t="shared" si="33"/>
        <v>16.370999999845807</v>
      </c>
    </row>
    <row r="32" spans="1:25" x14ac:dyDescent="0.2">
      <c r="B32" s="380"/>
      <c r="C32" s="460"/>
      <c r="D32" s="460"/>
      <c r="E32" s="460"/>
      <c r="F32" s="460"/>
      <c r="G32" s="460"/>
      <c r="H32" s="460"/>
      <c r="I32" s="460"/>
      <c r="J32" s="460"/>
      <c r="K32" s="460"/>
      <c r="L32" s="460"/>
      <c r="M32" s="460"/>
      <c r="N32" s="460"/>
      <c r="O32" s="460"/>
      <c r="P32" s="460"/>
      <c r="Q32" s="460"/>
      <c r="R32" s="460"/>
      <c r="S32" s="460"/>
      <c r="T32" s="460"/>
      <c r="U32" s="460"/>
      <c r="V32" s="460"/>
      <c r="W32" s="460"/>
      <c r="X32" s="460"/>
      <c r="Y32" s="460"/>
    </row>
    <row r="33" spans="1:25" x14ac:dyDescent="0.2">
      <c r="A33" s="378" t="str">
        <f>name!A7</f>
        <v>Beverages and tobacco</v>
      </c>
      <c r="B33" s="380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</row>
    <row r="34" spans="1:25" x14ac:dyDescent="0.2">
      <c r="A34" s="377" t="s">
        <v>391</v>
      </c>
      <c r="B34" s="438">
        <v>0.82699999999149854</v>
      </c>
      <c r="C34" s="438">
        <v>0.24199999999925403</v>
      </c>
      <c r="D34" s="438">
        <v>1.8000000000249428E-2</v>
      </c>
      <c r="E34" s="438">
        <f>SUM(B34:D34)</f>
        <v>1.0869999999910021</v>
      </c>
      <c r="F34" s="438"/>
      <c r="G34" s="438">
        <v>0.78399999999447667</v>
      </c>
      <c r="H34" s="438">
        <v>8.9999999999487004E-2</v>
      </c>
      <c r="I34" s="438">
        <v>5.1000000000350758E-2</v>
      </c>
      <c r="J34" s="438">
        <f>SUM(G34:I34)</f>
        <v>0.92499999999431448</v>
      </c>
      <c r="K34" s="438"/>
      <c r="L34" s="438">
        <v>0.75699999999716372</v>
      </c>
      <c r="M34" s="438">
        <v>0.11500000000065272</v>
      </c>
      <c r="N34" s="438">
        <v>6.4000000000714014E-2</v>
      </c>
      <c r="O34" s="438">
        <f>SUM(L34:N34)</f>
        <v>0.93599999999853045</v>
      </c>
      <c r="P34" s="438"/>
      <c r="Q34" s="438">
        <v>0.71699999999592723</v>
      </c>
      <c r="R34" s="438">
        <v>0.11100000000076601</v>
      </c>
      <c r="S34" s="438">
        <v>6.0000000000822264E-2</v>
      </c>
      <c r="T34" s="438">
        <f>SUM(Q34:S34)</f>
        <v>0.88799999999751555</v>
      </c>
      <c r="U34" s="438"/>
      <c r="V34" s="438">
        <v>0.68399999999661054</v>
      </c>
      <c r="W34" s="438">
        <v>0.10800000000073678</v>
      </c>
      <c r="X34" s="438">
        <v>5.6000000000674101E-2</v>
      </c>
      <c r="Y34" s="438">
        <f>SUM(V34:X34)</f>
        <v>0.84799999999802134</v>
      </c>
    </row>
    <row r="35" spans="1:25" x14ac:dyDescent="0.2">
      <c r="A35" s="377" t="s">
        <v>390</v>
      </c>
      <c r="B35" s="438">
        <v>0.95900000000149099</v>
      </c>
      <c r="C35" s="438">
        <v>2.9000000000049094E-2</v>
      </c>
      <c r="D35" s="438">
        <v>6.0999999998980418E-2</v>
      </c>
      <c r="E35" s="438">
        <f t="shared" ref="E35:E36" si="44">SUM(B35:D35)</f>
        <v>1.0490000000005204</v>
      </c>
      <c r="F35" s="438"/>
      <c r="G35" s="438">
        <v>0.99399999998065491</v>
      </c>
      <c r="H35" s="438">
        <v>1.7000000000081925E-2</v>
      </c>
      <c r="I35" s="438">
        <v>2.5000000000098298E-2</v>
      </c>
      <c r="J35" s="438">
        <f t="shared" ref="J35:J36" si="45">SUM(G35:I35)</f>
        <v>1.0359999999808351</v>
      </c>
      <c r="K35" s="438"/>
      <c r="L35" s="438">
        <v>0.91500000000113024</v>
      </c>
      <c r="M35" s="438">
        <v>3.1999999999520988E-2</v>
      </c>
      <c r="N35" s="438">
        <v>2.8999999999462286E-2</v>
      </c>
      <c r="O35" s="438">
        <f t="shared" ref="O35:O36" si="46">SUM(L35:N35)</f>
        <v>0.97600000000011344</v>
      </c>
      <c r="P35" s="438"/>
      <c r="Q35" s="438">
        <v>0.8529999999874156</v>
      </c>
      <c r="R35" s="438">
        <v>3.5000000000259449E-2</v>
      </c>
      <c r="S35" s="438">
        <v>2.6999999999794504E-2</v>
      </c>
      <c r="T35" s="438">
        <f t="shared" ref="T35:T36" si="47">SUM(Q35:S35)</f>
        <v>0.91499999998746961</v>
      </c>
      <c r="U35" s="438"/>
      <c r="V35" s="438">
        <v>0.80099999998697957</v>
      </c>
      <c r="W35" s="438">
        <v>3.8000000000385337E-2</v>
      </c>
      <c r="X35" s="438">
        <v>2.5999999999899312E-2</v>
      </c>
      <c r="Y35" s="438">
        <f t="shared" ref="Y35:Y36" si="48">SUM(V35:X35)</f>
        <v>0.86499999998726429</v>
      </c>
    </row>
    <row r="36" spans="1:25" x14ac:dyDescent="0.2">
      <c r="A36" s="377" t="s">
        <v>389</v>
      </c>
      <c r="B36" s="438">
        <f>SUM(B34:B35)</f>
        <v>1.7859999999929896</v>
      </c>
      <c r="C36" s="438">
        <f t="shared" ref="C36" si="49">SUM(C34:C35)</f>
        <v>0.27099999999930313</v>
      </c>
      <c r="D36" s="438">
        <f t="shared" ref="D36" si="50">SUM(D34:D35)</f>
        <v>7.8999999999229853E-2</v>
      </c>
      <c r="E36" s="438">
        <f t="shared" si="44"/>
        <v>2.1359999999915225</v>
      </c>
      <c r="F36" s="438"/>
      <c r="G36" s="438">
        <f>SUM(G34:G35)</f>
        <v>1.7779999999751315</v>
      </c>
      <c r="H36" s="438">
        <f t="shared" ref="H36" si="51">SUM(H34:H35)</f>
        <v>0.10699999999956893</v>
      </c>
      <c r="I36" s="438">
        <f t="shared" ref="I36" si="52">SUM(I34:I35)</f>
        <v>7.6000000000449056E-2</v>
      </c>
      <c r="J36" s="438">
        <f t="shared" si="45"/>
        <v>1.9609999999751495</v>
      </c>
      <c r="K36" s="438"/>
      <c r="L36" s="438">
        <f>SUM(L34:L35)</f>
        <v>1.671999999998294</v>
      </c>
      <c r="M36" s="438">
        <f t="shared" ref="M36" si="53">SUM(M34:M35)</f>
        <v>0.14700000000017371</v>
      </c>
      <c r="N36" s="438">
        <f t="shared" ref="N36" si="54">SUM(N34:N35)</f>
        <v>9.3000000000176303E-2</v>
      </c>
      <c r="O36" s="438">
        <f t="shared" si="46"/>
        <v>1.9119999999986439</v>
      </c>
      <c r="P36" s="438"/>
      <c r="Q36" s="438">
        <f>SUM(Q34:Q35)</f>
        <v>1.5699999999833429</v>
      </c>
      <c r="R36" s="438">
        <f t="shared" ref="R36" si="55">SUM(R34:R35)</f>
        <v>0.14600000000102548</v>
      </c>
      <c r="S36" s="438">
        <f t="shared" ref="S36" si="56">SUM(S34:S35)</f>
        <v>8.7000000000616765E-2</v>
      </c>
      <c r="T36" s="438">
        <f t="shared" si="47"/>
        <v>1.8029999999849853</v>
      </c>
      <c r="U36" s="438"/>
      <c r="V36" s="438">
        <f>SUM(V34:V35)</f>
        <v>1.4849999999835901</v>
      </c>
      <c r="W36" s="438">
        <f t="shared" ref="W36" si="57">SUM(W34:W35)</f>
        <v>0.14600000000112212</v>
      </c>
      <c r="X36" s="438">
        <f t="shared" ref="X36" si="58">SUM(X34:X35)</f>
        <v>8.200000000057342E-2</v>
      </c>
      <c r="Y36" s="438">
        <f t="shared" si="48"/>
        <v>1.7129999999852856</v>
      </c>
    </row>
    <row r="37" spans="1:25" x14ac:dyDescent="0.2">
      <c r="A37" s="377"/>
      <c r="B37" s="380"/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</row>
    <row r="38" spans="1:25" x14ac:dyDescent="0.2">
      <c r="A38" s="383" t="s">
        <v>407</v>
      </c>
    </row>
    <row r="39" spans="1:25" x14ac:dyDescent="0.2">
      <c r="A39" s="377" t="s">
        <v>391</v>
      </c>
      <c r="B39" s="437">
        <f>SUM(B29,B34)</f>
        <v>5.6159999998575785</v>
      </c>
      <c r="C39" s="437">
        <f t="shared" ref="C39:D40" si="59">SUM(C29,C34)</f>
        <v>1.9109999999941478</v>
      </c>
      <c r="D39" s="437">
        <f t="shared" si="59"/>
        <v>0.27100000000129443</v>
      </c>
      <c r="E39" s="437">
        <f>SUM(B39:D39)</f>
        <v>7.7979999998530207</v>
      </c>
      <c r="F39" s="437"/>
      <c r="G39" s="437">
        <f>SUM(G29,G34)</f>
        <v>5.0199999998838525</v>
      </c>
      <c r="H39" s="437">
        <f t="shared" ref="H39:I39" si="60">SUM(H29,H34)</f>
        <v>1.4470000000055683</v>
      </c>
      <c r="I39" s="437">
        <f t="shared" si="60"/>
        <v>0.7590000000053797</v>
      </c>
      <c r="J39" s="437">
        <f>SUM(G39:I39)</f>
        <v>7.2259999998948006</v>
      </c>
      <c r="K39" s="437"/>
      <c r="L39" s="437">
        <f>SUM(L29,L34)</f>
        <v>4.5870000000228863</v>
      </c>
      <c r="M39" s="437">
        <f t="shared" ref="M39:N39" si="61">SUM(M29,M34)</f>
        <v>1.2490000000464978</v>
      </c>
      <c r="N39" s="437">
        <f t="shared" si="61"/>
        <v>0.88200000002903556</v>
      </c>
      <c r="O39" s="437">
        <f>SUM(L39:N39)</f>
        <v>6.718000000098419</v>
      </c>
      <c r="P39" s="437"/>
      <c r="Q39" s="437">
        <f>SUM(Q29,Q34)</f>
        <v>4.3469999999895306</v>
      </c>
      <c r="R39" s="437">
        <f t="shared" ref="R39:S39" si="62">SUM(R29,R34)</f>
        <v>1.2070000000305161</v>
      </c>
      <c r="S39" s="437">
        <f t="shared" si="62"/>
        <v>0.81800000002424589</v>
      </c>
      <c r="T39" s="437">
        <f>SUM(Q39:S39)</f>
        <v>6.3720000000442925</v>
      </c>
      <c r="U39" s="437"/>
      <c r="V39" s="437">
        <f>SUM(V29,V34)</f>
        <v>4.1439999999871278</v>
      </c>
      <c r="W39" s="437">
        <f t="shared" ref="W39:X39" si="63">SUM(W29,W34)</f>
        <v>1.1730000000260148</v>
      </c>
      <c r="X39" s="437">
        <f t="shared" si="63"/>
        <v>0.76300000001703461</v>
      </c>
      <c r="Y39" s="437">
        <f>SUM(V39:X39)</f>
        <v>6.0800000000301768</v>
      </c>
    </row>
    <row r="40" spans="1:25" x14ac:dyDescent="0.2">
      <c r="A40" s="377" t="s">
        <v>390</v>
      </c>
      <c r="B40" s="437">
        <f>SUM(B30,B35)</f>
        <v>14.780000000030087</v>
      </c>
      <c r="C40" s="437">
        <f t="shared" si="59"/>
        <v>0.42399999999927174</v>
      </c>
      <c r="D40" s="437">
        <f t="shared" si="59"/>
        <v>0.86499999998368271</v>
      </c>
      <c r="E40" s="437">
        <f t="shared" ref="E40:E41" si="64">SUM(B40:D40)</f>
        <v>16.069000000013041</v>
      </c>
      <c r="F40" s="437"/>
      <c r="G40" s="437">
        <f>SUM(G30,G35)</f>
        <v>14.368999999673798</v>
      </c>
      <c r="H40" s="437">
        <f t="shared" ref="H40:I40" si="65">SUM(H30,H35)</f>
        <v>0.51499999999878399</v>
      </c>
      <c r="I40" s="437">
        <f t="shared" si="65"/>
        <v>0.36200000000111637</v>
      </c>
      <c r="J40" s="437">
        <f t="shared" ref="J40:J41" si="66">SUM(G40:I40)</f>
        <v>15.245999999673698</v>
      </c>
      <c r="K40" s="437"/>
      <c r="L40" s="437">
        <f>SUM(L30,L35)</f>
        <v>12.43800000001824</v>
      </c>
      <c r="M40" s="437">
        <f t="shared" ref="M40:N40" si="67">SUM(M30,M35)</f>
        <v>0.64299999999338642</v>
      </c>
      <c r="N40" s="437">
        <f t="shared" si="67"/>
        <v>0.38399999999472212</v>
      </c>
      <c r="O40" s="437">
        <f t="shared" ref="O40:O41" si="68">SUM(L40:N40)</f>
        <v>13.46500000000635</v>
      </c>
      <c r="P40" s="437"/>
      <c r="Q40" s="437">
        <f>SUM(Q30,Q35)</f>
        <v>11.596999999807393</v>
      </c>
      <c r="R40" s="437">
        <f t="shared" ref="R40:S40" si="69">SUM(R30,R35)</f>
        <v>0.71600000000035702</v>
      </c>
      <c r="S40" s="437">
        <f t="shared" si="69"/>
        <v>0.35699999999887588</v>
      </c>
      <c r="T40" s="437">
        <f t="shared" ref="T40:T41" si="70">SUM(Q40:S40)</f>
        <v>12.669999999806626</v>
      </c>
      <c r="U40" s="437"/>
      <c r="V40" s="437">
        <f>SUM(V30,V35)</f>
        <v>10.886999999800075</v>
      </c>
      <c r="W40" s="437">
        <f t="shared" ref="W40:X40" si="71">SUM(W30,W35)</f>
        <v>0.78100000000126579</v>
      </c>
      <c r="X40" s="437">
        <f t="shared" si="71"/>
        <v>0.33599999999957414</v>
      </c>
      <c r="Y40" s="437">
        <f t="shared" ref="Y40:Y41" si="72">SUM(V40:X40)</f>
        <v>12.003999999800914</v>
      </c>
    </row>
    <row r="41" spans="1:25" x14ac:dyDescent="0.2">
      <c r="A41" s="381" t="s">
        <v>389</v>
      </c>
      <c r="B41" s="439">
        <f>SUM(B39:B40)</f>
        <v>20.395999999887664</v>
      </c>
      <c r="C41" s="439">
        <f t="shared" ref="C41" si="73">SUM(C39:C40)</f>
        <v>2.3349999999934195</v>
      </c>
      <c r="D41" s="439">
        <f t="shared" ref="D41" si="74">SUM(D39:D40)</f>
        <v>1.135999999984977</v>
      </c>
      <c r="E41" s="439">
        <f t="shared" si="64"/>
        <v>23.866999999866064</v>
      </c>
      <c r="F41" s="439"/>
      <c r="G41" s="439">
        <f>SUM(G39:G40)</f>
        <v>19.388999999557651</v>
      </c>
      <c r="H41" s="439">
        <f t="shared" ref="H41" si="75">SUM(H39:H40)</f>
        <v>1.9620000000043523</v>
      </c>
      <c r="I41" s="439">
        <f t="shared" ref="I41" si="76">SUM(I39:I40)</f>
        <v>1.1210000000064961</v>
      </c>
      <c r="J41" s="439">
        <f t="shared" si="66"/>
        <v>22.471999999568499</v>
      </c>
      <c r="K41" s="439"/>
      <c r="L41" s="439">
        <f>SUM(L39:L40)</f>
        <v>17.025000000041125</v>
      </c>
      <c r="M41" s="439">
        <f t="shared" ref="M41" si="77">SUM(M39:M40)</f>
        <v>1.8920000000398842</v>
      </c>
      <c r="N41" s="439">
        <f t="shared" ref="N41" si="78">SUM(N39:N40)</f>
        <v>1.2660000000237577</v>
      </c>
      <c r="O41" s="439">
        <f t="shared" si="68"/>
        <v>20.183000000104769</v>
      </c>
      <c r="P41" s="439"/>
      <c r="Q41" s="439">
        <f>SUM(Q39:Q40)</f>
        <v>15.943999999796922</v>
      </c>
      <c r="R41" s="439">
        <f t="shared" ref="R41" si="79">SUM(R39:R40)</f>
        <v>1.9230000000308731</v>
      </c>
      <c r="S41" s="439">
        <f t="shared" ref="S41" si="80">SUM(S39:S40)</f>
        <v>1.1750000000231218</v>
      </c>
      <c r="T41" s="439">
        <f t="shared" si="70"/>
        <v>19.041999999850919</v>
      </c>
      <c r="U41" s="439"/>
      <c r="V41" s="439">
        <f>SUM(V39:V40)</f>
        <v>15.030999999787202</v>
      </c>
      <c r="W41" s="439">
        <f t="shared" ref="W41" si="81">SUM(W39:W40)</f>
        <v>1.9540000000272806</v>
      </c>
      <c r="X41" s="439">
        <f t="shared" ref="X41" si="82">SUM(X39:X40)</f>
        <v>1.0990000000166087</v>
      </c>
      <c r="Y41" s="439">
        <f t="shared" si="72"/>
        <v>18.083999999831093</v>
      </c>
    </row>
    <row r="45" spans="1:25" ht="15" x14ac:dyDescent="0.25">
      <c r="A45" s="385" t="str">
        <f>"Industry 4 : "&amp; name!B7</f>
        <v>Industry 4 : Engineering</v>
      </c>
      <c r="B45" s="516">
        <f>$B$5</f>
        <v>2007</v>
      </c>
      <c r="C45" s="516"/>
      <c r="D45" s="516"/>
      <c r="E45" s="516"/>
      <c r="F45" s="461"/>
      <c r="G45" s="516">
        <f>$G$5</f>
        <v>2012</v>
      </c>
      <c r="H45" s="516"/>
      <c r="I45" s="516"/>
      <c r="J45" s="516"/>
      <c r="K45" s="461"/>
      <c r="L45" s="516">
        <f>$L$5</f>
        <v>2017</v>
      </c>
      <c r="M45" s="516"/>
      <c r="N45" s="516"/>
      <c r="O45" s="516"/>
      <c r="P45" s="459"/>
      <c r="Q45" s="516">
        <f>$Q$5</f>
        <v>2022</v>
      </c>
      <c r="R45" s="516"/>
      <c r="S45" s="516"/>
      <c r="T45" s="516"/>
      <c r="U45" s="461"/>
      <c r="V45" s="516">
        <f>$V$5</f>
        <v>2027</v>
      </c>
      <c r="W45" s="516"/>
      <c r="X45" s="516"/>
      <c r="Y45" s="516"/>
    </row>
    <row r="46" spans="1:25" x14ac:dyDescent="0.2">
      <c r="A46" s="381"/>
      <c r="B46" s="388" t="str">
        <f>$B$6</f>
        <v>FT</v>
      </c>
      <c r="C46" s="388" t="str">
        <f>$C$6</f>
        <v>PT</v>
      </c>
      <c r="D46" s="388" t="str">
        <f>$D$6</f>
        <v>SE</v>
      </c>
      <c r="E46" s="388" t="str">
        <f>$E$6</f>
        <v>Total</v>
      </c>
      <c r="F46" s="388"/>
      <c r="G46" s="388" t="str">
        <f>$B$6</f>
        <v>FT</v>
      </c>
      <c r="H46" s="388" t="str">
        <f>$C$6</f>
        <v>PT</v>
      </c>
      <c r="I46" s="388" t="str">
        <f>$D$6</f>
        <v>SE</v>
      </c>
      <c r="J46" s="388" t="str">
        <f>$E$6</f>
        <v>Total</v>
      </c>
      <c r="K46" s="388"/>
      <c r="L46" s="388" t="str">
        <f>$L$6</f>
        <v>FT</v>
      </c>
      <c r="M46" s="388" t="str">
        <f>$M$6</f>
        <v>PT</v>
      </c>
      <c r="N46" s="388" t="str">
        <f>$N$6</f>
        <v>SE</v>
      </c>
      <c r="O46" s="388" t="str">
        <f>$O$6</f>
        <v>Total</v>
      </c>
      <c r="P46" s="388"/>
      <c r="Q46" s="388" t="str">
        <f>$L$6</f>
        <v>FT</v>
      </c>
      <c r="R46" s="388" t="str">
        <f>$M$6</f>
        <v>PT</v>
      </c>
      <c r="S46" s="388" t="str">
        <f>$N$6</f>
        <v>SE</v>
      </c>
      <c r="T46" s="388" t="str">
        <f>$O$6</f>
        <v>Total</v>
      </c>
      <c r="U46" s="388"/>
      <c r="V46" s="388" t="str">
        <f>$V$6</f>
        <v>FT</v>
      </c>
      <c r="W46" s="388" t="str">
        <f>$W$6</f>
        <v>PT</v>
      </c>
      <c r="X46" s="388" t="str">
        <f>$X$6</f>
        <v>SE</v>
      </c>
      <c r="Y46" s="388" t="str">
        <f>$Y$6</f>
        <v>Total</v>
      </c>
    </row>
    <row r="47" spans="1:25" x14ac:dyDescent="0.2">
      <c r="B47" s="380"/>
      <c r="C47" s="460"/>
      <c r="D47" s="460"/>
      <c r="E47" s="460"/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460"/>
      <c r="U47" s="460"/>
      <c r="V47" s="460"/>
      <c r="W47" s="460"/>
      <c r="X47" s="460"/>
      <c r="Y47" s="460"/>
    </row>
    <row r="48" spans="1:25" x14ac:dyDescent="0.2">
      <c r="A48" s="378" t="str">
        <f>name!A19</f>
        <v>Computer, etc</v>
      </c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</row>
    <row r="49" spans="1:25" x14ac:dyDescent="0.2">
      <c r="A49" s="382" t="s">
        <v>391</v>
      </c>
      <c r="B49" s="437">
        <v>2.3539999999291452</v>
      </c>
      <c r="C49" s="437">
        <v>0.34499999999819153</v>
      </c>
      <c r="D49" s="437">
        <v>0.13199999999962689</v>
      </c>
      <c r="E49" s="437">
        <f>SUM(B49:D49)</f>
        <v>2.8309999999269637</v>
      </c>
      <c r="F49" s="437"/>
      <c r="G49" s="437">
        <v>1.7029999999561722</v>
      </c>
      <c r="H49" s="437">
        <v>0.31499999999891054</v>
      </c>
      <c r="I49" s="437">
        <v>6.2000000000589368E-2</v>
      </c>
      <c r="J49" s="437">
        <f>SUM(G49:I49)</f>
        <v>2.0799999999556724</v>
      </c>
      <c r="K49" s="437"/>
      <c r="L49" s="437">
        <v>1.8170000000096873</v>
      </c>
      <c r="M49" s="437">
        <v>0.50700000002061041</v>
      </c>
      <c r="N49" s="437">
        <v>0.13400000000403683</v>
      </c>
      <c r="O49" s="437">
        <f>SUM(L49:N49)</f>
        <v>2.4580000000343345</v>
      </c>
      <c r="P49" s="437"/>
      <c r="Q49" s="437">
        <v>1.9629999999937355</v>
      </c>
      <c r="R49" s="437">
        <v>0.54200000001656701</v>
      </c>
      <c r="S49" s="437">
        <v>0.15000000000495295</v>
      </c>
      <c r="T49" s="437">
        <f>SUM(Q49:S49)</f>
        <v>2.6550000000152556</v>
      </c>
      <c r="U49" s="437"/>
      <c r="V49" s="437">
        <v>1.8279999999936376</v>
      </c>
      <c r="W49" s="437">
        <v>0.49800000001375144</v>
      </c>
      <c r="X49" s="437">
        <v>0.14500000000420366</v>
      </c>
      <c r="Y49" s="437">
        <f>SUM(V49:X49)</f>
        <v>2.471000000011593</v>
      </c>
    </row>
    <row r="50" spans="1:25" x14ac:dyDescent="0.2">
      <c r="A50" s="382" t="s">
        <v>390</v>
      </c>
      <c r="B50" s="438">
        <v>5.2849999999860913</v>
      </c>
      <c r="C50" s="438">
        <v>4.800000000005511E-2</v>
      </c>
      <c r="D50" s="438">
        <v>0.62899999999716616</v>
      </c>
      <c r="E50" s="438">
        <f t="shared" ref="E50:E51" si="83">SUM(B50:D50)</f>
        <v>5.9619999999833126</v>
      </c>
      <c r="F50" s="438"/>
      <c r="G50" s="438">
        <v>4.3699999999821273</v>
      </c>
      <c r="H50" s="438">
        <v>6.8999999999325282E-2</v>
      </c>
      <c r="I50" s="438">
        <v>0.25900000000003459</v>
      </c>
      <c r="J50" s="438">
        <f t="shared" ref="J50:J51" si="84">SUM(G50:I50)</f>
        <v>4.6979999999814872</v>
      </c>
      <c r="K50" s="438"/>
      <c r="L50" s="438">
        <v>4.4809999999934913</v>
      </c>
      <c r="M50" s="438">
        <v>0.18999999999907216</v>
      </c>
      <c r="N50" s="438">
        <v>0.18599999999833677</v>
      </c>
      <c r="O50" s="438">
        <f t="shared" ref="O50:O51" si="85">SUM(L50:N50)</f>
        <v>4.8569999999908999</v>
      </c>
      <c r="P50" s="438"/>
      <c r="Q50" s="438">
        <v>4.6859999999777315</v>
      </c>
      <c r="R50" s="438">
        <v>0.22399999999991071</v>
      </c>
      <c r="S50" s="438">
        <v>0.2059999999977172</v>
      </c>
      <c r="T50" s="438">
        <f t="shared" ref="T50:T51" si="86">SUM(Q50:S50)</f>
        <v>5.1159999999753589</v>
      </c>
      <c r="U50" s="438"/>
      <c r="V50" s="438">
        <v>4.2059999999762931</v>
      </c>
      <c r="W50" s="438">
        <v>0.22400000000057788</v>
      </c>
      <c r="X50" s="438">
        <v>0.1929999999980373</v>
      </c>
      <c r="Y50" s="438">
        <f t="shared" ref="Y50:Y51" si="87">SUM(V50:X50)</f>
        <v>4.6229999999749083</v>
      </c>
    </row>
    <row r="51" spans="1:25" x14ac:dyDescent="0.2">
      <c r="A51" s="382" t="s">
        <v>389</v>
      </c>
      <c r="B51" s="438">
        <f>SUM(B49:B50)</f>
        <v>7.6389999999152369</v>
      </c>
      <c r="C51" s="438">
        <f t="shared" ref="C51" si="88">SUM(C49:C50)</f>
        <v>0.39299999999824664</v>
      </c>
      <c r="D51" s="438">
        <f t="shared" ref="D51" si="89">SUM(D49:D50)</f>
        <v>0.76099999999679302</v>
      </c>
      <c r="E51" s="438">
        <f t="shared" si="83"/>
        <v>8.7929999999102773</v>
      </c>
      <c r="F51" s="438"/>
      <c r="G51" s="438">
        <f>SUM(G49:G50)</f>
        <v>6.0729999999382995</v>
      </c>
      <c r="H51" s="438">
        <f t="shared" ref="H51" si="90">SUM(H49:H50)</f>
        <v>0.38399999999823581</v>
      </c>
      <c r="I51" s="438">
        <f t="shared" ref="I51" si="91">SUM(I49:I50)</f>
        <v>0.32100000000062395</v>
      </c>
      <c r="J51" s="438">
        <f t="shared" si="84"/>
        <v>6.7779999999371592</v>
      </c>
      <c r="K51" s="438"/>
      <c r="L51" s="438">
        <f>SUM(L49:L50)</f>
        <v>6.2980000000031788</v>
      </c>
      <c r="M51" s="438">
        <f t="shared" ref="M51" si="92">SUM(M49:M50)</f>
        <v>0.69700000001968254</v>
      </c>
      <c r="N51" s="438">
        <f t="shared" ref="N51" si="93">SUM(N49:N50)</f>
        <v>0.32000000000237361</v>
      </c>
      <c r="O51" s="438">
        <f t="shared" si="85"/>
        <v>7.3150000000252344</v>
      </c>
      <c r="P51" s="438"/>
      <c r="Q51" s="438">
        <f>SUM(Q49:Q50)</f>
        <v>6.6489999999714673</v>
      </c>
      <c r="R51" s="438">
        <f t="shared" ref="R51" si="94">SUM(R49:R50)</f>
        <v>0.76600000001647772</v>
      </c>
      <c r="S51" s="438">
        <f t="shared" ref="S51" si="95">SUM(S49:S50)</f>
        <v>0.35600000000267018</v>
      </c>
      <c r="T51" s="438">
        <f t="shared" si="86"/>
        <v>7.7709999999906145</v>
      </c>
      <c r="U51" s="438"/>
      <c r="V51" s="438">
        <f>SUM(V49:V50)</f>
        <v>6.0339999999699305</v>
      </c>
      <c r="W51" s="438">
        <f t="shared" ref="W51" si="96">SUM(W49:W50)</f>
        <v>0.72200000001432929</v>
      </c>
      <c r="X51" s="438">
        <f t="shared" ref="X51" si="97">SUM(X49:X50)</f>
        <v>0.33800000000224095</v>
      </c>
      <c r="Y51" s="438">
        <f t="shared" si="87"/>
        <v>7.0939999999865009</v>
      </c>
    </row>
    <row r="52" spans="1:25" x14ac:dyDescent="0.2">
      <c r="B52" s="380"/>
      <c r="C52" s="460"/>
      <c r="D52" s="460"/>
      <c r="E52" s="460"/>
      <c r="F52" s="460"/>
      <c r="G52" s="460"/>
      <c r="H52" s="460"/>
      <c r="I52" s="460"/>
      <c r="J52" s="460"/>
      <c r="K52" s="460"/>
      <c r="L52" s="460"/>
      <c r="M52" s="460"/>
      <c r="N52" s="460"/>
      <c r="O52" s="460"/>
      <c r="P52" s="460"/>
      <c r="Q52" s="460"/>
      <c r="R52" s="460"/>
      <c r="S52" s="460"/>
      <c r="T52" s="460"/>
      <c r="U52" s="460"/>
      <c r="V52" s="460"/>
      <c r="W52" s="460"/>
      <c r="X52" s="460"/>
      <c r="Y52" s="460"/>
    </row>
    <row r="53" spans="1:25" x14ac:dyDescent="0.2">
      <c r="A53" s="378" t="str">
        <f>name!A20</f>
        <v>Electrical equipment</v>
      </c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</row>
    <row r="54" spans="1:25" x14ac:dyDescent="0.2">
      <c r="A54" s="382" t="s">
        <v>391</v>
      </c>
      <c r="B54" s="437">
        <v>1.8709999999429878</v>
      </c>
      <c r="C54" s="437">
        <v>0.24399999999885152</v>
      </c>
      <c r="D54" s="437">
        <v>4.1000000000668051E-2</v>
      </c>
      <c r="E54" s="437">
        <f>SUM(B54:D54)</f>
        <v>2.155999999942507</v>
      </c>
      <c r="F54" s="437"/>
      <c r="G54" s="437">
        <v>1.5369999999635875</v>
      </c>
      <c r="H54" s="437">
        <v>0.19499999999855014</v>
      </c>
      <c r="I54" s="437">
        <v>7.9000000000709267E-2</v>
      </c>
      <c r="J54" s="437">
        <f>SUM(G54:I54)</f>
        <v>1.8109999999628468</v>
      </c>
      <c r="K54" s="437"/>
      <c r="L54" s="437">
        <v>1.3010000000044462</v>
      </c>
      <c r="M54" s="437">
        <v>0.13100000000301532</v>
      </c>
      <c r="N54" s="437">
        <v>0.20300000000508095</v>
      </c>
      <c r="O54" s="437">
        <f>SUM(L54:N54)</f>
        <v>1.6350000000125424</v>
      </c>
      <c r="P54" s="437"/>
      <c r="Q54" s="437">
        <v>1.295999999994099</v>
      </c>
      <c r="R54" s="437">
        <v>0.12600000000247222</v>
      </c>
      <c r="S54" s="437">
        <v>0.19000000000532333</v>
      </c>
      <c r="T54" s="437">
        <f>SUM(Q54:S54)</f>
        <v>1.6120000000018944</v>
      </c>
      <c r="U54" s="437"/>
      <c r="V54" s="437">
        <v>1.2839999999945035</v>
      </c>
      <c r="W54" s="437">
        <v>0.12100000000221044</v>
      </c>
      <c r="X54" s="437">
        <v>0.17900000000454605</v>
      </c>
      <c r="Y54" s="437">
        <f>SUM(V54:X54)</f>
        <v>1.58400000000126</v>
      </c>
    </row>
    <row r="55" spans="1:25" x14ac:dyDescent="0.2">
      <c r="A55" s="382" t="s">
        <v>390</v>
      </c>
      <c r="B55" s="438">
        <v>5.2959999999925316</v>
      </c>
      <c r="C55" s="438">
        <v>6.899999999997887E-2</v>
      </c>
      <c r="D55" s="438">
        <v>0.33000000000102936</v>
      </c>
      <c r="E55" s="438">
        <f t="shared" ref="E55:E56" si="98">SUM(B55:D55)</f>
        <v>5.6949999999935397</v>
      </c>
      <c r="F55" s="438"/>
      <c r="G55" s="438">
        <v>3.6039999999549939</v>
      </c>
      <c r="H55" s="438">
        <v>0.10699999999957605</v>
      </c>
      <c r="I55" s="438">
        <v>6.0999999999572806E-2</v>
      </c>
      <c r="J55" s="438">
        <f t="shared" ref="J55:J56" si="99">SUM(G55:I55)</f>
        <v>3.7719999999541427</v>
      </c>
      <c r="K55" s="438"/>
      <c r="L55" s="438">
        <v>3.2109999999964098</v>
      </c>
      <c r="M55" s="438">
        <v>0.10399999999958684</v>
      </c>
      <c r="N55" s="438">
        <v>7.899999999985545E-2</v>
      </c>
      <c r="O55" s="438">
        <f t="shared" ref="O55:O56" si="100">SUM(L55:N55)</f>
        <v>3.3939999999958519</v>
      </c>
      <c r="P55" s="438"/>
      <c r="Q55" s="438">
        <v>3.0889999999688511</v>
      </c>
      <c r="R55" s="438">
        <v>0.11099999999988513</v>
      </c>
      <c r="S55" s="438">
        <v>7.6000000000251464E-2</v>
      </c>
      <c r="T55" s="438">
        <f t="shared" ref="T55:T56" si="101">SUM(Q55:S55)</f>
        <v>3.2759999999689877</v>
      </c>
      <c r="U55" s="438"/>
      <c r="V55" s="438">
        <v>2.9529999999673091</v>
      </c>
      <c r="W55" s="438">
        <v>0.11599999999997651</v>
      </c>
      <c r="X55" s="438">
        <v>7.4000000000166835E-2</v>
      </c>
      <c r="Y55" s="438">
        <f t="shared" ref="Y55:Y56" si="102">SUM(V55:X55)</f>
        <v>3.1429999999674525</v>
      </c>
    </row>
    <row r="56" spans="1:25" x14ac:dyDescent="0.2">
      <c r="A56" s="382" t="s">
        <v>389</v>
      </c>
      <c r="B56" s="438">
        <f>SUM(B54:B55)</f>
        <v>7.1669999999355198</v>
      </c>
      <c r="C56" s="438">
        <f t="shared" ref="C56" si="103">SUM(C54:C55)</f>
        <v>0.31299999999883038</v>
      </c>
      <c r="D56" s="438">
        <f t="shared" ref="D56" si="104">SUM(D54:D55)</f>
        <v>0.37100000000169742</v>
      </c>
      <c r="E56" s="438">
        <f t="shared" si="98"/>
        <v>7.8509999999360476</v>
      </c>
      <c r="F56" s="438"/>
      <c r="G56" s="438">
        <f>SUM(G54:G55)</f>
        <v>5.1409999999185816</v>
      </c>
      <c r="H56" s="438">
        <f t="shared" ref="H56" si="105">SUM(H54:H55)</f>
        <v>0.30199999999812621</v>
      </c>
      <c r="I56" s="438">
        <f t="shared" ref="I56" si="106">SUM(I54:I55)</f>
        <v>0.14000000000028207</v>
      </c>
      <c r="J56" s="438">
        <f t="shared" si="99"/>
        <v>5.5829999999169901</v>
      </c>
      <c r="K56" s="438"/>
      <c r="L56" s="438">
        <f>SUM(L54:L55)</f>
        <v>4.5120000000008558</v>
      </c>
      <c r="M56" s="438">
        <f t="shared" ref="M56" si="107">SUM(M54:M55)</f>
        <v>0.23500000000260216</v>
      </c>
      <c r="N56" s="438">
        <f t="shared" ref="N56" si="108">SUM(N54:N55)</f>
        <v>0.28200000000493641</v>
      </c>
      <c r="O56" s="438">
        <f t="shared" si="100"/>
        <v>5.0290000000083941</v>
      </c>
      <c r="P56" s="438"/>
      <c r="Q56" s="438">
        <f>SUM(Q54:Q55)</f>
        <v>4.3849999999629503</v>
      </c>
      <c r="R56" s="438">
        <f t="shared" ref="R56" si="109">SUM(R54:R55)</f>
        <v>0.23700000000235735</v>
      </c>
      <c r="S56" s="438">
        <f t="shared" ref="S56" si="110">SUM(S54:S55)</f>
        <v>0.26600000000557478</v>
      </c>
      <c r="T56" s="438">
        <f t="shared" si="101"/>
        <v>4.8879999999708827</v>
      </c>
      <c r="U56" s="438"/>
      <c r="V56" s="438">
        <f>SUM(V54:V55)</f>
        <v>4.2369999999618129</v>
      </c>
      <c r="W56" s="438">
        <f t="shared" ref="W56" si="111">SUM(W54:W55)</f>
        <v>0.23700000000218696</v>
      </c>
      <c r="X56" s="438">
        <f t="shared" ref="X56" si="112">SUM(X54:X55)</f>
        <v>0.2530000000047129</v>
      </c>
      <c r="Y56" s="438">
        <f t="shared" si="102"/>
        <v>4.7269999999687125</v>
      </c>
    </row>
    <row r="57" spans="1:25" x14ac:dyDescent="0.2">
      <c r="B57" s="380"/>
      <c r="C57" s="460"/>
      <c r="D57" s="460"/>
      <c r="E57" s="460"/>
      <c r="F57" s="460"/>
      <c r="G57" s="460"/>
      <c r="H57" s="460"/>
      <c r="I57" s="460"/>
      <c r="J57" s="460"/>
      <c r="K57" s="460"/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0"/>
      <c r="Y57" s="460"/>
    </row>
    <row r="58" spans="1:25" x14ac:dyDescent="0.2">
      <c r="A58" s="378" t="str">
        <f>name!A21</f>
        <v>Machinery n.e.c.</v>
      </c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</row>
    <row r="59" spans="1:25" x14ac:dyDescent="0.2">
      <c r="A59" s="382" t="s">
        <v>391</v>
      </c>
      <c r="B59" s="437">
        <v>1.3429999999618905</v>
      </c>
      <c r="C59" s="437">
        <v>0.34499999999841491</v>
      </c>
      <c r="D59" s="437">
        <v>5.6000000000767949E-2</v>
      </c>
      <c r="E59" s="437">
        <f>SUM(B59:D59)</f>
        <v>1.7439999999610731</v>
      </c>
      <c r="F59" s="437"/>
      <c r="G59" s="437">
        <v>0.79399999998273074</v>
      </c>
      <c r="H59" s="437">
        <v>0.36999999999711308</v>
      </c>
      <c r="I59" s="437">
        <v>5.9000000000465472E-2</v>
      </c>
      <c r="J59" s="437">
        <f>SUM(G59:I59)</f>
        <v>1.2229999999803094</v>
      </c>
      <c r="K59" s="437"/>
      <c r="L59" s="437">
        <v>0.62800000000153844</v>
      </c>
      <c r="M59" s="437">
        <v>0.30800000000692063</v>
      </c>
      <c r="N59" s="437">
        <v>3.5000000001062424E-2</v>
      </c>
      <c r="O59" s="437">
        <f>SUM(L59:N59)</f>
        <v>0.97100000000952147</v>
      </c>
      <c r="P59" s="437"/>
      <c r="Q59" s="437">
        <v>0.60299999999706566</v>
      </c>
      <c r="R59" s="437">
        <v>0.41100000000802034</v>
      </c>
      <c r="S59" s="437">
        <v>4.5000000001442761E-2</v>
      </c>
      <c r="T59" s="437">
        <f>SUM(Q59:S59)</f>
        <v>1.0590000000065287</v>
      </c>
      <c r="U59" s="437"/>
      <c r="V59" s="437">
        <v>0.54299999999750803</v>
      </c>
      <c r="W59" s="437">
        <v>0.51000000000930068</v>
      </c>
      <c r="X59" s="437">
        <v>5.5000000001508183E-2</v>
      </c>
      <c r="Y59" s="437">
        <f>SUM(V59:X59)</f>
        <v>1.108000000008317</v>
      </c>
    </row>
    <row r="60" spans="1:25" x14ac:dyDescent="0.2">
      <c r="A60" s="382" t="s">
        <v>390</v>
      </c>
      <c r="B60" s="438">
        <v>6.0069999999937576</v>
      </c>
      <c r="C60" s="438">
        <v>8.6000000000281102E-2</v>
      </c>
      <c r="D60" s="438">
        <v>0.3470000000020565</v>
      </c>
      <c r="E60" s="438">
        <f t="shared" ref="E60:E61" si="113">SUM(B60:D60)</f>
        <v>6.4399999999960951</v>
      </c>
      <c r="F60" s="438"/>
      <c r="G60" s="438">
        <v>3.7059999999542486</v>
      </c>
      <c r="H60" s="438">
        <v>5.7999999999468969E-2</v>
      </c>
      <c r="I60" s="438">
        <v>0.13499999999884418</v>
      </c>
      <c r="J60" s="438">
        <f t="shared" ref="J60:J61" si="114">SUM(G60:I60)</f>
        <v>3.898999999952562</v>
      </c>
      <c r="K60" s="438"/>
      <c r="L60" s="438">
        <v>3.3539999999956915</v>
      </c>
      <c r="M60" s="438">
        <v>6.6000000000145997E-2</v>
      </c>
      <c r="N60" s="438">
        <v>8.6999999999989072E-2</v>
      </c>
      <c r="O60" s="438">
        <f t="shared" ref="O60:O61" si="115">SUM(L60:N60)</f>
        <v>3.5069999999958266</v>
      </c>
      <c r="P60" s="438"/>
      <c r="Q60" s="438">
        <v>3.1809999999675762</v>
      </c>
      <c r="R60" s="438">
        <v>0.10499999999939409</v>
      </c>
      <c r="S60" s="438">
        <v>0.10300000000037751</v>
      </c>
      <c r="T60" s="438">
        <f t="shared" ref="T60:T61" si="116">SUM(Q60:S60)</f>
        <v>3.3889999999673481</v>
      </c>
      <c r="U60" s="438"/>
      <c r="V60" s="438">
        <v>2.816999999968373</v>
      </c>
      <c r="W60" s="438">
        <v>0.14599999999904212</v>
      </c>
      <c r="X60" s="438">
        <v>0.11700000000020798</v>
      </c>
      <c r="Y60" s="438">
        <f t="shared" ref="Y60:Y61" si="117">SUM(V60:X60)</f>
        <v>3.0799999999676229</v>
      </c>
    </row>
    <row r="61" spans="1:25" x14ac:dyDescent="0.2">
      <c r="A61" s="382" t="s">
        <v>389</v>
      </c>
      <c r="B61" s="438">
        <f>SUM(B59:B60)</f>
        <v>7.3499999999556476</v>
      </c>
      <c r="C61" s="438">
        <f t="shared" ref="C61" si="118">SUM(C59:C60)</f>
        <v>0.43099999999869598</v>
      </c>
      <c r="D61" s="438">
        <f t="shared" ref="D61" si="119">SUM(D59:D60)</f>
        <v>0.40300000000282443</v>
      </c>
      <c r="E61" s="438">
        <f t="shared" si="113"/>
        <v>8.1839999999571678</v>
      </c>
      <c r="F61" s="438"/>
      <c r="G61" s="438">
        <f>SUM(G59:G60)</f>
        <v>4.4999999999369793</v>
      </c>
      <c r="H61" s="438">
        <f t="shared" ref="H61" si="120">SUM(H59:H60)</f>
        <v>0.42799999999658206</v>
      </c>
      <c r="I61" s="438">
        <f t="shared" ref="I61" si="121">SUM(I59:I60)</f>
        <v>0.19399999999930967</v>
      </c>
      <c r="J61" s="438">
        <f t="shared" si="114"/>
        <v>5.1219999999328714</v>
      </c>
      <c r="K61" s="438"/>
      <c r="L61" s="438">
        <f>SUM(L59:L60)</f>
        <v>3.98199999999723</v>
      </c>
      <c r="M61" s="438">
        <f t="shared" ref="M61" si="122">SUM(M59:M60)</f>
        <v>0.37400000000706662</v>
      </c>
      <c r="N61" s="438">
        <f t="shared" ref="N61" si="123">SUM(N59:N60)</f>
        <v>0.12200000000105149</v>
      </c>
      <c r="O61" s="438">
        <f t="shared" si="115"/>
        <v>4.4780000000053484</v>
      </c>
      <c r="P61" s="438"/>
      <c r="Q61" s="438">
        <f>SUM(Q59:Q60)</f>
        <v>3.7839999999646419</v>
      </c>
      <c r="R61" s="438">
        <f t="shared" ref="R61" si="124">SUM(R59:R60)</f>
        <v>0.51600000000741442</v>
      </c>
      <c r="S61" s="438">
        <f t="shared" ref="S61" si="125">SUM(S59:S60)</f>
        <v>0.14800000000182029</v>
      </c>
      <c r="T61" s="438">
        <f t="shared" si="116"/>
        <v>4.4479999999738764</v>
      </c>
      <c r="U61" s="438"/>
      <c r="V61" s="438">
        <f>SUM(V59:V60)</f>
        <v>3.3599999999658809</v>
      </c>
      <c r="W61" s="438">
        <f t="shared" ref="W61" si="126">SUM(W59:W60)</f>
        <v>0.6560000000083428</v>
      </c>
      <c r="X61" s="438">
        <f t="shared" ref="X61" si="127">SUM(X59:X60)</f>
        <v>0.17200000000171617</v>
      </c>
      <c r="Y61" s="438">
        <f t="shared" si="117"/>
        <v>4.1879999999759399</v>
      </c>
    </row>
    <row r="62" spans="1:25" x14ac:dyDescent="0.2">
      <c r="C62" s="453"/>
    </row>
    <row r="63" spans="1:25" x14ac:dyDescent="0.2">
      <c r="A63" s="383" t="s">
        <v>406</v>
      </c>
    </row>
    <row r="64" spans="1:25" x14ac:dyDescent="0.2">
      <c r="A64" s="377" t="s">
        <v>391</v>
      </c>
      <c r="B64" s="437">
        <f>SUM(B49,B54,B59)</f>
        <v>5.5679999998340239</v>
      </c>
      <c r="C64" s="437">
        <f t="shared" ref="C64:D65" si="128">SUM(C49,C54,C59)</f>
        <v>0.93399999999545791</v>
      </c>
      <c r="D64" s="437">
        <f t="shared" si="128"/>
        <v>0.22900000000106291</v>
      </c>
      <c r="E64" s="437">
        <f>SUM(B64:D64)</f>
        <v>6.7309999998305452</v>
      </c>
      <c r="F64" s="437"/>
      <c r="G64" s="437">
        <f>SUM(G49,G54,G59)</f>
        <v>4.0339999999024903</v>
      </c>
      <c r="H64" s="437">
        <f t="shared" ref="H64:I64" si="129">SUM(H49,H54,H59)</f>
        <v>0.87999999999457379</v>
      </c>
      <c r="I64" s="437">
        <f t="shared" si="129"/>
        <v>0.2000000000017641</v>
      </c>
      <c r="J64" s="437">
        <f>SUM(G64:I64)</f>
        <v>5.1139999998988284</v>
      </c>
      <c r="K64" s="437"/>
      <c r="L64" s="437">
        <f>SUM(L49,L54,L59)</f>
        <v>3.7460000000156719</v>
      </c>
      <c r="M64" s="437">
        <f t="shared" ref="M64:N64" si="130">SUM(M49,M54,M59)</f>
        <v>0.9460000000305463</v>
      </c>
      <c r="N64" s="437">
        <f t="shared" si="130"/>
        <v>0.37200000001018019</v>
      </c>
      <c r="O64" s="437">
        <f>SUM(L64:N64)</f>
        <v>5.0640000000563985</v>
      </c>
      <c r="P64" s="437"/>
      <c r="Q64" s="437">
        <f>SUM(Q49,Q54,Q59)</f>
        <v>3.8619999999849002</v>
      </c>
      <c r="R64" s="437">
        <f t="shared" ref="R64:S64" si="131">SUM(R49,R54,R59)</f>
        <v>1.0790000000270596</v>
      </c>
      <c r="S64" s="437">
        <f t="shared" si="131"/>
        <v>0.38500000001171908</v>
      </c>
      <c r="T64" s="437">
        <f>SUM(Q64:S64)</f>
        <v>5.3260000000236793</v>
      </c>
      <c r="U64" s="437"/>
      <c r="V64" s="437">
        <f>SUM(V49,V54,V59)</f>
        <v>3.6549999999856491</v>
      </c>
      <c r="W64" s="437">
        <f t="shared" ref="W64:X64" si="132">SUM(W49,W54,W59)</f>
        <v>1.1290000000252625</v>
      </c>
      <c r="X64" s="437">
        <f t="shared" si="132"/>
        <v>0.37900000001025791</v>
      </c>
      <c r="Y64" s="437">
        <f>SUM(V64:X64)</f>
        <v>5.1630000000211691</v>
      </c>
    </row>
    <row r="65" spans="1:25" x14ac:dyDescent="0.2">
      <c r="A65" s="377" t="s">
        <v>390</v>
      </c>
      <c r="B65" s="437">
        <f>SUM(B50,B55,B60)</f>
        <v>16.587999999972382</v>
      </c>
      <c r="C65" s="437">
        <f t="shared" si="128"/>
        <v>0.2030000000003151</v>
      </c>
      <c r="D65" s="437">
        <f t="shared" si="128"/>
        <v>1.3060000000002521</v>
      </c>
      <c r="E65" s="437">
        <f t="shared" ref="E65:E66" si="133">SUM(B65:D65)</f>
        <v>18.096999999972951</v>
      </c>
      <c r="F65" s="437"/>
      <c r="G65" s="437">
        <f>SUM(G50,G55,G60)</f>
        <v>11.679999999891368</v>
      </c>
      <c r="H65" s="437">
        <f t="shared" ref="H65:I65" si="134">SUM(H50,H55,H60)</f>
        <v>0.23399999999837029</v>
      </c>
      <c r="I65" s="437">
        <f t="shared" si="134"/>
        <v>0.45499999999845153</v>
      </c>
      <c r="J65" s="437">
        <f t="shared" ref="J65:J66" si="135">SUM(G65:I65)</f>
        <v>12.368999999888191</v>
      </c>
      <c r="K65" s="437"/>
      <c r="L65" s="437">
        <f>SUM(L50,L55,L60)</f>
        <v>11.045999999985593</v>
      </c>
      <c r="M65" s="437">
        <f t="shared" ref="M65:N65" si="136">SUM(M50,M55,M60)</f>
        <v>0.359999999998805</v>
      </c>
      <c r="N65" s="437">
        <f t="shared" si="136"/>
        <v>0.35199999999818132</v>
      </c>
      <c r="O65" s="437">
        <f t="shared" ref="O65:O66" si="137">SUM(L65:N65)</f>
        <v>11.75799999998258</v>
      </c>
      <c r="P65" s="437"/>
      <c r="Q65" s="437">
        <f>SUM(Q50,Q55,Q60)</f>
        <v>10.955999999914159</v>
      </c>
      <c r="R65" s="437">
        <f t="shared" ref="R65:S65" si="138">SUM(R50,R55,R60)</f>
        <v>0.43999999999918993</v>
      </c>
      <c r="S65" s="437">
        <f t="shared" si="138"/>
        <v>0.38499999999834617</v>
      </c>
      <c r="T65" s="437">
        <f t="shared" ref="T65:T66" si="139">SUM(Q65:S65)</f>
        <v>11.780999999911694</v>
      </c>
      <c r="U65" s="437"/>
      <c r="V65" s="437">
        <f>SUM(V50,V55,V60)</f>
        <v>9.9759999999119753</v>
      </c>
      <c r="W65" s="437">
        <f t="shared" ref="W65:X65" si="140">SUM(W50,W55,W60)</f>
        <v>0.48599999999959653</v>
      </c>
      <c r="X65" s="437">
        <f t="shared" si="140"/>
        <v>0.38399999999841211</v>
      </c>
      <c r="Y65" s="437">
        <f t="shared" ref="Y65:Y66" si="141">SUM(V65:X65)</f>
        <v>10.845999999909985</v>
      </c>
    </row>
    <row r="66" spans="1:25" x14ac:dyDescent="0.2">
      <c r="A66" s="381" t="s">
        <v>389</v>
      </c>
      <c r="B66" s="439">
        <f>SUM(B64:B65)</f>
        <v>22.155999999806404</v>
      </c>
      <c r="C66" s="439">
        <f t="shared" ref="C66" si="142">SUM(C64:C65)</f>
        <v>1.1369999999957729</v>
      </c>
      <c r="D66" s="439">
        <f t="shared" ref="D66" si="143">SUM(D64:D65)</f>
        <v>1.5350000000013151</v>
      </c>
      <c r="E66" s="439">
        <f t="shared" si="133"/>
        <v>24.827999999803492</v>
      </c>
      <c r="F66" s="439"/>
      <c r="G66" s="439">
        <f>SUM(G64:G65)</f>
        <v>15.71399999979386</v>
      </c>
      <c r="H66" s="439">
        <f t="shared" ref="H66" si="144">SUM(H64:H65)</f>
        <v>1.1139999999929442</v>
      </c>
      <c r="I66" s="439">
        <f t="shared" ref="I66" si="145">SUM(I64:I65)</f>
        <v>0.65500000000021563</v>
      </c>
      <c r="J66" s="439">
        <f t="shared" si="135"/>
        <v>17.482999999787019</v>
      </c>
      <c r="K66" s="439"/>
      <c r="L66" s="439">
        <f>SUM(L64:L65)</f>
        <v>14.792000000001265</v>
      </c>
      <c r="M66" s="439">
        <f t="shared" ref="M66" si="146">SUM(M64:M65)</f>
        <v>1.3060000000293512</v>
      </c>
      <c r="N66" s="439">
        <f t="shared" ref="N66" si="147">SUM(N64:N65)</f>
        <v>0.72400000000836151</v>
      </c>
      <c r="O66" s="439">
        <f t="shared" si="137"/>
        <v>16.822000000038976</v>
      </c>
      <c r="P66" s="439"/>
      <c r="Q66" s="439">
        <f>SUM(Q64:Q65)</f>
        <v>14.817999999899058</v>
      </c>
      <c r="R66" s="439">
        <f t="shared" ref="R66" si="148">SUM(R64:R65)</f>
        <v>1.5190000000262496</v>
      </c>
      <c r="S66" s="439">
        <f t="shared" ref="S66" si="149">SUM(S64:S65)</f>
        <v>0.7700000000100653</v>
      </c>
      <c r="T66" s="439">
        <f t="shared" si="139"/>
        <v>17.106999999935372</v>
      </c>
      <c r="U66" s="439"/>
      <c r="V66" s="439">
        <f>SUM(V64:V65)</f>
        <v>13.630999999897625</v>
      </c>
      <c r="W66" s="439">
        <f t="shared" ref="W66" si="150">SUM(W64:W65)</f>
        <v>1.615000000024859</v>
      </c>
      <c r="X66" s="439">
        <f t="shared" ref="X66" si="151">SUM(X64:X65)</f>
        <v>0.76300000000867008</v>
      </c>
      <c r="Y66" s="439">
        <f t="shared" si="141"/>
        <v>16.008999999931152</v>
      </c>
    </row>
    <row r="67" spans="1:25" x14ac:dyDescent="0.2">
      <c r="C67" s="453"/>
    </row>
    <row r="68" spans="1:25" x14ac:dyDescent="0.2">
      <c r="C68" s="453"/>
    </row>
    <row r="69" spans="1:25" x14ac:dyDescent="0.2">
      <c r="A69" s="383"/>
    </row>
    <row r="70" spans="1:25" ht="15" x14ac:dyDescent="0.25">
      <c r="A70" s="385" t="str">
        <f>"Industry 5 : "&amp; name!B8</f>
        <v>Industry 5 : Rest of manufacturing</v>
      </c>
      <c r="B70" s="516">
        <f>$B$5</f>
        <v>2007</v>
      </c>
      <c r="C70" s="516"/>
      <c r="D70" s="516"/>
      <c r="E70" s="516"/>
      <c r="F70" s="461"/>
      <c r="G70" s="516">
        <f>$G$5</f>
        <v>2012</v>
      </c>
      <c r="H70" s="516"/>
      <c r="I70" s="516"/>
      <c r="J70" s="516"/>
      <c r="K70" s="461"/>
      <c r="L70" s="516">
        <f>$L$5</f>
        <v>2017</v>
      </c>
      <c r="M70" s="516"/>
      <c r="N70" s="516"/>
      <c r="O70" s="516"/>
      <c r="P70" s="459"/>
      <c r="Q70" s="516">
        <f>$Q$5</f>
        <v>2022</v>
      </c>
      <c r="R70" s="516"/>
      <c r="S70" s="516"/>
      <c r="T70" s="516"/>
      <c r="U70" s="461"/>
      <c r="V70" s="516">
        <f>$V$5</f>
        <v>2027</v>
      </c>
      <c r="W70" s="516"/>
      <c r="X70" s="516"/>
      <c r="Y70" s="516"/>
    </row>
    <row r="71" spans="1:25" x14ac:dyDescent="0.2">
      <c r="A71" s="381"/>
      <c r="B71" s="388" t="str">
        <f>$B$6</f>
        <v>FT</v>
      </c>
      <c r="C71" s="388" t="str">
        <f>$C$6</f>
        <v>PT</v>
      </c>
      <c r="D71" s="388" t="str">
        <f>$D$6</f>
        <v>SE</v>
      </c>
      <c r="E71" s="388" t="str">
        <f>$E$6</f>
        <v>Total</v>
      </c>
      <c r="F71" s="388"/>
      <c r="G71" s="388" t="str">
        <f>$B$6</f>
        <v>FT</v>
      </c>
      <c r="H71" s="388" t="str">
        <f>$C$6</f>
        <v>PT</v>
      </c>
      <c r="I71" s="388" t="str">
        <f>$D$6</f>
        <v>SE</v>
      </c>
      <c r="J71" s="388" t="str">
        <f>$E$6</f>
        <v>Total</v>
      </c>
      <c r="K71" s="388"/>
      <c r="L71" s="388" t="str">
        <f>$L$6</f>
        <v>FT</v>
      </c>
      <c r="M71" s="388" t="str">
        <f>$M$6</f>
        <v>PT</v>
      </c>
      <c r="N71" s="388" t="str">
        <f>$N$6</f>
        <v>SE</v>
      </c>
      <c r="O71" s="388" t="str">
        <f>$O$6</f>
        <v>Total</v>
      </c>
      <c r="P71" s="388"/>
      <c r="Q71" s="388" t="str">
        <f>$L$6</f>
        <v>FT</v>
      </c>
      <c r="R71" s="388" t="str">
        <f>$M$6</f>
        <v>PT</v>
      </c>
      <c r="S71" s="388" t="str">
        <f>$N$6</f>
        <v>SE</v>
      </c>
      <c r="T71" s="388" t="str">
        <f>$O$6</f>
        <v>Total</v>
      </c>
      <c r="U71" s="388"/>
      <c r="V71" s="388" t="str">
        <f>$V$6</f>
        <v>FT</v>
      </c>
      <c r="W71" s="388" t="str">
        <f>$W$6</f>
        <v>PT</v>
      </c>
      <c r="X71" s="388" t="str">
        <f>$X$6</f>
        <v>SE</v>
      </c>
      <c r="Y71" s="388" t="str">
        <f>$Y$6</f>
        <v>Total</v>
      </c>
    </row>
    <row r="72" spans="1:25" x14ac:dyDescent="0.2">
      <c r="B72" s="380"/>
      <c r="C72" s="460"/>
      <c r="D72" s="460"/>
      <c r="E72" s="460"/>
      <c r="F72" s="460"/>
      <c r="G72" s="460"/>
      <c r="H72" s="460"/>
      <c r="I72" s="460"/>
      <c r="J72" s="460"/>
      <c r="K72" s="460"/>
      <c r="L72" s="460"/>
      <c r="M72" s="460"/>
      <c r="N72" s="460"/>
      <c r="O72" s="460"/>
      <c r="P72" s="460"/>
      <c r="Q72" s="460"/>
      <c r="R72" s="460"/>
      <c r="S72" s="460"/>
      <c r="T72" s="460"/>
      <c r="U72" s="460"/>
      <c r="V72" s="460"/>
      <c r="W72" s="460"/>
      <c r="X72" s="460"/>
      <c r="Y72" s="460"/>
    </row>
    <row r="73" spans="1:25" x14ac:dyDescent="0.2">
      <c r="A73" s="378" t="str">
        <f>name!A8</f>
        <v>Textiles</v>
      </c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</row>
    <row r="74" spans="1:25" x14ac:dyDescent="0.2">
      <c r="A74" s="382" t="s">
        <v>391</v>
      </c>
      <c r="B74" s="437">
        <v>0.46799999999124292</v>
      </c>
      <c r="C74" s="437">
        <v>0.30899999999972699</v>
      </c>
      <c r="D74" s="437">
        <v>0.13000000000235706</v>
      </c>
      <c r="E74" s="437">
        <f>SUM(B74:D74)</f>
        <v>0.90699999999332692</v>
      </c>
      <c r="F74" s="437"/>
      <c r="G74" s="437">
        <v>0.78899999998608483</v>
      </c>
      <c r="H74" s="437">
        <v>0.21300000000116937</v>
      </c>
      <c r="I74" s="437">
        <v>0.54700000000690507</v>
      </c>
      <c r="J74" s="437">
        <f>SUM(G74:I74)</f>
        <v>1.5489999999941593</v>
      </c>
      <c r="K74" s="437"/>
      <c r="L74" s="437">
        <v>0.31800000000107237</v>
      </c>
      <c r="M74" s="437">
        <v>0.39400000001723995</v>
      </c>
      <c r="N74" s="437">
        <v>0.36100000000291183</v>
      </c>
      <c r="O74" s="437">
        <f>SUM(L74:N74)</f>
        <v>1.0730000000212241</v>
      </c>
      <c r="P74" s="437"/>
      <c r="Q74" s="437">
        <v>0.26099999999946216</v>
      </c>
      <c r="R74" s="437">
        <v>0.31600000000938239</v>
      </c>
      <c r="S74" s="437">
        <v>0.26700000000126317</v>
      </c>
      <c r="T74" s="437">
        <f>SUM(Q74:S74)</f>
        <v>0.84400000001010778</v>
      </c>
      <c r="U74" s="437"/>
      <c r="V74" s="437">
        <v>0.25399999999938511</v>
      </c>
      <c r="W74" s="437">
        <v>0.29600000000838789</v>
      </c>
      <c r="X74" s="437">
        <v>0.24500000000026578</v>
      </c>
      <c r="Y74" s="437">
        <f>SUM(V74:X74)</f>
        <v>0.79500000000803872</v>
      </c>
    </row>
    <row r="75" spans="1:25" x14ac:dyDescent="0.2">
      <c r="A75" s="382" t="s">
        <v>390</v>
      </c>
      <c r="B75" s="438">
        <v>0.72200000000040332</v>
      </c>
      <c r="C75" s="438">
        <v>2.1999999999937927E-2</v>
      </c>
      <c r="D75" s="438">
        <v>9.9999999999422926E-2</v>
      </c>
      <c r="E75" s="438">
        <f t="shared" ref="E75:E76" si="152">SUM(B75:D75)</f>
        <v>0.84399999999976416</v>
      </c>
      <c r="F75" s="438"/>
      <c r="G75" s="438">
        <v>1.1299999999860668</v>
      </c>
      <c r="H75" s="438">
        <v>2.2999999999641946E-2</v>
      </c>
      <c r="I75" s="438">
        <v>0.19699999999888249</v>
      </c>
      <c r="J75" s="438">
        <f t="shared" ref="J75:J76" si="153">SUM(G75:I75)</f>
        <v>1.3499999999845913</v>
      </c>
      <c r="K75" s="438"/>
      <c r="L75" s="438">
        <v>0.58799999999982111</v>
      </c>
      <c r="M75" s="438">
        <v>5.0000000000090611E-2</v>
      </c>
      <c r="N75" s="438">
        <v>3.8999999999715977E-2</v>
      </c>
      <c r="O75" s="438">
        <f t="shared" ref="O75:O76" si="154">SUM(L75:N75)</f>
        <v>0.67699999999962768</v>
      </c>
      <c r="P75" s="438"/>
      <c r="Q75" s="438">
        <v>0.52599999999539704</v>
      </c>
      <c r="R75" s="438">
        <v>4.7999999999318609E-2</v>
      </c>
      <c r="S75" s="438">
        <v>2.9999999999824355E-2</v>
      </c>
      <c r="T75" s="438">
        <f t="shared" ref="T75:T76" si="155">SUM(Q75:S75)</f>
        <v>0.60399999999454002</v>
      </c>
      <c r="U75" s="438"/>
      <c r="V75" s="438">
        <v>0.49199999999523414</v>
      </c>
      <c r="W75" s="438">
        <v>4.9999999999089662E-2</v>
      </c>
      <c r="X75" s="438">
        <v>2.7999999999916651E-2</v>
      </c>
      <c r="Y75" s="438">
        <f t="shared" ref="Y75:Y76" si="156">SUM(V75:X75)</f>
        <v>0.56999999999424045</v>
      </c>
    </row>
    <row r="76" spans="1:25" x14ac:dyDescent="0.2">
      <c r="A76" s="382" t="s">
        <v>389</v>
      </c>
      <c r="B76" s="438">
        <f>SUM(B74:B75)</f>
        <v>1.1899999999916462</v>
      </c>
      <c r="C76" s="438">
        <f t="shared" ref="C76" si="157">SUM(C74:C75)</f>
        <v>0.3309999999996649</v>
      </c>
      <c r="D76" s="438">
        <f t="shared" ref="D76" si="158">SUM(D74:D75)</f>
        <v>0.23000000000178</v>
      </c>
      <c r="E76" s="438">
        <f t="shared" si="152"/>
        <v>1.7509999999930912</v>
      </c>
      <c r="F76" s="438"/>
      <c r="G76" s="438">
        <f>SUM(G74:G75)</f>
        <v>1.9189999999721516</v>
      </c>
      <c r="H76" s="438">
        <f t="shared" ref="H76" si="159">SUM(H74:H75)</f>
        <v>0.23600000000081131</v>
      </c>
      <c r="I76" s="438">
        <f t="shared" ref="I76" si="160">SUM(I74:I75)</f>
        <v>0.74400000000578759</v>
      </c>
      <c r="J76" s="438">
        <f t="shared" si="153"/>
        <v>2.8989999999787504</v>
      </c>
      <c r="K76" s="438"/>
      <c r="L76" s="438">
        <f>SUM(L74:L75)</f>
        <v>0.90600000000089342</v>
      </c>
      <c r="M76" s="438">
        <f t="shared" ref="M76" si="161">SUM(M74:M75)</f>
        <v>0.44400000001733053</v>
      </c>
      <c r="N76" s="438">
        <f t="shared" ref="N76" si="162">SUM(N74:N75)</f>
        <v>0.40000000000262781</v>
      </c>
      <c r="O76" s="438">
        <f t="shared" si="154"/>
        <v>1.7500000000208518</v>
      </c>
      <c r="P76" s="438"/>
      <c r="Q76" s="438">
        <f>SUM(Q74:Q75)</f>
        <v>0.78699999999485915</v>
      </c>
      <c r="R76" s="438">
        <f t="shared" ref="R76" si="163">SUM(R74:R75)</f>
        <v>0.36400000000870097</v>
      </c>
      <c r="S76" s="438">
        <f t="shared" ref="S76" si="164">SUM(S74:S75)</f>
        <v>0.29700000000108751</v>
      </c>
      <c r="T76" s="438">
        <f t="shared" si="155"/>
        <v>1.4480000000046476</v>
      </c>
      <c r="U76" s="438"/>
      <c r="V76" s="438">
        <f>SUM(V74:V75)</f>
        <v>0.74599999999461919</v>
      </c>
      <c r="W76" s="438">
        <f t="shared" ref="W76" si="165">SUM(W74:W75)</f>
        <v>0.34600000000747755</v>
      </c>
      <c r="X76" s="438">
        <f t="shared" ref="X76" si="166">SUM(X74:X75)</f>
        <v>0.27300000000018243</v>
      </c>
      <c r="Y76" s="438">
        <f t="shared" si="156"/>
        <v>1.3650000000022791</v>
      </c>
    </row>
    <row r="77" spans="1:25" x14ac:dyDescent="0.2">
      <c r="B77" s="380"/>
      <c r="C77" s="460"/>
      <c r="D77" s="460"/>
      <c r="E77" s="460"/>
      <c r="F77" s="460"/>
      <c r="G77" s="460"/>
      <c r="H77" s="460"/>
      <c r="I77" s="460"/>
      <c r="J77" s="460"/>
      <c r="K77" s="460"/>
      <c r="L77" s="460"/>
      <c r="M77" s="460"/>
      <c r="N77" s="460"/>
      <c r="O77" s="460"/>
      <c r="P77" s="460"/>
      <c r="Q77" s="460"/>
      <c r="R77" s="460"/>
      <c r="S77" s="460"/>
      <c r="T77" s="460"/>
      <c r="U77" s="460"/>
      <c r="V77" s="460"/>
      <c r="W77" s="460"/>
      <c r="X77" s="460"/>
      <c r="Y77" s="460"/>
    </row>
    <row r="78" spans="1:25" x14ac:dyDescent="0.2">
      <c r="A78" s="378" t="str">
        <f>name!A9</f>
        <v>Wearing apparel; Leather, etc</v>
      </c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</row>
    <row r="79" spans="1:25" x14ac:dyDescent="0.2">
      <c r="A79" s="382" t="s">
        <v>391</v>
      </c>
      <c r="B79" s="437">
        <v>0.31599999999748063</v>
      </c>
      <c r="C79" s="437">
        <v>7.6999999999677715E-2</v>
      </c>
      <c r="D79" s="437">
        <v>4.9000000000899629E-2</v>
      </c>
      <c r="E79" s="437">
        <f>SUM(B79:D79)</f>
        <v>0.44199999999805795</v>
      </c>
      <c r="F79" s="437"/>
      <c r="G79" s="437">
        <v>0.42399999999756377</v>
      </c>
      <c r="H79" s="437">
        <v>0.12000000000023099</v>
      </c>
      <c r="I79" s="437">
        <v>0.18600000000291073</v>
      </c>
      <c r="J79" s="437">
        <f>SUM(G79:I79)</f>
        <v>0.73000000000070553</v>
      </c>
      <c r="K79" s="437"/>
      <c r="L79" s="437">
        <v>0.60399999999942133</v>
      </c>
      <c r="M79" s="437">
        <v>5.3000000002321995E-2</v>
      </c>
      <c r="N79" s="437">
        <v>0.27100000000432384</v>
      </c>
      <c r="O79" s="437">
        <f>SUM(L79:N79)</f>
        <v>0.92800000000606708</v>
      </c>
      <c r="P79" s="437"/>
      <c r="Q79" s="437">
        <v>0.496999999999859</v>
      </c>
      <c r="R79" s="437">
        <v>4.3000000001324507E-2</v>
      </c>
      <c r="S79" s="437">
        <v>0.20000000000281648</v>
      </c>
      <c r="T79" s="437">
        <f>SUM(Q79:S79)</f>
        <v>0.74000000000400001</v>
      </c>
      <c r="U79" s="437"/>
      <c r="V79" s="437">
        <v>0.48300000000009047</v>
      </c>
      <c r="W79" s="437">
        <v>4.0000000001205092E-2</v>
      </c>
      <c r="X79" s="437">
        <v>0.1840000000016272</v>
      </c>
      <c r="Y79" s="437">
        <f>SUM(V79:X79)</f>
        <v>0.70700000000292273</v>
      </c>
    </row>
    <row r="80" spans="1:25" x14ac:dyDescent="0.2">
      <c r="A80" s="382" t="s">
        <v>390</v>
      </c>
      <c r="B80" s="438">
        <v>0.1300000000002102</v>
      </c>
      <c r="C80" s="438">
        <v>6.9999999999852949E-3</v>
      </c>
      <c r="D80" s="438">
        <v>6.9999999999919805E-3</v>
      </c>
      <c r="E80" s="438">
        <f t="shared" ref="E80:E81" si="167">SUM(B80:D80)</f>
        <v>0.14400000000018748</v>
      </c>
      <c r="F80" s="438"/>
      <c r="G80" s="438">
        <v>0.15699999999756958</v>
      </c>
      <c r="H80" s="438">
        <v>1.699999999971712E-2</v>
      </c>
      <c r="I80" s="438">
        <v>1.1999999999907087E-2</v>
      </c>
      <c r="J80" s="438">
        <f t="shared" ref="J80:J81" si="168">SUM(G80:I80)</f>
        <v>0.1859999999971938</v>
      </c>
      <c r="K80" s="438"/>
      <c r="L80" s="438">
        <v>0.35400000000074999</v>
      </c>
      <c r="M80" s="438">
        <v>1.0000000000037632E-2</v>
      </c>
      <c r="N80" s="438">
        <v>6.9999999999484424E-3</v>
      </c>
      <c r="O80" s="438">
        <f t="shared" ref="O80:O81" si="169">SUM(L80:N80)</f>
        <v>0.37100000000073607</v>
      </c>
      <c r="P80" s="438"/>
      <c r="Q80" s="438">
        <v>0.31699999999650796</v>
      </c>
      <c r="R80" s="438">
        <v>8.9999999999778642E-3</v>
      </c>
      <c r="S80" s="438">
        <v>4.9999999999699269E-3</v>
      </c>
      <c r="T80" s="438">
        <f t="shared" ref="T80:T81" si="170">SUM(Q80:S80)</f>
        <v>0.33099999999645574</v>
      </c>
      <c r="U80" s="438"/>
      <c r="V80" s="438">
        <v>0.29599999999630705</v>
      </c>
      <c r="W80" s="438">
        <v>9.9999999999724545E-3</v>
      </c>
      <c r="X80" s="438">
        <v>4.9999999999814507E-3</v>
      </c>
      <c r="Y80" s="438">
        <f t="shared" ref="Y80:Y81" si="171">SUM(V80:X80)</f>
        <v>0.31099999999626099</v>
      </c>
    </row>
    <row r="81" spans="1:25" x14ac:dyDescent="0.2">
      <c r="A81" s="382" t="s">
        <v>389</v>
      </c>
      <c r="B81" s="438">
        <f>SUM(B79:B80)</f>
        <v>0.4459999999976908</v>
      </c>
      <c r="C81" s="438">
        <f t="shared" ref="C81" si="172">SUM(C79:C80)</f>
        <v>8.3999999999663011E-2</v>
      </c>
      <c r="D81" s="438">
        <f t="shared" ref="D81" si="173">SUM(D79:D80)</f>
        <v>5.6000000000891607E-2</v>
      </c>
      <c r="E81" s="438">
        <f t="shared" si="167"/>
        <v>0.58599999999824537</v>
      </c>
      <c r="F81" s="438"/>
      <c r="G81" s="438">
        <f>SUM(G79:G80)</f>
        <v>0.58099999999513341</v>
      </c>
      <c r="H81" s="438">
        <f t="shared" ref="H81" si="174">SUM(H79:H80)</f>
        <v>0.13699999999994811</v>
      </c>
      <c r="I81" s="438">
        <f t="shared" ref="I81" si="175">SUM(I79:I80)</f>
        <v>0.19800000000281781</v>
      </c>
      <c r="J81" s="438">
        <f t="shared" si="168"/>
        <v>0.91599999999789927</v>
      </c>
      <c r="K81" s="438"/>
      <c r="L81" s="438">
        <f>SUM(L79:L80)</f>
        <v>0.95800000000017138</v>
      </c>
      <c r="M81" s="438">
        <f t="shared" ref="M81" si="176">SUM(M79:M80)</f>
        <v>6.3000000002359627E-2</v>
      </c>
      <c r="N81" s="438">
        <f t="shared" ref="N81" si="177">SUM(N79:N80)</f>
        <v>0.27800000000427227</v>
      </c>
      <c r="O81" s="438">
        <f t="shared" si="169"/>
        <v>1.2990000000068034</v>
      </c>
      <c r="P81" s="438"/>
      <c r="Q81" s="438">
        <f>SUM(Q79:Q80)</f>
        <v>0.81399999999636696</v>
      </c>
      <c r="R81" s="438">
        <f t="shared" ref="R81" si="178">SUM(R79:R80)</f>
        <v>5.2000000001302372E-2</v>
      </c>
      <c r="S81" s="438">
        <f t="shared" ref="S81" si="179">SUM(S79:S80)</f>
        <v>0.2050000000027864</v>
      </c>
      <c r="T81" s="438">
        <f t="shared" si="170"/>
        <v>1.0710000000004558</v>
      </c>
      <c r="U81" s="438"/>
      <c r="V81" s="438">
        <f>SUM(V79:V80)</f>
        <v>0.77899999999639746</v>
      </c>
      <c r="W81" s="438">
        <f t="shared" ref="W81" si="180">SUM(W79:W80)</f>
        <v>5.0000000001177547E-2</v>
      </c>
      <c r="X81" s="438">
        <f t="shared" ref="X81" si="181">SUM(X79:X80)</f>
        <v>0.18900000000160866</v>
      </c>
      <c r="Y81" s="438">
        <f t="shared" si="171"/>
        <v>1.0179999999991836</v>
      </c>
    </row>
    <row r="82" spans="1:25" x14ac:dyDescent="0.2">
      <c r="B82" s="380"/>
      <c r="C82" s="460"/>
      <c r="D82" s="460"/>
      <c r="E82" s="460"/>
      <c r="F82" s="460"/>
      <c r="G82" s="460"/>
      <c r="H82" s="460"/>
      <c r="I82" s="460"/>
      <c r="J82" s="460"/>
      <c r="K82" s="460"/>
      <c r="L82" s="460"/>
      <c r="M82" s="460"/>
      <c r="N82" s="460"/>
      <c r="O82" s="460"/>
      <c r="P82" s="460"/>
      <c r="Q82" s="460"/>
      <c r="R82" s="460"/>
      <c r="S82" s="460"/>
      <c r="T82" s="460"/>
      <c r="U82" s="460"/>
      <c r="V82" s="460"/>
      <c r="W82" s="460"/>
      <c r="X82" s="460"/>
      <c r="Y82" s="460"/>
    </row>
    <row r="83" spans="1:25" x14ac:dyDescent="0.2">
      <c r="A83" s="378" t="str">
        <f>name!A10</f>
        <v xml:space="preserve">Wood and cork </v>
      </c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</row>
    <row r="84" spans="1:25" x14ac:dyDescent="0.2">
      <c r="A84" s="382" t="s">
        <v>391</v>
      </c>
      <c r="B84" s="437">
        <v>0.34699999999493136</v>
      </c>
      <c r="C84" s="437">
        <v>3.0999999999651862E-2</v>
      </c>
      <c r="D84" s="437">
        <v>2.0000000000342109E-2</v>
      </c>
      <c r="E84" s="437">
        <f>SUM(B84:D84)</f>
        <v>0.39799999999492536</v>
      </c>
      <c r="F84" s="437"/>
      <c r="G84" s="437">
        <v>0.17799999999751859</v>
      </c>
      <c r="H84" s="437">
        <v>0.11099999999870627</v>
      </c>
      <c r="I84" s="437">
        <v>7.300000000128315E-2</v>
      </c>
      <c r="J84" s="437">
        <f>SUM(G84:I84)</f>
        <v>0.36199999999750798</v>
      </c>
      <c r="K84" s="437"/>
      <c r="L84" s="437">
        <v>0.23999999999966276</v>
      </c>
      <c r="M84" s="437">
        <v>4.6000000000168011E-2</v>
      </c>
      <c r="N84" s="437">
        <v>6.8000000002301261E-2</v>
      </c>
      <c r="O84" s="437">
        <f>SUM(L84:N84)</f>
        <v>0.35400000000213205</v>
      </c>
      <c r="P84" s="437"/>
      <c r="Q84" s="437">
        <v>0.22999999999856796</v>
      </c>
      <c r="R84" s="437">
        <v>4.4000000000171381E-2</v>
      </c>
      <c r="S84" s="437">
        <v>6.6000000002181619E-2</v>
      </c>
      <c r="T84" s="437">
        <f>SUM(Q84:S84)</f>
        <v>0.34000000000092101</v>
      </c>
      <c r="U84" s="437"/>
      <c r="V84" s="437">
        <v>0.22099999999882644</v>
      </c>
      <c r="W84" s="437">
        <v>4.1000000000161095E-2</v>
      </c>
      <c r="X84" s="437">
        <v>6.2000000001615596E-2</v>
      </c>
      <c r="Y84" s="437">
        <f>SUM(V84:X84)</f>
        <v>0.32400000000060314</v>
      </c>
    </row>
    <row r="85" spans="1:25" x14ac:dyDescent="0.2">
      <c r="A85" s="382" t="s">
        <v>390</v>
      </c>
      <c r="B85" s="438">
        <v>2.8360000000054533</v>
      </c>
      <c r="C85" s="438">
        <v>9.9999999999826426E-3</v>
      </c>
      <c r="D85" s="438">
        <v>0.29100000000150555</v>
      </c>
      <c r="E85" s="438">
        <f t="shared" ref="E85:E86" si="182">SUM(B85:D85)</f>
        <v>3.1370000000069411</v>
      </c>
      <c r="F85" s="438"/>
      <c r="G85" s="438">
        <v>2.877999999938631</v>
      </c>
      <c r="H85" s="438">
        <v>9.6999999998143641E-2</v>
      </c>
      <c r="I85" s="438">
        <v>0.45199999999511625</v>
      </c>
      <c r="J85" s="438">
        <f t="shared" ref="J85:J86" si="183">SUM(G85:I85)</f>
        <v>3.426999999931891</v>
      </c>
      <c r="K85" s="438"/>
      <c r="L85" s="438">
        <v>3.4700000000070972</v>
      </c>
      <c r="M85" s="438">
        <v>6.4000000000120516E-2</v>
      </c>
      <c r="N85" s="438">
        <v>0.16300000000007991</v>
      </c>
      <c r="O85" s="438">
        <f t="shared" ref="O85:O86" si="184">SUM(L85:N85)</f>
        <v>3.6970000000072973</v>
      </c>
      <c r="P85" s="438"/>
      <c r="Q85" s="438">
        <v>3.2319999999459164</v>
      </c>
      <c r="R85" s="438">
        <v>7.6999999998953503E-2</v>
      </c>
      <c r="S85" s="438">
        <v>0.16199999999975456</v>
      </c>
      <c r="T85" s="438">
        <f t="shared" ref="T85:T86" si="185">SUM(Q85:S85)</f>
        <v>3.4709999999446248</v>
      </c>
      <c r="U85" s="438"/>
      <c r="V85" s="438">
        <v>2.9829999999410353</v>
      </c>
      <c r="W85" s="438">
        <v>8.6999999998624428E-2</v>
      </c>
      <c r="X85" s="438">
        <v>0.15699999999993478</v>
      </c>
      <c r="Y85" s="438">
        <f t="shared" ref="Y85:Y86" si="186">SUM(V85:X85)</f>
        <v>3.2269999999395944</v>
      </c>
    </row>
    <row r="86" spans="1:25" x14ac:dyDescent="0.2">
      <c r="A86" s="382" t="s">
        <v>389</v>
      </c>
      <c r="B86" s="438">
        <f>SUM(B84:B85)</f>
        <v>3.1830000000003844</v>
      </c>
      <c r="C86" s="438">
        <f t="shared" ref="C86" si="187">SUM(C84:C85)</f>
        <v>4.0999999999634502E-2</v>
      </c>
      <c r="D86" s="438">
        <f t="shared" ref="D86" si="188">SUM(D84:D85)</f>
        <v>0.31100000000184769</v>
      </c>
      <c r="E86" s="438">
        <f t="shared" si="182"/>
        <v>3.5350000000018666</v>
      </c>
      <c r="F86" s="438"/>
      <c r="G86" s="438">
        <f>SUM(G84:G85)</f>
        <v>3.0559999999361498</v>
      </c>
      <c r="H86" s="438">
        <f t="shared" ref="H86" si="189">SUM(H84:H85)</f>
        <v>0.20799999999684993</v>
      </c>
      <c r="I86" s="438">
        <f t="shared" ref="I86" si="190">SUM(I84:I85)</f>
        <v>0.52499999999639946</v>
      </c>
      <c r="J86" s="438">
        <f t="shared" si="183"/>
        <v>3.7889999999293993</v>
      </c>
      <c r="K86" s="438"/>
      <c r="L86" s="438">
        <f>SUM(L84:L85)</f>
        <v>3.7100000000067599</v>
      </c>
      <c r="M86" s="438">
        <f t="shared" ref="M86" si="191">SUM(M84:M85)</f>
        <v>0.11000000000028853</v>
      </c>
      <c r="N86" s="438">
        <f t="shared" ref="N86" si="192">SUM(N84:N85)</f>
        <v>0.23100000000238119</v>
      </c>
      <c r="O86" s="438">
        <f t="shared" si="184"/>
        <v>4.0510000000094299</v>
      </c>
      <c r="P86" s="438"/>
      <c r="Q86" s="438">
        <f>SUM(Q84:Q85)</f>
        <v>3.4619999999444842</v>
      </c>
      <c r="R86" s="438">
        <f t="shared" ref="R86" si="193">SUM(R84:R85)</f>
        <v>0.12099999999912489</v>
      </c>
      <c r="S86" s="438">
        <f t="shared" ref="S86" si="194">SUM(S84:S85)</f>
        <v>0.22800000000193618</v>
      </c>
      <c r="T86" s="438">
        <f t="shared" si="185"/>
        <v>3.8109999999455448</v>
      </c>
      <c r="U86" s="438"/>
      <c r="V86" s="438">
        <f>SUM(V84:V85)</f>
        <v>3.2039999999398616</v>
      </c>
      <c r="W86" s="438">
        <f t="shared" ref="W86" si="195">SUM(W84:W85)</f>
        <v>0.12799999999878553</v>
      </c>
      <c r="X86" s="438">
        <f t="shared" ref="X86" si="196">SUM(X84:X85)</f>
        <v>0.21900000000155037</v>
      </c>
      <c r="Y86" s="438">
        <f t="shared" si="186"/>
        <v>3.5509999999401973</v>
      </c>
    </row>
    <row r="87" spans="1:25" x14ac:dyDescent="0.2">
      <c r="B87" s="380"/>
      <c r="C87" s="460"/>
      <c r="D87" s="460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460"/>
      <c r="V87" s="460"/>
      <c r="W87" s="460"/>
      <c r="X87" s="460"/>
      <c r="Y87" s="460"/>
    </row>
    <row r="88" spans="1:25" x14ac:dyDescent="0.2">
      <c r="A88" s="378" t="str">
        <f>name!A11</f>
        <v>Paper, etc</v>
      </c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</row>
    <row r="89" spans="1:25" x14ac:dyDescent="0.2">
      <c r="A89" s="382" t="s">
        <v>391</v>
      </c>
      <c r="B89" s="437">
        <v>1.2149999999724928</v>
      </c>
      <c r="C89" s="437">
        <v>0.17499999999871182</v>
      </c>
      <c r="D89" s="437">
        <v>4.8000000001077792E-2</v>
      </c>
      <c r="E89" s="437">
        <f>SUM(B89:D89)</f>
        <v>1.4379999999722823</v>
      </c>
      <c r="F89" s="437"/>
      <c r="G89" s="437">
        <v>0.54899999998950644</v>
      </c>
      <c r="H89" s="437">
        <v>4.49999999996952E-2</v>
      </c>
      <c r="I89" s="437">
        <v>0.13800000000283044</v>
      </c>
      <c r="J89" s="437">
        <f>SUM(G89:I89)</f>
        <v>0.73199999999203202</v>
      </c>
      <c r="K89" s="437"/>
      <c r="L89" s="437">
        <v>0.38200000000137824</v>
      </c>
      <c r="M89" s="437">
        <v>0.12100000000288394</v>
      </c>
      <c r="N89" s="437">
        <v>7.1000000000497956E-2</v>
      </c>
      <c r="O89" s="437">
        <f>SUM(L89:N89)</f>
        <v>0.57400000000476015</v>
      </c>
      <c r="P89" s="437"/>
      <c r="Q89" s="437">
        <v>0.36699999999873434</v>
      </c>
      <c r="R89" s="437">
        <v>0.11700000000221157</v>
      </c>
      <c r="S89" s="437">
        <v>6.8000000000836544E-2</v>
      </c>
      <c r="T89" s="437">
        <f>SUM(Q89:S89)</f>
        <v>0.5520000000017824</v>
      </c>
      <c r="U89" s="437"/>
      <c r="V89" s="437">
        <v>0.35199999999857773</v>
      </c>
      <c r="W89" s="437">
        <v>0.11000000000182762</v>
      </c>
      <c r="X89" s="437">
        <v>6.4000000000699844E-2</v>
      </c>
      <c r="Y89" s="437">
        <f>SUM(V89:X89)</f>
        <v>0.52600000000110525</v>
      </c>
    </row>
    <row r="90" spans="1:25" x14ac:dyDescent="0.2">
      <c r="A90" s="382" t="s">
        <v>390</v>
      </c>
      <c r="B90" s="438">
        <v>3.8380000000044854</v>
      </c>
      <c r="C90" s="438">
        <v>3.4999999999940641E-2</v>
      </c>
      <c r="D90" s="438">
        <v>0.40099999999839608</v>
      </c>
      <c r="E90" s="438">
        <f t="shared" ref="E90:E91" si="197">SUM(B90:D90)</f>
        <v>4.2740000000028218</v>
      </c>
      <c r="F90" s="438"/>
      <c r="G90" s="438">
        <v>3.434999999933527</v>
      </c>
      <c r="H90" s="438">
        <v>2.2999999999579704E-2</v>
      </c>
      <c r="I90" s="438">
        <v>0.47999999999643606</v>
      </c>
      <c r="J90" s="438">
        <f t="shared" ref="J90:J91" si="198">SUM(G90:I90)</f>
        <v>3.9379999999295427</v>
      </c>
      <c r="K90" s="438"/>
      <c r="L90" s="438">
        <v>2.1370000000022187</v>
      </c>
      <c r="M90" s="438">
        <v>0.10000000000029052</v>
      </c>
      <c r="N90" s="438">
        <v>9.3999999999390696E-2</v>
      </c>
      <c r="O90" s="438">
        <f t="shared" ref="O90:O91" si="199">SUM(L90:N90)</f>
        <v>2.3310000000018998</v>
      </c>
      <c r="P90" s="438"/>
      <c r="Q90" s="438">
        <v>1.9909999999704264</v>
      </c>
      <c r="R90" s="438">
        <v>0.12099999999842156</v>
      </c>
      <c r="S90" s="438">
        <v>9.3999999999467593E-2</v>
      </c>
      <c r="T90" s="438">
        <f t="shared" ref="T90:T91" si="200">SUM(Q90:S90)</f>
        <v>2.2059999999683155</v>
      </c>
      <c r="U90" s="438"/>
      <c r="V90" s="438">
        <v>1.8379999999681833</v>
      </c>
      <c r="W90" s="438">
        <v>0.13699999999781443</v>
      </c>
      <c r="X90" s="438">
        <v>9.0999999999665404E-2</v>
      </c>
      <c r="Y90" s="438">
        <f t="shared" ref="Y90:Y91" si="201">SUM(V90:X90)</f>
        <v>2.0659999999656633</v>
      </c>
    </row>
    <row r="91" spans="1:25" x14ac:dyDescent="0.2">
      <c r="A91" s="382" t="s">
        <v>389</v>
      </c>
      <c r="B91" s="438">
        <f>SUM(B89:B90)</f>
        <v>5.0529999999769784</v>
      </c>
      <c r="C91" s="438">
        <f t="shared" ref="C91" si="202">SUM(C89:C90)</f>
        <v>0.20999999999865246</v>
      </c>
      <c r="D91" s="438">
        <f t="shared" ref="D91" si="203">SUM(D89:D90)</f>
        <v>0.44899999999947388</v>
      </c>
      <c r="E91" s="438">
        <f t="shared" si="197"/>
        <v>5.711999999975105</v>
      </c>
      <c r="F91" s="438"/>
      <c r="G91" s="438">
        <f>SUM(G89:G90)</f>
        <v>3.9839999999230336</v>
      </c>
      <c r="H91" s="438">
        <f t="shared" ref="H91" si="204">SUM(H89:H90)</f>
        <v>6.7999999999274904E-2</v>
      </c>
      <c r="I91" s="438">
        <f t="shared" ref="I91" si="205">SUM(I89:I90)</f>
        <v>0.61799999999926647</v>
      </c>
      <c r="J91" s="438">
        <f t="shared" si="198"/>
        <v>4.6699999999215756</v>
      </c>
      <c r="K91" s="438"/>
      <c r="L91" s="438">
        <f>SUM(L89:L90)</f>
        <v>2.5190000000035968</v>
      </c>
      <c r="M91" s="438">
        <f t="shared" ref="M91" si="206">SUM(M89:M90)</f>
        <v>0.22100000000317446</v>
      </c>
      <c r="N91" s="438">
        <f t="shared" ref="N91" si="207">SUM(N89:N90)</f>
        <v>0.16499999999988865</v>
      </c>
      <c r="O91" s="438">
        <f t="shared" si="199"/>
        <v>2.9050000000066598</v>
      </c>
      <c r="P91" s="438"/>
      <c r="Q91" s="438">
        <f>SUM(Q89:Q90)</f>
        <v>2.3579999999691608</v>
      </c>
      <c r="R91" s="438">
        <f t="shared" ref="R91" si="208">SUM(R89:R90)</f>
        <v>0.23800000000063315</v>
      </c>
      <c r="S91" s="438">
        <f t="shared" ref="S91" si="209">SUM(S89:S90)</f>
        <v>0.16200000000030412</v>
      </c>
      <c r="T91" s="438">
        <f t="shared" si="200"/>
        <v>2.7579999999700981</v>
      </c>
      <c r="U91" s="438"/>
      <c r="V91" s="438">
        <f>SUM(V89:V90)</f>
        <v>2.1899999999667612</v>
      </c>
      <c r="W91" s="438">
        <f t="shared" ref="W91" si="210">SUM(W89:W90)</f>
        <v>0.24699999999964206</v>
      </c>
      <c r="X91" s="438">
        <f t="shared" ref="X91" si="211">SUM(X89:X90)</f>
        <v>0.15500000000036523</v>
      </c>
      <c r="Y91" s="438">
        <f t="shared" si="201"/>
        <v>2.5919999999667684</v>
      </c>
    </row>
    <row r="92" spans="1:25" x14ac:dyDescent="0.2">
      <c r="B92" s="380"/>
      <c r="C92" s="460"/>
      <c r="D92" s="460"/>
      <c r="E92" s="460"/>
      <c r="F92" s="460"/>
      <c r="G92" s="460"/>
      <c r="H92" s="460"/>
      <c r="I92" s="460"/>
      <c r="J92" s="460"/>
      <c r="K92" s="460"/>
      <c r="L92" s="460"/>
      <c r="M92" s="460"/>
      <c r="N92" s="460"/>
      <c r="O92" s="460"/>
      <c r="P92" s="460"/>
      <c r="Q92" s="460"/>
      <c r="R92" s="460"/>
      <c r="S92" s="460"/>
      <c r="T92" s="460"/>
      <c r="U92" s="460"/>
      <c r="V92" s="460"/>
      <c r="W92" s="460"/>
      <c r="X92" s="460"/>
      <c r="Y92" s="460"/>
    </row>
    <row r="93" spans="1:25" x14ac:dyDescent="0.2">
      <c r="A93" s="378" t="str">
        <f>name!A12</f>
        <v>Printing and recording</v>
      </c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</row>
    <row r="94" spans="1:25" x14ac:dyDescent="0.2">
      <c r="A94" s="382" t="s">
        <v>391</v>
      </c>
      <c r="B94" s="437">
        <v>0.79599999998793991</v>
      </c>
      <c r="C94" s="437">
        <v>0.41299999999748471</v>
      </c>
      <c r="D94" s="437">
        <v>8.50000000020327E-2</v>
      </c>
      <c r="E94" s="437">
        <f>SUM(B94:D94)</f>
        <v>1.2939999999874574</v>
      </c>
      <c r="F94" s="437"/>
      <c r="G94" s="437">
        <v>0.87999999998735767</v>
      </c>
      <c r="H94" s="437">
        <v>0.16899999999858811</v>
      </c>
      <c r="I94" s="437">
        <v>0.12700000000263922</v>
      </c>
      <c r="J94" s="437">
        <f>SUM(G94:I94)</f>
        <v>1.1759999999885851</v>
      </c>
      <c r="K94" s="437"/>
      <c r="L94" s="437">
        <v>1.1099999999949146</v>
      </c>
      <c r="M94" s="437">
        <v>0.37200000000776279</v>
      </c>
      <c r="N94" s="437">
        <v>0.15400000000102465</v>
      </c>
      <c r="O94" s="437">
        <f>SUM(L94:N94)</f>
        <v>1.636000000003702</v>
      </c>
      <c r="P94" s="437"/>
      <c r="Q94" s="437">
        <v>1.1239999999880268</v>
      </c>
      <c r="R94" s="437">
        <v>0.37600000000643991</v>
      </c>
      <c r="S94" s="437">
        <v>0.16100000000144235</v>
      </c>
      <c r="T94" s="437">
        <f>SUM(Q94:S94)</f>
        <v>1.6609999999959091</v>
      </c>
      <c r="U94" s="437"/>
      <c r="V94" s="437">
        <v>1.1059999999890955</v>
      </c>
      <c r="W94" s="437">
        <v>0.36900000000560357</v>
      </c>
      <c r="X94" s="437">
        <v>0.16300000000152901</v>
      </c>
      <c r="Y94" s="437">
        <f>SUM(V94:X94)</f>
        <v>1.637999999996228</v>
      </c>
    </row>
    <row r="95" spans="1:25" x14ac:dyDescent="0.2">
      <c r="A95" s="382" t="s">
        <v>390</v>
      </c>
      <c r="B95" s="438">
        <v>2.6970000000009295</v>
      </c>
      <c r="C95" s="438">
        <v>0.44499999999924184</v>
      </c>
      <c r="D95" s="438">
        <v>0.32699999999629809</v>
      </c>
      <c r="E95" s="438">
        <f t="shared" ref="E95:E96" si="212">SUM(B95:D95)</f>
        <v>3.4689999999964694</v>
      </c>
      <c r="F95" s="438"/>
      <c r="G95" s="438">
        <v>3.1939999999621924</v>
      </c>
      <c r="H95" s="438">
        <v>5.8999999998902049E-2</v>
      </c>
      <c r="I95" s="438">
        <v>0.29799999999874666</v>
      </c>
      <c r="J95" s="438">
        <f t="shared" ref="J95:J96" si="213">SUM(G95:I95)</f>
        <v>3.5509999999598412</v>
      </c>
      <c r="K95" s="438"/>
      <c r="L95" s="438">
        <v>3.716999999998186</v>
      </c>
      <c r="M95" s="438">
        <v>0.14500000000042548</v>
      </c>
      <c r="N95" s="438">
        <v>0.19099999999802425</v>
      </c>
      <c r="O95" s="438">
        <f t="shared" ref="O95:O96" si="214">SUM(L95:N95)</f>
        <v>4.0529999999966355</v>
      </c>
      <c r="P95" s="438"/>
      <c r="Q95" s="438">
        <v>3.6249999999678408</v>
      </c>
      <c r="R95" s="438">
        <v>0.18699999999755371</v>
      </c>
      <c r="S95" s="438">
        <v>0.18999999999794118</v>
      </c>
      <c r="T95" s="438">
        <f t="shared" ref="T95:T96" si="215">SUM(Q95:S95)</f>
        <v>4.0019999999633358</v>
      </c>
      <c r="U95" s="438"/>
      <c r="V95" s="438">
        <v>3.4389999999662901</v>
      </c>
      <c r="W95" s="438">
        <v>0.2189999999965157</v>
      </c>
      <c r="X95" s="438">
        <v>0.18399999999873642</v>
      </c>
      <c r="Y95" s="438">
        <f t="shared" ref="Y95:Y96" si="216">SUM(V95:X95)</f>
        <v>3.841999999961542</v>
      </c>
    </row>
    <row r="96" spans="1:25" x14ac:dyDescent="0.2">
      <c r="A96" s="382" t="s">
        <v>389</v>
      </c>
      <c r="B96" s="438">
        <f>SUM(B94:B95)</f>
        <v>3.4929999999888697</v>
      </c>
      <c r="C96" s="438">
        <f t="shared" ref="C96" si="217">SUM(C94:C95)</f>
        <v>0.85799999999672649</v>
      </c>
      <c r="D96" s="438">
        <f t="shared" ref="D96" si="218">SUM(D94:D95)</f>
        <v>0.41199999999833081</v>
      </c>
      <c r="E96" s="438">
        <f t="shared" si="212"/>
        <v>4.7629999999839274</v>
      </c>
      <c r="F96" s="438"/>
      <c r="G96" s="438">
        <f>SUM(G94:G95)</f>
        <v>4.0739999999495504</v>
      </c>
      <c r="H96" s="438">
        <f t="shared" ref="H96" si="219">SUM(H94:H95)</f>
        <v>0.22799999999749015</v>
      </c>
      <c r="I96" s="438">
        <f t="shared" ref="I96" si="220">SUM(I94:I95)</f>
        <v>0.42500000000138588</v>
      </c>
      <c r="J96" s="438">
        <f t="shared" si="213"/>
        <v>4.7269999999484265</v>
      </c>
      <c r="K96" s="438"/>
      <c r="L96" s="438">
        <f>SUM(L94:L95)</f>
        <v>4.8269999999931006</v>
      </c>
      <c r="M96" s="438">
        <f t="shared" ref="M96" si="221">SUM(M94:M95)</f>
        <v>0.51700000000818824</v>
      </c>
      <c r="N96" s="438">
        <f t="shared" ref="N96" si="222">SUM(N94:N95)</f>
        <v>0.3449999999990489</v>
      </c>
      <c r="O96" s="438">
        <f t="shared" si="214"/>
        <v>5.6890000000003376</v>
      </c>
      <c r="P96" s="438"/>
      <c r="Q96" s="438">
        <f>SUM(Q94:Q95)</f>
        <v>4.7489999999558679</v>
      </c>
      <c r="R96" s="438">
        <f t="shared" ref="R96" si="223">SUM(R94:R95)</f>
        <v>0.56300000000399364</v>
      </c>
      <c r="S96" s="438">
        <f t="shared" ref="S96" si="224">SUM(S94:S95)</f>
        <v>0.35099999999938353</v>
      </c>
      <c r="T96" s="438">
        <f t="shared" si="215"/>
        <v>5.6629999999592453</v>
      </c>
      <c r="U96" s="438"/>
      <c r="V96" s="438">
        <f>SUM(V94:V95)</f>
        <v>4.5449999999553858</v>
      </c>
      <c r="W96" s="438">
        <f t="shared" ref="W96" si="225">SUM(W94:W95)</f>
        <v>0.58800000000211927</v>
      </c>
      <c r="X96" s="438">
        <f t="shared" ref="X96" si="226">SUM(X94:X95)</f>
        <v>0.34700000000026543</v>
      </c>
      <c r="Y96" s="438">
        <f t="shared" si="216"/>
        <v>5.4799999999577702</v>
      </c>
    </row>
    <row r="97" spans="1:25" x14ac:dyDescent="0.2">
      <c r="A97" s="384"/>
      <c r="B97" s="380"/>
      <c r="C97" s="460"/>
      <c r="D97" s="460"/>
      <c r="E97" s="460"/>
      <c r="F97" s="460"/>
      <c r="G97" s="460"/>
      <c r="H97" s="460"/>
      <c r="I97" s="460"/>
      <c r="J97" s="460"/>
      <c r="K97" s="460"/>
      <c r="L97" s="460"/>
      <c r="M97" s="460"/>
      <c r="N97" s="460"/>
      <c r="O97" s="460"/>
      <c r="P97" s="460"/>
      <c r="Q97" s="460"/>
      <c r="R97" s="460"/>
      <c r="S97" s="460"/>
      <c r="T97" s="460"/>
      <c r="U97" s="460"/>
      <c r="V97" s="460"/>
      <c r="W97" s="460"/>
      <c r="X97" s="460"/>
      <c r="Y97" s="460"/>
    </row>
    <row r="98" spans="1:25" x14ac:dyDescent="0.2">
      <c r="A98" s="378" t="str">
        <f>name!A13</f>
        <v>Coke and petroleum; Chemicals, etc</v>
      </c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</row>
    <row r="99" spans="1:25" x14ac:dyDescent="0.2">
      <c r="A99" s="382" t="s">
        <v>391</v>
      </c>
      <c r="B99" s="437">
        <v>2.15299999995228</v>
      </c>
      <c r="C99" s="437">
        <v>0.29799999999891996</v>
      </c>
      <c r="D99" s="437">
        <v>6.6999999998618165E-2</v>
      </c>
      <c r="E99" s="437">
        <f>SUM(B99:D99)</f>
        <v>2.5179999999498182</v>
      </c>
      <c r="F99" s="437"/>
      <c r="G99" s="437">
        <v>1.2209999999732601</v>
      </c>
      <c r="H99" s="437">
        <v>0.12499999999955122</v>
      </c>
      <c r="I99" s="437">
        <v>0.17199999999317053</v>
      </c>
      <c r="J99" s="437">
        <f>SUM(G99:I99)</f>
        <v>1.5179999999659819</v>
      </c>
      <c r="K99" s="437"/>
      <c r="L99" s="437">
        <v>1.1280000000021282</v>
      </c>
      <c r="M99" s="437">
        <v>0.23000000000752896</v>
      </c>
      <c r="N99" s="437">
        <v>0.10499999999599567</v>
      </c>
      <c r="O99" s="437">
        <f>SUM(L99:N99)</f>
        <v>1.4630000000056529</v>
      </c>
      <c r="P99" s="437"/>
      <c r="Q99" s="437">
        <v>1.0189999999933714</v>
      </c>
      <c r="R99" s="437">
        <v>0.27400000000677527</v>
      </c>
      <c r="S99" s="437">
        <v>9.2999999997535193E-2</v>
      </c>
      <c r="T99" s="437">
        <f>SUM(Q99:S99)</f>
        <v>1.385999999997682</v>
      </c>
      <c r="U99" s="437"/>
      <c r="V99" s="437">
        <v>0.93999999999374284</v>
      </c>
      <c r="W99" s="437">
        <v>0.33000000000745455</v>
      </c>
      <c r="X99" s="437">
        <v>8.2999999999353202E-2</v>
      </c>
      <c r="Y99" s="437">
        <f>SUM(V99:X99)</f>
        <v>1.3530000000005504</v>
      </c>
    </row>
    <row r="100" spans="1:25" x14ac:dyDescent="0.2">
      <c r="A100" s="382" t="s">
        <v>390</v>
      </c>
      <c r="B100" s="438">
        <v>6.2679999999851495</v>
      </c>
      <c r="C100" s="438">
        <v>0.11799999999987348</v>
      </c>
      <c r="D100" s="438">
        <v>0.30099999999892441</v>
      </c>
      <c r="E100" s="438">
        <f t="shared" ref="E100:E101" si="227">SUM(B100:D100)</f>
        <v>6.6869999999839473</v>
      </c>
      <c r="F100" s="438"/>
      <c r="G100" s="438">
        <v>3.280999999994977</v>
      </c>
      <c r="H100" s="438">
        <v>3.3999999999652857E-2</v>
      </c>
      <c r="I100" s="438">
        <v>0.10599999999945864</v>
      </c>
      <c r="J100" s="438">
        <f t="shared" ref="J100:J101" si="228">SUM(G100:I100)</f>
        <v>3.4209999999940885</v>
      </c>
      <c r="K100" s="438"/>
      <c r="L100" s="438">
        <v>3.2909999999866582</v>
      </c>
      <c r="M100" s="438">
        <v>0.11300000000016837</v>
      </c>
      <c r="N100" s="438">
        <v>7.4999999999177031E-2</v>
      </c>
      <c r="O100" s="438">
        <f t="shared" ref="O100:O101" si="229">SUM(L100:N100)</f>
        <v>3.4789999999860033</v>
      </c>
      <c r="P100" s="438"/>
      <c r="Q100" s="438">
        <v>3.135999999997229</v>
      </c>
      <c r="R100" s="438">
        <v>0.13799999999896062</v>
      </c>
      <c r="S100" s="438">
        <v>4.9999999999750147E-2</v>
      </c>
      <c r="T100" s="438">
        <f t="shared" ref="T100:T101" si="230">SUM(Q100:S100)</f>
        <v>3.32399999999594</v>
      </c>
      <c r="U100" s="438"/>
      <c r="V100" s="438">
        <v>3.0330000000010715</v>
      </c>
      <c r="W100" s="438">
        <v>0.16799999999845933</v>
      </c>
      <c r="X100" s="438">
        <v>2.2999999999959293E-2</v>
      </c>
      <c r="Y100" s="438">
        <f t="shared" ref="Y100:Y101" si="231">SUM(V100:X100)</f>
        <v>3.2239999999994899</v>
      </c>
    </row>
    <row r="101" spans="1:25" x14ac:dyDescent="0.2">
      <c r="A101" s="382" t="s">
        <v>389</v>
      </c>
      <c r="B101" s="438">
        <f>SUM(B99:B100)</f>
        <v>8.420999999937429</v>
      </c>
      <c r="C101" s="438">
        <f t="shared" ref="C101" si="232">SUM(C99:C100)</f>
        <v>0.41599999999879345</v>
      </c>
      <c r="D101" s="438">
        <f t="shared" ref="D101" si="233">SUM(D99:D100)</f>
        <v>0.36799999999754257</v>
      </c>
      <c r="E101" s="438">
        <f t="shared" si="227"/>
        <v>9.2049999999337651</v>
      </c>
      <c r="F101" s="438"/>
      <c r="G101" s="438">
        <f>SUM(G99:G100)</f>
        <v>4.5019999999682376</v>
      </c>
      <c r="H101" s="438">
        <f t="shared" ref="H101" si="234">SUM(H99:H100)</f>
        <v>0.15899999999920408</v>
      </c>
      <c r="I101" s="438">
        <f t="shared" ref="I101" si="235">SUM(I99:I100)</f>
        <v>0.27799999999262914</v>
      </c>
      <c r="J101" s="438">
        <f t="shared" si="228"/>
        <v>4.9389999999600711</v>
      </c>
      <c r="K101" s="438"/>
      <c r="L101" s="438">
        <f>SUM(L99:L100)</f>
        <v>4.4189999999887863</v>
      </c>
      <c r="M101" s="438">
        <f t="shared" ref="M101" si="236">SUM(M99:M100)</f>
        <v>0.34300000000769731</v>
      </c>
      <c r="N101" s="438">
        <f t="shared" ref="N101" si="237">SUM(N99:N100)</f>
        <v>0.17999999999517269</v>
      </c>
      <c r="O101" s="438">
        <f t="shared" si="229"/>
        <v>4.9419999999916557</v>
      </c>
      <c r="P101" s="438"/>
      <c r="Q101" s="438">
        <f>SUM(Q99:Q100)</f>
        <v>4.1549999999906007</v>
      </c>
      <c r="R101" s="438">
        <f t="shared" ref="R101" si="238">SUM(R99:R100)</f>
        <v>0.41200000000573589</v>
      </c>
      <c r="S101" s="438">
        <f t="shared" ref="S101" si="239">SUM(S99:S100)</f>
        <v>0.14299999999728535</v>
      </c>
      <c r="T101" s="438">
        <f t="shared" si="230"/>
        <v>4.709999999993622</v>
      </c>
      <c r="U101" s="438"/>
      <c r="V101" s="438">
        <f>SUM(V99:V100)</f>
        <v>3.9729999999948142</v>
      </c>
      <c r="W101" s="438">
        <f t="shared" ref="W101" si="240">SUM(W99:W100)</f>
        <v>0.49800000000591388</v>
      </c>
      <c r="X101" s="438">
        <f t="shared" ref="X101" si="241">SUM(X99:X100)</f>
        <v>0.10599999999931249</v>
      </c>
      <c r="Y101" s="438">
        <f t="shared" si="231"/>
        <v>4.5770000000000408</v>
      </c>
    </row>
    <row r="102" spans="1:25" x14ac:dyDescent="0.2">
      <c r="B102" s="380"/>
      <c r="C102" s="460"/>
      <c r="D102" s="460"/>
      <c r="E102" s="460"/>
      <c r="F102" s="460"/>
      <c r="G102" s="460"/>
      <c r="H102" s="460"/>
      <c r="I102" s="460"/>
      <c r="J102" s="460"/>
      <c r="K102" s="460"/>
      <c r="L102" s="460"/>
      <c r="M102" s="460"/>
      <c r="N102" s="460"/>
      <c r="O102" s="460"/>
      <c r="P102" s="460"/>
      <c r="Q102" s="460"/>
      <c r="R102" s="460"/>
      <c r="S102" s="460"/>
      <c r="T102" s="460"/>
      <c r="U102" s="460"/>
      <c r="V102" s="460"/>
      <c r="W102" s="460"/>
      <c r="X102" s="460"/>
      <c r="Y102" s="460"/>
    </row>
    <row r="103" spans="1:25" x14ac:dyDescent="0.2">
      <c r="A103" s="378" t="str">
        <f>name!A14</f>
        <v>Pharmaceuticals</v>
      </c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</row>
    <row r="104" spans="1:25" x14ac:dyDescent="0.2">
      <c r="A104" s="382" t="s">
        <v>391</v>
      </c>
      <c r="B104" s="437">
        <v>0.98799999999203647</v>
      </c>
      <c r="C104" s="437">
        <v>0.1869999999993221</v>
      </c>
      <c r="D104" s="437">
        <v>2.8000000000051012E-2</v>
      </c>
      <c r="E104" s="437">
        <f>SUM(B104:D104)</f>
        <v>1.2029999999914096</v>
      </c>
      <c r="F104" s="437"/>
      <c r="G104" s="437">
        <v>1.3299999999882848</v>
      </c>
      <c r="H104" s="437">
        <v>0.32099999999813178</v>
      </c>
      <c r="I104" s="437">
        <v>0.12800000000046732</v>
      </c>
      <c r="J104" s="437">
        <f>SUM(G104:I104)</f>
        <v>1.7789999999868837</v>
      </c>
      <c r="K104" s="437"/>
      <c r="L104" s="437">
        <v>1.262999999994608</v>
      </c>
      <c r="M104" s="437">
        <v>0.23700000000492788</v>
      </c>
      <c r="N104" s="437">
        <v>0.22500000000417916</v>
      </c>
      <c r="O104" s="437">
        <f>SUM(L104:N104)</f>
        <v>1.7250000000037151</v>
      </c>
      <c r="P104" s="437"/>
      <c r="Q104" s="437">
        <v>1.3459999999890702</v>
      </c>
      <c r="R104" s="437">
        <v>0.32900000000548735</v>
      </c>
      <c r="S104" s="437">
        <v>0.25600000000468376</v>
      </c>
      <c r="T104" s="437">
        <f>SUM(Q104:S104)</f>
        <v>1.9309999999992413</v>
      </c>
      <c r="U104" s="437"/>
      <c r="V104" s="437">
        <v>1.4509999999891359</v>
      </c>
      <c r="W104" s="437">
        <v>0.4380000000066277</v>
      </c>
      <c r="X104" s="437">
        <v>0.29500000000359355</v>
      </c>
      <c r="Y104" s="437">
        <f>SUM(V104:X104)</f>
        <v>2.1839999999993571</v>
      </c>
    </row>
    <row r="105" spans="1:25" x14ac:dyDescent="0.2">
      <c r="A105" s="382" t="s">
        <v>390</v>
      </c>
      <c r="B105" s="438">
        <v>1.4999999999946243</v>
      </c>
      <c r="C105" s="438">
        <v>8.9999999999995813E-3</v>
      </c>
      <c r="D105" s="438">
        <v>7.1999999999862008E-2</v>
      </c>
      <c r="E105" s="438">
        <f t="shared" ref="E105:E106" si="242">SUM(B105:D105)</f>
        <v>1.5809999999944859</v>
      </c>
      <c r="F105" s="438"/>
      <c r="G105" s="438">
        <v>1.6680000000101234</v>
      </c>
      <c r="H105" s="438">
        <v>1.0999999999908415E-2</v>
      </c>
      <c r="I105" s="438">
        <v>8.60000000002826E-2</v>
      </c>
      <c r="J105" s="438">
        <f t="shared" ref="J105:J106" si="243">SUM(G105:I105)</f>
        <v>1.7650000000103143</v>
      </c>
      <c r="K105" s="438"/>
      <c r="L105" s="438">
        <v>1.4679999999953985</v>
      </c>
      <c r="M105" s="438">
        <v>1.100000000002857E-2</v>
      </c>
      <c r="N105" s="438">
        <v>0.10499999999971175</v>
      </c>
      <c r="O105" s="438">
        <f t="shared" ref="O105:O106" si="244">SUM(L105:N105)</f>
        <v>1.5839999999951389</v>
      </c>
      <c r="P105" s="438"/>
      <c r="Q105" s="438">
        <v>1.1900000000050961</v>
      </c>
      <c r="R105" s="438">
        <v>1.5999999999907068E-2</v>
      </c>
      <c r="S105" s="438">
        <v>0.11599999999937</v>
      </c>
      <c r="T105" s="438">
        <f t="shared" ref="T105:T106" si="245">SUM(Q105:S105)</f>
        <v>1.322000000004373</v>
      </c>
      <c r="U105" s="438"/>
      <c r="V105" s="438">
        <v>0.88900000000466861</v>
      </c>
      <c r="W105" s="438">
        <v>2.1999999999845105E-2</v>
      </c>
      <c r="X105" s="438">
        <v>0.12899999999935155</v>
      </c>
      <c r="Y105" s="438">
        <f t="shared" ref="Y105:Y106" si="246">SUM(V105:X105)</f>
        <v>1.0400000000038654</v>
      </c>
    </row>
    <row r="106" spans="1:25" x14ac:dyDescent="0.2">
      <c r="A106" s="382" t="s">
        <v>389</v>
      </c>
      <c r="B106" s="438">
        <f>SUM(B104:B105)</f>
        <v>2.4879999999866609</v>
      </c>
      <c r="C106" s="438">
        <f t="shared" ref="C106" si="247">SUM(C104:C105)</f>
        <v>0.19599999999932169</v>
      </c>
      <c r="D106" s="438">
        <f t="shared" ref="D106" si="248">SUM(D104:D105)</f>
        <v>9.999999999991302E-2</v>
      </c>
      <c r="E106" s="438">
        <f t="shared" si="242"/>
        <v>2.7839999999858955</v>
      </c>
      <c r="F106" s="438"/>
      <c r="G106" s="438">
        <f>SUM(G104:G105)</f>
        <v>2.9979999999984082</v>
      </c>
      <c r="H106" s="438">
        <f t="shared" ref="H106" si="249">SUM(H104:H105)</f>
        <v>0.3319999999980402</v>
      </c>
      <c r="I106" s="438">
        <f t="shared" ref="I106" si="250">SUM(I104:I105)</f>
        <v>0.21400000000074992</v>
      </c>
      <c r="J106" s="438">
        <f t="shared" si="243"/>
        <v>3.5439999999971983</v>
      </c>
      <c r="K106" s="438"/>
      <c r="L106" s="438">
        <f>SUM(L104:L105)</f>
        <v>2.7309999999900065</v>
      </c>
      <c r="M106" s="438">
        <f t="shared" ref="M106" si="251">SUM(M104:M105)</f>
        <v>0.24800000000495645</v>
      </c>
      <c r="N106" s="438">
        <f t="shared" ref="N106" si="252">SUM(N104:N105)</f>
        <v>0.3300000000038909</v>
      </c>
      <c r="O106" s="438">
        <f t="shared" si="244"/>
        <v>3.3089999999988535</v>
      </c>
      <c r="P106" s="438"/>
      <c r="Q106" s="438">
        <f>SUM(Q104:Q105)</f>
        <v>2.535999999994166</v>
      </c>
      <c r="R106" s="438">
        <f t="shared" ref="R106" si="253">SUM(R104:R105)</f>
        <v>0.34500000000539444</v>
      </c>
      <c r="S106" s="438">
        <f t="shared" ref="S106" si="254">SUM(S104:S105)</f>
        <v>0.37200000000405375</v>
      </c>
      <c r="T106" s="438">
        <f t="shared" si="245"/>
        <v>3.2530000000036141</v>
      </c>
      <c r="U106" s="438"/>
      <c r="V106" s="438">
        <f>SUM(V104:V105)</f>
        <v>2.3399999999938044</v>
      </c>
      <c r="W106" s="438">
        <f t="shared" ref="W106" si="255">SUM(W104:W105)</f>
        <v>0.46000000000647279</v>
      </c>
      <c r="X106" s="438">
        <f t="shared" ref="X106" si="256">SUM(X104:X105)</f>
        <v>0.42400000000294513</v>
      </c>
      <c r="Y106" s="438">
        <f t="shared" si="246"/>
        <v>3.2240000000032221</v>
      </c>
    </row>
    <row r="107" spans="1:25" x14ac:dyDescent="0.2">
      <c r="B107" s="380"/>
      <c r="C107" s="460"/>
      <c r="D107" s="460"/>
      <c r="E107" s="460"/>
      <c r="F107" s="460"/>
      <c r="G107" s="460"/>
      <c r="H107" s="460"/>
      <c r="I107" s="460"/>
      <c r="J107" s="460"/>
      <c r="K107" s="460"/>
      <c r="L107" s="460"/>
      <c r="M107" s="460"/>
      <c r="N107" s="460"/>
      <c r="O107" s="460"/>
      <c r="P107" s="460"/>
      <c r="Q107" s="460"/>
      <c r="R107" s="460"/>
      <c r="S107" s="460"/>
      <c r="T107" s="460"/>
      <c r="U107" s="460"/>
      <c r="V107" s="460"/>
      <c r="W107" s="460"/>
      <c r="X107" s="460"/>
      <c r="Y107" s="460"/>
    </row>
    <row r="108" spans="1:25" x14ac:dyDescent="0.2">
      <c r="A108" s="378" t="str">
        <f>name!A15</f>
        <v>Rubber and plastic</v>
      </c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</row>
    <row r="109" spans="1:25" x14ac:dyDescent="0.2">
      <c r="A109" s="382" t="s">
        <v>391</v>
      </c>
      <c r="B109" s="437">
        <v>2.2619999999425038</v>
      </c>
      <c r="C109" s="437">
        <v>0.48899999999615262</v>
      </c>
      <c r="D109" s="437">
        <v>0.16700000000172899</v>
      </c>
      <c r="E109" s="437">
        <f>SUM(B109:D109)</f>
        <v>2.9179999999403856</v>
      </c>
      <c r="F109" s="437"/>
      <c r="G109" s="437">
        <v>1.6229999999621563</v>
      </c>
      <c r="H109" s="437">
        <v>0.61599999999481092</v>
      </c>
      <c r="I109" s="437">
        <v>0.38900000000255169</v>
      </c>
      <c r="J109" s="437">
        <f>SUM(G109:I109)</f>
        <v>2.6279999999595187</v>
      </c>
      <c r="K109" s="437"/>
      <c r="L109" s="437">
        <v>1.4280000000051118</v>
      </c>
      <c r="M109" s="437">
        <v>0.70300000002020624</v>
      </c>
      <c r="N109" s="437">
        <v>0.33900000001242875</v>
      </c>
      <c r="O109" s="437">
        <f>SUM(L109:N109)</f>
        <v>2.4700000000377469</v>
      </c>
      <c r="P109" s="437"/>
      <c r="Q109" s="437">
        <v>1.3639999999938688</v>
      </c>
      <c r="R109" s="437">
        <v>0.57600000001387808</v>
      </c>
      <c r="S109" s="437">
        <v>0.28500000001023407</v>
      </c>
      <c r="T109" s="437">
        <f>SUM(Q109:S109)</f>
        <v>2.2250000000179808</v>
      </c>
      <c r="U109" s="437"/>
      <c r="V109" s="437">
        <v>1.3489999999936977</v>
      </c>
      <c r="W109" s="437">
        <v>0.47000000000980902</v>
      </c>
      <c r="X109" s="437">
        <v>0.24200000000597699</v>
      </c>
      <c r="Y109" s="437">
        <f>SUM(V109:X109)</f>
        <v>2.0610000000094839</v>
      </c>
    </row>
    <row r="110" spans="1:25" x14ac:dyDescent="0.2">
      <c r="A110" s="382" t="s">
        <v>390</v>
      </c>
      <c r="B110" s="438">
        <v>7.8350000000017719</v>
      </c>
      <c r="C110" s="438">
        <v>8.8999999999870807E-2</v>
      </c>
      <c r="D110" s="438">
        <v>0.75800000000550294</v>
      </c>
      <c r="E110" s="438">
        <f t="shared" ref="E110:E111" si="257">SUM(B110:D110)</f>
        <v>8.6820000000071449</v>
      </c>
      <c r="F110" s="438"/>
      <c r="G110" s="438">
        <v>6.4859999999007636</v>
      </c>
      <c r="H110" s="438">
        <v>0.2169999999969871</v>
      </c>
      <c r="I110" s="438">
        <v>0.4050000000021477</v>
      </c>
      <c r="J110" s="438">
        <f t="shared" ref="J110:J111" si="258">SUM(G110:I110)</f>
        <v>7.1079999998998984</v>
      </c>
      <c r="K110" s="438"/>
      <c r="L110" s="438">
        <v>5.9809999999975334</v>
      </c>
      <c r="M110" s="438">
        <v>0.27500000000041636</v>
      </c>
      <c r="N110" s="438">
        <v>0.21700000000162825</v>
      </c>
      <c r="O110" s="438">
        <f t="shared" ref="O110:O111" si="259">SUM(L110:N110)</f>
        <v>6.472999999999578</v>
      </c>
      <c r="P110" s="438"/>
      <c r="Q110" s="438">
        <v>5.2289999999403758</v>
      </c>
      <c r="R110" s="438">
        <v>0.26699999999746588</v>
      </c>
      <c r="S110" s="438">
        <v>0.18300000000008276</v>
      </c>
      <c r="T110" s="438">
        <f t="shared" ref="T110:T111" si="260">SUM(Q110:S110)</f>
        <v>5.6789999999379237</v>
      </c>
      <c r="U110" s="438"/>
      <c r="V110" s="438">
        <v>4.6779999999403135</v>
      </c>
      <c r="W110" s="438">
        <v>0.26499999999708551</v>
      </c>
      <c r="X110" s="438">
        <v>0.15599999999983968</v>
      </c>
      <c r="Y110" s="438">
        <f t="shared" ref="Y110:Y111" si="261">SUM(V110:X110)</f>
        <v>5.0989999999372388</v>
      </c>
    </row>
    <row r="111" spans="1:25" x14ac:dyDescent="0.2">
      <c r="A111" s="382" t="s">
        <v>389</v>
      </c>
      <c r="B111" s="438">
        <f>SUM(B109:B110)</f>
        <v>10.096999999944275</v>
      </c>
      <c r="C111" s="438">
        <f t="shared" ref="C111" si="262">SUM(C109:C110)</f>
        <v>0.57799999999602347</v>
      </c>
      <c r="D111" s="438">
        <f t="shared" ref="D111" si="263">SUM(D109:D110)</f>
        <v>0.92500000000723193</v>
      </c>
      <c r="E111" s="438">
        <f t="shared" si="257"/>
        <v>11.599999999947531</v>
      </c>
      <c r="F111" s="438"/>
      <c r="G111" s="438">
        <f>SUM(G109:G110)</f>
        <v>8.1089999998629203</v>
      </c>
      <c r="H111" s="438">
        <f t="shared" ref="H111" si="264">SUM(H109:H110)</f>
        <v>0.83299999999179808</v>
      </c>
      <c r="I111" s="438">
        <f t="shared" ref="I111" si="265">SUM(I109:I110)</f>
        <v>0.79400000000469939</v>
      </c>
      <c r="J111" s="438">
        <f t="shared" si="258"/>
        <v>9.735999999859418</v>
      </c>
      <c r="K111" s="438"/>
      <c r="L111" s="438">
        <f>SUM(L109:L110)</f>
        <v>7.4090000000026457</v>
      </c>
      <c r="M111" s="438">
        <f t="shared" ref="M111" si="266">SUM(M109:M110)</f>
        <v>0.9780000000206226</v>
      </c>
      <c r="N111" s="438">
        <f t="shared" ref="N111" si="267">SUM(N109:N110)</f>
        <v>0.55600000001405703</v>
      </c>
      <c r="O111" s="438">
        <f t="shared" si="259"/>
        <v>8.9430000000373262</v>
      </c>
      <c r="P111" s="438"/>
      <c r="Q111" s="438">
        <f>SUM(Q109:Q110)</f>
        <v>6.5929999999342446</v>
      </c>
      <c r="R111" s="438">
        <f t="shared" ref="R111" si="268">SUM(R109:R110)</f>
        <v>0.84300000001134401</v>
      </c>
      <c r="S111" s="438">
        <f t="shared" ref="S111" si="269">SUM(S109:S110)</f>
        <v>0.46800000001031683</v>
      </c>
      <c r="T111" s="438">
        <f t="shared" si="260"/>
        <v>7.9039999999559054</v>
      </c>
      <c r="U111" s="438"/>
      <c r="V111" s="438">
        <f>SUM(V109:V110)</f>
        <v>6.0269999999340111</v>
      </c>
      <c r="W111" s="438">
        <f t="shared" ref="W111" si="270">SUM(W109:W110)</f>
        <v>0.73500000000689458</v>
      </c>
      <c r="X111" s="438">
        <f t="shared" ref="X111" si="271">SUM(X109:X110)</f>
        <v>0.3980000000058167</v>
      </c>
      <c r="Y111" s="438">
        <f t="shared" si="261"/>
        <v>7.1599999999467219</v>
      </c>
    </row>
    <row r="112" spans="1:25" x14ac:dyDescent="0.2">
      <c r="B112" s="380"/>
      <c r="C112" s="460"/>
      <c r="D112" s="460"/>
      <c r="E112" s="460"/>
      <c r="F112" s="460"/>
      <c r="G112" s="460"/>
      <c r="H112" s="460"/>
      <c r="I112" s="460"/>
      <c r="J112" s="460"/>
      <c r="K112" s="460"/>
      <c r="L112" s="460"/>
      <c r="M112" s="460"/>
      <c r="N112" s="460"/>
      <c r="O112" s="460"/>
      <c r="P112" s="460"/>
      <c r="Q112" s="460"/>
      <c r="R112" s="460"/>
      <c r="S112" s="460"/>
      <c r="T112" s="460"/>
      <c r="U112" s="460"/>
      <c r="V112" s="460"/>
      <c r="W112" s="460"/>
      <c r="X112" s="460"/>
      <c r="Y112" s="460"/>
    </row>
    <row r="113" spans="1:25" x14ac:dyDescent="0.2">
      <c r="A113" s="378" t="str">
        <f>name!A16</f>
        <v>Other non-metallic</v>
      </c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</row>
    <row r="114" spans="1:25" x14ac:dyDescent="0.2">
      <c r="A114" s="382" t="s">
        <v>391</v>
      </c>
      <c r="B114" s="437">
        <v>0.45699999999717861</v>
      </c>
      <c r="C114" s="437">
        <v>9.7999999999316134E-2</v>
      </c>
      <c r="D114" s="437">
        <v>5.0000000001071375E-2</v>
      </c>
      <c r="E114" s="437">
        <f>SUM(B114:D114)</f>
        <v>0.60499999999756615</v>
      </c>
      <c r="F114" s="437"/>
      <c r="G114" s="437">
        <v>0.28499999999817283</v>
      </c>
      <c r="H114" s="437">
        <v>0.19799999999846246</v>
      </c>
      <c r="I114" s="437">
        <v>0.10500000000210237</v>
      </c>
      <c r="J114" s="437">
        <f>SUM(G114:I114)</f>
        <v>0.58799999999873764</v>
      </c>
      <c r="K114" s="437"/>
      <c r="L114" s="437">
        <v>0.17699999999774871</v>
      </c>
      <c r="M114" s="437">
        <v>0.36000000001484206</v>
      </c>
      <c r="N114" s="437">
        <v>7.0000000000777052E-2</v>
      </c>
      <c r="O114" s="437">
        <f>SUM(L114:N114)</f>
        <v>0.60700000001336774</v>
      </c>
      <c r="P114" s="437"/>
      <c r="Q114" s="437">
        <v>0.1689999999971758</v>
      </c>
      <c r="R114" s="437">
        <v>0.29500000000939336</v>
      </c>
      <c r="S114" s="437">
        <v>5.9000000000757551E-2</v>
      </c>
      <c r="T114" s="437">
        <f>SUM(Q114:S114)</f>
        <v>0.52300000000732672</v>
      </c>
      <c r="U114" s="437"/>
      <c r="V114" s="437">
        <v>0.16799999999762635</v>
      </c>
      <c r="W114" s="437">
        <v>0.24100000000646515</v>
      </c>
      <c r="X114" s="437">
        <v>5.0000000000522682E-2</v>
      </c>
      <c r="Y114" s="437">
        <f>SUM(V114:X114)</f>
        <v>0.45900000000461422</v>
      </c>
    </row>
    <row r="115" spans="1:25" x14ac:dyDescent="0.2">
      <c r="A115" s="382" t="s">
        <v>390</v>
      </c>
      <c r="B115" s="438">
        <v>4.7110000000046783</v>
      </c>
      <c r="C115" s="438">
        <v>2.1000000000123815E-2</v>
      </c>
      <c r="D115" s="438">
        <v>0.48300000000376503</v>
      </c>
      <c r="E115" s="438">
        <f t="shared" ref="E115:E116" si="272">SUM(B115:D115)</f>
        <v>5.2150000000085672</v>
      </c>
      <c r="F115" s="438"/>
      <c r="G115" s="438">
        <v>3.3939999999451724</v>
      </c>
      <c r="H115" s="438">
        <v>8.3999999999914379E-2</v>
      </c>
      <c r="I115" s="438">
        <v>0.2329999999995078</v>
      </c>
      <c r="J115" s="438">
        <f t="shared" ref="J115:J116" si="273">SUM(G115:I115)</f>
        <v>3.7109999999445944</v>
      </c>
      <c r="K115" s="438"/>
      <c r="L115" s="438">
        <v>2.2100000000011764</v>
      </c>
      <c r="M115" s="438">
        <v>0.17000000000094578</v>
      </c>
      <c r="N115" s="438">
        <v>9.6000000000693031E-2</v>
      </c>
      <c r="O115" s="438">
        <f t="shared" ref="O115:O116" si="274">SUM(L115:N115)</f>
        <v>2.4760000000028151</v>
      </c>
      <c r="P115" s="438"/>
      <c r="Q115" s="438">
        <v>1.9319999999769113</v>
      </c>
      <c r="R115" s="438">
        <v>0.16499999999791379</v>
      </c>
      <c r="S115" s="438">
        <v>8.0999999999963782E-2</v>
      </c>
      <c r="T115" s="438">
        <f t="shared" ref="T115:T116" si="275">SUM(Q115:S115)</f>
        <v>2.177999999974789</v>
      </c>
      <c r="U115" s="438"/>
      <c r="V115" s="438">
        <v>1.7279999999763833</v>
      </c>
      <c r="W115" s="438">
        <v>0.16299999999715187</v>
      </c>
      <c r="X115" s="438">
        <v>6.8999999999788453E-2</v>
      </c>
      <c r="Y115" s="438">
        <f t="shared" ref="Y115:Y116" si="276">SUM(V115:X115)</f>
        <v>1.9599999999733235</v>
      </c>
    </row>
    <row r="116" spans="1:25" x14ac:dyDescent="0.2">
      <c r="A116" s="382" t="s">
        <v>389</v>
      </c>
      <c r="B116" s="438">
        <f>SUM(B114:B115)</f>
        <v>5.1680000000018573</v>
      </c>
      <c r="C116" s="438">
        <f t="shared" ref="C116" si="277">SUM(C114:C115)</f>
        <v>0.11899999999943994</v>
      </c>
      <c r="D116" s="438">
        <f t="shared" ref="D116" si="278">SUM(D114:D115)</f>
        <v>0.53300000000483638</v>
      </c>
      <c r="E116" s="438">
        <f t="shared" si="272"/>
        <v>5.820000000006134</v>
      </c>
      <c r="F116" s="438"/>
      <c r="G116" s="438">
        <f>SUM(G114:G115)</f>
        <v>3.6789999999433451</v>
      </c>
      <c r="H116" s="438">
        <f t="shared" ref="H116" si="279">SUM(H114:H115)</f>
        <v>0.28199999999837683</v>
      </c>
      <c r="I116" s="438">
        <f t="shared" ref="I116" si="280">SUM(I114:I115)</f>
        <v>0.33800000000161018</v>
      </c>
      <c r="J116" s="438">
        <f t="shared" si="273"/>
        <v>4.2989999999433319</v>
      </c>
      <c r="K116" s="438"/>
      <c r="L116" s="438">
        <f>SUM(L114:L115)</f>
        <v>2.3869999999989249</v>
      </c>
      <c r="M116" s="438">
        <f t="shared" ref="M116" si="281">SUM(M114:M115)</f>
        <v>0.53000000001578784</v>
      </c>
      <c r="N116" s="438">
        <f t="shared" ref="N116" si="282">SUM(N114:N115)</f>
        <v>0.16600000000147008</v>
      </c>
      <c r="O116" s="438">
        <f t="shared" si="274"/>
        <v>3.0830000000161828</v>
      </c>
      <c r="P116" s="438"/>
      <c r="Q116" s="438">
        <f>SUM(Q114:Q115)</f>
        <v>2.1009999999740869</v>
      </c>
      <c r="R116" s="438">
        <f t="shared" ref="R116" si="283">SUM(R114:R115)</f>
        <v>0.46000000000730712</v>
      </c>
      <c r="S116" s="438">
        <f t="shared" ref="S116" si="284">SUM(S114:S115)</f>
        <v>0.14000000000072133</v>
      </c>
      <c r="T116" s="438">
        <f t="shared" si="275"/>
        <v>2.7009999999821153</v>
      </c>
      <c r="U116" s="438"/>
      <c r="V116" s="438">
        <f>SUM(V114:V115)</f>
        <v>1.8959999999740096</v>
      </c>
      <c r="W116" s="438">
        <f t="shared" ref="W116" si="285">SUM(W114:W115)</f>
        <v>0.40400000000361702</v>
      </c>
      <c r="X116" s="438">
        <f t="shared" ref="X116" si="286">SUM(X114:X115)</f>
        <v>0.11900000000031113</v>
      </c>
      <c r="Y116" s="438">
        <f t="shared" si="276"/>
        <v>2.4189999999779377</v>
      </c>
    </row>
    <row r="117" spans="1:25" x14ac:dyDescent="0.2">
      <c r="B117" s="380"/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60"/>
    </row>
    <row r="118" spans="1:25" x14ac:dyDescent="0.2">
      <c r="A118" s="378" t="str">
        <f>name!A17</f>
        <v>Basic metals</v>
      </c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</row>
    <row r="119" spans="1:25" x14ac:dyDescent="0.2">
      <c r="A119" s="382" t="s">
        <v>391</v>
      </c>
      <c r="B119" s="437">
        <v>0.18499999999900019</v>
      </c>
      <c r="C119" s="437">
        <v>5.4999999999363697E-2</v>
      </c>
      <c r="D119" s="437">
        <v>5.1000000000577451E-2</v>
      </c>
      <c r="E119" s="437">
        <f>SUM(B119:D119)</f>
        <v>0.29099999999894133</v>
      </c>
      <c r="F119" s="437"/>
      <c r="G119" s="437">
        <v>0.19599999999842435</v>
      </c>
      <c r="H119" s="437">
        <v>4.0999999999601161E-2</v>
      </c>
      <c r="I119" s="437">
        <v>9.4999999999744456E-2</v>
      </c>
      <c r="J119" s="437">
        <f>SUM(G119:I119)</f>
        <v>0.33199999999776997</v>
      </c>
      <c r="K119" s="437"/>
      <c r="L119" s="437">
        <v>0.27899999999805358</v>
      </c>
      <c r="M119" s="437">
        <v>3.6000000001077156E-2</v>
      </c>
      <c r="N119" s="437">
        <v>9.1999999995553888E-2</v>
      </c>
      <c r="O119" s="437">
        <f>SUM(L119:N119)</f>
        <v>0.40699999999468461</v>
      </c>
      <c r="P119" s="437"/>
      <c r="Q119" s="437">
        <v>0.26899999999694935</v>
      </c>
      <c r="R119" s="437">
        <v>3.6000000000808656E-2</v>
      </c>
      <c r="S119" s="437">
        <v>8.499999999575826E-2</v>
      </c>
      <c r="T119" s="437">
        <f>SUM(Q119:S119)</f>
        <v>0.38999999999351626</v>
      </c>
      <c r="U119" s="437"/>
      <c r="V119" s="437">
        <v>0.2709999999971584</v>
      </c>
      <c r="W119" s="437">
        <v>3.8000000000658236E-2</v>
      </c>
      <c r="X119" s="437">
        <v>8.0999999996472893E-2</v>
      </c>
      <c r="Y119" s="437">
        <f>SUM(V119:X119)</f>
        <v>0.38999999999428953</v>
      </c>
    </row>
    <row r="120" spans="1:25" x14ac:dyDescent="0.2">
      <c r="A120" s="382" t="s">
        <v>390</v>
      </c>
      <c r="B120" s="438">
        <v>10.297000000012899</v>
      </c>
      <c r="C120" s="438">
        <v>2.8000000000015915E-2</v>
      </c>
      <c r="D120" s="438">
        <v>1.4240000000019861</v>
      </c>
      <c r="E120" s="438">
        <f t="shared" ref="E120:E121" si="287">SUM(B120:D120)</f>
        <v>11.749000000014901</v>
      </c>
      <c r="F120" s="438"/>
      <c r="G120" s="438">
        <v>8.4579999998514346</v>
      </c>
      <c r="H120" s="438">
        <v>5.2999999999866501E-2</v>
      </c>
      <c r="I120" s="438">
        <v>0.51900000000259772</v>
      </c>
      <c r="J120" s="438">
        <f t="shared" ref="J120:J121" si="288">SUM(G120:I120)</f>
        <v>9.0299999998538976</v>
      </c>
      <c r="K120" s="438"/>
      <c r="L120" s="438">
        <v>11.411000000011532</v>
      </c>
      <c r="M120" s="438">
        <v>7.8000000000115796E-2</v>
      </c>
      <c r="N120" s="438">
        <v>0.38100000000071216</v>
      </c>
      <c r="O120" s="438">
        <f t="shared" ref="O120:O121" si="289">SUM(L120:N120)</f>
        <v>11.870000000012361</v>
      </c>
      <c r="P120" s="438"/>
      <c r="Q120" s="438">
        <v>10.01099999986045</v>
      </c>
      <c r="R120" s="438">
        <v>7.1999999999156197E-2</v>
      </c>
      <c r="S120" s="438">
        <v>0.40799999999921194</v>
      </c>
      <c r="T120" s="438">
        <f t="shared" ref="T120:T121" si="290">SUM(Q120:S120)</f>
        <v>10.490999999858818</v>
      </c>
      <c r="U120" s="438"/>
      <c r="V120" s="438">
        <v>9.0609999998510329</v>
      </c>
      <c r="W120" s="438">
        <v>6.9999999998923243E-2</v>
      </c>
      <c r="X120" s="438">
        <v>0.45399999999910867</v>
      </c>
      <c r="Y120" s="438">
        <f t="shared" ref="Y120:Y121" si="291">SUM(V120:X120)</f>
        <v>9.5849999998490656</v>
      </c>
    </row>
    <row r="121" spans="1:25" x14ac:dyDescent="0.2">
      <c r="A121" s="382" t="s">
        <v>389</v>
      </c>
      <c r="B121" s="438">
        <f>SUM(B119:B120)</f>
        <v>10.482000000011899</v>
      </c>
      <c r="C121" s="438">
        <f t="shared" ref="C121" si="292">SUM(C119:C120)</f>
        <v>8.2999999999379612E-2</v>
      </c>
      <c r="D121" s="438">
        <f t="shared" ref="D121" si="293">SUM(D119:D120)</f>
        <v>1.4750000000025636</v>
      </c>
      <c r="E121" s="438">
        <f t="shared" si="287"/>
        <v>12.040000000013842</v>
      </c>
      <c r="F121" s="438"/>
      <c r="G121" s="438">
        <f>SUM(G119:G120)</f>
        <v>8.6539999998498587</v>
      </c>
      <c r="H121" s="438">
        <f t="shared" ref="H121" si="294">SUM(H119:H120)</f>
        <v>9.3999999999467662E-2</v>
      </c>
      <c r="I121" s="438">
        <f t="shared" ref="I121" si="295">SUM(I119:I120)</f>
        <v>0.61400000000234223</v>
      </c>
      <c r="J121" s="438">
        <f t="shared" si="288"/>
        <v>9.361999999851669</v>
      </c>
      <c r="K121" s="438"/>
      <c r="L121" s="438">
        <f>SUM(L119:L120)</f>
        <v>11.690000000009585</v>
      </c>
      <c r="M121" s="438">
        <f t="shared" ref="M121" si="296">SUM(M119:M120)</f>
        <v>0.11400000000119295</v>
      </c>
      <c r="N121" s="438">
        <f t="shared" ref="N121" si="297">SUM(N119:N120)</f>
        <v>0.47299999999626607</v>
      </c>
      <c r="O121" s="438">
        <f t="shared" si="289"/>
        <v>12.277000000007044</v>
      </c>
      <c r="P121" s="438"/>
      <c r="Q121" s="438">
        <f>SUM(Q119:Q120)</f>
        <v>10.279999999857401</v>
      </c>
      <c r="R121" s="438">
        <f t="shared" ref="R121" si="298">SUM(R119:R120)</f>
        <v>0.10799999999996485</v>
      </c>
      <c r="S121" s="438">
        <f t="shared" ref="S121" si="299">SUM(S119:S120)</f>
        <v>0.49299999999497018</v>
      </c>
      <c r="T121" s="438">
        <f t="shared" si="290"/>
        <v>10.880999999852335</v>
      </c>
      <c r="U121" s="438"/>
      <c r="V121" s="438">
        <f>SUM(V119:V120)</f>
        <v>9.3319999998481915</v>
      </c>
      <c r="W121" s="438">
        <f t="shared" ref="W121" si="300">SUM(W119:W120)</f>
        <v>0.10799999999958149</v>
      </c>
      <c r="X121" s="438">
        <f t="shared" ref="X121" si="301">SUM(X119:X120)</f>
        <v>0.53499999999558157</v>
      </c>
      <c r="Y121" s="438">
        <f t="shared" si="291"/>
        <v>9.9749999998433552</v>
      </c>
    </row>
    <row r="122" spans="1:25" x14ac:dyDescent="0.2">
      <c r="B122" s="380"/>
      <c r="C122" s="460"/>
      <c r="D122" s="460"/>
      <c r="E122" s="460"/>
      <c r="F122" s="460"/>
      <c r="G122" s="460"/>
      <c r="H122" s="460"/>
      <c r="I122" s="460"/>
      <c r="J122" s="460"/>
      <c r="K122" s="460"/>
      <c r="L122" s="460"/>
      <c r="M122" s="460"/>
      <c r="N122" s="460"/>
      <c r="O122" s="460"/>
      <c r="P122" s="460"/>
      <c r="Q122" s="460"/>
      <c r="R122" s="460"/>
      <c r="S122" s="460"/>
      <c r="T122" s="460"/>
      <c r="U122" s="460"/>
      <c r="V122" s="460"/>
      <c r="W122" s="460"/>
      <c r="X122" s="460"/>
      <c r="Y122" s="460"/>
    </row>
    <row r="123" spans="1:25" x14ac:dyDescent="0.2">
      <c r="A123" s="378" t="str">
        <f>name!A18</f>
        <v>Metal products</v>
      </c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</row>
    <row r="124" spans="1:25" x14ac:dyDescent="0.2">
      <c r="A124" s="382" t="s">
        <v>391</v>
      </c>
      <c r="B124" s="437">
        <v>2.3089999999385857</v>
      </c>
      <c r="C124" s="437">
        <v>1.1179999999928409</v>
      </c>
      <c r="D124" s="437">
        <v>0.13500000000060094</v>
      </c>
      <c r="E124" s="437">
        <f>SUM(B124:D124)</f>
        <v>3.561999999932028</v>
      </c>
      <c r="F124" s="437"/>
      <c r="G124" s="437">
        <v>2.1369999999499192</v>
      </c>
      <c r="H124" s="437">
        <v>0.99899999999388067</v>
      </c>
      <c r="I124" s="437">
        <v>0.22400000000028819</v>
      </c>
      <c r="J124" s="437">
        <f>SUM(G124:I124)</f>
        <v>3.3599999999440877</v>
      </c>
      <c r="K124" s="437"/>
      <c r="L124" s="437">
        <v>3.060000000002681</v>
      </c>
      <c r="M124" s="437">
        <v>0.53500000001711068</v>
      </c>
      <c r="N124" s="437">
        <v>0.22100000001046988</v>
      </c>
      <c r="O124" s="437">
        <f>SUM(L124:N124)</f>
        <v>3.8160000000302619</v>
      </c>
      <c r="P124" s="437"/>
      <c r="Q124" s="437">
        <v>2.945999999975156</v>
      </c>
      <c r="R124" s="437">
        <v>0.53800000001362003</v>
      </c>
      <c r="S124" s="437">
        <v>0.20200000000944465</v>
      </c>
      <c r="T124" s="437">
        <f>SUM(Q124:S124)</f>
        <v>3.6859999999982209</v>
      </c>
      <c r="U124" s="437"/>
      <c r="V124" s="437">
        <v>2.9689999999759875</v>
      </c>
      <c r="W124" s="437">
        <v>0.56700000001335282</v>
      </c>
      <c r="X124" s="437">
        <v>0.19300000000651449</v>
      </c>
      <c r="Y124" s="437">
        <f>SUM(V124:X124)</f>
        <v>3.728999999995855</v>
      </c>
    </row>
    <row r="125" spans="1:25" x14ac:dyDescent="0.2">
      <c r="A125" s="382" t="s">
        <v>390</v>
      </c>
      <c r="B125" s="438">
        <v>15.141000000009491</v>
      </c>
      <c r="C125" s="438">
        <v>0.18800000000002695</v>
      </c>
      <c r="D125" s="438">
        <v>2.0960000000220065</v>
      </c>
      <c r="E125" s="438">
        <f t="shared" ref="E125:E126" si="302">SUM(B125:D125)</f>
        <v>17.425000000031524</v>
      </c>
      <c r="F125" s="438"/>
      <c r="G125" s="438">
        <v>10.881999999816301</v>
      </c>
      <c r="H125" s="438">
        <v>0.42299999999289689</v>
      </c>
      <c r="I125" s="438">
        <v>0.66799999999069126</v>
      </c>
      <c r="J125" s="438">
        <f t="shared" ref="J125:J126" si="303">SUM(G125:I125)</f>
        <v>11.972999999799889</v>
      </c>
      <c r="K125" s="438"/>
      <c r="L125" s="438">
        <v>14.748000000002691</v>
      </c>
      <c r="M125" s="438">
        <v>0.38900000000148965</v>
      </c>
      <c r="N125" s="438">
        <v>0.49999999999933203</v>
      </c>
      <c r="O125" s="438">
        <f t="shared" ref="O125:O126" si="304">SUM(L125:N125)</f>
        <v>15.637000000003512</v>
      </c>
      <c r="P125" s="438"/>
      <c r="Q125" s="438">
        <v>12.939999999825309</v>
      </c>
      <c r="R125" s="438">
        <v>0.35899999999556154</v>
      </c>
      <c r="S125" s="438">
        <v>0.5360000000024242</v>
      </c>
      <c r="T125" s="438">
        <f t="shared" ref="T125:T126" si="305">SUM(Q125:S125)</f>
        <v>13.834999999823294</v>
      </c>
      <c r="U125" s="438"/>
      <c r="V125" s="438">
        <v>11.711999999814962</v>
      </c>
      <c r="W125" s="438">
        <v>0.34599999999480935</v>
      </c>
      <c r="X125" s="438">
        <v>0.59600000000241704</v>
      </c>
      <c r="Y125" s="438">
        <f t="shared" ref="Y125:Y126" si="306">SUM(V125:X125)</f>
        <v>12.653999999812189</v>
      </c>
    </row>
    <row r="126" spans="1:25" x14ac:dyDescent="0.2">
      <c r="A126" s="382" t="s">
        <v>389</v>
      </c>
      <c r="B126" s="438">
        <f>SUM(B124:B125)</f>
        <v>17.449999999948076</v>
      </c>
      <c r="C126" s="438">
        <f t="shared" ref="C126" si="307">SUM(C124:C125)</f>
        <v>1.305999999992868</v>
      </c>
      <c r="D126" s="438">
        <f t="shared" ref="D126" si="308">SUM(D124:D125)</f>
        <v>2.2310000000226076</v>
      </c>
      <c r="E126" s="438">
        <f t="shared" si="302"/>
        <v>20.986999999963551</v>
      </c>
      <c r="F126" s="438"/>
      <c r="G126" s="438">
        <f>SUM(G124:G125)</f>
        <v>13.018999999766221</v>
      </c>
      <c r="H126" s="438">
        <f t="shared" ref="H126" si="309">SUM(H124:H125)</f>
        <v>1.4219999999867776</v>
      </c>
      <c r="I126" s="438">
        <f t="shared" ref="I126" si="310">SUM(I124:I125)</f>
        <v>0.89199999999097945</v>
      </c>
      <c r="J126" s="438">
        <f t="shared" si="303"/>
        <v>15.332999999743977</v>
      </c>
      <c r="K126" s="438"/>
      <c r="L126" s="438">
        <f>SUM(L124:L125)</f>
        <v>17.808000000005372</v>
      </c>
      <c r="M126" s="438">
        <f t="shared" ref="M126" si="311">SUM(M124:M125)</f>
        <v>0.92400000001860039</v>
      </c>
      <c r="N126" s="438">
        <f t="shared" ref="N126" si="312">SUM(N124:N125)</f>
        <v>0.72100000000980191</v>
      </c>
      <c r="O126" s="438">
        <f t="shared" si="304"/>
        <v>19.453000000033775</v>
      </c>
      <c r="P126" s="438"/>
      <c r="Q126" s="438">
        <f>SUM(Q124:Q125)</f>
        <v>15.885999999800465</v>
      </c>
      <c r="R126" s="438">
        <f t="shared" ref="R126" si="313">SUM(R124:R125)</f>
        <v>0.89700000000918156</v>
      </c>
      <c r="S126" s="438">
        <f t="shared" ref="S126" si="314">SUM(S124:S125)</f>
        <v>0.73800000001186883</v>
      </c>
      <c r="T126" s="438">
        <f t="shared" si="305"/>
        <v>17.520999999821516</v>
      </c>
      <c r="U126" s="438"/>
      <c r="V126" s="438">
        <f>SUM(V124:V125)</f>
        <v>14.680999999790949</v>
      </c>
      <c r="W126" s="438">
        <f t="shared" ref="W126" si="315">SUM(W124:W125)</f>
        <v>0.91300000000816217</v>
      </c>
      <c r="X126" s="438">
        <f t="shared" ref="X126" si="316">SUM(X124:X125)</f>
        <v>0.78900000000893156</v>
      </c>
      <c r="Y126" s="438">
        <f t="shared" si="306"/>
        <v>16.382999999808042</v>
      </c>
    </row>
    <row r="127" spans="1:25" x14ac:dyDescent="0.2">
      <c r="B127" s="380"/>
      <c r="C127" s="460"/>
      <c r="D127" s="460"/>
      <c r="E127" s="460"/>
      <c r="F127" s="460"/>
      <c r="G127" s="460"/>
      <c r="H127" s="460"/>
      <c r="I127" s="460"/>
      <c r="J127" s="460"/>
      <c r="K127" s="460"/>
      <c r="L127" s="460"/>
      <c r="M127" s="460"/>
      <c r="N127" s="460"/>
      <c r="O127" s="460"/>
      <c r="P127" s="460"/>
      <c r="Q127" s="460"/>
      <c r="R127" s="460"/>
      <c r="S127" s="460"/>
      <c r="T127" s="460"/>
      <c r="U127" s="460"/>
      <c r="V127" s="460"/>
      <c r="W127" s="460"/>
      <c r="X127" s="460"/>
      <c r="Y127" s="460"/>
    </row>
    <row r="128" spans="1:25" x14ac:dyDescent="0.2">
      <c r="A128" s="378" t="str">
        <f>name!A22</f>
        <v>Motor vehicles, etc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</row>
    <row r="129" spans="1:25" x14ac:dyDescent="0.2">
      <c r="A129" s="382" t="s">
        <v>391</v>
      </c>
      <c r="B129" s="437">
        <v>1.4619999999619884</v>
      </c>
      <c r="C129" s="437">
        <v>0.55299999999728378</v>
      </c>
      <c r="D129" s="437">
        <v>5.4000000000450063E-2</v>
      </c>
      <c r="E129" s="437">
        <f>SUM(B129:D129)</f>
        <v>2.0689999999597224</v>
      </c>
      <c r="F129" s="437"/>
      <c r="G129" s="437">
        <v>1.2869999999696897</v>
      </c>
      <c r="H129" s="437">
        <v>7.5999999999627255E-2</v>
      </c>
      <c r="I129" s="437">
        <v>0.13200000000130743</v>
      </c>
      <c r="J129" s="437">
        <f>SUM(G129:I129)</f>
        <v>1.4949999999706245</v>
      </c>
      <c r="K129" s="437"/>
      <c r="L129" s="437">
        <v>1.2570000000059749</v>
      </c>
      <c r="M129" s="437">
        <v>0.17500000000490884</v>
      </c>
      <c r="N129" s="437">
        <v>6.7000000001183918E-2</v>
      </c>
      <c r="O129" s="437">
        <f>SUM(L129:N129)</f>
        <v>1.4990000000120676</v>
      </c>
      <c r="P129" s="437"/>
      <c r="Q129" s="437">
        <v>1.4989999999947683</v>
      </c>
      <c r="R129" s="437">
        <v>0.28900000000659098</v>
      </c>
      <c r="S129" s="437">
        <v>1.6000000000237283E-2</v>
      </c>
      <c r="T129" s="437">
        <f>SUM(Q129:S129)</f>
        <v>1.8040000000015965</v>
      </c>
      <c r="U129" s="437"/>
      <c r="V129" s="437">
        <v>1.8199999999936529</v>
      </c>
      <c r="W129" s="437">
        <v>0.43800000000911138</v>
      </c>
      <c r="X129" s="437">
        <v>4.0000000000357501E-3</v>
      </c>
      <c r="Y129" s="437">
        <f>SUM(V129:X129)</f>
        <v>2.2620000000028</v>
      </c>
    </row>
    <row r="130" spans="1:25" x14ac:dyDescent="0.2">
      <c r="A130" s="382" t="s">
        <v>390</v>
      </c>
      <c r="B130" s="438">
        <v>11.362000000010873</v>
      </c>
      <c r="C130" s="438">
        <v>0.23800000000004923</v>
      </c>
      <c r="D130" s="438">
        <v>0.77900000000500647</v>
      </c>
      <c r="E130" s="438">
        <f t="shared" ref="E130:E131" si="317">SUM(B130:D130)</f>
        <v>12.379000000015928</v>
      </c>
      <c r="F130" s="438"/>
      <c r="G130" s="438">
        <v>7.4879999998577889</v>
      </c>
      <c r="H130" s="438">
        <v>4.7000000000659972E-2</v>
      </c>
      <c r="I130" s="438">
        <v>0.53199999999640168</v>
      </c>
      <c r="J130" s="438">
        <f t="shared" ref="J130:J131" si="318">SUM(G130:I130)</f>
        <v>8.0669999998548505</v>
      </c>
      <c r="K130" s="438"/>
      <c r="L130" s="438">
        <v>7.5000000000067431</v>
      </c>
      <c r="M130" s="438">
        <v>0.11899999999973375</v>
      </c>
      <c r="N130" s="438">
        <v>0.2129999999989344</v>
      </c>
      <c r="O130" s="438">
        <f t="shared" ref="O130:O131" si="319">SUM(L130:N130)</f>
        <v>7.8320000000054106</v>
      </c>
      <c r="P130" s="438"/>
      <c r="Q130" s="438">
        <v>7.1829999998914484</v>
      </c>
      <c r="R130" s="438">
        <v>0.17900000000260219</v>
      </c>
      <c r="S130" s="438">
        <v>0.25099999999818862</v>
      </c>
      <c r="T130" s="438">
        <f t="shared" ref="T130:T131" si="320">SUM(Q130:S130)</f>
        <v>7.6129999998922395</v>
      </c>
      <c r="U130" s="438"/>
      <c r="V130" s="438">
        <v>6.8249999998783748</v>
      </c>
      <c r="W130" s="438">
        <v>0.25800000000356416</v>
      </c>
      <c r="X130" s="438">
        <v>0.30099999999827565</v>
      </c>
      <c r="Y130" s="438">
        <f t="shared" ref="Y130:Y131" si="321">SUM(V130:X130)</f>
        <v>7.3839999998802144</v>
      </c>
    </row>
    <row r="131" spans="1:25" x14ac:dyDescent="0.2">
      <c r="A131" s="382" t="s">
        <v>389</v>
      </c>
      <c r="B131" s="438">
        <f>SUM(B129:B130)</f>
        <v>12.823999999972862</v>
      </c>
      <c r="C131" s="438">
        <f t="shared" ref="C131" si="322">SUM(C129:C130)</f>
        <v>0.79099999999733295</v>
      </c>
      <c r="D131" s="438">
        <f t="shared" ref="D131" si="323">SUM(D129:D130)</f>
        <v>0.83300000000545649</v>
      </c>
      <c r="E131" s="438">
        <f t="shared" si="317"/>
        <v>14.447999999975652</v>
      </c>
      <c r="F131" s="438"/>
      <c r="G131" s="438">
        <f>SUM(G129:G130)</f>
        <v>8.7749999998274788</v>
      </c>
      <c r="H131" s="438">
        <f t="shared" ref="H131" si="324">SUM(H129:H130)</f>
        <v>0.12300000000028723</v>
      </c>
      <c r="I131" s="438">
        <f t="shared" ref="I131" si="325">SUM(I129:I130)</f>
        <v>0.66399999999770909</v>
      </c>
      <c r="J131" s="438">
        <f t="shared" si="318"/>
        <v>9.5619999998254741</v>
      </c>
      <c r="K131" s="438"/>
      <c r="L131" s="438">
        <f>SUM(L129:L130)</f>
        <v>8.7570000000127184</v>
      </c>
      <c r="M131" s="438">
        <f t="shared" ref="M131" si="326">SUM(M129:M130)</f>
        <v>0.2940000000046426</v>
      </c>
      <c r="N131" s="438">
        <f t="shared" ref="N131" si="327">SUM(N129:N130)</f>
        <v>0.28000000000011832</v>
      </c>
      <c r="O131" s="438">
        <f t="shared" si="319"/>
        <v>9.3310000000174789</v>
      </c>
      <c r="P131" s="438"/>
      <c r="Q131" s="438">
        <f>SUM(Q129:Q130)</f>
        <v>8.6819999998862158</v>
      </c>
      <c r="R131" s="438">
        <f t="shared" ref="R131" si="328">SUM(R129:R130)</f>
        <v>0.46800000000919317</v>
      </c>
      <c r="S131" s="438">
        <f t="shared" ref="S131" si="329">SUM(S129:S130)</f>
        <v>0.26699999999842589</v>
      </c>
      <c r="T131" s="438">
        <f t="shared" si="320"/>
        <v>9.4169999998938341</v>
      </c>
      <c r="U131" s="438"/>
      <c r="V131" s="438">
        <f>SUM(V129:V130)</f>
        <v>8.6449999998720273</v>
      </c>
      <c r="W131" s="438">
        <f t="shared" ref="W131" si="330">SUM(W129:W130)</f>
        <v>0.69600000001267559</v>
      </c>
      <c r="X131" s="438">
        <f t="shared" ref="X131" si="331">SUM(X129:X130)</f>
        <v>0.3049999999983114</v>
      </c>
      <c r="Y131" s="438">
        <f t="shared" si="321"/>
        <v>9.6459999998830153</v>
      </c>
    </row>
    <row r="132" spans="1:25" x14ac:dyDescent="0.2">
      <c r="B132" s="380"/>
      <c r="C132" s="460"/>
      <c r="D132" s="460"/>
      <c r="E132" s="460"/>
      <c r="F132" s="460"/>
      <c r="G132" s="460"/>
      <c r="H132" s="460"/>
      <c r="I132" s="460"/>
      <c r="J132" s="460"/>
      <c r="K132" s="460"/>
      <c r="L132" s="460"/>
      <c r="M132" s="460"/>
      <c r="N132" s="460"/>
      <c r="O132" s="460"/>
      <c r="P132" s="460"/>
      <c r="Q132" s="460"/>
      <c r="R132" s="460"/>
      <c r="S132" s="460"/>
      <c r="T132" s="460"/>
      <c r="U132" s="460"/>
      <c r="V132" s="460"/>
      <c r="W132" s="460"/>
      <c r="X132" s="460"/>
      <c r="Y132" s="460"/>
    </row>
    <row r="133" spans="1:25" x14ac:dyDescent="0.2">
      <c r="A133" s="378" t="str">
        <f>name!A23</f>
        <v>Other transport equipment</v>
      </c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</row>
    <row r="134" spans="1:25" x14ac:dyDescent="0.2">
      <c r="A134" s="382" t="s">
        <v>391</v>
      </c>
      <c r="B134" s="437">
        <v>0.34199999999410685</v>
      </c>
      <c r="C134" s="437">
        <v>0.33299999999851543</v>
      </c>
      <c r="D134" s="437">
        <v>3.9000000000195593E-2</v>
      </c>
      <c r="E134" s="437">
        <f>SUM(B134:D134)</f>
        <v>0.71399999999281782</v>
      </c>
      <c r="F134" s="437"/>
      <c r="G134" s="437">
        <v>0.81899999998908957</v>
      </c>
      <c r="H134" s="437">
        <v>6.8999999999528577E-2</v>
      </c>
      <c r="I134" s="437">
        <v>9.2000000000680704E-2</v>
      </c>
      <c r="J134" s="437">
        <f>SUM(G134:I134)</f>
        <v>0.97999999998929876</v>
      </c>
      <c r="K134" s="437"/>
      <c r="L134" s="437">
        <v>0.66799999999867488</v>
      </c>
      <c r="M134" s="437">
        <v>9.3000000001796507E-2</v>
      </c>
      <c r="N134" s="437">
        <v>8.2000000001852827E-2</v>
      </c>
      <c r="O134" s="437">
        <f>SUM(L134:N134)</f>
        <v>0.84300000000232422</v>
      </c>
      <c r="P134" s="437"/>
      <c r="Q134" s="437">
        <v>0.76899999999494062</v>
      </c>
      <c r="R134" s="437">
        <v>0.10300000000160767</v>
      </c>
      <c r="S134" s="437">
        <v>9.2000000001898161E-2</v>
      </c>
      <c r="T134" s="437">
        <f>SUM(Q134:S134)</f>
        <v>0.96399999999844643</v>
      </c>
      <c r="U134" s="437"/>
      <c r="V134" s="437">
        <v>0.82499999999548745</v>
      </c>
      <c r="W134" s="437">
        <v>0.10600000000135845</v>
      </c>
      <c r="X134" s="437">
        <v>9.600000000138402E-2</v>
      </c>
      <c r="Y134" s="437">
        <f>SUM(V134:X134)</f>
        <v>1.02699999999823</v>
      </c>
    </row>
    <row r="135" spans="1:25" x14ac:dyDescent="0.2">
      <c r="A135" s="382" t="s">
        <v>390</v>
      </c>
      <c r="B135" s="438">
        <v>8.6479999999945463</v>
      </c>
      <c r="C135" s="438">
        <v>3.4999999999995757E-2</v>
      </c>
      <c r="D135" s="438">
        <v>1.0260000000199823</v>
      </c>
      <c r="E135" s="438">
        <f t="shared" ref="E135:E136" si="332">SUM(B135:D135)</f>
        <v>9.7090000000145249</v>
      </c>
      <c r="F135" s="438"/>
      <c r="G135" s="438">
        <v>10.397999999863393</v>
      </c>
      <c r="H135" s="438">
        <v>3.4999999999770277E-2</v>
      </c>
      <c r="I135" s="438">
        <v>0.45299999999479951</v>
      </c>
      <c r="J135" s="438">
        <f t="shared" ref="J135:J136" si="333">SUM(G135:I135)</f>
        <v>10.885999999857964</v>
      </c>
      <c r="K135" s="438"/>
      <c r="L135" s="438">
        <v>8.8009999999938024</v>
      </c>
      <c r="M135" s="438">
        <v>0.10900000000016737</v>
      </c>
      <c r="N135" s="438">
        <v>0.34600000000212672</v>
      </c>
      <c r="O135" s="438">
        <f t="shared" ref="O135:O136" si="334">SUM(L135:N135)</f>
        <v>9.2559999999960958</v>
      </c>
      <c r="P135" s="438"/>
      <c r="Q135" s="438">
        <v>9.6619999998979313</v>
      </c>
      <c r="R135" s="438">
        <v>0.12299999999917263</v>
      </c>
      <c r="S135" s="438">
        <v>0.38900000000584262</v>
      </c>
      <c r="T135" s="438">
        <f t="shared" ref="T135:T136" si="335">SUM(Q135:S135)</f>
        <v>10.173999999902946</v>
      </c>
      <c r="U135" s="438"/>
      <c r="V135" s="438">
        <v>9.9219999998784019</v>
      </c>
      <c r="W135" s="438">
        <v>0.12999999999870221</v>
      </c>
      <c r="X135" s="438">
        <v>0.40800000000458825</v>
      </c>
      <c r="Y135" s="438">
        <f t="shared" ref="Y135:Y136" si="336">SUM(V135:X135)</f>
        <v>10.459999999881692</v>
      </c>
    </row>
    <row r="136" spans="1:25" x14ac:dyDescent="0.2">
      <c r="A136" s="382" t="s">
        <v>389</v>
      </c>
      <c r="B136" s="438">
        <f>SUM(B134:B135)</f>
        <v>8.9899999999886528</v>
      </c>
      <c r="C136" s="438">
        <f t="shared" ref="C136" si="337">SUM(C134:C135)</f>
        <v>0.36799999999851118</v>
      </c>
      <c r="D136" s="438">
        <f t="shared" ref="D136" si="338">SUM(D134:D135)</f>
        <v>1.0650000000201778</v>
      </c>
      <c r="E136" s="438">
        <f t="shared" si="332"/>
        <v>10.423000000007342</v>
      </c>
      <c r="F136" s="438"/>
      <c r="G136" s="438">
        <f>SUM(G134:G135)</f>
        <v>11.216999999852483</v>
      </c>
      <c r="H136" s="438">
        <f t="shared" ref="H136" si="339">SUM(H134:H135)</f>
        <v>0.10399999999929885</v>
      </c>
      <c r="I136" s="438">
        <f t="shared" ref="I136" si="340">SUM(I134:I135)</f>
        <v>0.54499999999548021</v>
      </c>
      <c r="J136" s="438">
        <f t="shared" si="333"/>
        <v>11.865999999847263</v>
      </c>
      <c r="K136" s="438"/>
      <c r="L136" s="438">
        <f>SUM(L134:L135)</f>
        <v>9.4689999999924765</v>
      </c>
      <c r="M136" s="438">
        <f t="shared" ref="M136" si="341">SUM(M134:M135)</f>
        <v>0.20200000000196389</v>
      </c>
      <c r="N136" s="438">
        <f t="shared" ref="N136" si="342">SUM(N134:N135)</f>
        <v>0.42800000000397953</v>
      </c>
      <c r="O136" s="438">
        <f t="shared" si="334"/>
        <v>10.098999999998421</v>
      </c>
      <c r="P136" s="438"/>
      <c r="Q136" s="438">
        <f>SUM(Q134:Q135)</f>
        <v>10.430999999892872</v>
      </c>
      <c r="R136" s="438">
        <f t="shared" ref="R136" si="343">SUM(R134:R135)</f>
        <v>0.2260000000007803</v>
      </c>
      <c r="S136" s="438">
        <f t="shared" ref="S136" si="344">SUM(S134:S135)</f>
        <v>0.48100000000774079</v>
      </c>
      <c r="T136" s="438">
        <f t="shared" si="335"/>
        <v>11.137999999901394</v>
      </c>
      <c r="U136" s="438"/>
      <c r="V136" s="438">
        <f>SUM(V134:V135)</f>
        <v>10.746999999873889</v>
      </c>
      <c r="W136" s="438">
        <f t="shared" ref="W136" si="345">SUM(W134:W135)</f>
        <v>0.23600000000006066</v>
      </c>
      <c r="X136" s="438">
        <f t="shared" ref="X136" si="346">SUM(X134:X135)</f>
        <v>0.50400000000597223</v>
      </c>
      <c r="Y136" s="438">
        <f t="shared" si="336"/>
        <v>11.486999999879922</v>
      </c>
    </row>
    <row r="137" spans="1:25" x14ac:dyDescent="0.2">
      <c r="B137" s="380"/>
      <c r="C137" s="460"/>
      <c r="D137" s="460"/>
      <c r="E137" s="460"/>
      <c r="F137" s="460"/>
      <c r="G137" s="460"/>
      <c r="H137" s="460"/>
      <c r="I137" s="460"/>
      <c r="J137" s="460"/>
      <c r="K137" s="460"/>
      <c r="L137" s="460"/>
      <c r="M137" s="460"/>
      <c r="N137" s="460"/>
      <c r="O137" s="460"/>
      <c r="P137" s="460"/>
      <c r="Q137" s="460"/>
      <c r="R137" s="460"/>
      <c r="S137" s="460"/>
      <c r="T137" s="460"/>
      <c r="U137" s="460"/>
      <c r="V137" s="460"/>
      <c r="W137" s="460"/>
      <c r="X137" s="460"/>
      <c r="Y137" s="460"/>
    </row>
    <row r="138" spans="1:25" x14ac:dyDescent="0.2">
      <c r="A138" s="378" t="str">
        <f>name!A24</f>
        <v>Furniture</v>
      </c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</row>
    <row r="139" spans="1:25" x14ac:dyDescent="0.2">
      <c r="A139" s="382" t="s">
        <v>391</v>
      </c>
      <c r="B139" s="437">
        <v>1.4649999999677452</v>
      </c>
      <c r="C139" s="437">
        <v>0.15099999999911848</v>
      </c>
      <c r="D139" s="437">
        <v>9.2000000002285379E-2</v>
      </c>
      <c r="E139" s="437">
        <f>SUM(B139:D139)</f>
        <v>1.7079999999691491</v>
      </c>
      <c r="F139" s="437"/>
      <c r="G139" s="437">
        <v>1.015999999980556</v>
      </c>
      <c r="H139" s="437">
        <v>0.24599999999821137</v>
      </c>
      <c r="I139" s="437">
        <v>0.15200000000284028</v>
      </c>
      <c r="J139" s="437">
        <f>SUM(G139:I139)</f>
        <v>1.4139999999816077</v>
      </c>
      <c r="K139" s="437"/>
      <c r="L139" s="437">
        <v>1.4959999999992128</v>
      </c>
      <c r="M139" s="437">
        <v>0.33800000000967878</v>
      </c>
      <c r="N139" s="437">
        <v>0.24700000000387967</v>
      </c>
      <c r="O139" s="437">
        <f>SUM(L139:N139)</f>
        <v>2.0810000000127715</v>
      </c>
      <c r="P139" s="437"/>
      <c r="Q139" s="437">
        <v>1.5019999999883031</v>
      </c>
      <c r="R139" s="437">
        <v>0.33400000000810248</v>
      </c>
      <c r="S139" s="437">
        <v>0.24400000000409144</v>
      </c>
      <c r="T139" s="437">
        <f>SUM(Q139:S139)</f>
        <v>2.080000000000497</v>
      </c>
      <c r="U139" s="437"/>
      <c r="V139" s="437">
        <v>1.4819999999895765</v>
      </c>
      <c r="W139" s="437">
        <v>0.32400000000711254</v>
      </c>
      <c r="X139" s="437">
        <v>0.24000000000375343</v>
      </c>
      <c r="Y139" s="437">
        <f>SUM(V139:X139)</f>
        <v>2.0460000000004426</v>
      </c>
    </row>
    <row r="140" spans="1:25" x14ac:dyDescent="0.2">
      <c r="A140" s="382" t="s">
        <v>390</v>
      </c>
      <c r="B140" s="438">
        <v>3.5880000000036905</v>
      </c>
      <c r="C140" s="438">
        <v>3.5999999999898884E-2</v>
      </c>
      <c r="D140" s="438">
        <v>0.71900000000397468</v>
      </c>
      <c r="E140" s="438">
        <f t="shared" ref="E140:E141" si="347">SUM(B140:D140)</f>
        <v>4.3430000000075637</v>
      </c>
      <c r="F140" s="438"/>
      <c r="G140" s="438">
        <v>2.8239999999445873</v>
      </c>
      <c r="H140" s="438">
        <v>9.6999999998329728E-2</v>
      </c>
      <c r="I140" s="438">
        <v>0.42599999999712135</v>
      </c>
      <c r="J140" s="438">
        <f t="shared" ref="J140:J141" si="348">SUM(G140:I140)</f>
        <v>3.3469999999400386</v>
      </c>
      <c r="K140" s="438"/>
      <c r="L140" s="438">
        <v>4.0970000000037441</v>
      </c>
      <c r="M140" s="438">
        <v>0.29500000000049298</v>
      </c>
      <c r="N140" s="438">
        <v>0.38200000000114487</v>
      </c>
      <c r="O140" s="438">
        <f t="shared" ref="O140:O141" si="349">SUM(L140:N140)</f>
        <v>4.7740000000053815</v>
      </c>
      <c r="P140" s="438"/>
      <c r="Q140" s="438">
        <v>3.9639999999386517</v>
      </c>
      <c r="R140" s="438">
        <v>0.31999999999617978</v>
      </c>
      <c r="S140" s="438">
        <v>0.37600000000229411</v>
      </c>
      <c r="T140" s="438">
        <f t="shared" ref="T140:T141" si="350">SUM(Q140:S140)</f>
        <v>4.659999999937126</v>
      </c>
      <c r="U140" s="438"/>
      <c r="V140" s="438">
        <v>3.7209999999326198</v>
      </c>
      <c r="W140" s="438">
        <v>0.33399999999516172</v>
      </c>
      <c r="X140" s="438">
        <v>0.35700000000195475</v>
      </c>
      <c r="Y140" s="438">
        <f t="shared" ref="Y140:Y141" si="351">SUM(V140:X140)</f>
        <v>4.411999999929737</v>
      </c>
    </row>
    <row r="141" spans="1:25" x14ac:dyDescent="0.2">
      <c r="A141" s="382" t="s">
        <v>389</v>
      </c>
      <c r="B141" s="438">
        <f>SUM(B139:B140)</f>
        <v>5.0529999999714352</v>
      </c>
      <c r="C141" s="438">
        <f t="shared" ref="C141" si="352">SUM(C139:C140)</f>
        <v>0.18699999999901737</v>
      </c>
      <c r="D141" s="438">
        <f t="shared" ref="D141" si="353">SUM(D139:D140)</f>
        <v>0.81100000000626005</v>
      </c>
      <c r="E141" s="438">
        <f t="shared" si="347"/>
        <v>6.0509999999767121</v>
      </c>
      <c r="F141" s="438"/>
      <c r="G141" s="438">
        <f>SUM(G139:G140)</f>
        <v>3.8399999999251433</v>
      </c>
      <c r="H141" s="438">
        <f t="shared" ref="H141" si="354">SUM(H139:H140)</f>
        <v>0.34299999999654107</v>
      </c>
      <c r="I141" s="438">
        <f t="shared" ref="I141" si="355">SUM(I139:I140)</f>
        <v>0.57799999999996166</v>
      </c>
      <c r="J141" s="438">
        <f t="shared" si="348"/>
        <v>4.7609999999216459</v>
      </c>
      <c r="K141" s="438"/>
      <c r="L141" s="438">
        <f>SUM(L139:L140)</f>
        <v>5.5930000000029567</v>
      </c>
      <c r="M141" s="438">
        <f t="shared" ref="M141" si="356">SUM(M139:M140)</f>
        <v>0.63300000001017176</v>
      </c>
      <c r="N141" s="438">
        <f t="shared" ref="N141" si="357">SUM(N139:N140)</f>
        <v>0.62900000000502454</v>
      </c>
      <c r="O141" s="438">
        <f t="shared" si="349"/>
        <v>6.855000000018153</v>
      </c>
      <c r="P141" s="438"/>
      <c r="Q141" s="438">
        <f>SUM(Q139:Q140)</f>
        <v>5.4659999999269546</v>
      </c>
      <c r="R141" s="438">
        <f t="shared" ref="R141" si="358">SUM(R139:R140)</f>
        <v>0.65400000000428227</v>
      </c>
      <c r="S141" s="438">
        <f t="shared" ref="S141" si="359">SUM(S139:S140)</f>
        <v>0.62000000000638555</v>
      </c>
      <c r="T141" s="438">
        <f t="shared" si="350"/>
        <v>6.7399999999376217</v>
      </c>
      <c r="U141" s="438"/>
      <c r="V141" s="438">
        <f>SUM(V139:V140)</f>
        <v>5.2029999999221967</v>
      </c>
      <c r="W141" s="438">
        <f t="shared" ref="W141" si="360">SUM(W139:W140)</f>
        <v>0.65800000000227432</v>
      </c>
      <c r="X141" s="438">
        <f t="shared" ref="X141" si="361">SUM(X139:X140)</f>
        <v>0.59700000000570819</v>
      </c>
      <c r="Y141" s="438">
        <f t="shared" si="351"/>
        <v>6.4579999999301787</v>
      </c>
    </row>
    <row r="142" spans="1:25" x14ac:dyDescent="0.2">
      <c r="B142" s="380"/>
      <c r="C142" s="460"/>
      <c r="D142" s="460"/>
      <c r="E142" s="460"/>
      <c r="F142" s="460"/>
      <c r="G142" s="460"/>
      <c r="H142" s="460"/>
      <c r="I142" s="460"/>
      <c r="J142" s="460"/>
      <c r="K142" s="460"/>
      <c r="L142" s="460"/>
      <c r="M142" s="460"/>
      <c r="N142" s="460"/>
      <c r="O142" s="460"/>
      <c r="P142" s="460"/>
      <c r="Q142" s="460"/>
      <c r="R142" s="460"/>
      <c r="S142" s="460"/>
      <c r="T142" s="460"/>
      <c r="U142" s="460"/>
      <c r="V142" s="460"/>
      <c r="W142" s="460"/>
      <c r="X142" s="460"/>
      <c r="Y142" s="460"/>
    </row>
    <row r="143" spans="1:25" x14ac:dyDescent="0.2">
      <c r="A143" s="378" t="str">
        <f>name!A25</f>
        <v>Other manufacturing</v>
      </c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</row>
    <row r="144" spans="1:25" x14ac:dyDescent="0.2">
      <c r="A144" s="382" t="s">
        <v>391</v>
      </c>
      <c r="B144" s="437">
        <v>0.62699999998568401</v>
      </c>
      <c r="C144" s="437">
        <v>0.49599999999708877</v>
      </c>
      <c r="D144" s="437">
        <v>0.21800000000533126</v>
      </c>
      <c r="E144" s="437">
        <f>SUM(B144:D144)</f>
        <v>1.3409999999881039</v>
      </c>
      <c r="F144" s="437"/>
      <c r="G144" s="437">
        <v>0.35999999999276378</v>
      </c>
      <c r="H144" s="437">
        <v>0.27999999999799191</v>
      </c>
      <c r="I144" s="437">
        <v>0.27600000000488384</v>
      </c>
      <c r="J144" s="437">
        <f>SUM(G144:I144)</f>
        <v>0.91599999999563964</v>
      </c>
      <c r="K144" s="437"/>
      <c r="L144" s="437">
        <v>0.46900000000001962</v>
      </c>
      <c r="M144" s="437">
        <v>0.2120000000060748</v>
      </c>
      <c r="N144" s="437">
        <v>0.4100000000065846</v>
      </c>
      <c r="O144" s="437">
        <f>SUM(L144:N144)</f>
        <v>1.0910000000126789</v>
      </c>
      <c r="P144" s="437"/>
      <c r="Q144" s="437">
        <v>0.47099999999642189</v>
      </c>
      <c r="R144" s="437">
        <v>0.20900000000486088</v>
      </c>
      <c r="S144" s="437">
        <v>0.40500000000684655</v>
      </c>
      <c r="T144" s="437">
        <f>SUM(Q144:S144)</f>
        <v>1.0850000000081295</v>
      </c>
      <c r="U144" s="437"/>
      <c r="V144" s="437">
        <v>0.46499999999677483</v>
      </c>
      <c r="W144" s="437">
        <v>0.20300000000436025</v>
      </c>
      <c r="X144" s="437">
        <v>0.39800000000607139</v>
      </c>
      <c r="Y144" s="437">
        <f>SUM(V144:X144)</f>
        <v>1.0660000000072065</v>
      </c>
    </row>
    <row r="145" spans="1:25" x14ac:dyDescent="0.2">
      <c r="A145" s="382" t="s">
        <v>390</v>
      </c>
      <c r="B145" s="438">
        <v>5.017000000004014</v>
      </c>
      <c r="C145" s="438">
        <v>8.3999999999773076E-2</v>
      </c>
      <c r="D145" s="438">
        <v>0.84600000000438058</v>
      </c>
      <c r="E145" s="438">
        <f t="shared" ref="E145:E146" si="362">SUM(B145:D145)</f>
        <v>5.9470000000081678</v>
      </c>
      <c r="F145" s="438"/>
      <c r="G145" s="438">
        <v>3.2649999999396697</v>
      </c>
      <c r="H145" s="438">
        <v>7.7999999998657227E-2</v>
      </c>
      <c r="I145" s="438">
        <v>0.3849999999974264</v>
      </c>
      <c r="J145" s="438">
        <f t="shared" ref="J145:J146" si="363">SUM(G145:I145)</f>
        <v>3.7279999999357534</v>
      </c>
      <c r="K145" s="438"/>
      <c r="L145" s="438">
        <v>4.1960000000028153</v>
      </c>
      <c r="M145" s="438">
        <v>0.1300000000002173</v>
      </c>
      <c r="N145" s="438">
        <v>0.31400000000095035</v>
      </c>
      <c r="O145" s="438">
        <f t="shared" ref="O145:O146" si="364">SUM(L145:N145)</f>
        <v>4.6400000000039832</v>
      </c>
      <c r="P145" s="438"/>
      <c r="Q145" s="438">
        <v>4.0599999999401462</v>
      </c>
      <c r="R145" s="438">
        <v>0.14099999999831661</v>
      </c>
      <c r="S145" s="438">
        <v>0.3100000000018524</v>
      </c>
      <c r="T145" s="438">
        <f t="shared" ref="T145:T146" si="365">SUM(Q145:S145)</f>
        <v>4.5109999999403154</v>
      </c>
      <c r="U145" s="438"/>
      <c r="V145" s="438">
        <v>3.8109999999342268</v>
      </c>
      <c r="W145" s="438">
        <v>0.14699999999787036</v>
      </c>
      <c r="X145" s="438">
        <v>0.29400000000156784</v>
      </c>
      <c r="Y145" s="438">
        <f t="shared" ref="Y145:Y146" si="366">SUM(V145:X145)</f>
        <v>4.2519999999336653</v>
      </c>
    </row>
    <row r="146" spans="1:25" x14ac:dyDescent="0.2">
      <c r="A146" s="382" t="s">
        <v>389</v>
      </c>
      <c r="B146" s="438">
        <f>SUM(B144:B145)</f>
        <v>5.6439999999896981</v>
      </c>
      <c r="C146" s="438">
        <f t="shared" ref="C146" si="367">SUM(C144:C145)</f>
        <v>0.5799999999968618</v>
      </c>
      <c r="D146" s="438">
        <f t="shared" ref="D146" si="368">SUM(D144:D145)</f>
        <v>1.0640000000097118</v>
      </c>
      <c r="E146" s="438">
        <f t="shared" si="362"/>
        <v>7.2879999999962717</v>
      </c>
      <c r="F146" s="438"/>
      <c r="G146" s="438">
        <f>SUM(G144:G145)</f>
        <v>3.6249999999324336</v>
      </c>
      <c r="H146" s="438">
        <f t="shared" ref="H146" si="369">SUM(H144:H145)</f>
        <v>0.35799999999664911</v>
      </c>
      <c r="I146" s="438">
        <f t="shared" ref="I146" si="370">SUM(I144:I145)</f>
        <v>0.66100000000231018</v>
      </c>
      <c r="J146" s="438">
        <f t="shared" si="363"/>
        <v>4.6439999999313928</v>
      </c>
      <c r="K146" s="438"/>
      <c r="L146" s="438">
        <f>SUM(L144:L145)</f>
        <v>4.6650000000028351</v>
      </c>
      <c r="M146" s="438">
        <f t="shared" ref="M146" si="371">SUM(M144:M145)</f>
        <v>0.3420000000062921</v>
      </c>
      <c r="N146" s="438">
        <f t="shared" ref="N146" si="372">SUM(N144:N145)</f>
        <v>0.72400000000753495</v>
      </c>
      <c r="O146" s="438">
        <f t="shared" si="364"/>
        <v>5.7310000000166621</v>
      </c>
      <c r="P146" s="438"/>
      <c r="Q146" s="438">
        <f>SUM(Q144:Q145)</f>
        <v>4.5309999999365678</v>
      </c>
      <c r="R146" s="438">
        <f t="shared" ref="R146" si="373">SUM(R144:R145)</f>
        <v>0.35000000000317749</v>
      </c>
      <c r="S146" s="438">
        <f t="shared" ref="S146" si="374">SUM(S144:S145)</f>
        <v>0.7150000000086989</v>
      </c>
      <c r="T146" s="438">
        <f t="shared" si="365"/>
        <v>5.595999999948444</v>
      </c>
      <c r="U146" s="438"/>
      <c r="V146" s="438">
        <f>SUM(V144:V145)</f>
        <v>4.2759999999310017</v>
      </c>
      <c r="W146" s="438">
        <f t="shared" ref="W146" si="375">SUM(W144:W145)</f>
        <v>0.35000000000223064</v>
      </c>
      <c r="X146" s="438">
        <f t="shared" ref="X146" si="376">SUM(X144:X145)</f>
        <v>0.69200000000763917</v>
      </c>
      <c r="Y146" s="438">
        <f t="shared" si="366"/>
        <v>5.3179999999408718</v>
      </c>
    </row>
    <row r="147" spans="1:25" x14ac:dyDescent="0.2">
      <c r="B147" s="380"/>
      <c r="C147" s="460"/>
      <c r="D147" s="460"/>
      <c r="E147" s="460"/>
      <c r="F147" s="460"/>
      <c r="G147" s="460"/>
      <c r="H147" s="460"/>
      <c r="I147" s="460"/>
      <c r="J147" s="460"/>
      <c r="K147" s="460"/>
      <c r="L147" s="460"/>
      <c r="M147" s="460"/>
      <c r="N147" s="460"/>
      <c r="O147" s="460"/>
      <c r="P147" s="460"/>
      <c r="Q147" s="460"/>
      <c r="R147" s="460"/>
      <c r="S147" s="460"/>
      <c r="T147" s="460"/>
      <c r="U147" s="460"/>
      <c r="V147" s="460"/>
      <c r="W147" s="460"/>
      <c r="X147" s="460"/>
      <c r="Y147" s="460"/>
    </row>
    <row r="148" spans="1:25" x14ac:dyDescent="0.2">
      <c r="A148" s="378" t="str">
        <f>name!A26</f>
        <v>Repair and installation</v>
      </c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</row>
    <row r="149" spans="1:25" x14ac:dyDescent="0.2">
      <c r="A149" s="382" t="s">
        <v>391</v>
      </c>
      <c r="B149" s="437">
        <v>1.503999999961833</v>
      </c>
      <c r="C149" s="437">
        <v>0.57199999999702289</v>
      </c>
      <c r="D149" s="437">
        <v>9.6000000000323757E-2</v>
      </c>
      <c r="E149" s="437">
        <f>SUM(B149:D149)</f>
        <v>2.1719999999591795</v>
      </c>
      <c r="F149" s="437"/>
      <c r="G149" s="437">
        <v>1.7169999999628354</v>
      </c>
      <c r="H149" s="437">
        <v>0.17899999999877986</v>
      </c>
      <c r="I149" s="437">
        <v>0.22300000000125625</v>
      </c>
      <c r="J149" s="437">
        <f>SUM(G149:I149)</f>
        <v>2.1189999999628717</v>
      </c>
      <c r="K149" s="437"/>
      <c r="L149" s="437">
        <v>2.11500000000667</v>
      </c>
      <c r="M149" s="437">
        <v>1.0180000000280018</v>
      </c>
      <c r="N149" s="437">
        <v>0.37200000001262395</v>
      </c>
      <c r="O149" s="437">
        <f>SUM(L149:N149)</f>
        <v>3.5050000000472958</v>
      </c>
      <c r="P149" s="437"/>
      <c r="Q149" s="437">
        <v>2.1239999999905801</v>
      </c>
      <c r="R149" s="437">
        <v>1.0070000000222661</v>
      </c>
      <c r="S149" s="437">
        <v>0.36700000001264721</v>
      </c>
      <c r="T149" s="437">
        <f>SUM(Q149:S149)</f>
        <v>3.4980000000254932</v>
      </c>
      <c r="U149" s="437"/>
      <c r="V149" s="437">
        <v>2.0949999999909399</v>
      </c>
      <c r="W149" s="437">
        <v>0.97800000002021803</v>
      </c>
      <c r="X149" s="437">
        <v>0.36000000000938642</v>
      </c>
      <c r="Y149" s="437">
        <f>SUM(V149:X149)</f>
        <v>3.4330000000205443</v>
      </c>
    </row>
    <row r="150" spans="1:25" x14ac:dyDescent="0.2">
      <c r="A150" s="382" t="s">
        <v>390</v>
      </c>
      <c r="B150" s="438">
        <v>3.4649999999998107</v>
      </c>
      <c r="C150" s="438">
        <v>8.8000000000017273E-2</v>
      </c>
      <c r="D150" s="438">
        <v>0.7480000000048137</v>
      </c>
      <c r="E150" s="438">
        <f t="shared" ref="E150:E151" si="377">SUM(B150:D150)</f>
        <v>4.3010000000046418</v>
      </c>
      <c r="F150" s="438"/>
      <c r="G150" s="438">
        <v>4.4929999999356269</v>
      </c>
      <c r="H150" s="438">
        <v>4.5000000000005848E-2</v>
      </c>
      <c r="I150" s="438">
        <v>0.62399999999402311</v>
      </c>
      <c r="J150" s="438">
        <f t="shared" ref="J150:J151" si="378">SUM(G150:I150)</f>
        <v>5.1619999999296562</v>
      </c>
      <c r="K150" s="438"/>
      <c r="L150" s="438">
        <v>5.4509999999978964</v>
      </c>
      <c r="M150" s="438">
        <v>0.56800000000009632</v>
      </c>
      <c r="N150" s="438">
        <v>0.57200000000005569</v>
      </c>
      <c r="O150" s="438">
        <f t="shared" ref="O150:O151" si="379">SUM(L150:N150)</f>
        <v>6.5909999999980489</v>
      </c>
      <c r="P150" s="438"/>
      <c r="Q150" s="438">
        <v>5.2739999999398668</v>
      </c>
      <c r="R150" s="438">
        <v>0.61500000000164301</v>
      </c>
      <c r="S150" s="438">
        <v>0.56299999999999195</v>
      </c>
      <c r="T150" s="438">
        <f t="shared" ref="T150:T151" si="380">SUM(Q150:S150)</f>
        <v>6.4519999999415019</v>
      </c>
      <c r="U150" s="438"/>
      <c r="V150" s="438">
        <v>4.9499999999346063</v>
      </c>
      <c r="W150" s="438">
        <v>0.64300000000120283</v>
      </c>
      <c r="X150" s="438">
        <v>0.53499999999972392</v>
      </c>
      <c r="Y150" s="438">
        <f t="shared" ref="Y150:Y151" si="381">SUM(V150:X150)</f>
        <v>6.1279999999355335</v>
      </c>
    </row>
    <row r="151" spans="1:25" x14ac:dyDescent="0.2">
      <c r="A151" s="382" t="s">
        <v>389</v>
      </c>
      <c r="B151" s="438">
        <f>SUM(B149:B150)</f>
        <v>4.9689999999616434</v>
      </c>
      <c r="C151" s="438">
        <f t="shared" ref="C151" si="382">SUM(C149:C150)</f>
        <v>0.65999999999704018</v>
      </c>
      <c r="D151" s="438">
        <f t="shared" ref="D151" si="383">SUM(D149:D150)</f>
        <v>0.84400000000513742</v>
      </c>
      <c r="E151" s="438">
        <f t="shared" si="377"/>
        <v>6.4729999999638208</v>
      </c>
      <c r="F151" s="438"/>
      <c r="G151" s="438">
        <f>SUM(G149:G150)</f>
        <v>6.2099999998984625</v>
      </c>
      <c r="H151" s="438">
        <f t="shared" ref="H151" si="384">SUM(H149:H150)</f>
        <v>0.2239999999987857</v>
      </c>
      <c r="I151" s="438">
        <f t="shared" ref="I151" si="385">SUM(I149:I150)</f>
        <v>0.84699999999527931</v>
      </c>
      <c r="J151" s="438">
        <f t="shared" si="378"/>
        <v>7.2809999998925274</v>
      </c>
      <c r="K151" s="438"/>
      <c r="L151" s="438">
        <f>SUM(L149:L150)</f>
        <v>7.566000000004566</v>
      </c>
      <c r="M151" s="438">
        <f t="shared" ref="M151" si="386">SUM(M149:M150)</f>
        <v>1.5860000000280983</v>
      </c>
      <c r="N151" s="438">
        <f t="shared" ref="N151" si="387">SUM(N149:N150)</f>
        <v>0.94400000001267959</v>
      </c>
      <c r="O151" s="438">
        <f t="shared" si="379"/>
        <v>10.096000000045343</v>
      </c>
      <c r="P151" s="438"/>
      <c r="Q151" s="438">
        <f>SUM(Q149:Q150)</f>
        <v>7.3979999999304464</v>
      </c>
      <c r="R151" s="438">
        <f t="shared" ref="R151" si="388">SUM(R149:R150)</f>
        <v>1.6220000000239092</v>
      </c>
      <c r="S151" s="438">
        <f t="shared" ref="S151" si="389">SUM(S149:S150)</f>
        <v>0.93000000001263916</v>
      </c>
      <c r="T151" s="438">
        <f t="shared" si="380"/>
        <v>9.9499999999669946</v>
      </c>
      <c r="U151" s="438"/>
      <c r="V151" s="438">
        <f>SUM(V149:V150)</f>
        <v>7.0449999999255457</v>
      </c>
      <c r="W151" s="438">
        <f t="shared" ref="W151" si="390">SUM(W149:W150)</f>
        <v>1.6210000000214209</v>
      </c>
      <c r="X151" s="438">
        <f t="shared" ref="X151" si="391">SUM(X149:X150)</f>
        <v>0.89500000000911029</v>
      </c>
      <c r="Y151" s="438">
        <f t="shared" si="381"/>
        <v>9.5609999999560777</v>
      </c>
    </row>
    <row r="152" spans="1:25" x14ac:dyDescent="0.2">
      <c r="C152" s="453"/>
    </row>
    <row r="153" spans="1:25" x14ac:dyDescent="0.2">
      <c r="A153" s="383" t="s">
        <v>405</v>
      </c>
    </row>
    <row r="154" spans="1:25" x14ac:dyDescent="0.2">
      <c r="A154" s="377" t="s">
        <v>391</v>
      </c>
      <c r="B154" s="437">
        <f>SUM(B74,B79,B84,B89,B94,B99,B104,B109,B114,B119,B124,B129,B134,B139,B144,B149)</f>
        <v>16.895999999637027</v>
      </c>
      <c r="C154" s="437">
        <f t="shared" ref="C154:D155" si="392">SUM(C74,C79,C84,C89,C94,C99,C104,C109,C114,C119,C124,C129,C134,C139,C144,C149)</f>
        <v>5.3549999999701985</v>
      </c>
      <c r="D154" s="437">
        <f t="shared" si="392"/>
        <v>1.3290000000179434</v>
      </c>
      <c r="E154" s="437">
        <f>SUM(B154:D154)</f>
        <v>23.579999999625166</v>
      </c>
      <c r="F154" s="437"/>
      <c r="G154" s="437">
        <f>SUM(G74,G79,G84,G89,G94,G99,G104,G109,G114,G119,G124,G129,G134,G139,G144,G149)</f>
        <v>14.810999999723181</v>
      </c>
      <c r="H154" s="437">
        <f t="shared" ref="H154:I154" si="393">SUM(H74,H79,H84,H89,H94,H99,H104,H109,H114,H119,H124,H129,H134,H139,H144,H149)</f>
        <v>3.8079999999769676</v>
      </c>
      <c r="I154" s="437">
        <f t="shared" si="393"/>
        <v>3.0590000000258617</v>
      </c>
      <c r="J154" s="437">
        <f>SUM(G154:I154)</f>
        <v>21.677999999726012</v>
      </c>
      <c r="K154" s="437"/>
      <c r="L154" s="437">
        <f>SUM(L74,L79,L84,L89,L94,L99,L104,L109,L114,L119,L124,L129,L134,L139,L144,L149)</f>
        <v>15.994000000007334</v>
      </c>
      <c r="M154" s="437">
        <f t="shared" ref="M154:N154" si="394">SUM(M74,M79,M84,M89,M94,M99,M104,M109,M114,M119,M124,M129,M134,M139,M144,M149)</f>
        <v>4.9230000001465299</v>
      </c>
      <c r="N154" s="437">
        <f t="shared" si="394"/>
        <v>3.1550000000565896</v>
      </c>
      <c r="O154" s="437">
        <f>SUM(L154:N154)</f>
        <v>24.072000000210451</v>
      </c>
      <c r="P154" s="437"/>
      <c r="Q154" s="437">
        <f>SUM(Q74,Q79,Q84,Q89,Q94,Q99,Q104,Q109,Q114,Q119,Q124,Q129,Q134,Q139,Q144,Q149)</f>
        <v>15.956999999895258</v>
      </c>
      <c r="R154" s="437">
        <f t="shared" ref="R154:S154" si="395">SUM(R74,R79,R84,R89,R94,R99,R104,R109,R114,R119,R124,R129,R134,R139,R144,R149)</f>
        <v>4.8860000001129205</v>
      </c>
      <c r="S154" s="437">
        <f t="shared" si="395"/>
        <v>2.8660000000526744</v>
      </c>
      <c r="T154" s="437">
        <f>SUM(Q154:S154)</f>
        <v>23.709000000060854</v>
      </c>
      <c r="U154" s="437"/>
      <c r="V154" s="437">
        <f>SUM(V74,V79,V84,V89,V94,V99,V104,V109,V114,V119,V124,V129,V134,V139,V144,V149)</f>
        <v>16.250999999899754</v>
      </c>
      <c r="W154" s="437">
        <f t="shared" ref="W154:X154" si="396">SUM(W74,W79,W84,W89,W94,W99,W104,W109,W114,W119,W124,W129,W134,W139,W144,W149)</f>
        <v>4.9890000001037134</v>
      </c>
      <c r="X154" s="437">
        <f t="shared" si="396"/>
        <v>2.7600000000388025</v>
      </c>
      <c r="Y154" s="437">
        <f>SUM(V154:X154)</f>
        <v>24.00000000004227</v>
      </c>
    </row>
    <row r="155" spans="1:25" x14ac:dyDescent="0.2">
      <c r="A155" s="377" t="s">
        <v>390</v>
      </c>
      <c r="B155" s="437">
        <f>SUM(B75,B80,B85,B90,B95,B100,B105,B110,B115,B120,B125,B130,B135,B140,B145,B150)</f>
        <v>88.055000000033019</v>
      </c>
      <c r="C155" s="437">
        <f t="shared" si="392"/>
        <v>1.4529999999987329</v>
      </c>
      <c r="D155" s="437">
        <f t="shared" si="392"/>
        <v>10.378000000065819</v>
      </c>
      <c r="E155" s="437">
        <f t="shared" ref="E155:E156" si="397">SUM(B155:D155)</f>
        <v>99.886000000097582</v>
      </c>
      <c r="F155" s="437"/>
      <c r="G155" s="437">
        <f>SUM(G75,G80,G85,G90,G95,G100,G105,G110,G115,G120,G125,G130,G135,G140,G145,G150)</f>
        <v>73.430999998877837</v>
      </c>
      <c r="H155" s="437">
        <f t="shared" ref="H155:I155" si="398">SUM(H75,H80,H85,H90,H95,H100,H105,H110,H115,H120,H125,H130,H135,H140,H145,H150)</f>
        <v>1.3429999999826339</v>
      </c>
      <c r="I155" s="437">
        <f t="shared" si="398"/>
        <v>5.8759999999635459</v>
      </c>
      <c r="J155" s="437">
        <f t="shared" ref="J155:J156" si="399">SUM(G155:I155)</f>
        <v>80.649999998824015</v>
      </c>
      <c r="K155" s="437"/>
      <c r="L155" s="437">
        <f>SUM(L75,L80,L85,L90,L95,L100,L105,L110,L115,L120,L125,L130,L135,L140,L145,L150)</f>
        <v>79.420000000008059</v>
      </c>
      <c r="M155" s="437">
        <f t="shared" ref="M155:N155" si="400">SUM(M75,M80,M85,M90,M95,M100,M105,M110,M115,M120,M125,M130,M135,M140,M145,M150)</f>
        <v>2.6260000000048374</v>
      </c>
      <c r="N155" s="437">
        <f t="shared" si="400"/>
        <v>3.6950000000016257</v>
      </c>
      <c r="O155" s="437">
        <f t="shared" ref="O155:O156" si="401">SUM(L155:N155)</f>
        <v>85.741000000014523</v>
      </c>
      <c r="P155" s="437"/>
      <c r="Q155" s="437">
        <f>SUM(Q75,Q80,Q85,Q90,Q95,Q100,Q105,Q110,Q115,Q120,Q125,Q130,Q135,Q140,Q145,Q150)</f>
        <v>74.271999999089502</v>
      </c>
      <c r="R155" s="437">
        <f t="shared" ref="R155:S155" si="402">SUM(R75,R80,R85,R90,R95,R100,R105,R110,R115,R120,R125,R130,R135,R140,R145,R150)</f>
        <v>2.8369999999811046</v>
      </c>
      <c r="S155" s="437">
        <f t="shared" si="402"/>
        <v>3.7440000000059301</v>
      </c>
      <c r="T155" s="437">
        <f t="shared" ref="T155:T156" si="403">SUM(Q155:S155)</f>
        <v>80.85299999907653</v>
      </c>
      <c r="U155" s="437"/>
      <c r="V155" s="437">
        <f>SUM(V75,V80,V85,V90,V95,V100,V105,V110,V115,V120,V125,V130,V135,V140,V145,V150)</f>
        <v>69.37799999901371</v>
      </c>
      <c r="W155" s="437">
        <f t="shared" ref="W155" si="404">SUM(W75,W80,W85,W90,W95,W100,W105,W110,W115,W120,W125,W130,W135,W140,W145,W150)</f>
        <v>3.0489999999747925</v>
      </c>
      <c r="X155" s="437">
        <f>SUM(X75,X80,X85,X90,X95,X100,X105,X110,X115,X120,X125,X130,X135,X140,X145,X150)</f>
        <v>3.7870000000048094</v>
      </c>
      <c r="Y155" s="437">
        <f t="shared" ref="Y155:Y156" si="405">SUM(V155:X155)</f>
        <v>76.213999998993316</v>
      </c>
    </row>
    <row r="156" spans="1:25" x14ac:dyDescent="0.2">
      <c r="A156" s="381" t="s">
        <v>389</v>
      </c>
      <c r="B156" s="439">
        <f>SUM(B154:B155)</f>
        <v>104.95099999967005</v>
      </c>
      <c r="C156" s="439">
        <f t="shared" ref="C156" si="406">SUM(C154:C155)</f>
        <v>6.8079999999689313</v>
      </c>
      <c r="D156" s="439">
        <f t="shared" ref="D156" si="407">SUM(D154:D155)</f>
        <v>11.707000000083763</v>
      </c>
      <c r="E156" s="439">
        <f t="shared" si="397"/>
        <v>123.46599999972274</v>
      </c>
      <c r="F156" s="439"/>
      <c r="G156" s="439">
        <f>SUM(G154:G155)</f>
        <v>88.241999998601017</v>
      </c>
      <c r="H156" s="439">
        <f t="shared" ref="H156" si="408">SUM(H154:H155)</f>
        <v>5.1509999999596019</v>
      </c>
      <c r="I156" s="439">
        <f t="shared" ref="I156" si="409">SUM(I154:I155)</f>
        <v>8.9349999999894081</v>
      </c>
      <c r="J156" s="439">
        <f t="shared" si="399"/>
        <v>102.32799999855001</v>
      </c>
      <c r="K156" s="439"/>
      <c r="L156" s="439">
        <f>SUM(L154:L155)</f>
        <v>95.414000000015392</v>
      </c>
      <c r="M156" s="439">
        <f t="shared" ref="M156" si="410">SUM(M154:M155)</f>
        <v>7.5490000001513673</v>
      </c>
      <c r="N156" s="439">
        <f t="shared" ref="N156" si="411">SUM(N154:N155)</f>
        <v>6.8500000000582153</v>
      </c>
      <c r="O156" s="439">
        <f t="shared" si="401"/>
        <v>109.81300000022497</v>
      </c>
      <c r="P156" s="439"/>
      <c r="Q156" s="439">
        <f>SUM(Q154:Q155)</f>
        <v>90.228999998984762</v>
      </c>
      <c r="R156" s="439">
        <f t="shared" ref="R156" si="412">SUM(R154:R155)</f>
        <v>7.7230000000940251</v>
      </c>
      <c r="S156" s="439">
        <f t="shared" ref="S156" si="413">SUM(S154:S155)</f>
        <v>6.610000000058605</v>
      </c>
      <c r="T156" s="439">
        <f t="shared" si="403"/>
        <v>104.5619999991374</v>
      </c>
      <c r="U156" s="439"/>
      <c r="V156" s="439">
        <f>SUM(V154:V155)</f>
        <v>85.628999998913457</v>
      </c>
      <c r="W156" s="439">
        <f t="shared" ref="W156" si="414">SUM(W154:W155)</f>
        <v>8.0380000000785063</v>
      </c>
      <c r="X156" s="439">
        <f t="shared" ref="X156" si="415">SUM(X154:X155)</f>
        <v>6.5470000000436119</v>
      </c>
      <c r="Y156" s="439">
        <f t="shared" si="405"/>
        <v>100.21399999903558</v>
      </c>
    </row>
    <row r="157" spans="1:25" x14ac:dyDescent="0.2">
      <c r="C157" s="453"/>
    </row>
    <row r="158" spans="1:25" x14ac:dyDescent="0.2">
      <c r="C158" s="453"/>
    </row>
    <row r="159" spans="1:25" x14ac:dyDescent="0.2">
      <c r="C159" s="453"/>
    </row>
    <row r="160" spans="1:25" ht="15" x14ac:dyDescent="0.25">
      <c r="A160" s="385" t="str">
        <f>"Industry 6 : "&amp; name!B9</f>
        <v>Industry 6 : Electricity and gas</v>
      </c>
      <c r="B160" s="516">
        <f>$B$5</f>
        <v>2007</v>
      </c>
      <c r="C160" s="516"/>
      <c r="D160" s="516"/>
      <c r="E160" s="516"/>
      <c r="F160" s="461"/>
      <c r="G160" s="516">
        <f>$G$5</f>
        <v>2012</v>
      </c>
      <c r="H160" s="516"/>
      <c r="I160" s="516"/>
      <c r="J160" s="516"/>
      <c r="K160" s="461"/>
      <c r="L160" s="516">
        <f>$L$5</f>
        <v>2017</v>
      </c>
      <c r="M160" s="516"/>
      <c r="N160" s="516"/>
      <c r="O160" s="516"/>
      <c r="P160" s="459"/>
      <c r="Q160" s="516">
        <f>$Q$5</f>
        <v>2022</v>
      </c>
      <c r="R160" s="516"/>
      <c r="S160" s="516"/>
      <c r="T160" s="516"/>
      <c r="U160" s="461"/>
      <c r="V160" s="516">
        <f>$V$5</f>
        <v>2027</v>
      </c>
      <c r="W160" s="516"/>
      <c r="X160" s="516"/>
      <c r="Y160" s="516"/>
    </row>
    <row r="161" spans="1:25" x14ac:dyDescent="0.2">
      <c r="A161" s="381"/>
      <c r="B161" s="388" t="str">
        <f>$B$6</f>
        <v>FT</v>
      </c>
      <c r="C161" s="388" t="str">
        <f>$C$6</f>
        <v>PT</v>
      </c>
      <c r="D161" s="388" t="str">
        <f>$D$6</f>
        <v>SE</v>
      </c>
      <c r="E161" s="388" t="str">
        <f>$E$6</f>
        <v>Total</v>
      </c>
      <c r="F161" s="388"/>
      <c r="G161" s="388" t="str">
        <f>$B$6</f>
        <v>FT</v>
      </c>
      <c r="H161" s="388" t="str">
        <f>$C$6</f>
        <v>PT</v>
      </c>
      <c r="I161" s="388" t="str">
        <f>$D$6</f>
        <v>SE</v>
      </c>
      <c r="J161" s="388" t="str">
        <f>$E$6</f>
        <v>Total</v>
      </c>
      <c r="K161" s="388"/>
      <c r="L161" s="388" t="str">
        <f>$L$6</f>
        <v>FT</v>
      </c>
      <c r="M161" s="388" t="str">
        <f>$M$6</f>
        <v>PT</v>
      </c>
      <c r="N161" s="388" t="str">
        <f>$N$6</f>
        <v>SE</v>
      </c>
      <c r="O161" s="388" t="str">
        <f>$O$6</f>
        <v>Total</v>
      </c>
      <c r="P161" s="388"/>
      <c r="Q161" s="388" t="str">
        <f>$L$6</f>
        <v>FT</v>
      </c>
      <c r="R161" s="388" t="str">
        <f>$M$6</f>
        <v>PT</v>
      </c>
      <c r="S161" s="388" t="str">
        <f>$N$6</f>
        <v>SE</v>
      </c>
      <c r="T161" s="388" t="str">
        <f>$O$6</f>
        <v>Total</v>
      </c>
      <c r="U161" s="388"/>
      <c r="V161" s="388" t="str">
        <f>$V$6</f>
        <v>FT</v>
      </c>
      <c r="W161" s="388" t="str">
        <f>$W$6</f>
        <v>PT</v>
      </c>
      <c r="X161" s="388" t="str">
        <f>$X$6</f>
        <v>SE</v>
      </c>
      <c r="Y161" s="388" t="str">
        <f>$Y$6</f>
        <v>Total</v>
      </c>
    </row>
    <row r="162" spans="1:25" x14ac:dyDescent="0.2">
      <c r="B162" s="380"/>
      <c r="C162" s="460"/>
      <c r="D162" s="460"/>
      <c r="E162" s="460"/>
      <c r="F162" s="460"/>
      <c r="G162" s="460"/>
      <c r="H162" s="460"/>
      <c r="I162" s="460"/>
      <c r="J162" s="460"/>
      <c r="K162" s="460"/>
      <c r="L162" s="460"/>
      <c r="M162" s="460"/>
      <c r="N162" s="460"/>
      <c r="O162" s="460"/>
      <c r="P162" s="460"/>
      <c r="Q162" s="460"/>
      <c r="R162" s="460"/>
      <c r="S162" s="460"/>
      <c r="T162" s="460"/>
      <c r="U162" s="460"/>
      <c r="V162" s="460"/>
      <c r="W162" s="460"/>
      <c r="X162" s="460"/>
      <c r="Y162" s="460"/>
    </row>
    <row r="163" spans="1:25" x14ac:dyDescent="0.2">
      <c r="A163" s="378" t="str">
        <f>name!A27</f>
        <v>Electricity, gas, etc</v>
      </c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</row>
    <row r="164" spans="1:25" x14ac:dyDescent="0.2">
      <c r="A164" s="382" t="s">
        <v>391</v>
      </c>
      <c r="B164" s="437">
        <v>0.84199999999074415</v>
      </c>
      <c r="C164" s="437">
        <v>0.15600000000035746</v>
      </c>
      <c r="D164" s="437">
        <v>3.0000000000219431E-2</v>
      </c>
      <c r="E164" s="437">
        <f>SUM(B164:D164)</f>
        <v>1.027999999991321</v>
      </c>
      <c r="F164" s="437"/>
      <c r="G164" s="437">
        <v>1.6069999999878608</v>
      </c>
      <c r="H164" s="437">
        <v>0.48699999999989746</v>
      </c>
      <c r="I164" s="437">
        <v>0</v>
      </c>
      <c r="J164" s="437">
        <f>SUM(G164:I164)</f>
        <v>2.0939999999877581</v>
      </c>
      <c r="K164" s="437"/>
      <c r="L164" s="437">
        <v>1.4470000000005501</v>
      </c>
      <c r="M164" s="437">
        <v>0.4230000000102116</v>
      </c>
      <c r="N164" s="437">
        <v>0</v>
      </c>
      <c r="O164" s="437">
        <f>SUM(L164:N164)</f>
        <v>1.8700000000107617</v>
      </c>
      <c r="P164" s="437"/>
      <c r="Q164" s="437">
        <v>1.2579999999989349</v>
      </c>
      <c r="R164" s="437">
        <v>0.40600000000942932</v>
      </c>
      <c r="S164" s="437">
        <v>0</v>
      </c>
      <c r="T164" s="437">
        <f>SUM(Q164:S164)</f>
        <v>1.6640000000083641</v>
      </c>
      <c r="U164" s="437"/>
      <c r="V164" s="437">
        <v>1.0749999999999929</v>
      </c>
      <c r="W164" s="437">
        <v>0.39400000000862334</v>
      </c>
      <c r="X164" s="437">
        <v>0</v>
      </c>
      <c r="Y164" s="437">
        <f>SUM(V164:X164)</f>
        <v>1.4690000000086161</v>
      </c>
    </row>
    <row r="165" spans="1:25" x14ac:dyDescent="0.2">
      <c r="A165" s="382" t="s">
        <v>390</v>
      </c>
      <c r="B165" s="437">
        <v>3.5129999999819961</v>
      </c>
      <c r="C165" s="437">
        <v>3.199999999983396E-2</v>
      </c>
      <c r="D165" s="437">
        <v>0</v>
      </c>
      <c r="E165" s="437">
        <f t="shared" ref="E165:E166" si="416">SUM(B165:D165)</f>
        <v>3.54499999998183</v>
      </c>
      <c r="F165" s="437"/>
      <c r="G165" s="437">
        <v>5.4769999999949155</v>
      </c>
      <c r="H165" s="437">
        <v>0.11699999999988249</v>
      </c>
      <c r="I165" s="437">
        <v>0</v>
      </c>
      <c r="J165" s="437">
        <f t="shared" ref="J165:J166" si="417">SUM(G165:I165)</f>
        <v>5.5939999999947982</v>
      </c>
      <c r="K165" s="437"/>
      <c r="L165" s="437">
        <v>4.8829999999757439</v>
      </c>
      <c r="M165" s="437">
        <v>7.7999999999992978E-2</v>
      </c>
      <c r="N165" s="437">
        <v>0.88599999999658896</v>
      </c>
      <c r="O165" s="437">
        <f t="shared" ref="O165:O166" si="418">SUM(L165:N165)</f>
        <v>5.8469999999723257</v>
      </c>
      <c r="P165" s="437"/>
      <c r="Q165" s="437">
        <v>4.9649999999933936</v>
      </c>
      <c r="R165" s="437">
        <v>6.5999999999808975E-2</v>
      </c>
      <c r="S165" s="437">
        <v>0.8770000000089434</v>
      </c>
      <c r="T165" s="437">
        <f t="shared" ref="T165:T166" si="419">SUM(Q165:S165)</f>
        <v>5.9080000000021462</v>
      </c>
      <c r="U165" s="437"/>
      <c r="V165" s="437">
        <v>5.1179999999990446</v>
      </c>
      <c r="W165" s="437">
        <v>5.3999999999764708E-2</v>
      </c>
      <c r="X165" s="437">
        <v>0.90100000000959801</v>
      </c>
      <c r="Y165" s="437">
        <f t="shared" ref="Y165:Y166" si="420">SUM(V165:X165)</f>
        <v>6.0730000000084079</v>
      </c>
    </row>
    <row r="166" spans="1:25" x14ac:dyDescent="0.2">
      <c r="A166" s="381" t="s">
        <v>389</v>
      </c>
      <c r="B166" s="439">
        <f>SUM(B164:B165)</f>
        <v>4.3549999999727405</v>
      </c>
      <c r="C166" s="439">
        <f t="shared" ref="C166" si="421">SUM(C164:C165)</f>
        <v>0.18800000000019143</v>
      </c>
      <c r="D166" s="439">
        <f t="shared" ref="D166" si="422">SUM(D164:D165)</f>
        <v>3.0000000000219431E-2</v>
      </c>
      <c r="E166" s="439">
        <f t="shared" si="416"/>
        <v>4.5729999999731517</v>
      </c>
      <c r="F166" s="439"/>
      <c r="G166" s="439">
        <f>SUM(G164:G165)</f>
        <v>7.0839999999827761</v>
      </c>
      <c r="H166" s="439">
        <f t="shared" ref="H166" si="423">SUM(H164:H165)</f>
        <v>0.60399999999977994</v>
      </c>
      <c r="I166" s="439">
        <f t="shared" ref="I166" si="424">SUM(I164:I165)</f>
        <v>0</v>
      </c>
      <c r="J166" s="439">
        <f t="shared" si="417"/>
        <v>7.6879999999825559</v>
      </c>
      <c r="K166" s="439"/>
      <c r="L166" s="439">
        <f>SUM(L164:L165)</f>
        <v>6.3299999999762937</v>
      </c>
      <c r="M166" s="439">
        <f t="shared" ref="M166" si="425">SUM(M164:M165)</f>
        <v>0.50100000001020462</v>
      </c>
      <c r="N166" s="439">
        <f t="shared" ref="N166" si="426">SUM(N164:N165)</f>
        <v>0.88599999999658896</v>
      </c>
      <c r="O166" s="439">
        <f t="shared" si="418"/>
        <v>7.7169999999830869</v>
      </c>
      <c r="P166" s="439"/>
      <c r="Q166" s="439">
        <f>SUM(Q164:Q165)</f>
        <v>6.2229999999923287</v>
      </c>
      <c r="R166" s="439">
        <f t="shared" ref="R166" si="427">SUM(R164:R165)</f>
        <v>0.47200000000923831</v>
      </c>
      <c r="S166" s="439">
        <f t="shared" ref="S166" si="428">SUM(S164:S165)</f>
        <v>0.8770000000089434</v>
      </c>
      <c r="T166" s="439">
        <f t="shared" si="419"/>
        <v>7.5720000000105108</v>
      </c>
      <c r="U166" s="439"/>
      <c r="V166" s="439">
        <f>SUM(V164:V165)</f>
        <v>6.1929999999990377</v>
      </c>
      <c r="W166" s="439">
        <f t="shared" ref="W166" si="429">SUM(W164:W165)</f>
        <v>0.44800000000838802</v>
      </c>
      <c r="X166" s="439">
        <f t="shared" ref="X166" si="430">SUM(X164:X165)</f>
        <v>0.90100000000959801</v>
      </c>
      <c r="Y166" s="439">
        <f t="shared" si="420"/>
        <v>7.5420000000170244</v>
      </c>
    </row>
    <row r="167" spans="1:25" x14ac:dyDescent="0.2">
      <c r="C167" s="453"/>
    </row>
    <row r="168" spans="1:25" x14ac:dyDescent="0.2">
      <c r="C168" s="453"/>
    </row>
    <row r="169" spans="1:25" x14ac:dyDescent="0.2">
      <c r="C169" s="453"/>
    </row>
    <row r="170" spans="1:25" ht="15" x14ac:dyDescent="0.25">
      <c r="A170" s="385" t="str">
        <f>"Industry 7 : "&amp; name!B10</f>
        <v>Industry 7 : Water and sewerage</v>
      </c>
      <c r="B170" s="516">
        <f>$B$5</f>
        <v>2007</v>
      </c>
      <c r="C170" s="516"/>
      <c r="D170" s="516"/>
      <c r="E170" s="516"/>
      <c r="F170" s="461"/>
      <c r="G170" s="516">
        <f>$G$5</f>
        <v>2012</v>
      </c>
      <c r="H170" s="516"/>
      <c r="I170" s="516"/>
      <c r="J170" s="516"/>
      <c r="K170" s="461"/>
      <c r="L170" s="516">
        <f>$L$5</f>
        <v>2017</v>
      </c>
      <c r="M170" s="516"/>
      <c r="N170" s="516"/>
      <c r="O170" s="516"/>
      <c r="P170" s="459"/>
      <c r="Q170" s="516">
        <f>$Q$5</f>
        <v>2022</v>
      </c>
      <c r="R170" s="516"/>
      <c r="S170" s="516"/>
      <c r="T170" s="516"/>
      <c r="U170" s="461"/>
      <c r="V170" s="516">
        <f>$V$5</f>
        <v>2027</v>
      </c>
      <c r="W170" s="516"/>
      <c r="X170" s="516"/>
      <c r="Y170" s="516"/>
    </row>
    <row r="171" spans="1:25" x14ac:dyDescent="0.2">
      <c r="A171" s="381"/>
      <c r="B171" s="388" t="str">
        <f>$B$6</f>
        <v>FT</v>
      </c>
      <c r="C171" s="388" t="str">
        <f>$C$6</f>
        <v>PT</v>
      </c>
      <c r="D171" s="388" t="str">
        <f>$D$6</f>
        <v>SE</v>
      </c>
      <c r="E171" s="388" t="str">
        <f>$E$6</f>
        <v>Total</v>
      </c>
      <c r="F171" s="388"/>
      <c r="G171" s="388" t="str">
        <f>$B$6</f>
        <v>FT</v>
      </c>
      <c r="H171" s="388" t="str">
        <f>$C$6</f>
        <v>PT</v>
      </c>
      <c r="I171" s="388" t="str">
        <f>$D$6</f>
        <v>SE</v>
      </c>
      <c r="J171" s="388" t="str">
        <f>$E$6</f>
        <v>Total</v>
      </c>
      <c r="K171" s="388"/>
      <c r="L171" s="388" t="str">
        <f>$L$6</f>
        <v>FT</v>
      </c>
      <c r="M171" s="388" t="str">
        <f>$M$6</f>
        <v>PT</v>
      </c>
      <c r="N171" s="388" t="str">
        <f>$N$6</f>
        <v>SE</v>
      </c>
      <c r="O171" s="388" t="str">
        <f>$O$6</f>
        <v>Total</v>
      </c>
      <c r="P171" s="388"/>
      <c r="Q171" s="388" t="str">
        <f>$L$6</f>
        <v>FT</v>
      </c>
      <c r="R171" s="388" t="str">
        <f>$M$6</f>
        <v>PT</v>
      </c>
      <c r="S171" s="388" t="str">
        <f>$N$6</f>
        <v>SE</v>
      </c>
      <c r="T171" s="388" t="str">
        <f>$O$6</f>
        <v>Total</v>
      </c>
      <c r="U171" s="388"/>
      <c r="V171" s="388" t="str">
        <f>$V$6</f>
        <v>FT</v>
      </c>
      <c r="W171" s="388" t="str">
        <f>$W$6</f>
        <v>PT</v>
      </c>
      <c r="X171" s="388" t="str">
        <f>$X$6</f>
        <v>SE</v>
      </c>
      <c r="Y171" s="388" t="str">
        <f>$Y$6</f>
        <v>Total</v>
      </c>
    </row>
    <row r="172" spans="1:25" x14ac:dyDescent="0.2">
      <c r="B172" s="380"/>
      <c r="C172" s="460"/>
      <c r="D172" s="460"/>
      <c r="E172" s="460"/>
      <c r="F172" s="460"/>
      <c r="G172" s="460"/>
      <c r="H172" s="460"/>
      <c r="I172" s="460"/>
      <c r="J172" s="460"/>
      <c r="K172" s="460"/>
      <c r="L172" s="460"/>
      <c r="M172" s="460"/>
      <c r="N172" s="460"/>
      <c r="O172" s="460"/>
      <c r="P172" s="460"/>
      <c r="Q172" s="460"/>
      <c r="R172" s="460"/>
      <c r="S172" s="460"/>
      <c r="T172" s="460"/>
      <c r="U172" s="460"/>
      <c r="V172" s="460"/>
      <c r="W172" s="460"/>
      <c r="X172" s="460"/>
      <c r="Y172" s="460"/>
    </row>
    <row r="173" spans="1:25" x14ac:dyDescent="0.2">
      <c r="A173" s="378" t="str">
        <f>name!A28</f>
        <v>Water</v>
      </c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</row>
    <row r="174" spans="1:25" x14ac:dyDescent="0.2">
      <c r="A174" s="382" t="s">
        <v>391</v>
      </c>
      <c r="B174" s="437">
        <v>0.57600000000693297</v>
      </c>
      <c r="C174" s="437">
        <v>7.1000000000283364E-2</v>
      </c>
      <c r="D174" s="437">
        <v>0</v>
      </c>
      <c r="E174" s="437">
        <f>SUM(B174:D174)</f>
        <v>0.64700000000721636</v>
      </c>
      <c r="F174" s="437"/>
      <c r="G174" s="437">
        <v>0.49300000000160965</v>
      </c>
      <c r="H174" s="437">
        <v>0.20999999999947375</v>
      </c>
      <c r="I174" s="437">
        <v>0</v>
      </c>
      <c r="J174" s="437">
        <f>SUM(G174:I174)</f>
        <v>0.70300000000108342</v>
      </c>
      <c r="K174" s="437"/>
      <c r="L174" s="437">
        <v>0.5799999999908213</v>
      </c>
      <c r="M174" s="437">
        <v>0.29100000000177467</v>
      </c>
      <c r="N174" s="437">
        <v>0</v>
      </c>
      <c r="O174" s="437">
        <f>SUM(L174:N174)</f>
        <v>0.87099999999259592</v>
      </c>
      <c r="P174" s="437"/>
      <c r="Q174" s="437">
        <v>0.62099999999023736</v>
      </c>
      <c r="R174" s="437">
        <v>0.3150000000019888</v>
      </c>
      <c r="S174" s="437">
        <v>0</v>
      </c>
      <c r="T174" s="437">
        <f>SUM(Q174:S174)</f>
        <v>0.93599999999222616</v>
      </c>
      <c r="U174" s="437"/>
      <c r="V174" s="437">
        <v>0.79099999999013615</v>
      </c>
      <c r="W174" s="437">
        <v>0.33600000000220148</v>
      </c>
      <c r="X174" s="437">
        <v>0</v>
      </c>
      <c r="Y174" s="437">
        <f>SUM(V174:X174)</f>
        <v>1.1269999999923377</v>
      </c>
    </row>
    <row r="175" spans="1:25" x14ac:dyDescent="0.2">
      <c r="A175" s="382" t="s">
        <v>390</v>
      </c>
      <c r="B175" s="438">
        <v>1.3889999999935794</v>
      </c>
      <c r="C175" s="438">
        <v>1.9999999999971031E-2</v>
      </c>
      <c r="D175" s="438">
        <v>0</v>
      </c>
      <c r="E175" s="438">
        <f t="shared" ref="E175:E176" si="431">SUM(B175:D175)</f>
        <v>1.4089999999935503</v>
      </c>
      <c r="F175" s="438"/>
      <c r="G175" s="438">
        <v>1.6579999999888182</v>
      </c>
      <c r="H175" s="438">
        <v>2.000000000001757E-2</v>
      </c>
      <c r="I175" s="438">
        <v>8.3999999999381389E-2</v>
      </c>
      <c r="J175" s="438">
        <f t="shared" ref="J175:J176" si="432">SUM(G175:I175)</f>
        <v>1.7619999999882172</v>
      </c>
      <c r="K175" s="438"/>
      <c r="L175" s="438">
        <v>1.6189999999930216</v>
      </c>
      <c r="M175" s="438">
        <v>9.4000000000111286E-2</v>
      </c>
      <c r="N175" s="438">
        <v>0</v>
      </c>
      <c r="O175" s="438">
        <f t="shared" ref="O175:O176" si="433">SUM(L175:N175)</f>
        <v>1.7129999999931329</v>
      </c>
      <c r="P175" s="438"/>
      <c r="Q175" s="438">
        <v>1.6979999999918165</v>
      </c>
      <c r="R175" s="438">
        <v>0.12199999999969645</v>
      </c>
      <c r="S175" s="438">
        <v>0</v>
      </c>
      <c r="T175" s="438">
        <f t="shared" ref="T175:T176" si="434">SUM(Q175:S175)</f>
        <v>1.8199999999915129</v>
      </c>
      <c r="U175" s="438"/>
      <c r="V175" s="438">
        <v>1.7589999999938761</v>
      </c>
      <c r="W175" s="438">
        <v>0.14899999999892169</v>
      </c>
      <c r="X175" s="438">
        <v>0</v>
      </c>
      <c r="Y175" s="438">
        <f t="shared" ref="Y175:Y176" si="435">SUM(V175:X175)</f>
        <v>1.9079999999927979</v>
      </c>
    </row>
    <row r="176" spans="1:25" x14ac:dyDescent="0.2">
      <c r="A176" s="382" t="s">
        <v>389</v>
      </c>
      <c r="B176" s="438">
        <f>SUM(B174:B175)</f>
        <v>1.9650000000005123</v>
      </c>
      <c r="C176" s="438">
        <f t="shared" ref="C176" si="436">SUM(C174:C175)</f>
        <v>9.1000000000254391E-2</v>
      </c>
      <c r="D176" s="438">
        <f t="shared" ref="D176" si="437">SUM(D174:D175)</f>
        <v>0</v>
      </c>
      <c r="E176" s="438">
        <f t="shared" si="431"/>
        <v>2.0560000000007665</v>
      </c>
      <c r="F176" s="438"/>
      <c r="G176" s="438">
        <f>SUM(G174:G175)</f>
        <v>2.1509999999904279</v>
      </c>
      <c r="H176" s="438">
        <f t="shared" ref="H176" si="438">SUM(H174:H175)</f>
        <v>0.22999999999949131</v>
      </c>
      <c r="I176" s="438">
        <f t="shared" ref="I176" si="439">SUM(I174:I175)</f>
        <v>8.3999999999381389E-2</v>
      </c>
      <c r="J176" s="438">
        <f t="shared" si="432"/>
        <v>2.4649999999893009</v>
      </c>
      <c r="K176" s="438"/>
      <c r="L176" s="438">
        <f>SUM(L174:L175)</f>
        <v>2.198999999983843</v>
      </c>
      <c r="M176" s="438">
        <f t="shared" ref="M176" si="440">SUM(M174:M175)</f>
        <v>0.38500000000188594</v>
      </c>
      <c r="N176" s="438">
        <f t="shared" ref="N176" si="441">SUM(N174:N175)</f>
        <v>0</v>
      </c>
      <c r="O176" s="438">
        <f t="shared" si="433"/>
        <v>2.5839999999857288</v>
      </c>
      <c r="P176" s="438"/>
      <c r="Q176" s="438">
        <f>SUM(Q174:Q175)</f>
        <v>2.3189999999820539</v>
      </c>
      <c r="R176" s="438">
        <f t="shared" ref="R176" si="442">SUM(R174:R175)</f>
        <v>0.43700000000168526</v>
      </c>
      <c r="S176" s="438">
        <f t="shared" ref="S176" si="443">SUM(S174:S175)</f>
        <v>0</v>
      </c>
      <c r="T176" s="438">
        <f t="shared" si="434"/>
        <v>2.755999999983739</v>
      </c>
      <c r="U176" s="438"/>
      <c r="V176" s="438">
        <f>SUM(V174:V175)</f>
        <v>2.5499999999840122</v>
      </c>
      <c r="W176" s="438">
        <f t="shared" ref="W176" si="444">SUM(W174:W175)</f>
        <v>0.4850000000011232</v>
      </c>
      <c r="X176" s="438">
        <f t="shared" ref="X176" si="445">SUM(X174:X175)</f>
        <v>0</v>
      </c>
      <c r="Y176" s="438">
        <f t="shared" si="435"/>
        <v>3.0349999999851356</v>
      </c>
    </row>
    <row r="177" spans="1:25" x14ac:dyDescent="0.2">
      <c r="B177" s="380"/>
      <c r="C177" s="460"/>
      <c r="D177" s="460"/>
      <c r="E177" s="460"/>
      <c r="F177" s="460"/>
      <c r="G177" s="460"/>
      <c r="H177" s="460"/>
      <c r="I177" s="460"/>
      <c r="J177" s="460"/>
      <c r="K177" s="460"/>
      <c r="L177" s="460"/>
      <c r="M177" s="460"/>
      <c r="N177" s="460"/>
      <c r="O177" s="460"/>
      <c r="P177" s="460"/>
      <c r="Q177" s="460"/>
      <c r="R177" s="460"/>
      <c r="S177" s="460"/>
      <c r="T177" s="460"/>
      <c r="U177" s="460"/>
      <c r="V177" s="460"/>
      <c r="W177" s="460"/>
      <c r="X177" s="460"/>
      <c r="Y177" s="460"/>
    </row>
    <row r="178" spans="1:25" x14ac:dyDescent="0.2">
      <c r="A178" s="378" t="str">
        <f>name!A29</f>
        <v>Sewerage</v>
      </c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</row>
    <row r="179" spans="1:25" x14ac:dyDescent="0.2">
      <c r="A179" s="382" t="s">
        <v>391</v>
      </c>
      <c r="B179" s="437">
        <v>0.16699999999912543</v>
      </c>
      <c r="C179" s="437">
        <v>3.0999999999883617E-2</v>
      </c>
      <c r="D179" s="437">
        <v>0</v>
      </c>
      <c r="E179" s="437">
        <f>SUM(B179:D179)</f>
        <v>0.19799999999900905</v>
      </c>
      <c r="F179" s="437"/>
      <c r="G179" s="437">
        <v>0.25299999999812622</v>
      </c>
      <c r="H179" s="437">
        <v>9.0999999997714701E-2</v>
      </c>
      <c r="I179" s="437">
        <v>0</v>
      </c>
      <c r="J179" s="437">
        <f>SUM(G179:I179)</f>
        <v>0.34399999999584091</v>
      </c>
      <c r="K179" s="437"/>
      <c r="L179" s="437">
        <v>0.30299999999825267</v>
      </c>
      <c r="M179" s="437">
        <v>2.899999999715748E-2</v>
      </c>
      <c r="N179" s="437">
        <v>0</v>
      </c>
      <c r="O179" s="437">
        <f>SUM(L179:N179)</f>
        <v>0.33199999999541013</v>
      </c>
      <c r="P179" s="437"/>
      <c r="Q179" s="437">
        <v>0.3239999999970557</v>
      </c>
      <c r="R179" s="437">
        <v>3.0999999997447975E-2</v>
      </c>
      <c r="S179" s="437">
        <v>0</v>
      </c>
      <c r="T179" s="437">
        <f>SUM(Q179:S179)</f>
        <v>0.35499999999450366</v>
      </c>
      <c r="U179" s="437"/>
      <c r="V179" s="437">
        <v>0.26699999999804891</v>
      </c>
      <c r="W179" s="437">
        <v>3.2999999997418705E-2</v>
      </c>
      <c r="X179" s="437">
        <v>0</v>
      </c>
      <c r="Y179" s="437">
        <f>SUM(V179:X179)</f>
        <v>0.29999999999546761</v>
      </c>
    </row>
    <row r="180" spans="1:25" x14ac:dyDescent="0.2">
      <c r="A180" s="382" t="s">
        <v>390</v>
      </c>
      <c r="B180" s="438">
        <v>0.35600000000111914</v>
      </c>
      <c r="C180" s="438">
        <v>1.5999999999990969E-2</v>
      </c>
      <c r="D180" s="438">
        <v>0</v>
      </c>
      <c r="E180" s="438">
        <f t="shared" ref="E180:E181" si="446">SUM(B180:D180)</f>
        <v>0.37200000000111011</v>
      </c>
      <c r="F180" s="438"/>
      <c r="G180" s="438">
        <v>0.66099999999012526</v>
      </c>
      <c r="H180" s="438">
        <v>8.9999999998880646E-3</v>
      </c>
      <c r="I180" s="438">
        <v>3.7000000000052914E-2</v>
      </c>
      <c r="J180" s="438">
        <f t="shared" ref="J180:J181" si="447">SUM(G180:I180)</f>
        <v>0.70699999999006624</v>
      </c>
      <c r="K180" s="438"/>
      <c r="L180" s="438">
        <v>0.43800000000119249</v>
      </c>
      <c r="M180" s="438">
        <v>1.0000000000057546E-2</v>
      </c>
      <c r="N180" s="438">
        <v>0</v>
      </c>
      <c r="O180" s="438">
        <f t="shared" ref="O180:O181" si="448">SUM(L180:N180)</f>
        <v>0.44800000000125006</v>
      </c>
      <c r="P180" s="438"/>
      <c r="Q180" s="438">
        <v>0.45999999999517766</v>
      </c>
      <c r="R180" s="438">
        <v>1.1999999999870213E-2</v>
      </c>
      <c r="S180" s="438">
        <v>0</v>
      </c>
      <c r="T180" s="438">
        <f t="shared" ref="T180:T181" si="449">SUM(Q180:S180)</f>
        <v>0.47199999999504788</v>
      </c>
      <c r="U180" s="438"/>
      <c r="V180" s="438">
        <v>0.47599999999391868</v>
      </c>
      <c r="W180" s="438">
        <v>1.4999999999783886E-2</v>
      </c>
      <c r="X180" s="438">
        <v>0</v>
      </c>
      <c r="Y180" s="438">
        <f t="shared" ref="Y180:Y181" si="450">SUM(V180:X180)</f>
        <v>0.49099999999370258</v>
      </c>
    </row>
    <row r="181" spans="1:25" x14ac:dyDescent="0.2">
      <c r="A181" s="382" t="s">
        <v>389</v>
      </c>
      <c r="B181" s="438">
        <f>SUM(B179:B180)</f>
        <v>0.5230000000002446</v>
      </c>
      <c r="C181" s="438">
        <f t="shared" ref="C181" si="451">SUM(C179:C180)</f>
        <v>4.6999999999874587E-2</v>
      </c>
      <c r="D181" s="438">
        <f t="shared" ref="D181" si="452">SUM(D179:D180)</f>
        <v>0</v>
      </c>
      <c r="E181" s="438">
        <f t="shared" si="446"/>
        <v>0.57000000000011919</v>
      </c>
      <c r="F181" s="438"/>
      <c r="G181" s="438">
        <f>SUM(G179:G180)</f>
        <v>0.91399999998825154</v>
      </c>
      <c r="H181" s="438">
        <f t="shared" ref="H181" si="453">SUM(H179:H180)</f>
        <v>9.999999999760277E-2</v>
      </c>
      <c r="I181" s="438">
        <f t="shared" ref="I181" si="454">SUM(I179:I180)</f>
        <v>3.7000000000052914E-2</v>
      </c>
      <c r="J181" s="438">
        <f t="shared" si="447"/>
        <v>1.0509999999859072</v>
      </c>
      <c r="K181" s="438"/>
      <c r="L181" s="438">
        <f>SUM(L179:L180)</f>
        <v>0.74099999999944521</v>
      </c>
      <c r="M181" s="438">
        <f t="shared" ref="M181" si="455">SUM(M179:M180)</f>
        <v>3.8999999997215026E-2</v>
      </c>
      <c r="N181" s="438">
        <f t="shared" ref="N181" si="456">SUM(N179:N180)</f>
        <v>0</v>
      </c>
      <c r="O181" s="438">
        <f t="shared" si="448"/>
        <v>0.77999999999666025</v>
      </c>
      <c r="P181" s="438"/>
      <c r="Q181" s="438">
        <f>SUM(Q179:Q180)</f>
        <v>0.78399999999223335</v>
      </c>
      <c r="R181" s="438">
        <f t="shared" ref="R181" si="457">SUM(R179:R180)</f>
        <v>4.299999999731819E-2</v>
      </c>
      <c r="S181" s="438">
        <f t="shared" ref="S181" si="458">SUM(S179:S180)</f>
        <v>0</v>
      </c>
      <c r="T181" s="438">
        <f t="shared" si="449"/>
        <v>0.82699999998955154</v>
      </c>
      <c r="U181" s="438"/>
      <c r="V181" s="438">
        <f>SUM(V179:V180)</f>
        <v>0.74299999999196764</v>
      </c>
      <c r="W181" s="438">
        <f t="shared" ref="W181" si="459">SUM(W179:W180)</f>
        <v>4.7999999997202593E-2</v>
      </c>
      <c r="X181" s="438">
        <f t="shared" ref="X181" si="460">SUM(X179:X180)</f>
        <v>0</v>
      </c>
      <c r="Y181" s="438">
        <f t="shared" si="450"/>
        <v>0.79099999998917025</v>
      </c>
    </row>
    <row r="182" spans="1:25" x14ac:dyDescent="0.2">
      <c r="B182" s="380"/>
      <c r="C182" s="460"/>
      <c r="D182" s="460"/>
      <c r="E182" s="460"/>
      <c r="F182" s="460"/>
      <c r="G182" s="460"/>
      <c r="H182" s="460"/>
      <c r="I182" s="460"/>
      <c r="J182" s="460"/>
      <c r="K182" s="460"/>
      <c r="L182" s="460"/>
      <c r="M182" s="460"/>
      <c r="N182" s="460"/>
      <c r="O182" s="460"/>
      <c r="P182" s="460"/>
      <c r="Q182" s="460"/>
      <c r="R182" s="460"/>
      <c r="S182" s="460"/>
      <c r="T182" s="460"/>
      <c r="U182" s="460"/>
      <c r="V182" s="460"/>
      <c r="W182" s="460"/>
      <c r="X182" s="460"/>
      <c r="Y182" s="460"/>
    </row>
    <row r="183" spans="1:25" x14ac:dyDescent="0.2">
      <c r="A183" s="378" t="str">
        <f>name!A30</f>
        <v>Waste management</v>
      </c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</row>
    <row r="184" spans="1:25" x14ac:dyDescent="0.2">
      <c r="A184" s="382" t="s">
        <v>391</v>
      </c>
      <c r="B184" s="437">
        <v>1.0479999999908087</v>
      </c>
      <c r="C184" s="437">
        <v>0.49799999999843053</v>
      </c>
      <c r="D184" s="437">
        <v>0</v>
      </c>
      <c r="E184" s="437">
        <f>SUM(B184:D184)</f>
        <v>1.5459999999892393</v>
      </c>
      <c r="F184" s="437"/>
      <c r="G184" s="437">
        <v>1.118999999989249</v>
      </c>
      <c r="H184" s="437">
        <v>0.91399999997714421</v>
      </c>
      <c r="I184" s="437">
        <v>0</v>
      </c>
      <c r="J184" s="437">
        <f>SUM(G184:I184)</f>
        <v>2.0329999999663935</v>
      </c>
      <c r="K184" s="437"/>
      <c r="L184" s="437">
        <v>1.190999999994995</v>
      </c>
      <c r="M184" s="437">
        <v>1.1409999998881626</v>
      </c>
      <c r="N184" s="437">
        <v>0</v>
      </c>
      <c r="O184" s="437">
        <f>SUM(L184:N184)</f>
        <v>2.3319999998831573</v>
      </c>
      <c r="P184" s="437"/>
      <c r="Q184" s="437">
        <v>1.2759999999899532</v>
      </c>
      <c r="R184" s="437">
        <v>1.2329999998984216</v>
      </c>
      <c r="S184" s="437">
        <v>0</v>
      </c>
      <c r="T184" s="437">
        <f>SUM(Q184:S184)</f>
        <v>2.508999999888375</v>
      </c>
      <c r="U184" s="437"/>
      <c r="V184" s="437">
        <v>1.2899999999918654</v>
      </c>
      <c r="W184" s="437">
        <v>1.3149999998970963</v>
      </c>
      <c r="X184" s="437">
        <v>0</v>
      </c>
      <c r="Y184" s="437">
        <f>SUM(V184:X184)</f>
        <v>2.6049999998889617</v>
      </c>
    </row>
    <row r="185" spans="1:25" x14ac:dyDescent="0.2">
      <c r="A185" s="382" t="s">
        <v>390</v>
      </c>
      <c r="B185" s="438">
        <v>4.599000000012027</v>
      </c>
      <c r="C185" s="438">
        <v>0.23499999999984617</v>
      </c>
      <c r="D185" s="438">
        <v>0</v>
      </c>
      <c r="E185" s="438">
        <f t="shared" ref="E185:E186" si="461">SUM(B185:D185)</f>
        <v>4.8340000000118728</v>
      </c>
      <c r="F185" s="438"/>
      <c r="G185" s="438">
        <v>6.31099999990019</v>
      </c>
      <c r="H185" s="438">
        <v>0.24099999999708238</v>
      </c>
      <c r="I185" s="438">
        <v>0.28099999999971459</v>
      </c>
      <c r="J185" s="438">
        <f t="shared" ref="J185:J186" si="462">SUM(G185:I185)</f>
        <v>6.8329999998969866</v>
      </c>
      <c r="K185" s="438"/>
      <c r="L185" s="438">
        <v>4.7060000000087872</v>
      </c>
      <c r="M185" s="438">
        <v>0.90500000000252656</v>
      </c>
      <c r="N185" s="438">
        <v>0</v>
      </c>
      <c r="O185" s="438">
        <f t="shared" ref="O185:O186" si="463">SUM(L185:N185)</f>
        <v>5.6110000000113134</v>
      </c>
      <c r="P185" s="438"/>
      <c r="Q185" s="438">
        <v>4.936999999943084</v>
      </c>
      <c r="R185" s="438">
        <v>1.1679999999864037</v>
      </c>
      <c r="S185" s="438">
        <v>0</v>
      </c>
      <c r="T185" s="438">
        <f t="shared" ref="T185:T186" si="464">SUM(Q185:S185)</f>
        <v>6.1049999999294879</v>
      </c>
      <c r="U185" s="438"/>
      <c r="V185" s="438">
        <v>5.1149999999307489</v>
      </c>
      <c r="W185" s="438">
        <v>1.4319999999752273</v>
      </c>
      <c r="X185" s="438">
        <v>0</v>
      </c>
      <c r="Y185" s="438">
        <f t="shared" ref="Y185:Y186" si="465">SUM(V185:X185)</f>
        <v>6.5469999999059763</v>
      </c>
    </row>
    <row r="186" spans="1:25" x14ac:dyDescent="0.2">
      <c r="A186" s="382" t="s">
        <v>389</v>
      </c>
      <c r="B186" s="438">
        <f>SUM(B184:B185)</f>
        <v>5.6470000000028353</v>
      </c>
      <c r="C186" s="438">
        <f t="shared" ref="C186" si="466">SUM(C184:C185)</f>
        <v>0.7329999999982767</v>
      </c>
      <c r="D186" s="438">
        <f t="shared" ref="D186" si="467">SUM(D184:D185)</f>
        <v>0</v>
      </c>
      <c r="E186" s="438">
        <f t="shared" si="461"/>
        <v>6.3800000000011119</v>
      </c>
      <c r="F186" s="438"/>
      <c r="G186" s="438">
        <f>SUM(G184:G185)</f>
        <v>7.4299999998894393</v>
      </c>
      <c r="H186" s="438">
        <f t="shared" ref="H186" si="468">SUM(H184:H185)</f>
        <v>1.1549999999742266</v>
      </c>
      <c r="I186" s="438">
        <f t="shared" ref="I186" si="469">SUM(I184:I185)</f>
        <v>0.28099999999971459</v>
      </c>
      <c r="J186" s="438">
        <f t="shared" si="462"/>
        <v>8.8659999998633801</v>
      </c>
      <c r="K186" s="438"/>
      <c r="L186" s="438">
        <f>SUM(L184:L185)</f>
        <v>5.8970000000037821</v>
      </c>
      <c r="M186" s="438">
        <f t="shared" ref="M186" si="470">SUM(M184:M185)</f>
        <v>2.045999999890689</v>
      </c>
      <c r="N186" s="438">
        <f t="shared" ref="N186" si="471">SUM(N184:N185)</f>
        <v>0</v>
      </c>
      <c r="O186" s="438">
        <f t="shared" si="463"/>
        <v>7.9429999998944716</v>
      </c>
      <c r="P186" s="438"/>
      <c r="Q186" s="438">
        <f>SUM(Q184:Q185)</f>
        <v>6.2129999999330376</v>
      </c>
      <c r="R186" s="438">
        <f t="shared" ref="R186" si="472">SUM(R184:R185)</f>
        <v>2.4009999998848253</v>
      </c>
      <c r="S186" s="438">
        <f t="shared" ref="S186" si="473">SUM(S184:S185)</f>
        <v>0</v>
      </c>
      <c r="T186" s="438">
        <f t="shared" si="464"/>
        <v>8.6139999998178638</v>
      </c>
      <c r="U186" s="438"/>
      <c r="V186" s="438">
        <f>SUM(V184:V185)</f>
        <v>6.4049999999226142</v>
      </c>
      <c r="W186" s="438">
        <f t="shared" ref="W186" si="474">SUM(W184:W185)</f>
        <v>2.7469999998723234</v>
      </c>
      <c r="X186" s="438">
        <f t="shared" ref="X186" si="475">SUM(X184:X185)</f>
        <v>0</v>
      </c>
      <c r="Y186" s="438">
        <f t="shared" si="465"/>
        <v>9.1519999997949384</v>
      </c>
    </row>
    <row r="188" spans="1:25" x14ac:dyDescent="0.2">
      <c r="A188" s="383" t="s">
        <v>404</v>
      </c>
      <c r="C188" s="453"/>
    </row>
    <row r="189" spans="1:25" x14ac:dyDescent="0.2">
      <c r="A189" s="377" t="s">
        <v>391</v>
      </c>
      <c r="B189" s="437">
        <f>SUM(B174,B179,B184)</f>
        <v>1.7909999999968671</v>
      </c>
      <c r="C189" s="437">
        <f t="shared" ref="C189:D189" si="476">SUM(C174,C179,C184)</f>
        <v>0.59999999999859754</v>
      </c>
      <c r="D189" s="437">
        <f t="shared" si="476"/>
        <v>0</v>
      </c>
      <c r="E189" s="437">
        <f>SUM(B189:D189)</f>
        <v>2.3909999999954645</v>
      </c>
      <c r="F189" s="437"/>
      <c r="G189" s="437">
        <f>SUM(G174,G179,G184)</f>
        <v>1.864999999988985</v>
      </c>
      <c r="H189" s="437">
        <f t="shared" ref="H189:I189" si="477">SUM(H174,H179,H184)</f>
        <v>1.2149999999743326</v>
      </c>
      <c r="I189" s="437">
        <f t="shared" si="477"/>
        <v>0</v>
      </c>
      <c r="J189" s="437">
        <f>SUM(G189:I189)</f>
        <v>3.0799999999633174</v>
      </c>
      <c r="K189" s="437"/>
      <c r="L189" s="437">
        <f>SUM(L174,L179,L184)</f>
        <v>2.073999999984069</v>
      </c>
      <c r="M189" s="437">
        <f t="shared" ref="M189:N189" si="478">SUM(M174,M179,M184)</f>
        <v>1.4609999998870946</v>
      </c>
      <c r="N189" s="437">
        <f t="shared" si="478"/>
        <v>0</v>
      </c>
      <c r="O189" s="437">
        <f>SUM(L189:N189)</f>
        <v>3.5349999998711636</v>
      </c>
      <c r="P189" s="437"/>
      <c r="Q189" s="437">
        <f>SUM(Q174,Q179,Q184)</f>
        <v>2.2209999999772463</v>
      </c>
      <c r="R189" s="437">
        <f t="shared" ref="R189:S189" si="479">SUM(R174,R179,R184)</f>
        <v>1.5789999998978583</v>
      </c>
      <c r="S189" s="437">
        <f t="shared" si="479"/>
        <v>0</v>
      </c>
      <c r="T189" s="437">
        <f>SUM(Q189:S189)</f>
        <v>3.7999999998751046</v>
      </c>
      <c r="U189" s="437"/>
      <c r="V189" s="437">
        <f>SUM(V174,V179,V184)</f>
        <v>2.3479999999800505</v>
      </c>
      <c r="W189" s="437">
        <f t="shared" ref="W189:X189" si="480">SUM(W174,W179,W184)</f>
        <v>1.6839999998967166</v>
      </c>
      <c r="X189" s="437">
        <f t="shared" si="480"/>
        <v>0</v>
      </c>
      <c r="Y189" s="437">
        <f>SUM(V189:X189)</f>
        <v>4.031999999876767</v>
      </c>
    </row>
    <row r="190" spans="1:25" x14ac:dyDescent="0.2">
      <c r="A190" s="377" t="s">
        <v>390</v>
      </c>
      <c r="B190" s="437">
        <f>SUM(B175,B180,B185)</f>
        <v>6.3440000000067256</v>
      </c>
      <c r="C190" s="437">
        <f t="shared" ref="C190:D190" si="481">SUM(C175,C180,C185)</f>
        <v>0.27099999999980817</v>
      </c>
      <c r="D190" s="437">
        <f t="shared" si="481"/>
        <v>0</v>
      </c>
      <c r="E190" s="437">
        <f t="shared" ref="E190:E191" si="482">SUM(B190:D190)</f>
        <v>6.6150000000065337</v>
      </c>
      <c r="F190" s="437"/>
      <c r="G190" s="437">
        <f>SUM(G175,G180,G185)</f>
        <v>8.6299999998791339</v>
      </c>
      <c r="H190" s="437">
        <f t="shared" ref="H190:I190" si="483">SUM(H175,H180,H185)</f>
        <v>0.26999999999698804</v>
      </c>
      <c r="I190" s="437">
        <f t="shared" si="483"/>
        <v>0.40199999999914893</v>
      </c>
      <c r="J190" s="437">
        <f t="shared" ref="J190:J191" si="484">SUM(G190:I190)</f>
        <v>9.3019999998752709</v>
      </c>
      <c r="K190" s="437"/>
      <c r="L190" s="437">
        <f>SUM(L175,L180,L185)</f>
        <v>6.7630000000030011</v>
      </c>
      <c r="M190" s="437">
        <f t="shared" ref="M190:N190" si="485">SUM(M175,M180,M185)</f>
        <v>1.0090000000026953</v>
      </c>
      <c r="N190" s="437">
        <f t="shared" si="485"/>
        <v>0</v>
      </c>
      <c r="O190" s="437">
        <f t="shared" ref="O190:O191" si="486">SUM(L190:N190)</f>
        <v>7.7720000000056961</v>
      </c>
      <c r="P190" s="437"/>
      <c r="Q190" s="437">
        <f>SUM(Q175,Q180,Q185)</f>
        <v>7.0949999999300779</v>
      </c>
      <c r="R190" s="437">
        <f t="shared" ref="R190:S190" si="487">SUM(R175,R180,R185)</f>
        <v>1.3019999999859704</v>
      </c>
      <c r="S190" s="437">
        <f t="shared" si="487"/>
        <v>0</v>
      </c>
      <c r="T190" s="437">
        <f t="shared" ref="T190:T191" si="488">SUM(Q190:S190)</f>
        <v>8.3969999999160478</v>
      </c>
      <c r="U190" s="437"/>
      <c r="V190" s="437">
        <f>SUM(V175,V180,V185)</f>
        <v>7.3499999999185439</v>
      </c>
      <c r="W190" s="437">
        <f t="shared" ref="W190:X190" si="489">SUM(W175,W180,W185)</f>
        <v>1.5959999999739329</v>
      </c>
      <c r="X190" s="437">
        <f t="shared" si="489"/>
        <v>0</v>
      </c>
      <c r="Y190" s="437">
        <f t="shared" ref="Y190:Y191" si="490">SUM(V190:X190)</f>
        <v>8.9459999998924769</v>
      </c>
    </row>
    <row r="191" spans="1:25" x14ac:dyDescent="0.2">
      <c r="A191" s="381" t="s">
        <v>389</v>
      </c>
      <c r="B191" s="439">
        <f>SUM(B189:B190)</f>
        <v>8.1350000000035934</v>
      </c>
      <c r="C191" s="439">
        <f t="shared" ref="C191" si="491">SUM(C189:C190)</f>
        <v>0.87099999999840572</v>
      </c>
      <c r="D191" s="439">
        <f t="shared" ref="D191" si="492">SUM(D189:D190)</f>
        <v>0</v>
      </c>
      <c r="E191" s="439">
        <f t="shared" si="482"/>
        <v>9.0060000000019986</v>
      </c>
      <c r="F191" s="439"/>
      <c r="G191" s="439">
        <f>SUM(G189:G190)</f>
        <v>10.494999999868119</v>
      </c>
      <c r="H191" s="439">
        <f t="shared" ref="H191" si="493">SUM(H189:H190)</f>
        <v>1.4849999999713206</v>
      </c>
      <c r="I191" s="439">
        <f t="shared" ref="I191" si="494">SUM(I189:I190)</f>
        <v>0.40199999999914893</v>
      </c>
      <c r="J191" s="439">
        <f t="shared" si="484"/>
        <v>12.381999999838587</v>
      </c>
      <c r="K191" s="439"/>
      <c r="L191" s="439">
        <f>SUM(L189:L190)</f>
        <v>8.8369999999870696</v>
      </c>
      <c r="M191" s="439">
        <f t="shared" ref="M191" si="495">SUM(M189:M190)</f>
        <v>2.4699999998897901</v>
      </c>
      <c r="N191" s="439">
        <f t="shared" ref="N191" si="496">SUM(N189:N190)</f>
        <v>0</v>
      </c>
      <c r="O191" s="439">
        <f t="shared" si="486"/>
        <v>11.30699999987686</v>
      </c>
      <c r="P191" s="439"/>
      <c r="Q191" s="439">
        <f>SUM(Q189:Q190)</f>
        <v>9.3159999999073246</v>
      </c>
      <c r="R191" s="439">
        <f t="shared" ref="R191" si="497">SUM(R189:R190)</f>
        <v>2.8809999998838287</v>
      </c>
      <c r="S191" s="439">
        <f t="shared" ref="S191" si="498">SUM(S189:S190)</f>
        <v>0</v>
      </c>
      <c r="T191" s="439">
        <f t="shared" si="488"/>
        <v>12.196999999791153</v>
      </c>
      <c r="U191" s="439"/>
      <c r="V191" s="439">
        <f>SUM(V189:V190)</f>
        <v>9.6979999998985953</v>
      </c>
      <c r="W191" s="439">
        <f t="shared" ref="W191" si="499">SUM(W189:W190)</f>
        <v>3.2799999998706495</v>
      </c>
      <c r="X191" s="439">
        <f t="shared" ref="X191" si="500">SUM(X189:X190)</f>
        <v>0</v>
      </c>
      <c r="Y191" s="439">
        <f t="shared" si="490"/>
        <v>12.977999999769246</v>
      </c>
    </row>
    <row r="195" spans="1:25" ht="15" x14ac:dyDescent="0.25">
      <c r="A195" s="385" t="str">
        <f>"Industry 8 : "&amp; name!B11</f>
        <v>Industry 8 : Construction</v>
      </c>
      <c r="B195" s="516">
        <f>$B$5</f>
        <v>2007</v>
      </c>
      <c r="C195" s="516"/>
      <c r="D195" s="516"/>
      <c r="E195" s="516"/>
      <c r="F195" s="461"/>
      <c r="G195" s="516">
        <f>$G$5</f>
        <v>2012</v>
      </c>
      <c r="H195" s="516"/>
      <c r="I195" s="516"/>
      <c r="J195" s="516"/>
      <c r="K195" s="461"/>
      <c r="L195" s="516">
        <f>$L$5</f>
        <v>2017</v>
      </c>
      <c r="M195" s="516"/>
      <c r="N195" s="516"/>
      <c r="O195" s="516"/>
      <c r="P195" s="459"/>
      <c r="Q195" s="516">
        <f>$Q$5</f>
        <v>2022</v>
      </c>
      <c r="R195" s="516"/>
      <c r="S195" s="516"/>
      <c r="T195" s="516"/>
      <c r="U195" s="461"/>
      <c r="V195" s="516">
        <f>$V$5</f>
        <v>2027</v>
      </c>
      <c r="W195" s="516"/>
      <c r="X195" s="516"/>
      <c r="Y195" s="516"/>
    </row>
    <row r="196" spans="1:25" x14ac:dyDescent="0.2">
      <c r="A196" s="381"/>
      <c r="B196" s="388" t="str">
        <f>$B$6</f>
        <v>FT</v>
      </c>
      <c r="C196" s="388" t="str">
        <f>$C$6</f>
        <v>PT</v>
      </c>
      <c r="D196" s="388" t="str">
        <f>$D$6</f>
        <v>SE</v>
      </c>
      <c r="E196" s="388" t="str">
        <f>$E$6</f>
        <v>Total</v>
      </c>
      <c r="F196" s="388"/>
      <c r="G196" s="388" t="str">
        <f>$B$6</f>
        <v>FT</v>
      </c>
      <c r="H196" s="388" t="str">
        <f>$C$6</f>
        <v>PT</v>
      </c>
      <c r="I196" s="388" t="str">
        <f>$D$6</f>
        <v>SE</v>
      </c>
      <c r="J196" s="388" t="str">
        <f>$E$6</f>
        <v>Total</v>
      </c>
      <c r="K196" s="388"/>
      <c r="L196" s="388" t="str">
        <f>$L$6</f>
        <v>FT</v>
      </c>
      <c r="M196" s="388" t="str">
        <f>$M$6</f>
        <v>PT</v>
      </c>
      <c r="N196" s="388" t="str">
        <f>$N$6</f>
        <v>SE</v>
      </c>
      <c r="O196" s="388" t="str">
        <f>$O$6</f>
        <v>Total</v>
      </c>
      <c r="P196" s="388"/>
      <c r="Q196" s="388" t="str">
        <f>$L$6</f>
        <v>FT</v>
      </c>
      <c r="R196" s="388" t="str">
        <f>$M$6</f>
        <v>PT</v>
      </c>
      <c r="S196" s="388" t="str">
        <f>$N$6</f>
        <v>SE</v>
      </c>
      <c r="T196" s="388" t="str">
        <f>$O$6</f>
        <v>Total</v>
      </c>
      <c r="U196" s="388"/>
      <c r="V196" s="388" t="str">
        <f>$V$6</f>
        <v>FT</v>
      </c>
      <c r="W196" s="388" t="str">
        <f>$W$6</f>
        <v>PT</v>
      </c>
      <c r="X196" s="388" t="str">
        <f>$X$6</f>
        <v>SE</v>
      </c>
      <c r="Y196" s="388" t="str">
        <f>$Y$6</f>
        <v>Total</v>
      </c>
    </row>
    <row r="197" spans="1:25" x14ac:dyDescent="0.2">
      <c r="B197" s="380"/>
      <c r="C197" s="460"/>
      <c r="D197" s="460"/>
      <c r="E197" s="460"/>
      <c r="F197" s="460"/>
      <c r="G197" s="460"/>
      <c r="H197" s="460"/>
      <c r="I197" s="460"/>
      <c r="J197" s="460"/>
      <c r="K197" s="460"/>
      <c r="L197" s="460"/>
      <c r="M197" s="460"/>
      <c r="N197" s="460"/>
      <c r="O197" s="460"/>
      <c r="P197" s="460"/>
      <c r="Q197" s="460"/>
      <c r="R197" s="460"/>
      <c r="S197" s="460"/>
      <c r="T197" s="460"/>
      <c r="U197" s="460"/>
      <c r="V197" s="460"/>
      <c r="W197" s="460"/>
      <c r="X197" s="460"/>
      <c r="Y197" s="460"/>
    </row>
    <row r="198" spans="1:25" x14ac:dyDescent="0.2">
      <c r="A198" s="378" t="str">
        <f>name!A31</f>
        <v>Construction</v>
      </c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</row>
    <row r="199" spans="1:25" x14ac:dyDescent="0.2">
      <c r="A199" s="382" t="s">
        <v>391</v>
      </c>
      <c r="B199" s="437">
        <v>1.35999999997843</v>
      </c>
      <c r="C199" s="437">
        <v>1.6249999999897209</v>
      </c>
      <c r="D199" s="437">
        <v>0.59700000000364317</v>
      </c>
      <c r="E199" s="437">
        <f>SUM(B199:D199)</f>
        <v>3.5819999999717944</v>
      </c>
      <c r="F199" s="437"/>
      <c r="G199" s="437">
        <v>1.4899999999846913</v>
      </c>
      <c r="H199" s="437">
        <v>2.0259999999892004</v>
      </c>
      <c r="I199" s="437">
        <v>0</v>
      </c>
      <c r="J199" s="437">
        <f>SUM(G199:I199)</f>
        <v>3.515999999973892</v>
      </c>
      <c r="K199" s="437"/>
      <c r="L199" s="437">
        <v>1.972999999984606</v>
      </c>
      <c r="M199" s="437">
        <v>3.0300000000818734</v>
      </c>
      <c r="N199" s="437">
        <v>0.58000000001773444</v>
      </c>
      <c r="O199" s="437">
        <f>SUM(L199:N199)</f>
        <v>5.5830000000842137</v>
      </c>
      <c r="P199" s="437"/>
      <c r="Q199" s="437">
        <v>1.9849999999721455</v>
      </c>
      <c r="R199" s="437">
        <v>3.1830000000668188</v>
      </c>
      <c r="S199" s="437">
        <v>0.57400000001805007</v>
      </c>
      <c r="T199" s="437">
        <f>SUM(Q199:S199)</f>
        <v>5.7420000000570148</v>
      </c>
      <c r="U199" s="437"/>
      <c r="V199" s="437">
        <v>1.9989999999749288</v>
      </c>
      <c r="W199" s="437">
        <v>3.3270000000688111</v>
      </c>
      <c r="X199" s="437">
        <v>0.57100000001536511</v>
      </c>
      <c r="Y199" s="437">
        <f>SUM(V199:X199)</f>
        <v>5.897000000059105</v>
      </c>
    </row>
    <row r="200" spans="1:25" x14ac:dyDescent="0.2">
      <c r="A200" s="382" t="s">
        <v>390</v>
      </c>
      <c r="B200" s="438">
        <v>14.102000000008152</v>
      </c>
      <c r="C200" s="438">
        <v>1.0850000000027396</v>
      </c>
      <c r="D200" s="438">
        <v>11.572000000373778</v>
      </c>
      <c r="E200" s="438">
        <f t="shared" ref="E200:E201" si="501">SUM(B200:D200)</f>
        <v>26.75900000038467</v>
      </c>
      <c r="F200" s="438"/>
      <c r="G200" s="438">
        <v>13.286999999800802</v>
      </c>
      <c r="H200" s="438">
        <v>0.52399999999539781</v>
      </c>
      <c r="I200" s="438">
        <v>11.255999999749246</v>
      </c>
      <c r="J200" s="438">
        <f t="shared" ref="J200:J201" si="502">SUM(G200:I200)</f>
        <v>25.066999999545445</v>
      </c>
      <c r="K200" s="438"/>
      <c r="L200" s="438">
        <v>19.016000000009502</v>
      </c>
      <c r="M200" s="438">
        <v>1.1060000000022827</v>
      </c>
      <c r="N200" s="438">
        <v>12.861000000130687</v>
      </c>
      <c r="O200" s="438">
        <f t="shared" ref="O200:O201" si="503">SUM(L200:N200)</f>
        <v>32.983000000142468</v>
      </c>
      <c r="P200" s="438"/>
      <c r="Q200" s="438">
        <v>19.455999999761495</v>
      </c>
      <c r="R200" s="438">
        <v>1.0789999999907134</v>
      </c>
      <c r="S200" s="438">
        <v>12.448000000449495</v>
      </c>
      <c r="T200" s="438">
        <f t="shared" ref="T200:T201" si="504">SUM(Q200:S200)</f>
        <v>32.983000000201706</v>
      </c>
      <c r="U200" s="438"/>
      <c r="V200" s="438">
        <v>19.893999999714364</v>
      </c>
      <c r="W200" s="438">
        <v>1.0569999999880273</v>
      </c>
      <c r="X200" s="438">
        <v>12.177000000362439</v>
      </c>
      <c r="Y200" s="438">
        <f t="shared" ref="Y200:Y201" si="505">SUM(V200:X200)</f>
        <v>33.12800000006483</v>
      </c>
    </row>
    <row r="201" spans="1:25" x14ac:dyDescent="0.2">
      <c r="A201" s="377" t="s">
        <v>389</v>
      </c>
      <c r="B201" s="438">
        <f>SUM(B199:B200)</f>
        <v>15.461999999986581</v>
      </c>
      <c r="C201" s="438">
        <f t="shared" ref="C201" si="506">SUM(C199:C200)</f>
        <v>2.7099999999924602</v>
      </c>
      <c r="D201" s="438">
        <f t="shared" ref="D201" si="507">SUM(D199:D200)</f>
        <v>12.169000000377421</v>
      </c>
      <c r="E201" s="438">
        <f t="shared" si="501"/>
        <v>30.341000000356466</v>
      </c>
      <c r="F201" s="438"/>
      <c r="G201" s="438">
        <f>SUM(G199:G200)</f>
        <v>14.776999999785494</v>
      </c>
      <c r="H201" s="438">
        <f t="shared" ref="H201" si="508">SUM(H199:H200)</f>
        <v>2.5499999999845984</v>
      </c>
      <c r="I201" s="438">
        <f t="shared" ref="I201" si="509">SUM(I199:I200)</f>
        <v>11.255999999749246</v>
      </c>
      <c r="J201" s="438">
        <f t="shared" si="502"/>
        <v>28.582999999519338</v>
      </c>
      <c r="K201" s="438"/>
      <c r="L201" s="438">
        <f>SUM(L199:L200)</f>
        <v>20.988999999994107</v>
      </c>
      <c r="M201" s="438">
        <f t="shared" ref="M201" si="510">SUM(M199:M200)</f>
        <v>4.1360000000841559</v>
      </c>
      <c r="N201" s="438">
        <f t="shared" ref="N201" si="511">SUM(N199:N200)</f>
        <v>13.441000000148422</v>
      </c>
      <c r="O201" s="438">
        <f t="shared" si="503"/>
        <v>38.566000000226687</v>
      </c>
      <c r="P201" s="438"/>
      <c r="Q201" s="438">
        <f>SUM(Q199:Q200)</f>
        <v>21.440999999733641</v>
      </c>
      <c r="R201" s="438">
        <f t="shared" ref="R201" si="512">SUM(R199:R200)</f>
        <v>4.2620000000575322</v>
      </c>
      <c r="S201" s="438">
        <f t="shared" ref="S201" si="513">SUM(S199:S200)</f>
        <v>13.022000000467544</v>
      </c>
      <c r="T201" s="438">
        <f t="shared" si="504"/>
        <v>38.725000000258717</v>
      </c>
      <c r="U201" s="438"/>
      <c r="V201" s="438">
        <f>SUM(V199:V200)</f>
        <v>21.892999999689291</v>
      </c>
      <c r="W201" s="438">
        <f t="shared" ref="W201" si="514">SUM(W199:W200)</f>
        <v>4.3840000000568384</v>
      </c>
      <c r="X201" s="438">
        <f t="shared" ref="X201" si="515">SUM(X199:X200)</f>
        <v>12.748000000377804</v>
      </c>
      <c r="Y201" s="438">
        <f t="shared" si="505"/>
        <v>39.025000000123939</v>
      </c>
    </row>
    <row r="202" spans="1:25" x14ac:dyDescent="0.2">
      <c r="B202" s="380"/>
      <c r="C202" s="460"/>
      <c r="D202" s="460"/>
      <c r="E202" s="460"/>
      <c r="F202" s="460"/>
      <c r="G202" s="460"/>
      <c r="H202" s="460"/>
      <c r="I202" s="460"/>
      <c r="J202" s="460"/>
      <c r="K202" s="460"/>
      <c r="L202" s="460"/>
      <c r="M202" s="460"/>
      <c r="N202" s="460"/>
      <c r="O202" s="460"/>
      <c r="P202" s="460"/>
      <c r="Q202" s="460"/>
      <c r="R202" s="460"/>
      <c r="S202" s="460"/>
      <c r="T202" s="460"/>
      <c r="U202" s="460"/>
      <c r="V202" s="460"/>
      <c r="W202" s="460"/>
      <c r="X202" s="460"/>
      <c r="Y202" s="460"/>
    </row>
    <row r="203" spans="1:25" x14ac:dyDescent="0.2">
      <c r="A203" s="378" t="str">
        <f>name!A32</f>
        <v>Civil engineering</v>
      </c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</row>
    <row r="204" spans="1:25" x14ac:dyDescent="0.2">
      <c r="A204" s="382" t="s">
        <v>391</v>
      </c>
      <c r="B204" s="437">
        <v>0.81599999998705774</v>
      </c>
      <c r="C204" s="437">
        <v>0.35099999999777959</v>
      </c>
      <c r="D204" s="437">
        <v>0.24800000000151379</v>
      </c>
      <c r="E204" s="437">
        <f>SUM(B204:D204)</f>
        <v>1.414999999986351</v>
      </c>
      <c r="F204" s="437"/>
      <c r="G204" s="437">
        <v>0.6929999999928812</v>
      </c>
      <c r="H204" s="437">
        <v>0.91099999999514447</v>
      </c>
      <c r="I204" s="437">
        <v>0</v>
      </c>
      <c r="J204" s="437">
        <f>SUM(G204:I204)</f>
        <v>1.6039999999880257</v>
      </c>
      <c r="K204" s="437"/>
      <c r="L204" s="437">
        <v>0.79499999999379678</v>
      </c>
      <c r="M204" s="437">
        <v>0.36600000000988975</v>
      </c>
      <c r="N204" s="437">
        <v>0.15700000000480061</v>
      </c>
      <c r="O204" s="437">
        <f>SUM(L204:N204)</f>
        <v>1.318000000008487</v>
      </c>
      <c r="P204" s="437"/>
      <c r="Q204" s="437">
        <v>0.79899999998878746</v>
      </c>
      <c r="R204" s="437">
        <v>0.384000000008061</v>
      </c>
      <c r="S204" s="437">
        <v>0.15600000000490574</v>
      </c>
      <c r="T204" s="437">
        <f>SUM(Q204:S204)</f>
        <v>1.3390000000017543</v>
      </c>
      <c r="U204" s="437"/>
      <c r="V204" s="437">
        <v>0.80499999998990357</v>
      </c>
      <c r="W204" s="437">
        <v>0.4010000000082935</v>
      </c>
      <c r="X204" s="437">
        <v>0.15500000000417097</v>
      </c>
      <c r="Y204" s="437">
        <f>SUM(V204:X204)</f>
        <v>1.3610000000023679</v>
      </c>
    </row>
    <row r="205" spans="1:25" x14ac:dyDescent="0.2">
      <c r="A205" s="382" t="s">
        <v>390</v>
      </c>
      <c r="B205" s="438">
        <v>11.204000000006477</v>
      </c>
      <c r="C205" s="438">
        <v>0.44700000000112911</v>
      </c>
      <c r="D205" s="438">
        <v>9.3290000003013276</v>
      </c>
      <c r="E205" s="438">
        <f t="shared" ref="E205:E206" si="516">SUM(B205:D205)</f>
        <v>20.980000000308934</v>
      </c>
      <c r="F205" s="438"/>
      <c r="G205" s="438">
        <v>8.1749999998774427</v>
      </c>
      <c r="H205" s="438">
        <v>0.44899999999605661</v>
      </c>
      <c r="I205" s="438">
        <v>7.7139999998281503</v>
      </c>
      <c r="J205" s="438">
        <f t="shared" ref="J205:J206" si="517">SUM(G205:I205)</f>
        <v>16.337999999701651</v>
      </c>
      <c r="K205" s="438"/>
      <c r="L205" s="438">
        <v>10.132000000005055</v>
      </c>
      <c r="M205" s="438">
        <v>0.25500000000052642</v>
      </c>
      <c r="N205" s="438">
        <v>6.7780000000688725</v>
      </c>
      <c r="O205" s="438">
        <f t="shared" ref="O205:O206" si="518">SUM(L205:N205)</f>
        <v>17.165000000074453</v>
      </c>
      <c r="P205" s="438"/>
      <c r="Q205" s="438">
        <v>10.365999999872917</v>
      </c>
      <c r="R205" s="438">
        <v>0.24799999999786546</v>
      </c>
      <c r="S205" s="438">
        <v>6.5610000002369162</v>
      </c>
      <c r="T205" s="438">
        <f t="shared" ref="T205:T206" si="519">SUM(Q205:S205)</f>
        <v>17.175000000107701</v>
      </c>
      <c r="U205" s="438"/>
      <c r="V205" s="438">
        <v>10.599999999847808</v>
      </c>
      <c r="W205" s="438">
        <v>0.24299999999724781</v>
      </c>
      <c r="X205" s="438">
        <v>6.4180000001910216</v>
      </c>
      <c r="Y205" s="438">
        <f t="shared" ref="Y205:Y206" si="520">SUM(V205:X205)</f>
        <v>17.261000000036077</v>
      </c>
    </row>
    <row r="206" spans="1:25" x14ac:dyDescent="0.2">
      <c r="A206" s="382" t="s">
        <v>389</v>
      </c>
      <c r="B206" s="438">
        <f>SUM(B204:B205)</f>
        <v>12.019999999993535</v>
      </c>
      <c r="C206" s="438">
        <f t="shared" ref="C206" si="521">SUM(C204:C205)</f>
        <v>0.79799999999890869</v>
      </c>
      <c r="D206" s="438">
        <f t="shared" ref="D206" si="522">SUM(D204:D205)</f>
        <v>9.5770000003028422</v>
      </c>
      <c r="E206" s="438">
        <f t="shared" si="516"/>
        <v>22.395000000295287</v>
      </c>
      <c r="F206" s="438"/>
      <c r="G206" s="438">
        <f>SUM(G204:G205)</f>
        <v>8.8679999998703245</v>
      </c>
      <c r="H206" s="438">
        <f t="shared" ref="H206" si="523">SUM(H204:H205)</f>
        <v>1.3599999999912011</v>
      </c>
      <c r="I206" s="438">
        <f t="shared" ref="I206" si="524">SUM(I204:I205)</f>
        <v>7.7139999998281503</v>
      </c>
      <c r="J206" s="438">
        <f t="shared" si="517"/>
        <v>17.941999999689678</v>
      </c>
      <c r="K206" s="438"/>
      <c r="L206" s="438">
        <f>SUM(L204:L205)</f>
        <v>10.926999999998852</v>
      </c>
      <c r="M206" s="438">
        <f t="shared" ref="M206" si="525">SUM(M204:M205)</f>
        <v>0.62100000001041611</v>
      </c>
      <c r="N206" s="438">
        <f t="shared" ref="N206" si="526">SUM(N204:N205)</f>
        <v>6.9350000000736731</v>
      </c>
      <c r="O206" s="438">
        <f t="shared" si="518"/>
        <v>18.483000000082939</v>
      </c>
      <c r="P206" s="438"/>
      <c r="Q206" s="438">
        <f>SUM(Q204:Q205)</f>
        <v>11.164999999861704</v>
      </c>
      <c r="R206" s="438">
        <f t="shared" ref="R206" si="527">SUM(R204:R205)</f>
        <v>0.63200000000592649</v>
      </c>
      <c r="S206" s="438">
        <f t="shared" ref="S206" si="528">SUM(S204:S205)</f>
        <v>6.7170000002418222</v>
      </c>
      <c r="T206" s="438">
        <f t="shared" si="519"/>
        <v>18.514000000109451</v>
      </c>
      <c r="U206" s="438"/>
      <c r="V206" s="438">
        <f>SUM(V204:V205)</f>
        <v>11.404999999837711</v>
      </c>
      <c r="W206" s="438">
        <f t="shared" ref="W206" si="529">SUM(W204:W205)</f>
        <v>0.64400000000554125</v>
      </c>
      <c r="X206" s="438">
        <f t="shared" ref="X206" si="530">SUM(X204:X205)</f>
        <v>6.5730000001951927</v>
      </c>
      <c r="Y206" s="438">
        <f t="shared" si="520"/>
        <v>18.622000000038444</v>
      </c>
    </row>
    <row r="207" spans="1:25" x14ac:dyDescent="0.2">
      <c r="B207" s="380"/>
      <c r="C207" s="460"/>
      <c r="D207" s="460"/>
      <c r="E207" s="460"/>
      <c r="F207" s="460"/>
      <c r="G207" s="460"/>
      <c r="H207" s="460"/>
      <c r="I207" s="460"/>
      <c r="J207" s="460"/>
      <c r="K207" s="460"/>
      <c r="L207" s="460"/>
      <c r="M207" s="460"/>
      <c r="N207" s="460"/>
      <c r="O207" s="460"/>
      <c r="P207" s="460"/>
      <c r="Q207" s="460"/>
      <c r="R207" s="460"/>
      <c r="S207" s="460"/>
      <c r="T207" s="460"/>
      <c r="U207" s="460"/>
      <c r="V207" s="460"/>
      <c r="W207" s="460"/>
      <c r="X207" s="460"/>
      <c r="Y207" s="460"/>
    </row>
    <row r="208" spans="1:25" x14ac:dyDescent="0.2">
      <c r="A208" s="378" t="str">
        <f>name!A33</f>
        <v>Specialised construction</v>
      </c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</row>
    <row r="209" spans="1:25" x14ac:dyDescent="0.2">
      <c r="A209" s="382" t="s">
        <v>391</v>
      </c>
      <c r="B209" s="437">
        <v>4.5079999999285061</v>
      </c>
      <c r="C209" s="437">
        <v>1.6579999999895116</v>
      </c>
      <c r="D209" s="437">
        <v>0.88000000000537082</v>
      </c>
      <c r="E209" s="437">
        <f>SUM(B209:D209)</f>
        <v>7.0459999999233887</v>
      </c>
      <c r="F209" s="437"/>
      <c r="G209" s="437">
        <v>3.176999999967363</v>
      </c>
      <c r="H209" s="437">
        <v>1.9769999999894623</v>
      </c>
      <c r="I209" s="437">
        <v>0</v>
      </c>
      <c r="J209" s="437">
        <f>SUM(G209:I209)</f>
        <v>5.1539999999568256</v>
      </c>
      <c r="K209" s="437"/>
      <c r="L209" s="437">
        <v>4.1129999999679043</v>
      </c>
      <c r="M209" s="437">
        <v>2.4040000000649577</v>
      </c>
      <c r="N209" s="437">
        <v>0.54900000001678662</v>
      </c>
      <c r="O209" s="437">
        <f>SUM(L209:N209)</f>
        <v>7.066000000049649</v>
      </c>
      <c r="P209" s="437"/>
      <c r="Q209" s="437">
        <v>4.1359999999419568</v>
      </c>
      <c r="R209" s="437">
        <v>2.5250000000530073</v>
      </c>
      <c r="S209" s="437">
        <v>0.54300000001707571</v>
      </c>
      <c r="T209" s="437">
        <f>SUM(Q209:S209)</f>
        <v>7.204000000012039</v>
      </c>
      <c r="U209" s="437"/>
      <c r="V209" s="437">
        <v>4.1649999999477618</v>
      </c>
      <c r="W209" s="437">
        <v>2.6400000000545996</v>
      </c>
      <c r="X209" s="437">
        <v>0.5400000000145313</v>
      </c>
      <c r="Y209" s="437">
        <f>SUM(V209:X209)</f>
        <v>7.3450000000168929</v>
      </c>
    </row>
    <row r="210" spans="1:25" x14ac:dyDescent="0.2">
      <c r="A210" s="382" t="s">
        <v>390</v>
      </c>
      <c r="B210" s="438">
        <v>28.556000000016528</v>
      </c>
      <c r="C210" s="438">
        <v>1.832000000004627</v>
      </c>
      <c r="D210" s="438">
        <v>24.261000000783639</v>
      </c>
      <c r="E210" s="438">
        <f t="shared" ref="E210:E211" si="531">SUM(B210:D210)</f>
        <v>54.64900000080479</v>
      </c>
      <c r="F210" s="438"/>
      <c r="G210" s="438">
        <v>17.302999999740596</v>
      </c>
      <c r="H210" s="438">
        <v>0.84699999999256159</v>
      </c>
      <c r="I210" s="438">
        <v>15.860999999646666</v>
      </c>
      <c r="J210" s="438">
        <f t="shared" ref="J210:J211" si="532">SUM(G210:I210)</f>
        <v>34.01099999937982</v>
      </c>
      <c r="K210" s="438"/>
      <c r="L210" s="438">
        <v>24.20500000001212</v>
      </c>
      <c r="M210" s="438">
        <v>1.4530000000029992</v>
      </c>
      <c r="N210" s="438">
        <v>17.321000000176017</v>
      </c>
      <c r="O210" s="438">
        <f t="shared" ref="O210:O211" si="533">SUM(L210:N210)</f>
        <v>42.979000000191135</v>
      </c>
      <c r="P210" s="438"/>
      <c r="Q210" s="438">
        <v>24.764999999696421</v>
      </c>
      <c r="R210" s="438">
        <v>1.4179999999877941</v>
      </c>
      <c r="S210" s="438">
        <v>16.764000000605357</v>
      </c>
      <c r="T210" s="438">
        <f t="shared" ref="T210:T211" si="534">SUM(Q210:S210)</f>
        <v>42.947000000289577</v>
      </c>
      <c r="U210" s="438"/>
      <c r="V210" s="438">
        <v>25.323999999636396</v>
      </c>
      <c r="W210" s="438">
        <v>1.3889999999842666</v>
      </c>
      <c r="X210" s="438">
        <v>16.399000000488087</v>
      </c>
      <c r="Y210" s="438">
        <f t="shared" ref="Y210:Y211" si="535">SUM(V210:X210)</f>
        <v>43.11200000010875</v>
      </c>
    </row>
    <row r="211" spans="1:25" x14ac:dyDescent="0.2">
      <c r="A211" s="382" t="s">
        <v>389</v>
      </c>
      <c r="B211" s="438">
        <f>SUM(B209:B210)</f>
        <v>33.063999999945032</v>
      </c>
      <c r="C211" s="438">
        <f t="shared" ref="C211" si="536">SUM(C209:C210)</f>
        <v>3.4899999999941387</v>
      </c>
      <c r="D211" s="438">
        <f t="shared" ref="D211" si="537">SUM(D209:D210)</f>
        <v>25.14100000078901</v>
      </c>
      <c r="E211" s="438">
        <f t="shared" si="531"/>
        <v>61.695000000728186</v>
      </c>
      <c r="F211" s="438"/>
      <c r="G211" s="438">
        <f>SUM(G209:G210)</f>
        <v>20.47999999970796</v>
      </c>
      <c r="H211" s="438">
        <f t="shared" ref="H211" si="538">SUM(H209:H210)</f>
        <v>2.823999999982024</v>
      </c>
      <c r="I211" s="438">
        <f t="shared" ref="I211" si="539">SUM(I209:I210)</f>
        <v>15.860999999646666</v>
      </c>
      <c r="J211" s="438">
        <f t="shared" si="532"/>
        <v>39.164999999336651</v>
      </c>
      <c r="K211" s="438"/>
      <c r="L211" s="438">
        <f>SUM(L209:L210)</f>
        <v>28.317999999980024</v>
      </c>
      <c r="M211" s="438">
        <f t="shared" ref="M211" si="540">SUM(M209:M210)</f>
        <v>3.857000000067957</v>
      </c>
      <c r="N211" s="438">
        <f t="shared" ref="N211" si="541">SUM(N209:N210)</f>
        <v>17.870000000192803</v>
      </c>
      <c r="O211" s="438">
        <f t="shared" si="533"/>
        <v>50.045000000240783</v>
      </c>
      <c r="P211" s="438"/>
      <c r="Q211" s="438">
        <f>SUM(Q209:Q210)</f>
        <v>28.90099999963838</v>
      </c>
      <c r="R211" s="438">
        <f t="shared" ref="R211" si="542">SUM(R209:R210)</f>
        <v>3.9430000000408016</v>
      </c>
      <c r="S211" s="438">
        <f t="shared" ref="S211" si="543">SUM(S209:S210)</f>
        <v>17.307000000622434</v>
      </c>
      <c r="T211" s="438">
        <f t="shared" si="534"/>
        <v>50.151000000301622</v>
      </c>
      <c r="U211" s="438"/>
      <c r="V211" s="438">
        <f>SUM(V209:V210)</f>
        <v>29.488999999584159</v>
      </c>
      <c r="W211" s="438">
        <f t="shared" ref="W211" si="544">SUM(W209:W210)</f>
        <v>4.0290000000388666</v>
      </c>
      <c r="X211" s="438">
        <f t="shared" ref="X211" si="545">SUM(X209:X210)</f>
        <v>16.939000000502617</v>
      </c>
      <c r="Y211" s="438">
        <f t="shared" si="535"/>
        <v>50.457000000125646</v>
      </c>
    </row>
    <row r="212" spans="1:25" x14ac:dyDescent="0.2">
      <c r="C212" s="453"/>
    </row>
    <row r="213" spans="1:25" x14ac:dyDescent="0.2">
      <c r="A213" s="383" t="s">
        <v>403</v>
      </c>
      <c r="C213" s="453"/>
    </row>
    <row r="214" spans="1:25" x14ac:dyDescent="0.2">
      <c r="A214" s="377" t="s">
        <v>391</v>
      </c>
      <c r="B214" s="437">
        <f>SUM(B199,B204,B209)</f>
        <v>6.6839999998939934</v>
      </c>
      <c r="C214" s="437">
        <f t="shared" ref="C214:D214" si="546">SUM(C199,C204,C209)</f>
        <v>3.6339999999770121</v>
      </c>
      <c r="D214" s="437">
        <f t="shared" si="546"/>
        <v>1.7250000000105277</v>
      </c>
      <c r="E214" s="437">
        <f>SUM(B214:D214)</f>
        <v>12.042999999881534</v>
      </c>
      <c r="F214" s="437"/>
      <c r="G214" s="437">
        <f>SUM(G199,G204,G209)</f>
        <v>5.3599999999449359</v>
      </c>
      <c r="H214" s="437">
        <f t="shared" ref="H214:I214" si="547">SUM(H199,H204,H209)</f>
        <v>4.9139999999738073</v>
      </c>
      <c r="I214" s="437">
        <f t="shared" si="547"/>
        <v>0</v>
      </c>
      <c r="J214" s="437">
        <f>SUM(G214:I214)</f>
        <v>10.273999999918743</v>
      </c>
      <c r="K214" s="437"/>
      <c r="L214" s="437">
        <f>SUM(L199,L204,L209)</f>
        <v>6.8809999999463072</v>
      </c>
      <c r="M214" s="437">
        <f t="shared" ref="M214:N214" si="548">SUM(M199,M204,M209)</f>
        <v>5.8000000001567207</v>
      </c>
      <c r="N214" s="437">
        <f t="shared" si="548"/>
        <v>1.2860000000393217</v>
      </c>
      <c r="O214" s="437">
        <f>SUM(L214:N214)</f>
        <v>13.967000000142349</v>
      </c>
      <c r="P214" s="437"/>
      <c r="Q214" s="437">
        <f>SUM(Q199,Q204,Q209)</f>
        <v>6.9199999999028901</v>
      </c>
      <c r="R214" s="437">
        <f t="shared" ref="R214:S214" si="549">SUM(R199,R204,R209)</f>
        <v>6.0920000001278876</v>
      </c>
      <c r="S214" s="437">
        <f t="shared" si="549"/>
        <v>1.2730000000400317</v>
      </c>
      <c r="T214" s="437">
        <f>SUM(Q214:S214)</f>
        <v>14.285000000070809</v>
      </c>
      <c r="U214" s="437"/>
      <c r="V214" s="437">
        <f>SUM(V199,V204,V209)</f>
        <v>6.9689999999125938</v>
      </c>
      <c r="W214" s="437">
        <f t="shared" ref="W214:X214" si="550">SUM(W199,W204,W209)</f>
        <v>6.3680000001317048</v>
      </c>
      <c r="X214" s="437">
        <f t="shared" si="550"/>
        <v>1.2660000000340674</v>
      </c>
      <c r="Y214" s="437">
        <f>SUM(V214:X214)</f>
        <v>14.603000000078366</v>
      </c>
    </row>
    <row r="215" spans="1:25" x14ac:dyDescent="0.2">
      <c r="A215" s="377" t="s">
        <v>390</v>
      </c>
      <c r="B215" s="437">
        <f>SUM(B200,B205,B210)</f>
        <v>53.862000000031159</v>
      </c>
      <c r="C215" s="437">
        <f t="shared" ref="C215:D215" si="551">SUM(C200,C205,C210)</f>
        <v>3.3640000000084957</v>
      </c>
      <c r="D215" s="437">
        <f t="shared" si="551"/>
        <v>45.162000001458743</v>
      </c>
      <c r="E215" s="437">
        <f t="shared" ref="E215:E216" si="552">SUM(B215:D215)</f>
        <v>102.3880000014984</v>
      </c>
      <c r="F215" s="437"/>
      <c r="G215" s="437">
        <f>SUM(G200,G205,G210)</f>
        <v>38.764999999418841</v>
      </c>
      <c r="H215" s="437">
        <f t="shared" ref="H215:I215" si="553">SUM(H200,H205,H210)</f>
        <v>1.8199999999840162</v>
      </c>
      <c r="I215" s="437">
        <f t="shared" si="553"/>
        <v>34.830999999224062</v>
      </c>
      <c r="J215" s="437">
        <f t="shared" ref="J215:J216" si="554">SUM(G215:I215)</f>
        <v>75.415999998626916</v>
      </c>
      <c r="K215" s="437"/>
      <c r="L215" s="437">
        <f>SUM(L200,L205,L210)</f>
        <v>53.353000000026675</v>
      </c>
      <c r="M215" s="437">
        <f t="shared" ref="M215:N215" si="555">SUM(M200,M205,M210)</f>
        <v>2.8140000000058083</v>
      </c>
      <c r="N215" s="437">
        <f t="shared" si="555"/>
        <v>36.960000000375572</v>
      </c>
      <c r="O215" s="437">
        <f t="shared" ref="O215:O216" si="556">SUM(L215:N215)</f>
        <v>93.12700000040806</v>
      </c>
      <c r="P215" s="437"/>
      <c r="Q215" s="437">
        <f>SUM(Q200,Q205,Q210)</f>
        <v>54.586999999330835</v>
      </c>
      <c r="R215" s="437">
        <f t="shared" ref="R215:S215" si="557">SUM(R200,R205,R210)</f>
        <v>2.7449999999763728</v>
      </c>
      <c r="S215" s="437">
        <f t="shared" si="557"/>
        <v>35.77300000129177</v>
      </c>
      <c r="T215" s="437">
        <f t="shared" ref="T215:T216" si="558">SUM(Q215:S215)</f>
        <v>93.105000000598977</v>
      </c>
      <c r="U215" s="437"/>
      <c r="V215" s="437">
        <f>SUM(V200,V205,V210)</f>
        <v>55.817999999198562</v>
      </c>
      <c r="W215" s="437">
        <f t="shared" ref="W215:X215" si="559">SUM(W200,W205,W210)</f>
        <v>2.6889999999695418</v>
      </c>
      <c r="X215" s="437">
        <f t="shared" si="559"/>
        <v>34.994000001041549</v>
      </c>
      <c r="Y215" s="437">
        <f t="shared" ref="Y215:Y216" si="560">SUM(V215:X215)</f>
        <v>93.501000000209643</v>
      </c>
    </row>
    <row r="216" spans="1:25" x14ac:dyDescent="0.2">
      <c r="A216" s="381" t="s">
        <v>389</v>
      </c>
      <c r="B216" s="439">
        <f>SUM(B214:B215)</f>
        <v>60.545999999925151</v>
      </c>
      <c r="C216" s="439">
        <f t="shared" ref="C216" si="561">SUM(C214:C215)</f>
        <v>6.9979999999855078</v>
      </c>
      <c r="D216" s="439">
        <f t="shared" ref="D216" si="562">SUM(D214:D215)</f>
        <v>46.887000001469268</v>
      </c>
      <c r="E216" s="439">
        <f t="shared" si="552"/>
        <v>114.43100000137991</v>
      </c>
      <c r="F216" s="439"/>
      <c r="G216" s="439">
        <f>SUM(G214:G215)</f>
        <v>44.12499999936378</v>
      </c>
      <c r="H216" s="439">
        <f t="shared" ref="H216" si="563">SUM(H214:H215)</f>
        <v>6.7339999999578239</v>
      </c>
      <c r="I216" s="439">
        <f t="shared" ref="I216" si="564">SUM(I214:I215)</f>
        <v>34.830999999224062</v>
      </c>
      <c r="J216" s="439">
        <f t="shared" si="554"/>
        <v>85.689999998545659</v>
      </c>
      <c r="K216" s="439"/>
      <c r="L216" s="439">
        <f>SUM(L214:L215)</f>
        <v>60.23399999997298</v>
      </c>
      <c r="M216" s="439">
        <f t="shared" ref="M216" si="565">SUM(M214:M215)</f>
        <v>8.6140000001625285</v>
      </c>
      <c r="N216" s="439">
        <f t="shared" ref="N216" si="566">SUM(N214:N215)</f>
        <v>38.246000000414895</v>
      </c>
      <c r="O216" s="439">
        <f t="shared" si="556"/>
        <v>107.09400000055041</v>
      </c>
      <c r="P216" s="439"/>
      <c r="Q216" s="439">
        <f>SUM(Q214:Q215)</f>
        <v>61.506999999233727</v>
      </c>
      <c r="R216" s="439">
        <f t="shared" ref="R216" si="567">SUM(R214:R215)</f>
        <v>8.8370000001042612</v>
      </c>
      <c r="S216" s="439">
        <f t="shared" ref="S216" si="568">SUM(S214:S215)</f>
        <v>37.046000001331805</v>
      </c>
      <c r="T216" s="439">
        <f t="shared" si="558"/>
        <v>107.3900000006698</v>
      </c>
      <c r="U216" s="439"/>
      <c r="V216" s="439">
        <f>SUM(V214:V215)</f>
        <v>62.78699999911116</v>
      </c>
      <c r="W216" s="439">
        <f t="shared" ref="W216" si="569">SUM(W214:W215)</f>
        <v>9.0570000001012474</v>
      </c>
      <c r="X216" s="439">
        <f t="shared" ref="X216" si="570">SUM(X214:X215)</f>
        <v>36.260000001075618</v>
      </c>
      <c r="Y216" s="439">
        <f t="shared" si="560"/>
        <v>108.10400000028801</v>
      </c>
    </row>
    <row r="217" spans="1:25" x14ac:dyDescent="0.2">
      <c r="C217" s="453"/>
    </row>
    <row r="218" spans="1:25" x14ac:dyDescent="0.2">
      <c r="C218" s="453"/>
    </row>
    <row r="219" spans="1:25" x14ac:dyDescent="0.2">
      <c r="C219" s="453"/>
    </row>
    <row r="220" spans="1:25" ht="15" x14ac:dyDescent="0.25">
      <c r="A220" s="385" t="str">
        <f>"Industry 9 : "&amp; name!B12</f>
        <v>Industry 9 : Wholesale and retail trade</v>
      </c>
      <c r="B220" s="516">
        <f>$B$5</f>
        <v>2007</v>
      </c>
      <c r="C220" s="516"/>
      <c r="D220" s="516"/>
      <c r="E220" s="516"/>
      <c r="F220" s="461"/>
      <c r="G220" s="516">
        <f>$G$5</f>
        <v>2012</v>
      </c>
      <c r="H220" s="516"/>
      <c r="I220" s="516"/>
      <c r="J220" s="516"/>
      <c r="K220" s="461"/>
      <c r="L220" s="516">
        <f>$L$5</f>
        <v>2017</v>
      </c>
      <c r="M220" s="516"/>
      <c r="N220" s="516"/>
      <c r="O220" s="516"/>
      <c r="P220" s="459"/>
      <c r="Q220" s="516">
        <f>$Q$5</f>
        <v>2022</v>
      </c>
      <c r="R220" s="516"/>
      <c r="S220" s="516"/>
      <c r="T220" s="516"/>
      <c r="U220" s="461"/>
      <c r="V220" s="516">
        <f>$V$5</f>
        <v>2027</v>
      </c>
      <c r="W220" s="516"/>
      <c r="X220" s="516"/>
      <c r="Y220" s="516"/>
    </row>
    <row r="221" spans="1:25" x14ac:dyDescent="0.2">
      <c r="A221" s="381"/>
      <c r="B221" s="388" t="str">
        <f>$B$6</f>
        <v>FT</v>
      </c>
      <c r="C221" s="388" t="str">
        <f>$C$6</f>
        <v>PT</v>
      </c>
      <c r="D221" s="388" t="str">
        <f>$D$6</f>
        <v>SE</v>
      </c>
      <c r="E221" s="388" t="str">
        <f>$E$6</f>
        <v>Total</v>
      </c>
      <c r="F221" s="388"/>
      <c r="G221" s="388" t="str">
        <f>$B$6</f>
        <v>FT</v>
      </c>
      <c r="H221" s="388" t="str">
        <f>$C$6</f>
        <v>PT</v>
      </c>
      <c r="I221" s="388" t="str">
        <f>$D$6</f>
        <v>SE</v>
      </c>
      <c r="J221" s="388" t="str">
        <f>$E$6</f>
        <v>Total</v>
      </c>
      <c r="K221" s="388"/>
      <c r="L221" s="388" t="str">
        <f>$L$6</f>
        <v>FT</v>
      </c>
      <c r="M221" s="388" t="str">
        <f>$M$6</f>
        <v>PT</v>
      </c>
      <c r="N221" s="388" t="str">
        <f>$N$6</f>
        <v>SE</v>
      </c>
      <c r="O221" s="388" t="str">
        <f>$O$6</f>
        <v>Total</v>
      </c>
      <c r="P221" s="388"/>
      <c r="Q221" s="388" t="str">
        <f>$L$6</f>
        <v>FT</v>
      </c>
      <c r="R221" s="388" t="str">
        <f>$M$6</f>
        <v>PT</v>
      </c>
      <c r="S221" s="388" t="str">
        <f>$N$6</f>
        <v>SE</v>
      </c>
      <c r="T221" s="388" t="str">
        <f>$O$6</f>
        <v>Total</v>
      </c>
      <c r="U221" s="388"/>
      <c r="V221" s="388" t="str">
        <f>$V$6</f>
        <v>FT</v>
      </c>
      <c r="W221" s="388" t="str">
        <f>$W$6</f>
        <v>PT</v>
      </c>
      <c r="X221" s="388" t="str">
        <f>$X$6</f>
        <v>SE</v>
      </c>
      <c r="Y221" s="388" t="str">
        <f>$Y$6</f>
        <v>Total</v>
      </c>
    </row>
    <row r="222" spans="1:25" x14ac:dyDescent="0.2">
      <c r="B222" s="380"/>
      <c r="C222" s="460"/>
      <c r="D222" s="460"/>
      <c r="E222" s="460"/>
      <c r="F222" s="460"/>
      <c r="G222" s="460"/>
      <c r="H222" s="460"/>
      <c r="I222" s="460"/>
      <c r="J222" s="460"/>
      <c r="K222" s="460"/>
      <c r="L222" s="460"/>
      <c r="M222" s="460"/>
      <c r="N222" s="460"/>
      <c r="O222" s="460"/>
      <c r="P222" s="460"/>
      <c r="Q222" s="460"/>
      <c r="R222" s="460"/>
      <c r="S222" s="460"/>
      <c r="T222" s="460"/>
      <c r="U222" s="460"/>
      <c r="V222" s="460"/>
      <c r="W222" s="460"/>
      <c r="X222" s="460"/>
      <c r="Y222" s="460"/>
    </row>
    <row r="223" spans="1:25" x14ac:dyDescent="0.2">
      <c r="A223" s="378" t="str">
        <f>name!A34</f>
        <v>Motor vehicle trade</v>
      </c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</row>
    <row r="224" spans="1:25" x14ac:dyDescent="0.2">
      <c r="A224" s="382" t="s">
        <v>391</v>
      </c>
      <c r="B224" s="437">
        <v>3.2279999999394877</v>
      </c>
      <c r="C224" s="437">
        <v>2.8879999999931578</v>
      </c>
      <c r="D224" s="437">
        <v>0.32300000000171442</v>
      </c>
      <c r="E224" s="437">
        <f>SUM(B224:D224)</f>
        <v>6.4389999999343601</v>
      </c>
      <c r="F224" s="437"/>
      <c r="G224" s="437">
        <v>2.4029999999656599</v>
      </c>
      <c r="H224" s="437">
        <v>2.28800000000667</v>
      </c>
      <c r="I224" s="437">
        <v>0.17999999999929389</v>
      </c>
      <c r="J224" s="437">
        <f>SUM(G224:I224)</f>
        <v>4.870999999971624</v>
      </c>
      <c r="K224" s="437"/>
      <c r="L224" s="437">
        <v>2.6490000000217337</v>
      </c>
      <c r="M224" s="437">
        <v>1.448000000062017</v>
      </c>
      <c r="N224" s="437">
        <v>0.47300000001017739</v>
      </c>
      <c r="O224" s="437">
        <f>SUM(L224:N224)</f>
        <v>4.5700000000939287</v>
      </c>
      <c r="P224" s="437"/>
      <c r="Q224" s="437">
        <v>2.8780000000146684</v>
      </c>
      <c r="R224" s="437">
        <v>1.3840000000469532</v>
      </c>
      <c r="S224" s="437">
        <v>0.43700000000886463</v>
      </c>
      <c r="T224" s="437">
        <f>SUM(Q224:S224)</f>
        <v>4.6990000000704857</v>
      </c>
      <c r="U224" s="437"/>
      <c r="V224" s="437">
        <v>3.1320000000177015</v>
      </c>
      <c r="W224" s="437">
        <v>1.3330000000432787</v>
      </c>
      <c r="X224" s="437">
        <v>0.40500000000854847</v>
      </c>
      <c r="Y224" s="437">
        <f>SUM(V224:X224)</f>
        <v>4.8700000000695285</v>
      </c>
    </row>
    <row r="225" spans="1:25" x14ac:dyDescent="0.2">
      <c r="A225" s="382" t="s">
        <v>390</v>
      </c>
      <c r="B225" s="438">
        <v>13.786000000028427</v>
      </c>
      <c r="C225" s="438">
        <v>1.6839999999933075</v>
      </c>
      <c r="D225" s="438">
        <v>2.3610000000164422</v>
      </c>
      <c r="E225" s="438">
        <f t="shared" ref="E225:E226" si="571">SUM(B225:D225)</f>
        <v>17.831000000038177</v>
      </c>
      <c r="F225" s="438"/>
      <c r="G225" s="438">
        <v>14.879999999774352</v>
      </c>
      <c r="H225" s="438">
        <v>1.0439999999796545</v>
      </c>
      <c r="I225" s="438">
        <v>2.7139999999500373</v>
      </c>
      <c r="J225" s="438">
        <f t="shared" ref="J225:J226" si="572">SUM(G225:I225)</f>
        <v>18.637999999704043</v>
      </c>
      <c r="K225" s="438"/>
      <c r="L225" s="438">
        <v>17.599000000027157</v>
      </c>
      <c r="M225" s="438">
        <v>0.90099999999984837</v>
      </c>
      <c r="N225" s="438">
        <v>3.2720000000016025</v>
      </c>
      <c r="O225" s="438">
        <f t="shared" ref="O225:O226" si="573">SUM(L225:N225)</f>
        <v>21.772000000028605</v>
      </c>
      <c r="P225" s="438"/>
      <c r="Q225" s="438">
        <v>17.618999999802568</v>
      </c>
      <c r="R225" s="438">
        <v>1.058999999985087</v>
      </c>
      <c r="S225" s="438">
        <v>2.8249999999771078</v>
      </c>
      <c r="T225" s="438">
        <f t="shared" ref="T225:T226" si="574">SUM(Q225:S225)</f>
        <v>21.502999999764764</v>
      </c>
      <c r="U225" s="438"/>
      <c r="V225" s="438">
        <v>17.800999999774849</v>
      </c>
      <c r="W225" s="438">
        <v>1.225999999980631</v>
      </c>
      <c r="X225" s="438">
        <v>2.4049999999747254</v>
      </c>
      <c r="Y225" s="438">
        <f t="shared" ref="Y225:Y226" si="575">SUM(V225:X225)</f>
        <v>21.431999999730202</v>
      </c>
    </row>
    <row r="226" spans="1:25" x14ac:dyDescent="0.2">
      <c r="A226" s="382" t="s">
        <v>389</v>
      </c>
      <c r="B226" s="438">
        <f>SUM(B224:B225)</f>
        <v>17.013999999967915</v>
      </c>
      <c r="C226" s="438">
        <f t="shared" ref="C226" si="576">SUM(C224:C225)</f>
        <v>4.5719999999864651</v>
      </c>
      <c r="D226" s="438">
        <f t="shared" ref="D226" si="577">SUM(D224:D225)</f>
        <v>2.6840000000181568</v>
      </c>
      <c r="E226" s="438">
        <f t="shared" si="571"/>
        <v>24.269999999972537</v>
      </c>
      <c r="F226" s="438"/>
      <c r="G226" s="438">
        <f>SUM(G224:G225)</f>
        <v>17.282999999740014</v>
      </c>
      <c r="H226" s="438">
        <f t="shared" ref="H226" si="578">SUM(H224:H225)</f>
        <v>3.3319999999863246</v>
      </c>
      <c r="I226" s="438">
        <f t="shared" ref="I226" si="579">SUM(I224:I225)</f>
        <v>2.8939999999493313</v>
      </c>
      <c r="J226" s="438">
        <f t="shared" si="572"/>
        <v>23.508999999675666</v>
      </c>
      <c r="K226" s="438"/>
      <c r="L226" s="438">
        <f>SUM(L224:L225)</f>
        <v>20.24800000004889</v>
      </c>
      <c r="M226" s="438">
        <f t="shared" ref="M226" si="580">SUM(M224:M225)</f>
        <v>2.3490000000618654</v>
      </c>
      <c r="N226" s="438">
        <f t="shared" ref="N226" si="581">SUM(N224:N225)</f>
        <v>3.74500000001178</v>
      </c>
      <c r="O226" s="438">
        <f t="shared" si="573"/>
        <v>26.342000000122532</v>
      </c>
      <c r="P226" s="438"/>
      <c r="Q226" s="438">
        <f>SUM(Q224:Q225)</f>
        <v>20.496999999817238</v>
      </c>
      <c r="R226" s="438">
        <f t="shared" ref="R226" si="582">SUM(R224:R225)</f>
        <v>2.4430000000320402</v>
      </c>
      <c r="S226" s="438">
        <f t="shared" ref="S226" si="583">SUM(S224:S225)</f>
        <v>3.2619999999859726</v>
      </c>
      <c r="T226" s="438">
        <f t="shared" si="574"/>
        <v>26.201999999835252</v>
      </c>
      <c r="U226" s="438"/>
      <c r="V226" s="438">
        <f>SUM(V224:V225)</f>
        <v>20.93299999979255</v>
      </c>
      <c r="W226" s="438">
        <f t="shared" ref="W226" si="584">SUM(W224:W225)</f>
        <v>2.5590000000239099</v>
      </c>
      <c r="X226" s="438">
        <f t="shared" ref="X226" si="585">SUM(X224:X225)</f>
        <v>2.8099999999832739</v>
      </c>
      <c r="Y226" s="438">
        <f t="shared" si="575"/>
        <v>26.301999999799733</v>
      </c>
    </row>
    <row r="227" spans="1:25" x14ac:dyDescent="0.2">
      <c r="B227" s="380"/>
      <c r="C227" s="460"/>
      <c r="D227" s="460"/>
      <c r="E227" s="460"/>
      <c r="F227" s="460"/>
      <c r="G227" s="460"/>
      <c r="H227" s="460"/>
      <c r="I227" s="460"/>
      <c r="J227" s="460"/>
      <c r="K227" s="460"/>
      <c r="L227" s="460"/>
      <c r="M227" s="460"/>
      <c r="N227" s="460"/>
      <c r="O227" s="460"/>
      <c r="P227" s="460"/>
      <c r="Q227" s="460"/>
      <c r="R227" s="460"/>
      <c r="S227" s="460"/>
      <c r="T227" s="460"/>
      <c r="U227" s="460"/>
      <c r="V227" s="460"/>
      <c r="W227" s="460"/>
      <c r="X227" s="460"/>
      <c r="Y227" s="460"/>
    </row>
    <row r="228" spans="1:25" x14ac:dyDescent="0.2">
      <c r="A228" s="378" t="str">
        <f>name!A35</f>
        <v>Wholesale trade</v>
      </c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</row>
    <row r="229" spans="1:25" x14ac:dyDescent="0.2">
      <c r="A229" s="382" t="s">
        <v>391</v>
      </c>
      <c r="B229" s="437">
        <v>6.6389999998507685</v>
      </c>
      <c r="C229" s="437">
        <v>3.3029999999824629</v>
      </c>
      <c r="D229" s="437">
        <v>0.47900000000391268</v>
      </c>
      <c r="E229" s="437">
        <f>SUM(B229:D229)</f>
        <v>10.420999999837145</v>
      </c>
      <c r="F229" s="437"/>
      <c r="G229" s="437">
        <v>6.2419999998543938</v>
      </c>
      <c r="H229" s="437">
        <v>2.9049999999915173</v>
      </c>
      <c r="I229" s="437">
        <v>0.36900000000194627</v>
      </c>
      <c r="J229" s="437">
        <f>SUM(G229:I229)</f>
        <v>9.5159999998478568</v>
      </c>
      <c r="K229" s="437"/>
      <c r="L229" s="437">
        <v>6.4490000000451744</v>
      </c>
      <c r="M229" s="437">
        <v>4.0760000001536794</v>
      </c>
      <c r="N229" s="437">
        <v>0.94800000001152285</v>
      </c>
      <c r="O229" s="437">
        <f>SUM(L229:N229)</f>
        <v>11.473000000210378</v>
      </c>
      <c r="P229" s="437"/>
      <c r="Q229" s="437">
        <v>6.5699999999970622</v>
      </c>
      <c r="R229" s="437">
        <v>3.7220000001131517</v>
      </c>
      <c r="S229" s="437">
        <v>0.8470000000083121</v>
      </c>
      <c r="T229" s="437">
        <f>SUM(Q229:S229)</f>
        <v>11.139000000118527</v>
      </c>
      <c r="U229" s="437"/>
      <c r="V229" s="437">
        <v>6.7089999999980892</v>
      </c>
      <c r="W229" s="437">
        <v>3.418000000094108</v>
      </c>
      <c r="X229" s="437">
        <v>0.75800000000560219</v>
      </c>
      <c r="Y229" s="437">
        <f>SUM(V229:X229)</f>
        <v>10.885000000097799</v>
      </c>
    </row>
    <row r="230" spans="1:25" x14ac:dyDescent="0.2">
      <c r="A230" s="382" t="s">
        <v>390</v>
      </c>
      <c r="B230" s="438">
        <v>23.553000000034643</v>
      </c>
      <c r="C230" s="438">
        <v>1.9950000000001873</v>
      </c>
      <c r="D230" s="438">
        <v>2.030999999995708</v>
      </c>
      <c r="E230" s="438">
        <f t="shared" ref="E230:E231" si="586">SUM(B230:D230)</f>
        <v>27.579000000030536</v>
      </c>
      <c r="F230" s="438"/>
      <c r="G230" s="438">
        <v>21.305999999667861</v>
      </c>
      <c r="H230" s="438">
        <v>1.6939999999740041</v>
      </c>
      <c r="I230" s="438">
        <v>1.7429999999838723</v>
      </c>
      <c r="J230" s="438">
        <f t="shared" ref="J230:J231" si="587">SUM(G230:I230)</f>
        <v>24.742999999625738</v>
      </c>
      <c r="K230" s="438"/>
      <c r="L230" s="438">
        <v>23.423000000032019</v>
      </c>
      <c r="M230" s="438">
        <v>2.3330000000040414</v>
      </c>
      <c r="N230" s="438">
        <v>2.039999999995231</v>
      </c>
      <c r="O230" s="438">
        <f t="shared" ref="O230:O231" si="588">SUM(L230:N230)</f>
        <v>27.796000000031292</v>
      </c>
      <c r="P230" s="438"/>
      <c r="Q230" s="438">
        <v>22.152999999741841</v>
      </c>
      <c r="R230" s="438">
        <v>2.8409999999695357</v>
      </c>
      <c r="S230" s="438">
        <v>1.5589999999723299</v>
      </c>
      <c r="T230" s="438">
        <f t="shared" ref="T230:T231" si="589">SUM(Q230:S230)</f>
        <v>26.552999999683706</v>
      </c>
      <c r="U230" s="438"/>
      <c r="V230" s="438">
        <v>21.096999999734152</v>
      </c>
      <c r="W230" s="438">
        <v>3.3149999999590904</v>
      </c>
      <c r="X230" s="438">
        <v>1.1289999999817171</v>
      </c>
      <c r="Y230" s="438">
        <f t="shared" ref="Y230:Y231" si="590">SUM(V230:X230)</f>
        <v>25.540999999674959</v>
      </c>
    </row>
    <row r="231" spans="1:25" x14ac:dyDescent="0.2">
      <c r="A231" s="382" t="s">
        <v>389</v>
      </c>
      <c r="B231" s="438">
        <f>SUM(B229:B230)</f>
        <v>30.191999999885411</v>
      </c>
      <c r="C231" s="438">
        <f t="shared" ref="C231" si="591">SUM(C229:C230)</f>
        <v>5.2979999999826504</v>
      </c>
      <c r="D231" s="438">
        <f t="shared" ref="D231" si="592">SUM(D229:D230)</f>
        <v>2.5099999999996205</v>
      </c>
      <c r="E231" s="438">
        <f t="shared" si="586"/>
        <v>37.999999999867683</v>
      </c>
      <c r="F231" s="438"/>
      <c r="G231" s="438">
        <f>SUM(G229:G230)</f>
        <v>27.547999999522254</v>
      </c>
      <c r="H231" s="438">
        <f t="shared" ref="H231" si="593">SUM(H229:H230)</f>
        <v>4.5989999999655211</v>
      </c>
      <c r="I231" s="438">
        <f t="shared" ref="I231" si="594">SUM(I229:I230)</f>
        <v>2.1119999999858186</v>
      </c>
      <c r="J231" s="438">
        <f t="shared" si="587"/>
        <v>34.258999999473595</v>
      </c>
      <c r="K231" s="438"/>
      <c r="L231" s="438">
        <f>SUM(L229:L230)</f>
        <v>29.872000000077193</v>
      </c>
      <c r="M231" s="438">
        <f t="shared" ref="M231" si="595">SUM(M229:M230)</f>
        <v>6.4090000001577208</v>
      </c>
      <c r="N231" s="438">
        <f t="shared" ref="N231" si="596">SUM(N229:N230)</f>
        <v>2.9880000000067537</v>
      </c>
      <c r="O231" s="438">
        <f t="shared" si="588"/>
        <v>39.269000000241668</v>
      </c>
      <c r="P231" s="438"/>
      <c r="Q231" s="438">
        <f>SUM(Q229:Q230)</f>
        <v>28.722999999738903</v>
      </c>
      <c r="R231" s="438">
        <f t="shared" ref="R231" si="597">SUM(R229:R230)</f>
        <v>6.5630000000826874</v>
      </c>
      <c r="S231" s="438">
        <f t="shared" ref="S231" si="598">SUM(S229:S230)</f>
        <v>2.4059999999806418</v>
      </c>
      <c r="T231" s="438">
        <f t="shared" si="589"/>
        <v>37.691999999802235</v>
      </c>
      <c r="U231" s="438"/>
      <c r="V231" s="438">
        <f>SUM(V229:V230)</f>
        <v>27.80599999973224</v>
      </c>
      <c r="W231" s="438">
        <f t="shared" ref="W231" si="599">SUM(W229:W230)</f>
        <v>6.7330000000531989</v>
      </c>
      <c r="X231" s="438">
        <f t="shared" ref="X231" si="600">SUM(X229:X230)</f>
        <v>1.8869999999873193</v>
      </c>
      <c r="Y231" s="438">
        <f t="shared" si="590"/>
        <v>36.425999999772756</v>
      </c>
    </row>
    <row r="232" spans="1:25" x14ac:dyDescent="0.2">
      <c r="B232" s="380"/>
      <c r="C232" s="460"/>
      <c r="D232" s="460"/>
      <c r="E232" s="460"/>
      <c r="F232" s="460"/>
      <c r="G232" s="460"/>
      <c r="H232" s="460"/>
      <c r="I232" s="460"/>
      <c r="J232" s="460"/>
      <c r="K232" s="460"/>
      <c r="L232" s="460"/>
      <c r="M232" s="460"/>
      <c r="N232" s="460"/>
      <c r="O232" s="460"/>
      <c r="P232" s="460"/>
      <c r="Q232" s="460"/>
      <c r="R232" s="460"/>
      <c r="S232" s="460"/>
      <c r="T232" s="460"/>
      <c r="U232" s="460"/>
      <c r="V232" s="460"/>
      <c r="W232" s="460"/>
      <c r="X232" s="460"/>
      <c r="Y232" s="460"/>
    </row>
    <row r="233" spans="1:25" x14ac:dyDescent="0.2">
      <c r="A233" s="378" t="str">
        <f>name!A36</f>
        <v>Retail trade</v>
      </c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</row>
    <row r="234" spans="1:25" x14ac:dyDescent="0.2">
      <c r="A234" s="382" t="s">
        <v>391</v>
      </c>
      <c r="B234" s="437">
        <v>29.062999999264957</v>
      </c>
      <c r="C234" s="437">
        <v>58.888000001090454</v>
      </c>
      <c r="D234" s="437">
        <v>6.3640000000689323</v>
      </c>
      <c r="E234" s="437">
        <f>SUM(B234:D234)</f>
        <v>94.315000000424334</v>
      </c>
      <c r="F234" s="437"/>
      <c r="G234" s="437">
        <v>29.042999999345323</v>
      </c>
      <c r="H234" s="437">
        <v>56.840000001408889</v>
      </c>
      <c r="I234" s="437">
        <v>3.39300000004254</v>
      </c>
      <c r="J234" s="437">
        <f>SUM(G234:I234)</f>
        <v>89.276000000796742</v>
      </c>
      <c r="K234" s="437"/>
      <c r="L234" s="437">
        <v>24.149000000167828</v>
      </c>
      <c r="M234" s="437">
        <v>52.467000003707682</v>
      </c>
      <c r="N234" s="437">
        <v>8.3990000001542811</v>
      </c>
      <c r="O234" s="437">
        <f>SUM(L234:N234)</f>
        <v>85.015000004029787</v>
      </c>
      <c r="P234" s="437"/>
      <c r="Q234" s="437">
        <v>26.049000000016807</v>
      </c>
      <c r="R234" s="437">
        <v>50.046000002449169</v>
      </c>
      <c r="S234" s="437">
        <v>7.70900000013736</v>
      </c>
      <c r="T234" s="437">
        <f>SUM(Q234:S234)</f>
        <v>83.804000002603345</v>
      </c>
      <c r="U234" s="437"/>
      <c r="V234" s="437">
        <v>28.038000000022574</v>
      </c>
      <c r="W234" s="437">
        <v>47.743000002243633</v>
      </c>
      <c r="X234" s="437">
        <v>7.0380000001031338</v>
      </c>
      <c r="Y234" s="437">
        <f>SUM(V234:X234)</f>
        <v>82.81900000236935</v>
      </c>
    </row>
    <row r="235" spans="1:25" x14ac:dyDescent="0.2">
      <c r="A235" s="382" t="s">
        <v>390</v>
      </c>
      <c r="B235" s="438">
        <v>25.97900000003111</v>
      </c>
      <c r="C235" s="438">
        <v>24.828999999795862</v>
      </c>
      <c r="D235" s="438">
        <v>5.5079999999700098</v>
      </c>
      <c r="E235" s="438">
        <f t="shared" ref="E235:E236" si="601">SUM(B235:D235)</f>
        <v>56.315999999796986</v>
      </c>
      <c r="F235" s="438"/>
      <c r="G235" s="438">
        <v>25.472999999700367</v>
      </c>
      <c r="H235" s="438">
        <v>22.521999999558357</v>
      </c>
      <c r="I235" s="438">
        <v>5.6029999999151086</v>
      </c>
      <c r="J235" s="438">
        <f t="shared" ref="J235:J236" si="602">SUM(G235:I235)</f>
        <v>53.59799999917383</v>
      </c>
      <c r="K235" s="438"/>
      <c r="L235" s="438">
        <v>24.211000000013982</v>
      </c>
      <c r="M235" s="438">
        <v>21.103999999962927</v>
      </c>
      <c r="N235" s="438">
        <v>6.0379999999745584</v>
      </c>
      <c r="O235" s="438">
        <f t="shared" ref="O235:O236" si="603">SUM(L235:N235)</f>
        <v>51.352999999951464</v>
      </c>
      <c r="P235" s="438"/>
      <c r="Q235" s="438">
        <v>23.919999999782309</v>
      </c>
      <c r="R235" s="438">
        <v>25.853999999691951</v>
      </c>
      <c r="S235" s="438">
        <v>4.9879999999067444</v>
      </c>
      <c r="T235" s="438">
        <f t="shared" ref="T235:T236" si="604">SUM(Q235:S235)</f>
        <v>54.761999999381004</v>
      </c>
      <c r="U235" s="438"/>
      <c r="V235" s="438">
        <v>23.694999999769152</v>
      </c>
      <c r="W235" s="438">
        <v>30.704999999630608</v>
      </c>
      <c r="X235" s="438">
        <v>3.9479999999271573</v>
      </c>
      <c r="Y235" s="438">
        <f t="shared" ref="Y235:Y236" si="605">SUM(V235:X235)</f>
        <v>58.347999999326916</v>
      </c>
    </row>
    <row r="236" spans="1:25" x14ac:dyDescent="0.2">
      <c r="A236" s="382" t="s">
        <v>389</v>
      </c>
      <c r="B236" s="438">
        <f>SUM(B234:B235)</f>
        <v>55.041999999296067</v>
      </c>
      <c r="C236" s="438">
        <f t="shared" ref="C236" si="606">SUM(C234:C235)</f>
        <v>83.717000000886316</v>
      </c>
      <c r="D236" s="438">
        <f t="shared" ref="D236" si="607">SUM(D234:D235)</f>
        <v>11.872000000038941</v>
      </c>
      <c r="E236" s="438">
        <f t="shared" si="601"/>
        <v>150.63100000022132</v>
      </c>
      <c r="F236" s="438"/>
      <c r="G236" s="438">
        <f>SUM(G234:G235)</f>
        <v>54.51599999904569</v>
      </c>
      <c r="H236" s="438">
        <f t="shared" ref="H236" si="608">SUM(H234:H235)</f>
        <v>79.362000000967242</v>
      </c>
      <c r="I236" s="438">
        <f t="shared" ref="I236" si="609">SUM(I234:I235)</f>
        <v>8.9959999999576485</v>
      </c>
      <c r="J236" s="438">
        <f t="shared" si="602"/>
        <v>142.87399999997061</v>
      </c>
      <c r="K236" s="438"/>
      <c r="L236" s="438">
        <f>SUM(L234:L235)</f>
        <v>48.360000000181813</v>
      </c>
      <c r="M236" s="438">
        <f t="shared" ref="M236" si="610">SUM(M234:M235)</f>
        <v>73.571000003670605</v>
      </c>
      <c r="N236" s="438">
        <f t="shared" ref="N236" si="611">SUM(N234:N235)</f>
        <v>14.43700000012884</v>
      </c>
      <c r="O236" s="438">
        <f t="shared" si="603"/>
        <v>136.36800000398125</v>
      </c>
      <c r="P236" s="438"/>
      <c r="Q236" s="438">
        <f>SUM(Q234:Q235)</f>
        <v>49.968999999799117</v>
      </c>
      <c r="R236" s="438">
        <f t="shared" ref="R236" si="612">SUM(R234:R235)</f>
        <v>75.900000002141127</v>
      </c>
      <c r="S236" s="438">
        <f t="shared" ref="S236" si="613">SUM(S234:S235)</f>
        <v>12.697000000044104</v>
      </c>
      <c r="T236" s="438">
        <f t="shared" si="604"/>
        <v>138.56600000198435</v>
      </c>
      <c r="U236" s="438"/>
      <c r="V236" s="438">
        <f>SUM(V234:V235)</f>
        <v>51.73299999979173</v>
      </c>
      <c r="W236" s="438">
        <f t="shared" ref="W236" si="614">SUM(W234:W235)</f>
        <v>78.448000001874249</v>
      </c>
      <c r="X236" s="438">
        <f t="shared" ref="X236" si="615">SUM(X234:X235)</f>
        <v>10.986000000030291</v>
      </c>
      <c r="Y236" s="438">
        <f t="shared" si="605"/>
        <v>141.16700000169627</v>
      </c>
    </row>
    <row r="237" spans="1:25" x14ac:dyDescent="0.2">
      <c r="C237" s="453"/>
    </row>
    <row r="238" spans="1:25" x14ac:dyDescent="0.2">
      <c r="A238" s="383" t="s">
        <v>402</v>
      </c>
      <c r="C238" s="453"/>
    </row>
    <row r="239" spans="1:25" x14ac:dyDescent="0.2">
      <c r="A239" s="377" t="s">
        <v>391</v>
      </c>
      <c r="B239" s="437">
        <f>SUM(B224,B229,B234)</f>
        <v>38.929999999055212</v>
      </c>
      <c r="C239" s="437">
        <f t="shared" ref="C239:D239" si="616">SUM(C224,C229,C234)</f>
        <v>65.079000001066078</v>
      </c>
      <c r="D239" s="437">
        <f t="shared" si="616"/>
        <v>7.1660000000745594</v>
      </c>
      <c r="E239" s="437">
        <f>SUM(B239:D239)</f>
        <v>111.17500000019585</v>
      </c>
      <c r="F239" s="437"/>
      <c r="G239" s="437">
        <f>SUM(G224,G229,G234)</f>
        <v>37.687999999165378</v>
      </c>
      <c r="H239" s="437">
        <f t="shared" ref="H239:I239" si="617">SUM(H224,H229,H234)</f>
        <v>62.033000001407075</v>
      </c>
      <c r="I239" s="437">
        <f t="shared" si="617"/>
        <v>3.9420000000437803</v>
      </c>
      <c r="J239" s="437">
        <f>SUM(G239:I239)</f>
        <v>103.66300000061622</v>
      </c>
      <c r="K239" s="437"/>
      <c r="L239" s="437">
        <f>SUM(L224,L229,L234)</f>
        <v>33.247000000234735</v>
      </c>
      <c r="M239" s="437">
        <f t="shared" ref="M239:N239" si="618">SUM(M224,M229,M234)</f>
        <v>57.991000003923375</v>
      </c>
      <c r="N239" s="437">
        <f t="shared" si="618"/>
        <v>9.8200000001759804</v>
      </c>
      <c r="O239" s="437">
        <f>SUM(L239:N239)</f>
        <v>101.05800000433409</v>
      </c>
      <c r="P239" s="437"/>
      <c r="Q239" s="437">
        <f>SUM(Q224,Q229,Q234)</f>
        <v>35.497000000028535</v>
      </c>
      <c r="R239" s="437">
        <f t="shared" ref="R239:S239" si="619">SUM(R224,R229,R234)</f>
        <v>55.15200000260927</v>
      </c>
      <c r="S239" s="437">
        <f t="shared" si="619"/>
        <v>8.9930000001545363</v>
      </c>
      <c r="T239" s="437">
        <f>SUM(Q239:S239)</f>
        <v>99.642000002792344</v>
      </c>
      <c r="U239" s="437"/>
      <c r="V239" s="437">
        <f>SUM(V224,V229,V234)</f>
        <v>37.879000000038367</v>
      </c>
      <c r="W239" s="437">
        <f t="shared" ref="W239:X239" si="620">SUM(W224,W229,W234)</f>
        <v>52.494000002381021</v>
      </c>
      <c r="X239" s="437">
        <f t="shared" si="620"/>
        <v>8.2010000001172845</v>
      </c>
      <c r="Y239" s="437">
        <f>SUM(V239:X239)</f>
        <v>98.574000002536678</v>
      </c>
    </row>
    <row r="240" spans="1:25" x14ac:dyDescent="0.2">
      <c r="A240" s="377" t="s">
        <v>390</v>
      </c>
      <c r="B240" s="437">
        <f>SUM(B225,B230,B235)</f>
        <v>63.318000000094173</v>
      </c>
      <c r="C240" s="437">
        <f t="shared" ref="C240:D240" si="621">SUM(C225,C230,C235)</f>
        <v>28.507999999789355</v>
      </c>
      <c r="D240" s="437">
        <f t="shared" si="621"/>
        <v>9.8999999999821604</v>
      </c>
      <c r="E240" s="437">
        <f t="shared" ref="E240:E241" si="622">SUM(B240:D240)</f>
        <v>101.72599999986568</v>
      </c>
      <c r="F240" s="437"/>
      <c r="G240" s="437">
        <f>SUM(G225,G230,G235)</f>
        <v>61.65899999914258</v>
      </c>
      <c r="H240" s="437">
        <f t="shared" ref="H240:I240" si="623">SUM(H225,H230,H235)</f>
        <v>25.259999999512015</v>
      </c>
      <c r="I240" s="437">
        <f t="shared" si="623"/>
        <v>10.059999999849019</v>
      </c>
      <c r="J240" s="437">
        <f t="shared" ref="J240:J241" si="624">SUM(G240:I240)</f>
        <v>96.97899999850361</v>
      </c>
      <c r="K240" s="437"/>
      <c r="L240" s="437">
        <f>SUM(L225,L230,L235)</f>
        <v>65.233000000073162</v>
      </c>
      <c r="M240" s="437">
        <f t="shared" ref="M240:N240" si="625">SUM(M225,M230,M235)</f>
        <v>24.337999999966815</v>
      </c>
      <c r="N240" s="437">
        <f t="shared" si="625"/>
        <v>11.349999999971391</v>
      </c>
      <c r="O240" s="437">
        <f t="shared" ref="O240:O241" si="626">SUM(L240:N240)</f>
        <v>100.92100000001136</v>
      </c>
      <c r="P240" s="437"/>
      <c r="Q240" s="437">
        <f>SUM(Q225,Q230,Q235)</f>
        <v>63.691999999326711</v>
      </c>
      <c r="R240" s="437">
        <f t="shared" ref="R240:S240" si="627">SUM(R225,R230,R235)</f>
        <v>29.753999999646574</v>
      </c>
      <c r="S240" s="437">
        <f t="shared" si="627"/>
        <v>9.3719999998561825</v>
      </c>
      <c r="T240" s="437">
        <f t="shared" ref="T240:T241" si="628">SUM(Q240:S240)</f>
        <v>102.81799999882948</v>
      </c>
      <c r="U240" s="437"/>
      <c r="V240" s="437">
        <f>SUM(V225,V230,V235)</f>
        <v>62.592999999278149</v>
      </c>
      <c r="W240" s="437">
        <f t="shared" ref="W240:X240" si="629">SUM(W225,W230,W235)</f>
        <v>35.24599999957033</v>
      </c>
      <c r="X240" s="437">
        <f t="shared" si="629"/>
        <v>7.4819999998836</v>
      </c>
      <c r="Y240" s="437">
        <f t="shared" ref="Y240:Y241" si="630">SUM(V240:X240)</f>
        <v>105.32099999873208</v>
      </c>
    </row>
    <row r="241" spans="1:25" x14ac:dyDescent="0.2">
      <c r="A241" s="381" t="s">
        <v>389</v>
      </c>
      <c r="B241" s="439">
        <f>SUM(B239:B240)</f>
        <v>102.24799999914939</v>
      </c>
      <c r="C241" s="439">
        <f t="shared" ref="C241" si="631">SUM(C239:C240)</f>
        <v>93.587000000855426</v>
      </c>
      <c r="D241" s="439">
        <f t="shared" ref="D241" si="632">SUM(D239:D240)</f>
        <v>17.066000000056718</v>
      </c>
      <c r="E241" s="439">
        <f t="shared" si="622"/>
        <v>212.90100000006152</v>
      </c>
      <c r="F241" s="439"/>
      <c r="G241" s="439">
        <f>SUM(G239:G240)</f>
        <v>99.34699999830795</v>
      </c>
      <c r="H241" s="439">
        <f t="shared" ref="H241" si="633">SUM(H239:H240)</f>
        <v>87.293000000919093</v>
      </c>
      <c r="I241" s="439">
        <f t="shared" ref="I241" si="634">SUM(I239:I240)</f>
        <v>14.001999999892799</v>
      </c>
      <c r="J241" s="439">
        <f t="shared" si="624"/>
        <v>200.64199999911983</v>
      </c>
      <c r="K241" s="439"/>
      <c r="L241" s="439">
        <f>SUM(L239:L240)</f>
        <v>98.480000000307896</v>
      </c>
      <c r="M241" s="439">
        <f t="shared" ref="M241" si="635">SUM(M239:M240)</f>
        <v>82.329000003890187</v>
      </c>
      <c r="N241" s="439">
        <f t="shared" ref="N241" si="636">SUM(N239:N240)</f>
        <v>21.170000000147372</v>
      </c>
      <c r="O241" s="439">
        <f t="shared" si="626"/>
        <v>201.97900000434547</v>
      </c>
      <c r="P241" s="439"/>
      <c r="Q241" s="439">
        <f>SUM(Q239:Q240)</f>
        <v>99.188999999355246</v>
      </c>
      <c r="R241" s="439">
        <f t="shared" ref="R241" si="637">SUM(R239:R240)</f>
        <v>84.906000002255837</v>
      </c>
      <c r="S241" s="439">
        <f t="shared" ref="S241" si="638">SUM(S239:S240)</f>
        <v>18.365000000010717</v>
      </c>
      <c r="T241" s="439">
        <f t="shared" si="628"/>
        <v>202.46000000162181</v>
      </c>
      <c r="U241" s="439"/>
      <c r="V241" s="439">
        <f>SUM(V239:V240)</f>
        <v>100.47199999931652</v>
      </c>
      <c r="W241" s="439">
        <f t="shared" ref="W241" si="639">SUM(W239:W240)</f>
        <v>87.740000001951358</v>
      </c>
      <c r="X241" s="439">
        <f t="shared" ref="X241" si="640">SUM(X239:X240)</f>
        <v>15.683000000000884</v>
      </c>
      <c r="Y241" s="439">
        <f t="shared" si="630"/>
        <v>203.89500000126876</v>
      </c>
    </row>
    <row r="242" spans="1:25" x14ac:dyDescent="0.2">
      <c r="A242" s="386"/>
      <c r="B242" s="461"/>
      <c r="C242" s="461"/>
      <c r="D242" s="461"/>
      <c r="E242" s="461"/>
      <c r="F242" s="461"/>
      <c r="G242" s="461"/>
      <c r="H242" s="461"/>
      <c r="I242" s="461"/>
      <c r="J242" s="461"/>
      <c r="K242" s="461"/>
      <c r="L242" s="461"/>
      <c r="M242" s="461"/>
      <c r="N242" s="461"/>
      <c r="O242" s="461"/>
      <c r="P242" s="461"/>
      <c r="Q242" s="461"/>
      <c r="R242" s="461"/>
      <c r="S242" s="461"/>
      <c r="T242" s="461"/>
      <c r="U242" s="461"/>
      <c r="V242" s="461"/>
      <c r="W242" s="461"/>
      <c r="X242" s="461"/>
      <c r="Y242" s="461"/>
    </row>
    <row r="243" spans="1:25" x14ac:dyDescent="0.2">
      <c r="A243" s="377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</row>
    <row r="244" spans="1:25" x14ac:dyDescent="0.2">
      <c r="A244" s="378"/>
      <c r="B244" s="380"/>
      <c r="C244" s="455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</row>
    <row r="245" spans="1:25" ht="15" x14ac:dyDescent="0.25">
      <c r="A245" s="385" t="str">
        <f>"Industry 10 : "&amp; name!B13</f>
        <v>Industry 10 : Transport and storage</v>
      </c>
      <c r="B245" s="516">
        <f>$B$5</f>
        <v>2007</v>
      </c>
      <c r="C245" s="516"/>
      <c r="D245" s="516"/>
      <c r="E245" s="516"/>
      <c r="F245" s="461"/>
      <c r="G245" s="516">
        <f>$G$5</f>
        <v>2012</v>
      </c>
      <c r="H245" s="516"/>
      <c r="I245" s="516"/>
      <c r="J245" s="516"/>
      <c r="K245" s="461"/>
      <c r="L245" s="516">
        <f>$L$5</f>
        <v>2017</v>
      </c>
      <c r="M245" s="516"/>
      <c r="N245" s="516"/>
      <c r="O245" s="516"/>
      <c r="P245" s="459"/>
      <c r="Q245" s="516">
        <f>$Q$5</f>
        <v>2022</v>
      </c>
      <c r="R245" s="516"/>
      <c r="S245" s="516"/>
      <c r="T245" s="516"/>
      <c r="U245" s="461"/>
      <c r="V245" s="516">
        <f>$V$5</f>
        <v>2027</v>
      </c>
      <c r="W245" s="516"/>
      <c r="X245" s="516"/>
      <c r="Y245" s="516"/>
    </row>
    <row r="246" spans="1:25" x14ac:dyDescent="0.2">
      <c r="A246" s="381"/>
      <c r="B246" s="388" t="str">
        <f>$B$6</f>
        <v>FT</v>
      </c>
      <c r="C246" s="388" t="str">
        <f>$C$6</f>
        <v>PT</v>
      </c>
      <c r="D246" s="388" t="str">
        <f>$D$6</f>
        <v>SE</v>
      </c>
      <c r="E246" s="388" t="str">
        <f>$E$6</f>
        <v>Total</v>
      </c>
      <c r="F246" s="388"/>
      <c r="G246" s="388" t="str">
        <f>$B$6</f>
        <v>FT</v>
      </c>
      <c r="H246" s="388" t="str">
        <f>$C$6</f>
        <v>PT</v>
      </c>
      <c r="I246" s="388" t="str">
        <f>$D$6</f>
        <v>SE</v>
      </c>
      <c r="J246" s="388" t="str">
        <f>$E$6</f>
        <v>Total</v>
      </c>
      <c r="K246" s="388"/>
      <c r="L246" s="388" t="str">
        <f>$L$6</f>
        <v>FT</v>
      </c>
      <c r="M246" s="388" t="str">
        <f>$M$6</f>
        <v>PT</v>
      </c>
      <c r="N246" s="388" t="str">
        <f>$N$6</f>
        <v>SE</v>
      </c>
      <c r="O246" s="388" t="str">
        <f>$O$6</f>
        <v>Total</v>
      </c>
      <c r="P246" s="388"/>
      <c r="Q246" s="388" t="str">
        <f>$L$6</f>
        <v>FT</v>
      </c>
      <c r="R246" s="388" t="str">
        <f>$M$6</f>
        <v>PT</v>
      </c>
      <c r="S246" s="388" t="str">
        <f>$N$6</f>
        <v>SE</v>
      </c>
      <c r="T246" s="388" t="str">
        <f>$O$6</f>
        <v>Total</v>
      </c>
      <c r="U246" s="388"/>
      <c r="V246" s="388" t="str">
        <f>$V$6</f>
        <v>FT</v>
      </c>
      <c r="W246" s="388" t="str">
        <f>$W$6</f>
        <v>PT</v>
      </c>
      <c r="X246" s="388" t="str">
        <f>$X$6</f>
        <v>SE</v>
      </c>
      <c r="Y246" s="388" t="str">
        <f>$Y$6</f>
        <v>Total</v>
      </c>
    </row>
    <row r="247" spans="1:25" x14ac:dyDescent="0.2">
      <c r="B247" s="380"/>
      <c r="C247" s="460"/>
      <c r="D247" s="460"/>
      <c r="E247" s="460"/>
      <c r="F247" s="460"/>
      <c r="G247" s="460"/>
      <c r="H247" s="460"/>
      <c r="I247" s="460"/>
      <c r="J247" s="460"/>
      <c r="K247" s="460"/>
      <c r="L247" s="460"/>
      <c r="M247" s="460"/>
      <c r="N247" s="460"/>
      <c r="O247" s="460"/>
      <c r="P247" s="460"/>
      <c r="Q247" s="460"/>
      <c r="R247" s="460"/>
      <c r="S247" s="460"/>
      <c r="T247" s="460"/>
      <c r="U247" s="460"/>
      <c r="V247" s="460"/>
      <c r="W247" s="460"/>
      <c r="X247" s="460"/>
      <c r="Y247" s="460"/>
    </row>
    <row r="248" spans="1:25" x14ac:dyDescent="0.2">
      <c r="A248" s="378" t="str">
        <f>name!A37</f>
        <v>Land transport, etc</v>
      </c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</row>
    <row r="249" spans="1:25" x14ac:dyDescent="0.2">
      <c r="A249" s="382" t="s">
        <v>391</v>
      </c>
      <c r="B249" s="437">
        <v>1.6139999999750674</v>
      </c>
      <c r="C249" s="437">
        <v>0.67499999999209415</v>
      </c>
      <c r="D249" s="437">
        <v>0.3140000000000347</v>
      </c>
      <c r="E249" s="437">
        <f>SUM(B249:D249)</f>
        <v>2.6029999999671962</v>
      </c>
      <c r="F249" s="437"/>
      <c r="G249" s="437">
        <v>0.9749999999874901</v>
      </c>
      <c r="H249" s="437">
        <v>1.8249999999767559</v>
      </c>
      <c r="I249" s="437">
        <v>1.1359999999969022</v>
      </c>
      <c r="J249" s="437">
        <f>SUM(G249:I249)</f>
        <v>3.9359999999611484</v>
      </c>
      <c r="K249" s="437"/>
      <c r="L249" s="437">
        <v>1.1509999999967258</v>
      </c>
      <c r="M249" s="437">
        <v>0.9730000000301986</v>
      </c>
      <c r="N249" s="437">
        <v>0.83300000002831931</v>
      </c>
      <c r="O249" s="437">
        <f>SUM(L249:N249)</f>
        <v>2.9570000000552437</v>
      </c>
      <c r="P249" s="437"/>
      <c r="Q249" s="437">
        <v>1.5699999999886081</v>
      </c>
      <c r="R249" s="437">
        <v>1.2300000000330009</v>
      </c>
      <c r="S249" s="437">
        <v>0.78100000002232206</v>
      </c>
      <c r="T249" s="437">
        <f>SUM(Q249:S249)</f>
        <v>3.5810000000439315</v>
      </c>
      <c r="U249" s="437"/>
      <c r="V249" s="437">
        <v>2.0839999999880519</v>
      </c>
      <c r="W249" s="437">
        <v>1.5610000000328952</v>
      </c>
      <c r="X249" s="437">
        <v>0.78600000001657544</v>
      </c>
      <c r="Y249" s="437">
        <f>SUM(V249:X249)</f>
        <v>4.4310000000375229</v>
      </c>
    </row>
    <row r="250" spans="1:25" x14ac:dyDescent="0.2">
      <c r="A250" s="382" t="s">
        <v>390</v>
      </c>
      <c r="B250" s="438">
        <v>14.826000000026909</v>
      </c>
      <c r="C250" s="438">
        <v>2.4509999999999779</v>
      </c>
      <c r="D250" s="438">
        <v>5.0120000000710752</v>
      </c>
      <c r="E250" s="438">
        <f t="shared" ref="E250:E251" si="641">SUM(B250:D250)</f>
        <v>22.289000000097964</v>
      </c>
      <c r="F250" s="438"/>
      <c r="G250" s="438">
        <v>12.203999999785783</v>
      </c>
      <c r="H250" s="438">
        <v>1.7979999999653145</v>
      </c>
      <c r="I250" s="438">
        <v>5.2560000002713654</v>
      </c>
      <c r="J250" s="438">
        <f t="shared" ref="J250:J251" si="642">SUM(G250:I250)</f>
        <v>19.258000000022463</v>
      </c>
      <c r="K250" s="438"/>
      <c r="L250" s="438">
        <v>12.102000000011472</v>
      </c>
      <c r="M250" s="438">
        <v>0.88600000000344803</v>
      </c>
      <c r="N250" s="438">
        <v>4.605000000400536</v>
      </c>
      <c r="O250" s="438">
        <f t="shared" ref="O250:O251" si="643">SUM(L250:N250)</f>
        <v>17.593000000415458</v>
      </c>
      <c r="P250" s="438"/>
      <c r="Q250" s="438">
        <v>10.56299999987171</v>
      </c>
      <c r="R250" s="438">
        <v>1.1929999999818102</v>
      </c>
      <c r="S250" s="438">
        <v>4.5370000000116404</v>
      </c>
      <c r="T250" s="438">
        <f t="shared" ref="T250:T251" si="644">SUM(Q250:S250)</f>
        <v>16.29299999986516</v>
      </c>
      <c r="U250" s="438"/>
      <c r="V250" s="438">
        <v>9.7909999998737351</v>
      </c>
      <c r="W250" s="438">
        <v>1.5709999999688273</v>
      </c>
      <c r="X250" s="438">
        <v>4.8019999999091105</v>
      </c>
      <c r="Y250" s="438">
        <f t="shared" ref="Y250:Y251" si="645">SUM(V250:X250)</f>
        <v>16.163999999751674</v>
      </c>
    </row>
    <row r="251" spans="1:25" x14ac:dyDescent="0.2">
      <c r="A251" s="382" t="s">
        <v>389</v>
      </c>
      <c r="B251" s="438">
        <f>SUM(B249:B250)</f>
        <v>16.440000000001977</v>
      </c>
      <c r="C251" s="438">
        <f t="shared" ref="C251" si="646">SUM(C249:C250)</f>
        <v>3.125999999992072</v>
      </c>
      <c r="D251" s="438">
        <f t="shared" ref="D251" si="647">SUM(D249:D250)</f>
        <v>5.3260000000711099</v>
      </c>
      <c r="E251" s="438">
        <f t="shared" si="641"/>
        <v>24.89200000006516</v>
      </c>
      <c r="F251" s="438"/>
      <c r="G251" s="438">
        <f>SUM(G249:G250)</f>
        <v>13.178999999773273</v>
      </c>
      <c r="H251" s="438">
        <f t="shared" ref="H251" si="648">SUM(H249:H250)</f>
        <v>3.6229999999420706</v>
      </c>
      <c r="I251" s="438">
        <f t="shared" ref="I251" si="649">SUM(I249:I250)</f>
        <v>6.3920000002682675</v>
      </c>
      <c r="J251" s="438">
        <f t="shared" si="642"/>
        <v>23.19399999998361</v>
      </c>
      <c r="K251" s="438"/>
      <c r="L251" s="438">
        <f>SUM(L249:L250)</f>
        <v>13.253000000008198</v>
      </c>
      <c r="M251" s="438">
        <f t="shared" ref="M251" si="650">SUM(M249:M250)</f>
        <v>1.8590000000336466</v>
      </c>
      <c r="N251" s="438">
        <f t="shared" ref="N251" si="651">SUM(N249:N250)</f>
        <v>5.4380000004288558</v>
      </c>
      <c r="O251" s="438">
        <f t="shared" si="643"/>
        <v>20.5500000004707</v>
      </c>
      <c r="P251" s="438"/>
      <c r="Q251" s="438">
        <f>SUM(Q249:Q250)</f>
        <v>12.132999999860319</v>
      </c>
      <c r="R251" s="438">
        <f t="shared" ref="R251" si="652">SUM(R249:R250)</f>
        <v>2.4230000000148113</v>
      </c>
      <c r="S251" s="438">
        <f t="shared" ref="S251" si="653">SUM(S249:S250)</f>
        <v>5.3180000000339627</v>
      </c>
      <c r="T251" s="438">
        <f t="shared" si="644"/>
        <v>19.873999999909092</v>
      </c>
      <c r="U251" s="438"/>
      <c r="V251" s="438">
        <f>SUM(V249:V250)</f>
        <v>11.874999999861787</v>
      </c>
      <c r="W251" s="438">
        <f t="shared" ref="W251" si="654">SUM(W249:W250)</f>
        <v>3.1320000000017227</v>
      </c>
      <c r="X251" s="438">
        <f t="shared" ref="X251" si="655">SUM(X249:X250)</f>
        <v>5.5879999999256862</v>
      </c>
      <c r="Y251" s="438">
        <f t="shared" si="645"/>
        <v>20.594999999789195</v>
      </c>
    </row>
    <row r="252" spans="1:25" x14ac:dyDescent="0.2">
      <c r="B252" s="380"/>
      <c r="C252" s="460"/>
      <c r="D252" s="460"/>
      <c r="E252" s="460"/>
      <c r="F252" s="460"/>
      <c r="G252" s="460"/>
      <c r="H252" s="460"/>
      <c r="I252" s="460"/>
      <c r="J252" s="460"/>
      <c r="K252" s="460"/>
      <c r="L252" s="460"/>
      <c r="M252" s="460"/>
      <c r="N252" s="460"/>
      <c r="O252" s="460"/>
      <c r="P252" s="460"/>
      <c r="Q252" s="460"/>
      <c r="R252" s="460"/>
      <c r="S252" s="460"/>
      <c r="T252" s="460"/>
      <c r="U252" s="460"/>
      <c r="V252" s="460"/>
      <c r="W252" s="460"/>
      <c r="X252" s="460"/>
      <c r="Y252" s="460"/>
    </row>
    <row r="253" spans="1:25" x14ac:dyDescent="0.2">
      <c r="A253" s="378" t="str">
        <f>name!A38</f>
        <v>Water transport</v>
      </c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</row>
    <row r="254" spans="1:25" x14ac:dyDescent="0.2">
      <c r="A254" s="382" t="s">
        <v>391</v>
      </c>
      <c r="B254" s="437">
        <v>0.19199999999777825</v>
      </c>
      <c r="C254" s="437">
        <v>5.8999999999435872E-2</v>
      </c>
      <c r="D254" s="437">
        <v>1.5000000000127195E-2</v>
      </c>
      <c r="E254" s="437">
        <f>SUM(B254:D254)</f>
        <v>0.26599999999734131</v>
      </c>
      <c r="F254" s="437"/>
      <c r="G254" s="437">
        <v>0.14499999999818583</v>
      </c>
      <c r="H254" s="437">
        <v>6.6999999999235588E-2</v>
      </c>
      <c r="I254" s="437">
        <v>7.5999999999476514E-2</v>
      </c>
      <c r="J254" s="437">
        <f>SUM(G254:I254)</f>
        <v>0.28799999999689796</v>
      </c>
      <c r="K254" s="437"/>
      <c r="L254" s="437">
        <v>0.14399999999955856</v>
      </c>
      <c r="M254" s="437">
        <v>8.2000000002351345E-2</v>
      </c>
      <c r="N254" s="437">
        <v>4.0000000000706255E-2</v>
      </c>
      <c r="O254" s="437">
        <f>SUM(L254:N254)</f>
        <v>0.26600000000261614</v>
      </c>
      <c r="P254" s="437"/>
      <c r="Q254" s="437">
        <v>0.12199999999904124</v>
      </c>
      <c r="R254" s="437">
        <v>8.0000000002011531E-2</v>
      </c>
      <c r="S254" s="437">
        <v>3.1000000000472865E-2</v>
      </c>
      <c r="T254" s="437">
        <f>SUM(Q254:S254)</f>
        <v>0.23300000000152565</v>
      </c>
      <c r="U254" s="437"/>
      <c r="V254" s="437">
        <v>0.11499999999925564</v>
      </c>
      <c r="W254" s="437">
        <v>8.4000000001819161E-2</v>
      </c>
      <c r="X254" s="437">
        <v>2.7000000000286246E-2</v>
      </c>
      <c r="Y254" s="437">
        <f>SUM(V254:X254)</f>
        <v>0.22600000000136106</v>
      </c>
    </row>
    <row r="255" spans="1:25" x14ac:dyDescent="0.2">
      <c r="A255" s="382" t="s">
        <v>390</v>
      </c>
      <c r="B255" s="438">
        <v>0.77399999999925506</v>
      </c>
      <c r="C255" s="438">
        <v>0.21600000000023836</v>
      </c>
      <c r="D255" s="438">
        <v>3.0000000000096349E-2</v>
      </c>
      <c r="E255" s="438">
        <f t="shared" ref="E255:E256" si="656">SUM(B255:D255)</f>
        <v>1.0199999999995897</v>
      </c>
      <c r="F255" s="438"/>
      <c r="G255" s="438">
        <v>0.55299999999788396</v>
      </c>
      <c r="H255" s="438">
        <v>0.10499999999986639</v>
      </c>
      <c r="I255" s="438">
        <v>0.17199999999896071</v>
      </c>
      <c r="J255" s="438">
        <f t="shared" ref="J255:J256" si="657">SUM(G255:I255)</f>
        <v>0.82999999999671115</v>
      </c>
      <c r="K255" s="438"/>
      <c r="L255" s="438">
        <v>0.36399999999961119</v>
      </c>
      <c r="M255" s="438">
        <v>0.13499999999976925</v>
      </c>
      <c r="N255" s="438">
        <v>0.12599999999907427</v>
      </c>
      <c r="O255" s="438">
        <f t="shared" ref="O255:O256" si="658">SUM(L255:N255)</f>
        <v>0.62499999999845468</v>
      </c>
      <c r="P255" s="438"/>
      <c r="Q255" s="438">
        <v>0.26999999999946211</v>
      </c>
      <c r="R255" s="438">
        <v>0.12900000000044559</v>
      </c>
      <c r="S255" s="438">
        <v>9.7999999998007764E-2</v>
      </c>
      <c r="T255" s="438">
        <f t="shared" ref="T255:T256" si="659">SUM(Q255:S255)</f>
        <v>0.49699999999791544</v>
      </c>
      <c r="U255" s="438"/>
      <c r="V255" s="438">
        <v>0.22199999999983536</v>
      </c>
      <c r="W255" s="438">
        <v>0.13100000000072842</v>
      </c>
      <c r="X255" s="438">
        <v>8.4999999998416328E-2</v>
      </c>
      <c r="Y255" s="438">
        <f t="shared" ref="Y255:Y256" si="660">SUM(V255:X255)</f>
        <v>0.43799999999898009</v>
      </c>
    </row>
    <row r="256" spans="1:25" x14ac:dyDescent="0.2">
      <c r="A256" s="382" t="s">
        <v>389</v>
      </c>
      <c r="B256" s="438">
        <f>SUM(B254:B255)</f>
        <v>0.96599999999703334</v>
      </c>
      <c r="C256" s="438">
        <f t="shared" ref="C256" si="661">SUM(C254:C255)</f>
        <v>0.27499999999967423</v>
      </c>
      <c r="D256" s="438">
        <f t="shared" ref="D256" si="662">SUM(D254:D255)</f>
        <v>4.5000000000223542E-2</v>
      </c>
      <c r="E256" s="438">
        <f t="shared" si="656"/>
        <v>1.2859999999969312</v>
      </c>
      <c r="F256" s="438"/>
      <c r="G256" s="438">
        <f>SUM(G254:G255)</f>
        <v>0.69799999999606976</v>
      </c>
      <c r="H256" s="438">
        <f t="shared" ref="H256" si="663">SUM(H254:H255)</f>
        <v>0.17199999999910198</v>
      </c>
      <c r="I256" s="438">
        <f t="shared" ref="I256" si="664">SUM(I254:I255)</f>
        <v>0.24799999999843722</v>
      </c>
      <c r="J256" s="438">
        <f t="shared" si="657"/>
        <v>1.117999999993609</v>
      </c>
      <c r="K256" s="438"/>
      <c r="L256" s="438">
        <f>SUM(L254:L255)</f>
        <v>0.50799999999916978</v>
      </c>
      <c r="M256" s="438">
        <f t="shared" ref="M256" si="665">SUM(M254:M255)</f>
        <v>0.21700000000212061</v>
      </c>
      <c r="N256" s="438">
        <f t="shared" ref="N256" si="666">SUM(N254:N255)</f>
        <v>0.16599999999978052</v>
      </c>
      <c r="O256" s="438">
        <f t="shared" si="658"/>
        <v>0.89100000000107094</v>
      </c>
      <c r="P256" s="438"/>
      <c r="Q256" s="438">
        <f>SUM(Q254:Q255)</f>
        <v>0.39199999999850332</v>
      </c>
      <c r="R256" s="438">
        <f t="shared" ref="R256" si="667">SUM(R254:R255)</f>
        <v>0.20900000000245711</v>
      </c>
      <c r="S256" s="438">
        <f t="shared" ref="S256" si="668">SUM(S254:S255)</f>
        <v>0.12899999999848064</v>
      </c>
      <c r="T256" s="438">
        <f t="shared" si="659"/>
        <v>0.7299999999994411</v>
      </c>
      <c r="U256" s="438"/>
      <c r="V256" s="438">
        <f>SUM(V254:V255)</f>
        <v>0.33699999999909103</v>
      </c>
      <c r="W256" s="438">
        <f t="shared" ref="W256" si="669">SUM(W254:W255)</f>
        <v>0.2150000000025476</v>
      </c>
      <c r="X256" s="438">
        <f t="shared" ref="X256" si="670">SUM(X254:X255)</f>
        <v>0.11199999999870258</v>
      </c>
      <c r="Y256" s="438">
        <f t="shared" si="660"/>
        <v>0.66400000000034121</v>
      </c>
    </row>
    <row r="257" spans="1:25" x14ac:dyDescent="0.2">
      <c r="B257" s="38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25" x14ac:dyDescent="0.2">
      <c r="A258" s="378" t="str">
        <f>name!A39</f>
        <v>Air transport</v>
      </c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</row>
    <row r="259" spans="1:25" x14ac:dyDescent="0.2">
      <c r="A259" s="382" t="s">
        <v>391</v>
      </c>
      <c r="B259" s="437">
        <v>0.24399999999583225</v>
      </c>
      <c r="C259" s="437">
        <v>0.14399999999900884</v>
      </c>
      <c r="D259" s="437">
        <v>7.0000000000593572E-3</v>
      </c>
      <c r="E259" s="437">
        <f>SUM(B259:D259)</f>
        <v>0.39499999999490043</v>
      </c>
      <c r="F259" s="437"/>
      <c r="G259" s="437">
        <v>0.19499999999703277</v>
      </c>
      <c r="H259" s="437">
        <v>4.999999999965736E-2</v>
      </c>
      <c r="I259" s="437">
        <v>2.3000000000093272E-2</v>
      </c>
      <c r="J259" s="437">
        <f>SUM(G259:I259)</f>
        <v>0.26799999999678342</v>
      </c>
      <c r="K259" s="437"/>
      <c r="L259" s="437">
        <v>0.12899999999996686</v>
      </c>
      <c r="M259" s="437">
        <v>3.1000000000865925E-2</v>
      </c>
      <c r="N259" s="437">
        <v>1.1000000000125857E-2</v>
      </c>
      <c r="O259" s="437">
        <f>SUM(L259:N259)</f>
        <v>0.17100000000095864</v>
      </c>
      <c r="P259" s="437"/>
      <c r="Q259" s="437">
        <v>0.14399999999919483</v>
      </c>
      <c r="R259" s="437">
        <v>3.4000000000811131E-2</v>
      </c>
      <c r="S259" s="437">
        <v>1.2000000000124427E-2</v>
      </c>
      <c r="T259" s="437">
        <f>SUM(Q259:S259)</f>
        <v>0.1900000000001304</v>
      </c>
      <c r="U259" s="437"/>
      <c r="V259" s="437">
        <v>0.16699999999904586</v>
      </c>
      <c r="W259" s="437">
        <v>3.8000000000788889E-2</v>
      </c>
      <c r="X259" s="437">
        <v>1.4000000000139196E-2</v>
      </c>
      <c r="Y259" s="437">
        <f>SUM(V259:X259)</f>
        <v>0.21899999999997397</v>
      </c>
    </row>
    <row r="260" spans="1:25" x14ac:dyDescent="0.2">
      <c r="A260" s="382" t="s">
        <v>390</v>
      </c>
      <c r="B260" s="438">
        <v>0.25400000000013834</v>
      </c>
      <c r="C260" s="438">
        <v>2.000000000009252E-2</v>
      </c>
      <c r="D260" s="438">
        <v>5.000000000016061E-3</v>
      </c>
      <c r="E260" s="438">
        <f t="shared" ref="E260:E261" si="671">SUM(B260:D260)</f>
        <v>0.27900000000024688</v>
      </c>
      <c r="F260" s="438"/>
      <c r="G260" s="438">
        <v>0.19999999999807755</v>
      </c>
      <c r="H260" s="438">
        <v>8.999999999998131E-3</v>
      </c>
      <c r="I260" s="438">
        <v>1.1999999999919497E-2</v>
      </c>
      <c r="J260" s="438">
        <f t="shared" ref="J260:J261" si="672">SUM(G260:I260)</f>
        <v>0.22099999999799516</v>
      </c>
      <c r="K260" s="438"/>
      <c r="L260" s="438">
        <v>0.12600000000025263</v>
      </c>
      <c r="M260" s="438">
        <v>5.0000000000116401E-3</v>
      </c>
      <c r="N260" s="438">
        <v>1.4000000000014329E-2</v>
      </c>
      <c r="O260" s="438">
        <f t="shared" ref="O260:O261" si="673">SUM(L260:N260)</f>
        <v>0.1450000000002786</v>
      </c>
      <c r="P260" s="438"/>
      <c r="Q260" s="438">
        <v>0.13499999999881088</v>
      </c>
      <c r="R260" s="438">
        <v>5.9999999999944568E-3</v>
      </c>
      <c r="S260" s="438">
        <v>1.4999999999838283E-2</v>
      </c>
      <c r="T260" s="438">
        <f t="shared" ref="T260:T261" si="674">SUM(Q260:S260)</f>
        <v>0.15599999999864361</v>
      </c>
      <c r="U260" s="438"/>
      <c r="V260" s="438">
        <v>0.15099999999839128</v>
      </c>
      <c r="W260" s="438">
        <v>6.9999999999809052E-3</v>
      </c>
      <c r="X260" s="438">
        <v>1.5999999999808518E-2</v>
      </c>
      <c r="Y260" s="438">
        <f t="shared" ref="Y260:Y261" si="675">SUM(V260:X260)</f>
        <v>0.17399999999818072</v>
      </c>
    </row>
    <row r="261" spans="1:25" x14ac:dyDescent="0.2">
      <c r="A261" s="382" t="s">
        <v>389</v>
      </c>
      <c r="B261" s="438">
        <f>SUM(B259:B260)</f>
        <v>0.49799999999597055</v>
      </c>
      <c r="C261" s="438">
        <f t="shared" ref="C261" si="676">SUM(C259:C260)</f>
        <v>0.16399999999910136</v>
      </c>
      <c r="D261" s="438">
        <f t="shared" ref="D261" si="677">SUM(D259:D260)</f>
        <v>1.2000000000075419E-2</v>
      </c>
      <c r="E261" s="438">
        <f t="shared" si="671"/>
        <v>0.67399999999514726</v>
      </c>
      <c r="F261" s="438"/>
      <c r="G261" s="438">
        <f>SUM(G259:G260)</f>
        <v>0.39499999999511032</v>
      </c>
      <c r="H261" s="438">
        <f t="shared" ref="H261" si="678">SUM(H259:H260)</f>
        <v>5.8999999999655495E-2</v>
      </c>
      <c r="I261" s="438">
        <f t="shared" ref="I261" si="679">SUM(I259:I260)</f>
        <v>3.5000000000012771E-2</v>
      </c>
      <c r="J261" s="438">
        <f t="shared" si="672"/>
        <v>0.48899999999477861</v>
      </c>
      <c r="K261" s="438"/>
      <c r="L261" s="438">
        <f>SUM(L259:L260)</f>
        <v>0.2550000000002195</v>
      </c>
      <c r="M261" s="438">
        <f t="shared" ref="M261" si="680">SUM(M259:M260)</f>
        <v>3.6000000000877566E-2</v>
      </c>
      <c r="N261" s="438">
        <f t="shared" ref="N261" si="681">SUM(N259:N260)</f>
        <v>2.5000000000140188E-2</v>
      </c>
      <c r="O261" s="438">
        <f t="shared" si="673"/>
        <v>0.31600000000123724</v>
      </c>
      <c r="P261" s="438"/>
      <c r="Q261" s="438">
        <f>SUM(Q259:Q260)</f>
        <v>0.27899999999800573</v>
      </c>
      <c r="R261" s="438">
        <f t="shared" ref="R261" si="682">SUM(R259:R260)</f>
        <v>4.0000000000805586E-2</v>
      </c>
      <c r="S261" s="438">
        <f t="shared" ref="S261" si="683">SUM(S259:S260)</f>
        <v>2.699999999996271E-2</v>
      </c>
      <c r="T261" s="438">
        <f t="shared" si="674"/>
        <v>0.34599999999877407</v>
      </c>
      <c r="U261" s="438"/>
      <c r="V261" s="438">
        <f>SUM(V259:V260)</f>
        <v>0.31799999999743711</v>
      </c>
      <c r="W261" s="438">
        <f t="shared" ref="W261" si="684">SUM(W259:W260)</f>
        <v>4.5000000000769792E-2</v>
      </c>
      <c r="X261" s="438">
        <f t="shared" ref="X261" si="685">SUM(X259:X260)</f>
        <v>2.9999999999947714E-2</v>
      </c>
      <c r="Y261" s="438">
        <f t="shared" si="675"/>
        <v>0.39299999999815466</v>
      </c>
    </row>
    <row r="262" spans="1:25" x14ac:dyDescent="0.2">
      <c r="B262" s="380"/>
      <c r="C262" s="460"/>
      <c r="D262" s="460"/>
      <c r="E262" s="460"/>
      <c r="F262" s="460"/>
      <c r="G262" s="460"/>
      <c r="H262" s="460"/>
      <c r="I262" s="460"/>
      <c r="J262" s="460"/>
      <c r="K262" s="460"/>
      <c r="L262" s="460"/>
      <c r="M262" s="460"/>
      <c r="N262" s="460"/>
      <c r="O262" s="460"/>
      <c r="P262" s="460"/>
      <c r="Q262" s="460"/>
      <c r="R262" s="460"/>
      <c r="S262" s="460"/>
      <c r="T262" s="460"/>
      <c r="U262" s="460"/>
      <c r="V262" s="460"/>
      <c r="W262" s="460"/>
      <c r="X262" s="460"/>
      <c r="Y262" s="460"/>
    </row>
    <row r="263" spans="1:25" x14ac:dyDescent="0.2">
      <c r="A263" s="378" t="str">
        <f>name!A40</f>
        <v>Warehousing, etc</v>
      </c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</row>
    <row r="264" spans="1:25" x14ac:dyDescent="0.2">
      <c r="A264" s="382" t="s">
        <v>391</v>
      </c>
      <c r="B264" s="437">
        <v>0.51299999999008494</v>
      </c>
      <c r="C264" s="437">
        <v>0.17999999999865932</v>
      </c>
      <c r="D264" s="437">
        <v>0.22800000000396575</v>
      </c>
      <c r="E264" s="437">
        <f>SUM(B264:D264)</f>
        <v>0.92099999999271009</v>
      </c>
      <c r="F264" s="437"/>
      <c r="G264" s="437">
        <v>0.58999999998829777</v>
      </c>
      <c r="H264" s="437">
        <v>0.25099999999779821</v>
      </c>
      <c r="I264" s="437">
        <v>0.41700000000721466</v>
      </c>
      <c r="J264" s="437">
        <f>SUM(G264:I264)</f>
        <v>1.2579999999933107</v>
      </c>
      <c r="K264" s="437"/>
      <c r="L264" s="437">
        <v>0.68100000000149807</v>
      </c>
      <c r="M264" s="437">
        <v>0.45200000001374313</v>
      </c>
      <c r="N264" s="437">
        <v>0.34700000000871739</v>
      </c>
      <c r="O264" s="437">
        <f>SUM(L264:N264)</f>
        <v>1.4800000000239586</v>
      </c>
      <c r="P264" s="437"/>
      <c r="Q264" s="437">
        <v>0.70099999999712914</v>
      </c>
      <c r="R264" s="437">
        <v>0.51000000001333523</v>
      </c>
      <c r="S264" s="437">
        <v>0.35400000000880483</v>
      </c>
      <c r="T264" s="437">
        <f>SUM(Q264:S264)</f>
        <v>1.5650000000192692</v>
      </c>
      <c r="U264" s="437"/>
      <c r="V264" s="437">
        <v>0.70999999999750874</v>
      </c>
      <c r="W264" s="437">
        <v>0.55200000001241967</v>
      </c>
      <c r="X264" s="437">
        <v>0.36400000000681432</v>
      </c>
      <c r="Y264" s="437">
        <f>SUM(V264:X264)</f>
        <v>1.6260000000167429</v>
      </c>
    </row>
    <row r="265" spans="1:25" x14ac:dyDescent="0.2">
      <c r="A265" s="382" t="s">
        <v>390</v>
      </c>
      <c r="B265" s="438">
        <v>7.5650000000126578</v>
      </c>
      <c r="C265" s="438">
        <v>0.70300000000015839</v>
      </c>
      <c r="D265" s="438">
        <v>0.82799999999512952</v>
      </c>
      <c r="E265" s="438">
        <f t="shared" ref="E265:E266" si="686">SUM(B265:D265)</f>
        <v>9.096000000007944</v>
      </c>
      <c r="F265" s="438"/>
      <c r="G265" s="438">
        <v>7.2279999998827735</v>
      </c>
      <c r="H265" s="438">
        <v>1.0209999999854413</v>
      </c>
      <c r="I265" s="438">
        <v>0.83600000000215513</v>
      </c>
      <c r="J265" s="438">
        <f t="shared" ref="J265:J266" si="687">SUM(G265:I265)</f>
        <v>9.0849999998703694</v>
      </c>
      <c r="K265" s="438"/>
      <c r="L265" s="438">
        <v>7.032000000009929</v>
      </c>
      <c r="M265" s="438">
        <v>1.1270000000038003</v>
      </c>
      <c r="N265" s="438">
        <v>1.2130000000041448</v>
      </c>
      <c r="O265" s="438">
        <f t="shared" ref="O265:O266" si="688">SUM(L265:N265)</f>
        <v>9.3720000000178754</v>
      </c>
      <c r="P265" s="438"/>
      <c r="Q265" s="438">
        <v>6.8359999999170125</v>
      </c>
      <c r="R265" s="438">
        <v>1.1019999999871941</v>
      </c>
      <c r="S265" s="438">
        <v>1.1729999999798149</v>
      </c>
      <c r="T265" s="438">
        <f t="shared" ref="T265:T266" si="689">SUM(Q265:S265)</f>
        <v>9.1109999998840223</v>
      </c>
      <c r="U265" s="438"/>
      <c r="V265" s="438">
        <v>6.626999999910467</v>
      </c>
      <c r="W265" s="438">
        <v>1.0799999999836409</v>
      </c>
      <c r="X265" s="438">
        <v>1.1649999999783835</v>
      </c>
      <c r="Y265" s="438">
        <f t="shared" ref="Y265:Y266" si="690">SUM(V265:X265)</f>
        <v>8.8719999998724912</v>
      </c>
    </row>
    <row r="266" spans="1:25" x14ac:dyDescent="0.2">
      <c r="A266" s="382" t="s">
        <v>389</v>
      </c>
      <c r="B266" s="438">
        <f>SUM(B264:B265)</f>
        <v>8.0780000000027421</v>
      </c>
      <c r="C266" s="438">
        <f t="shared" ref="C266" si="691">SUM(C264:C265)</f>
        <v>0.88299999999881773</v>
      </c>
      <c r="D266" s="438">
        <f t="shared" ref="D266" si="692">SUM(D264:D265)</f>
        <v>1.0559999999990952</v>
      </c>
      <c r="E266" s="438">
        <f t="shared" si="686"/>
        <v>10.017000000000655</v>
      </c>
      <c r="F266" s="438"/>
      <c r="G266" s="438">
        <f>SUM(G264:G265)</f>
        <v>7.8179999998710716</v>
      </c>
      <c r="H266" s="438">
        <f t="shared" ref="H266" si="693">SUM(H264:H265)</f>
        <v>1.2719999999832394</v>
      </c>
      <c r="I266" s="438">
        <f t="shared" ref="I266" si="694">SUM(I264:I265)</f>
        <v>1.2530000000093697</v>
      </c>
      <c r="J266" s="438">
        <f t="shared" si="687"/>
        <v>10.342999999863681</v>
      </c>
      <c r="K266" s="438"/>
      <c r="L266" s="438">
        <f>SUM(L264:L265)</f>
        <v>7.7130000000114274</v>
      </c>
      <c r="M266" s="438">
        <f t="shared" ref="M266" si="695">SUM(M264:M265)</f>
        <v>1.5790000000175435</v>
      </c>
      <c r="N266" s="438">
        <f t="shared" ref="N266" si="696">SUM(N264:N265)</f>
        <v>1.5600000000128622</v>
      </c>
      <c r="O266" s="438">
        <f t="shared" si="688"/>
        <v>10.852000000041834</v>
      </c>
      <c r="P266" s="438"/>
      <c r="Q266" s="438">
        <f>SUM(Q264:Q265)</f>
        <v>7.5369999999141415</v>
      </c>
      <c r="R266" s="438">
        <f t="shared" ref="R266" si="697">SUM(R264:R265)</f>
        <v>1.6120000000005295</v>
      </c>
      <c r="S266" s="438">
        <f t="shared" ref="S266" si="698">SUM(S264:S265)</f>
        <v>1.5269999999886197</v>
      </c>
      <c r="T266" s="438">
        <f t="shared" si="689"/>
        <v>10.675999999903292</v>
      </c>
      <c r="U266" s="438"/>
      <c r="V266" s="438">
        <f>SUM(V264:V265)</f>
        <v>7.3369999999079756</v>
      </c>
      <c r="W266" s="438">
        <f t="shared" ref="W266" si="699">SUM(W264:W265)</f>
        <v>1.6319999999960606</v>
      </c>
      <c r="X266" s="438">
        <f t="shared" ref="X266" si="700">SUM(X264:X265)</f>
        <v>1.528999999985198</v>
      </c>
      <c r="Y266" s="438">
        <f t="shared" si="690"/>
        <v>10.497999999889233</v>
      </c>
    </row>
    <row r="267" spans="1:25" x14ac:dyDescent="0.2">
      <c r="B267" s="380"/>
      <c r="C267" s="460"/>
      <c r="D267" s="460"/>
      <c r="E267" s="460"/>
      <c r="F267" s="460"/>
      <c r="G267" s="460"/>
      <c r="H267" s="460"/>
      <c r="I267" s="460"/>
      <c r="J267" s="460"/>
      <c r="K267" s="460"/>
      <c r="L267" s="460"/>
      <c r="M267" s="460"/>
      <c r="N267" s="460"/>
      <c r="O267" s="460"/>
      <c r="P267" s="460"/>
      <c r="Q267" s="460"/>
      <c r="R267" s="460"/>
      <c r="S267" s="460"/>
      <c r="T267" s="460"/>
      <c r="U267" s="460"/>
      <c r="V267" s="460"/>
      <c r="W267" s="460"/>
      <c r="X267" s="460"/>
      <c r="Y267" s="460"/>
    </row>
    <row r="268" spans="1:25" x14ac:dyDescent="0.2">
      <c r="A268" s="378" t="str">
        <f>name!A41</f>
        <v>Postal and courier</v>
      </c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</row>
    <row r="269" spans="1:25" x14ac:dyDescent="0.2">
      <c r="A269" s="382" t="s">
        <v>391</v>
      </c>
      <c r="B269" s="437">
        <v>2.1599999999588975</v>
      </c>
      <c r="C269" s="437">
        <v>1.9329999999876228</v>
      </c>
      <c r="D269" s="437">
        <v>0.2959999999999372</v>
      </c>
      <c r="E269" s="437">
        <f>SUM(B269:D269)</f>
        <v>4.3889999999464573</v>
      </c>
      <c r="F269" s="437"/>
      <c r="G269" s="437">
        <v>2.0269999999664963</v>
      </c>
      <c r="H269" s="437">
        <v>1.3049999999926489</v>
      </c>
      <c r="I269" s="437">
        <v>0.39100000000095336</v>
      </c>
      <c r="J269" s="437">
        <f>SUM(G269:I269)</f>
        <v>3.7229999999600989</v>
      </c>
      <c r="K269" s="437"/>
      <c r="L269" s="437">
        <v>2.0490000000049977</v>
      </c>
      <c r="M269" s="437">
        <v>0.90900000003329773</v>
      </c>
      <c r="N269" s="437">
        <v>0.24100000000686722</v>
      </c>
      <c r="O269" s="437">
        <f>SUM(L269:N269)</f>
        <v>3.1990000000451624</v>
      </c>
      <c r="P269" s="437"/>
      <c r="Q269" s="437">
        <v>2.1089999999944133</v>
      </c>
      <c r="R269" s="437">
        <v>1.0250000000316135</v>
      </c>
      <c r="S269" s="437">
        <v>0.24600000000642447</v>
      </c>
      <c r="T269" s="437">
        <f>SUM(Q269:S269)</f>
        <v>3.3800000000324513</v>
      </c>
      <c r="U269" s="437"/>
      <c r="V269" s="437">
        <v>2.1349999999964151</v>
      </c>
      <c r="W269" s="437">
        <v>1.111000000030808</v>
      </c>
      <c r="X269" s="437">
        <v>0.25300000000477979</v>
      </c>
      <c r="Y269" s="437">
        <f>SUM(V269:X269)</f>
        <v>3.499000000032003</v>
      </c>
    </row>
    <row r="270" spans="1:25" x14ac:dyDescent="0.2">
      <c r="A270" s="382" t="s">
        <v>390</v>
      </c>
      <c r="B270" s="438">
        <v>5.055000000013619</v>
      </c>
      <c r="C270" s="438">
        <v>1.8819999999982497</v>
      </c>
      <c r="D270" s="438">
        <v>0.90700000001024383</v>
      </c>
      <c r="E270" s="438">
        <f t="shared" ref="E270:E271" si="701">SUM(B270:D270)</f>
        <v>7.8440000000221133</v>
      </c>
      <c r="F270" s="438"/>
      <c r="G270" s="438">
        <v>3.943999999925444</v>
      </c>
      <c r="H270" s="438">
        <v>1.3219999999758103</v>
      </c>
      <c r="I270" s="438">
        <v>0.66100000000778991</v>
      </c>
      <c r="J270" s="438">
        <f t="shared" ref="J270:J271" si="702">SUM(G270:I270)</f>
        <v>5.9269999999090439</v>
      </c>
      <c r="K270" s="438"/>
      <c r="L270" s="438">
        <v>3.3590000000091931</v>
      </c>
      <c r="M270" s="438">
        <v>0.56400000000147188</v>
      </c>
      <c r="N270" s="438">
        <v>0.71100000002499708</v>
      </c>
      <c r="O270" s="438">
        <f t="shared" ref="O270:O271" si="703">SUM(L270:N270)</f>
        <v>4.6340000000356616</v>
      </c>
      <c r="P270" s="438"/>
      <c r="Q270" s="438">
        <v>3.2649999999525674</v>
      </c>
      <c r="R270" s="438">
        <v>0.55099999999196636</v>
      </c>
      <c r="S270" s="438">
        <v>0.686999999998257</v>
      </c>
      <c r="T270" s="438">
        <f t="shared" ref="T270:T271" si="704">SUM(Q270:S270)</f>
        <v>4.5029999999427908</v>
      </c>
      <c r="U270" s="438"/>
      <c r="V270" s="438">
        <v>3.1659999999460307</v>
      </c>
      <c r="W270" s="438">
        <v>0.53999999999023307</v>
      </c>
      <c r="X270" s="438">
        <v>0.68199999999165417</v>
      </c>
      <c r="Y270" s="438">
        <f t="shared" ref="Y270:Y271" si="705">SUM(V270:X270)</f>
        <v>4.387999999927918</v>
      </c>
    </row>
    <row r="271" spans="1:25" x14ac:dyDescent="0.2">
      <c r="A271" s="382" t="s">
        <v>389</v>
      </c>
      <c r="B271" s="438">
        <f>SUM(B269:B270)</f>
        <v>7.2149999999725161</v>
      </c>
      <c r="C271" s="438">
        <f t="shared" ref="C271" si="706">SUM(C269:C270)</f>
        <v>3.8149999999858726</v>
      </c>
      <c r="D271" s="438">
        <f t="shared" ref="D271" si="707">SUM(D269:D270)</f>
        <v>1.203000000010181</v>
      </c>
      <c r="E271" s="438">
        <f t="shared" si="701"/>
        <v>12.23299999996857</v>
      </c>
      <c r="F271" s="438"/>
      <c r="G271" s="438">
        <f>SUM(G269:G270)</f>
        <v>5.9709999998919407</v>
      </c>
      <c r="H271" s="438">
        <f t="shared" ref="H271" si="708">SUM(H269:H270)</f>
        <v>2.6269999999684592</v>
      </c>
      <c r="I271" s="438">
        <f t="shared" ref="I271" si="709">SUM(I269:I270)</f>
        <v>1.0520000000087433</v>
      </c>
      <c r="J271" s="438">
        <f t="shared" si="702"/>
        <v>9.6499999998691433</v>
      </c>
      <c r="K271" s="438"/>
      <c r="L271" s="438">
        <f>SUM(L269:L270)</f>
        <v>5.4080000000141908</v>
      </c>
      <c r="M271" s="438">
        <f t="shared" ref="M271" si="710">SUM(M269:M270)</f>
        <v>1.4730000000347696</v>
      </c>
      <c r="N271" s="438">
        <f t="shared" ref="N271" si="711">SUM(N269:N270)</f>
        <v>0.95200000003186425</v>
      </c>
      <c r="O271" s="438">
        <f t="shared" si="703"/>
        <v>7.8330000000808244</v>
      </c>
      <c r="P271" s="438"/>
      <c r="Q271" s="438">
        <f>SUM(Q269:Q270)</f>
        <v>5.3739999999469807</v>
      </c>
      <c r="R271" s="438">
        <f t="shared" ref="R271" si="712">SUM(R269:R270)</f>
        <v>1.5760000000235799</v>
      </c>
      <c r="S271" s="438">
        <f t="shared" ref="S271" si="713">SUM(S269:S270)</f>
        <v>0.93300000000468142</v>
      </c>
      <c r="T271" s="438">
        <f t="shared" si="704"/>
        <v>7.882999999975242</v>
      </c>
      <c r="U271" s="438"/>
      <c r="V271" s="438">
        <f>SUM(V269:V270)</f>
        <v>5.3009999999424462</v>
      </c>
      <c r="W271" s="438">
        <f t="shared" ref="W271" si="714">SUM(W269:W270)</f>
        <v>1.6510000000210412</v>
      </c>
      <c r="X271" s="438">
        <f t="shared" ref="X271" si="715">SUM(X269:X270)</f>
        <v>0.93499999999643402</v>
      </c>
      <c r="Y271" s="438">
        <f t="shared" si="705"/>
        <v>7.8869999999599205</v>
      </c>
    </row>
    <row r="272" spans="1:25" x14ac:dyDescent="0.2">
      <c r="C272" s="453"/>
    </row>
    <row r="273" spans="1:25" x14ac:dyDescent="0.2">
      <c r="A273" s="383" t="s">
        <v>401</v>
      </c>
    </row>
    <row r="274" spans="1:25" x14ac:dyDescent="0.2">
      <c r="A274" s="377" t="s">
        <v>391</v>
      </c>
      <c r="B274" s="437">
        <f>SUM(B249,B254,B259,B264,B269)</f>
        <v>4.7229999999176595</v>
      </c>
      <c r="C274" s="437">
        <f t="shared" ref="C274:D275" si="716">SUM(C249,C254,C259,C264,C269)</f>
        <v>2.9909999999768209</v>
      </c>
      <c r="D274" s="437">
        <f t="shared" si="716"/>
        <v>0.86000000000412413</v>
      </c>
      <c r="E274" s="437">
        <f>SUM(B274:D274)</f>
        <v>8.5739999998986036</v>
      </c>
      <c r="F274" s="437"/>
      <c r="G274" s="437">
        <f>SUM(G249,G254,G259,G264,G269)</f>
        <v>3.9319999999375028</v>
      </c>
      <c r="H274" s="437">
        <f t="shared" ref="H274:I274" si="717">SUM(H249,H254,H259,H264,H269)</f>
        <v>3.4979999999660958</v>
      </c>
      <c r="I274" s="437">
        <f t="shared" si="717"/>
        <v>2.04300000000464</v>
      </c>
      <c r="J274" s="437">
        <f>SUM(G274:I274)</f>
        <v>9.4729999999082395</v>
      </c>
      <c r="K274" s="437"/>
      <c r="L274" s="437">
        <f>SUM(L249,L254,L259,L264,L269)</f>
        <v>4.1540000000027471</v>
      </c>
      <c r="M274" s="437">
        <f t="shared" ref="M274:N274" si="718">SUM(M249,M254,M259,M264,M269)</f>
        <v>2.4470000000804566</v>
      </c>
      <c r="N274" s="437">
        <f t="shared" si="718"/>
        <v>1.4720000000447362</v>
      </c>
      <c r="O274" s="437">
        <f>SUM(L274:N274)</f>
        <v>8.0730000001279407</v>
      </c>
      <c r="P274" s="437"/>
      <c r="Q274" s="437">
        <f>SUM(Q249,Q254,Q259,Q264,Q269)</f>
        <v>4.6459999999783861</v>
      </c>
      <c r="R274" s="437">
        <f t="shared" ref="R274:S274" si="719">SUM(R249,R254,R259,R264,R269)</f>
        <v>2.8790000000807723</v>
      </c>
      <c r="S274" s="437">
        <f t="shared" si="719"/>
        <v>1.4240000000381487</v>
      </c>
      <c r="T274" s="437">
        <f>SUM(Q274:S274)</f>
        <v>8.9490000000973069</v>
      </c>
      <c r="U274" s="437"/>
      <c r="V274" s="437">
        <f>SUM(V249,V254,V259,V264,V269)</f>
        <v>5.2109999999802774</v>
      </c>
      <c r="W274" s="437">
        <f t="shared" ref="W274:X274" si="720">SUM(W249,W254,W259,W264,W269)</f>
        <v>3.3460000000787309</v>
      </c>
      <c r="X274" s="437">
        <f t="shared" si="720"/>
        <v>1.4440000000285951</v>
      </c>
      <c r="Y274" s="437">
        <f>SUM(V274:X274)</f>
        <v>10.001000000087604</v>
      </c>
    </row>
    <row r="275" spans="1:25" x14ac:dyDescent="0.2">
      <c r="A275" s="377" t="s">
        <v>390</v>
      </c>
      <c r="B275" s="437">
        <f>SUM(B250,B255,B260,B265,B270)</f>
        <v>28.474000000052577</v>
      </c>
      <c r="C275" s="437">
        <f t="shared" si="716"/>
        <v>5.2719999999987168</v>
      </c>
      <c r="D275" s="437">
        <f t="shared" si="716"/>
        <v>6.782000000076561</v>
      </c>
      <c r="E275" s="437">
        <f t="shared" ref="E275:E276" si="721">SUM(B275:D275)</f>
        <v>40.528000000127861</v>
      </c>
      <c r="F275" s="437"/>
      <c r="G275" s="437">
        <f>SUM(G250,G255,G260,G265,G270)</f>
        <v>24.128999999589961</v>
      </c>
      <c r="H275" s="437">
        <f t="shared" ref="H275:I275" si="722">SUM(H250,H255,H260,H265,H270)</f>
        <v>4.2549999999264303</v>
      </c>
      <c r="I275" s="437">
        <f t="shared" si="722"/>
        <v>6.9370000002801904</v>
      </c>
      <c r="J275" s="437">
        <f t="shared" ref="J275:J276" si="723">SUM(G275:I275)</f>
        <v>35.320999999796584</v>
      </c>
      <c r="K275" s="437"/>
      <c r="L275" s="437">
        <f>SUM(L250,L255,L260,L265,L270)</f>
        <v>22.983000000030458</v>
      </c>
      <c r="M275" s="437">
        <f t="shared" ref="M275:N275" si="724">SUM(M250,M255,M260,M265,M270)</f>
        <v>2.7170000000085013</v>
      </c>
      <c r="N275" s="437">
        <f t="shared" si="724"/>
        <v>6.6690000004287668</v>
      </c>
      <c r="O275" s="437">
        <f t="shared" ref="O275:O276" si="725">SUM(L275:N275)</f>
        <v>32.369000000467722</v>
      </c>
      <c r="P275" s="437"/>
      <c r="Q275" s="437">
        <f>SUM(Q250,Q255,Q260,Q265,Q270)</f>
        <v>21.068999999739564</v>
      </c>
      <c r="R275" s="437">
        <f t="shared" ref="R275:S275" si="726">SUM(R250,R255,R260,R265,R270)</f>
        <v>2.9809999999614112</v>
      </c>
      <c r="S275" s="437">
        <f t="shared" si="726"/>
        <v>6.5099999999875582</v>
      </c>
      <c r="T275" s="437">
        <f t="shared" ref="T275:T276" si="727">SUM(Q275:S275)</f>
        <v>30.559999999688536</v>
      </c>
      <c r="U275" s="437"/>
      <c r="V275" s="437">
        <f>SUM(V250,V255,V260,V265,V270)</f>
        <v>19.95699999972846</v>
      </c>
      <c r="W275" s="437">
        <f t="shared" ref="W275:X275" si="728">SUM(W250,W255,W260,W265,W270)</f>
        <v>3.3289999999434108</v>
      </c>
      <c r="X275" s="437">
        <f t="shared" si="728"/>
        <v>6.7499999998773728</v>
      </c>
      <c r="Y275" s="437">
        <f t="shared" ref="Y275:Y276" si="729">SUM(V275:X275)</f>
        <v>30.03599999954924</v>
      </c>
    </row>
    <row r="276" spans="1:25" x14ac:dyDescent="0.2">
      <c r="A276" s="381" t="s">
        <v>389</v>
      </c>
      <c r="B276" s="439">
        <f>SUM(B274:B275)</f>
        <v>33.196999999970238</v>
      </c>
      <c r="C276" s="439">
        <f t="shared" ref="C276" si="730">SUM(C274:C275)</f>
        <v>8.2629999999755377</v>
      </c>
      <c r="D276" s="439">
        <f t="shared" ref="D276" si="731">SUM(D274:D275)</f>
        <v>7.6420000000806851</v>
      </c>
      <c r="E276" s="439">
        <f t="shared" si="721"/>
        <v>49.102000000026464</v>
      </c>
      <c r="F276" s="439"/>
      <c r="G276" s="439">
        <f>SUM(G274:G275)</f>
        <v>28.060999999527464</v>
      </c>
      <c r="H276" s="439">
        <f t="shared" ref="H276" si="732">SUM(H274:H275)</f>
        <v>7.7529999998925261</v>
      </c>
      <c r="I276" s="439">
        <f t="shared" ref="I276" si="733">SUM(I274:I275)</f>
        <v>8.9800000002848304</v>
      </c>
      <c r="J276" s="439">
        <f t="shared" si="723"/>
        <v>44.793999999704823</v>
      </c>
      <c r="K276" s="439"/>
      <c r="L276" s="439">
        <f>SUM(L274:L275)</f>
        <v>27.137000000033204</v>
      </c>
      <c r="M276" s="439">
        <f t="shared" ref="M276" si="734">SUM(M274:M275)</f>
        <v>5.1640000000889579</v>
      </c>
      <c r="N276" s="439">
        <f t="shared" ref="N276" si="735">SUM(N274:N275)</f>
        <v>8.1410000004735039</v>
      </c>
      <c r="O276" s="439">
        <f t="shared" si="725"/>
        <v>40.442000000595662</v>
      </c>
      <c r="P276" s="439"/>
      <c r="Q276" s="439">
        <f>SUM(Q274:Q275)</f>
        <v>25.71499999971795</v>
      </c>
      <c r="R276" s="439">
        <f t="shared" ref="R276" si="736">SUM(R274:R275)</f>
        <v>5.8600000000421835</v>
      </c>
      <c r="S276" s="439">
        <f t="shared" ref="S276" si="737">SUM(S274:S275)</f>
        <v>7.9340000000257067</v>
      </c>
      <c r="T276" s="439">
        <f t="shared" si="727"/>
        <v>39.508999999785843</v>
      </c>
      <c r="U276" s="439"/>
      <c r="V276" s="439">
        <f>SUM(V274:V275)</f>
        <v>25.167999999708737</v>
      </c>
      <c r="W276" s="439">
        <f t="shared" ref="W276" si="738">SUM(W274:W275)</f>
        <v>6.6750000000221412</v>
      </c>
      <c r="X276" s="439">
        <f t="shared" ref="X276" si="739">SUM(X274:X275)</f>
        <v>8.1939999999059676</v>
      </c>
      <c r="Y276" s="439">
        <f t="shared" si="729"/>
        <v>40.036999999636848</v>
      </c>
    </row>
    <row r="277" spans="1:25" x14ac:dyDescent="0.2">
      <c r="C277" s="453"/>
    </row>
    <row r="278" spans="1:25" x14ac:dyDescent="0.2">
      <c r="C278" s="453"/>
    </row>
    <row r="279" spans="1:25" x14ac:dyDescent="0.2">
      <c r="C279" s="453"/>
    </row>
    <row r="280" spans="1:25" ht="15" x14ac:dyDescent="0.25">
      <c r="A280" s="385" t="str">
        <f>"Industry 11 : "&amp; name!B14</f>
        <v>Industry 11 : Accommodation and food</v>
      </c>
      <c r="B280" s="516">
        <f>$B$5</f>
        <v>2007</v>
      </c>
      <c r="C280" s="516"/>
      <c r="D280" s="516"/>
      <c r="E280" s="516"/>
      <c r="F280" s="461"/>
      <c r="G280" s="516">
        <f>$G$5</f>
        <v>2012</v>
      </c>
      <c r="H280" s="516"/>
      <c r="I280" s="516"/>
      <c r="J280" s="516"/>
      <c r="K280" s="461"/>
      <c r="L280" s="516">
        <f>$L$5</f>
        <v>2017</v>
      </c>
      <c r="M280" s="516"/>
      <c r="N280" s="516"/>
      <c r="O280" s="516"/>
      <c r="P280" s="459"/>
      <c r="Q280" s="516">
        <f>$Q$5</f>
        <v>2022</v>
      </c>
      <c r="R280" s="516"/>
      <c r="S280" s="516"/>
      <c r="T280" s="516"/>
      <c r="U280" s="461"/>
      <c r="V280" s="516">
        <f>$V$5</f>
        <v>2027</v>
      </c>
      <c r="W280" s="516"/>
      <c r="X280" s="516"/>
      <c r="Y280" s="516"/>
    </row>
    <row r="281" spans="1:25" x14ac:dyDescent="0.2">
      <c r="A281" s="381"/>
      <c r="B281" s="388" t="str">
        <f>$B$6</f>
        <v>FT</v>
      </c>
      <c r="C281" s="388" t="str">
        <f>$C$6</f>
        <v>PT</v>
      </c>
      <c r="D281" s="388" t="str">
        <f>$D$6</f>
        <v>SE</v>
      </c>
      <c r="E281" s="388" t="str">
        <f>$E$6</f>
        <v>Total</v>
      </c>
      <c r="F281" s="388"/>
      <c r="G281" s="388" t="str">
        <f>$B$6</f>
        <v>FT</v>
      </c>
      <c r="H281" s="388" t="str">
        <f>$C$6</f>
        <v>PT</v>
      </c>
      <c r="I281" s="388" t="str">
        <f>$D$6</f>
        <v>SE</v>
      </c>
      <c r="J281" s="388" t="str">
        <f>$E$6</f>
        <v>Total</v>
      </c>
      <c r="K281" s="388"/>
      <c r="L281" s="388" t="str">
        <f>$L$6</f>
        <v>FT</v>
      </c>
      <c r="M281" s="388" t="str">
        <f>$M$6</f>
        <v>PT</v>
      </c>
      <c r="N281" s="388" t="str">
        <f>$N$6</f>
        <v>SE</v>
      </c>
      <c r="O281" s="388" t="str">
        <f>$O$6</f>
        <v>Total</v>
      </c>
      <c r="P281" s="388"/>
      <c r="Q281" s="388" t="str">
        <f>$L$6</f>
        <v>FT</v>
      </c>
      <c r="R281" s="388" t="str">
        <f>$M$6</f>
        <v>PT</v>
      </c>
      <c r="S281" s="388" t="str">
        <f>$N$6</f>
        <v>SE</v>
      </c>
      <c r="T281" s="388" t="str">
        <f>$O$6</f>
        <v>Total</v>
      </c>
      <c r="U281" s="388"/>
      <c r="V281" s="388" t="str">
        <f>$V$6</f>
        <v>FT</v>
      </c>
      <c r="W281" s="388" t="str">
        <f>$W$6</f>
        <v>PT</v>
      </c>
      <c r="X281" s="388" t="str">
        <f>$X$6</f>
        <v>SE</v>
      </c>
      <c r="Y281" s="388" t="str">
        <f>$Y$6</f>
        <v>Total</v>
      </c>
    </row>
    <row r="282" spans="1:25" x14ac:dyDescent="0.2">
      <c r="B282" s="380"/>
      <c r="C282" s="460"/>
      <c r="D282" s="460"/>
      <c r="E282" s="460"/>
      <c r="F282" s="460"/>
      <c r="G282" s="460"/>
      <c r="H282" s="460"/>
      <c r="I282" s="460"/>
      <c r="J282" s="460"/>
      <c r="K282" s="460"/>
      <c r="L282" s="460"/>
      <c r="M282" s="460"/>
      <c r="N282" s="460"/>
      <c r="O282" s="460"/>
      <c r="P282" s="460"/>
      <c r="Q282" s="460"/>
      <c r="R282" s="460"/>
      <c r="S282" s="460"/>
      <c r="T282" s="460"/>
      <c r="U282" s="460"/>
      <c r="V282" s="460"/>
      <c r="W282" s="460"/>
      <c r="X282" s="460"/>
      <c r="Y282" s="460"/>
    </row>
    <row r="283" spans="1:25" x14ac:dyDescent="0.2">
      <c r="A283" s="378" t="str">
        <f>name!A42</f>
        <v>Accommodation</v>
      </c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</row>
    <row r="284" spans="1:25" x14ac:dyDescent="0.2">
      <c r="A284" s="382" t="s">
        <v>391</v>
      </c>
      <c r="B284" s="437">
        <v>5.2629999998815578</v>
      </c>
      <c r="C284" s="437">
        <v>8.6789999999719587</v>
      </c>
      <c r="D284" s="437">
        <v>1.3070000000084883</v>
      </c>
      <c r="E284" s="437">
        <f>SUM(B284:D284)</f>
        <v>15.248999999862004</v>
      </c>
      <c r="F284" s="437"/>
      <c r="G284" s="437">
        <v>5.9429999998790244</v>
      </c>
      <c r="H284" s="437">
        <v>6.6790000000023548</v>
      </c>
      <c r="I284" s="437">
        <v>2.0370000000225148</v>
      </c>
      <c r="J284" s="437">
        <f>SUM(G284:I284)</f>
        <v>14.658999999903893</v>
      </c>
      <c r="K284" s="437"/>
      <c r="L284" s="437">
        <v>11.137000000074968</v>
      </c>
      <c r="M284" s="437">
        <v>10.427000000461364</v>
      </c>
      <c r="N284" s="437">
        <v>2.3130000000817237</v>
      </c>
      <c r="O284" s="437">
        <f>SUM(L284:N284)</f>
        <v>23.877000000618054</v>
      </c>
      <c r="P284" s="437"/>
      <c r="Q284" s="437">
        <v>11.568000000012393</v>
      </c>
      <c r="R284" s="437">
        <v>11.169000000372211</v>
      </c>
      <c r="S284" s="437">
        <v>2.4220000000819559</v>
      </c>
      <c r="T284" s="437">
        <f>SUM(Q284:S284)</f>
        <v>25.159000000466559</v>
      </c>
      <c r="U284" s="437"/>
      <c r="V284" s="437">
        <v>12.049000000010974</v>
      </c>
      <c r="W284" s="437">
        <v>11.953000000380211</v>
      </c>
      <c r="X284" s="437">
        <v>2.5380000000739869</v>
      </c>
      <c r="Y284" s="437">
        <f>SUM(V284:X284)</f>
        <v>26.54000000046517</v>
      </c>
    </row>
    <row r="285" spans="1:25" x14ac:dyDescent="0.2">
      <c r="A285" s="382" t="s">
        <v>390</v>
      </c>
      <c r="B285" s="438">
        <v>5.9299999999987598</v>
      </c>
      <c r="C285" s="438">
        <v>4.1629999999826506</v>
      </c>
      <c r="D285" s="438">
        <v>1.4729999999913166</v>
      </c>
      <c r="E285" s="438">
        <f t="shared" ref="E285:E286" si="740">SUM(B285:D285)</f>
        <v>11.565999999972727</v>
      </c>
      <c r="F285" s="438"/>
      <c r="G285" s="438">
        <v>9.161999999861953</v>
      </c>
      <c r="H285" s="438">
        <v>4.9479999998976663</v>
      </c>
      <c r="I285" s="438">
        <v>1.4509999999842571</v>
      </c>
      <c r="J285" s="438">
        <f t="shared" ref="J285:J286" si="741">SUM(G285:I285)</f>
        <v>15.560999999743876</v>
      </c>
      <c r="K285" s="438"/>
      <c r="L285" s="438">
        <v>10.518999999986141</v>
      </c>
      <c r="M285" s="438">
        <v>6.7759999999888185</v>
      </c>
      <c r="N285" s="438">
        <v>1.4079999999900983</v>
      </c>
      <c r="O285" s="438">
        <f t="shared" ref="O285:O286" si="742">SUM(L285:N285)</f>
        <v>18.702999999965058</v>
      </c>
      <c r="P285" s="438"/>
      <c r="Q285" s="438">
        <v>11.307999999890342</v>
      </c>
      <c r="R285" s="438">
        <v>6.9029999999119935</v>
      </c>
      <c r="S285" s="438">
        <v>1.3939999999767849</v>
      </c>
      <c r="T285" s="438">
        <f t="shared" ref="T285:T286" si="743">SUM(Q285:S285)</f>
        <v>19.604999999779121</v>
      </c>
      <c r="U285" s="438"/>
      <c r="V285" s="438">
        <v>12.151999999891613</v>
      </c>
      <c r="W285" s="438">
        <v>7.0569999999121507</v>
      </c>
      <c r="X285" s="438">
        <v>1.3839999999836787</v>
      </c>
      <c r="Y285" s="438">
        <f t="shared" ref="Y285:Y286" si="744">SUM(V285:X285)</f>
        <v>20.592999999787445</v>
      </c>
    </row>
    <row r="286" spans="1:25" x14ac:dyDescent="0.2">
      <c r="A286" s="382" t="s">
        <v>389</v>
      </c>
      <c r="B286" s="438">
        <f>SUM(B284:B285)</f>
        <v>11.192999999880318</v>
      </c>
      <c r="C286" s="438">
        <f t="shared" ref="C286" si="745">SUM(C284:C285)</f>
        <v>12.841999999954609</v>
      </c>
      <c r="D286" s="438">
        <f t="shared" ref="D286" si="746">SUM(D284:D285)</f>
        <v>2.7799999999998048</v>
      </c>
      <c r="E286" s="438">
        <f t="shared" si="740"/>
        <v>26.814999999834733</v>
      </c>
      <c r="F286" s="438"/>
      <c r="G286" s="438">
        <f>SUM(G284:G285)</f>
        <v>15.104999999740977</v>
      </c>
      <c r="H286" s="438">
        <f t="shared" ref="H286" si="747">SUM(H284:H285)</f>
        <v>11.626999999900022</v>
      </c>
      <c r="I286" s="438">
        <f t="shared" ref="I286" si="748">SUM(I284:I285)</f>
        <v>3.4880000000067719</v>
      </c>
      <c r="J286" s="438">
        <f t="shared" si="741"/>
        <v>30.219999999647769</v>
      </c>
      <c r="K286" s="438"/>
      <c r="L286" s="438">
        <f>SUM(L284:L285)</f>
        <v>21.656000000061109</v>
      </c>
      <c r="M286" s="438">
        <f t="shared" ref="M286" si="749">SUM(M284:M285)</f>
        <v>17.203000000450182</v>
      </c>
      <c r="N286" s="438">
        <f t="shared" ref="N286" si="750">SUM(N284:N285)</f>
        <v>3.7210000000718217</v>
      </c>
      <c r="O286" s="438">
        <f t="shared" si="742"/>
        <v>42.580000000583112</v>
      </c>
      <c r="P286" s="438"/>
      <c r="Q286" s="438">
        <f>SUM(Q284:Q285)</f>
        <v>22.875999999902735</v>
      </c>
      <c r="R286" s="438">
        <f t="shared" ref="R286" si="751">SUM(R284:R285)</f>
        <v>18.072000000284206</v>
      </c>
      <c r="S286" s="438">
        <f t="shared" ref="S286" si="752">SUM(S284:S285)</f>
        <v>3.8160000000587408</v>
      </c>
      <c r="T286" s="438">
        <f t="shared" si="743"/>
        <v>44.76400000024568</v>
      </c>
      <c r="U286" s="438"/>
      <c r="V286" s="438">
        <f>SUM(V284:V285)</f>
        <v>24.200999999902585</v>
      </c>
      <c r="W286" s="438">
        <f t="shared" ref="W286" si="753">SUM(W284:W285)</f>
        <v>19.010000000292361</v>
      </c>
      <c r="X286" s="438">
        <f t="shared" ref="X286" si="754">SUM(X284:X285)</f>
        <v>3.9220000000576656</v>
      </c>
      <c r="Y286" s="438">
        <f t="shared" si="744"/>
        <v>47.133000000252608</v>
      </c>
    </row>
    <row r="287" spans="1:25" x14ac:dyDescent="0.2">
      <c r="B287" s="380"/>
      <c r="C287" s="460"/>
      <c r="D287" s="460"/>
      <c r="E287" s="460"/>
      <c r="F287" s="460"/>
      <c r="G287" s="460"/>
      <c r="H287" s="460"/>
      <c r="I287" s="460"/>
      <c r="J287" s="460"/>
      <c r="K287" s="460"/>
      <c r="L287" s="460"/>
      <c r="M287" s="460"/>
      <c r="N287" s="460"/>
      <c r="O287" s="460"/>
      <c r="P287" s="460"/>
      <c r="Q287" s="460"/>
      <c r="R287" s="460"/>
      <c r="S287" s="460"/>
      <c r="T287" s="460"/>
      <c r="U287" s="460"/>
      <c r="V287" s="460"/>
      <c r="W287" s="460"/>
      <c r="X287" s="460"/>
      <c r="Y287" s="460"/>
    </row>
    <row r="288" spans="1:25" x14ac:dyDescent="0.2">
      <c r="A288" s="378" t="str">
        <f>name!A43</f>
        <v>Food and beverage services</v>
      </c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</row>
    <row r="289" spans="1:25" x14ac:dyDescent="0.2">
      <c r="A289" s="382" t="s">
        <v>391</v>
      </c>
      <c r="B289" s="437">
        <v>11.047999999751365</v>
      </c>
      <c r="C289" s="437">
        <v>26.228999999915256</v>
      </c>
      <c r="D289" s="437">
        <v>2.2050000000143188</v>
      </c>
      <c r="E289" s="437">
        <f>SUM(B289:D289)</f>
        <v>39.481999999680937</v>
      </c>
      <c r="F289" s="437"/>
      <c r="G289" s="437">
        <v>7.4329999998486995</v>
      </c>
      <c r="H289" s="437">
        <v>20.802000000007343</v>
      </c>
      <c r="I289" s="437">
        <v>3.1060000000343333</v>
      </c>
      <c r="J289" s="437">
        <f>SUM(G289:I289)</f>
        <v>31.340999999890379</v>
      </c>
      <c r="K289" s="437"/>
      <c r="L289" s="437">
        <v>14.403000000096952</v>
      </c>
      <c r="M289" s="437">
        <v>31.704000001402807</v>
      </c>
      <c r="N289" s="437">
        <v>2.3740000000838775</v>
      </c>
      <c r="O289" s="437">
        <f>SUM(L289:N289)</f>
        <v>48.481000001583631</v>
      </c>
      <c r="P289" s="437"/>
      <c r="Q289" s="437">
        <v>14.346000000015371</v>
      </c>
      <c r="R289" s="437">
        <v>32.05600000106827</v>
      </c>
      <c r="S289" s="437">
        <v>2.5680000000869008</v>
      </c>
      <c r="T289" s="437">
        <f>SUM(Q289:S289)</f>
        <v>48.970000001170547</v>
      </c>
      <c r="U289" s="437"/>
      <c r="V289" s="437">
        <v>14.794000000013487</v>
      </c>
      <c r="W289" s="437">
        <v>33.521000001066255</v>
      </c>
      <c r="X289" s="437">
        <v>2.8450000000829361</v>
      </c>
      <c r="Y289" s="437">
        <f>SUM(V289:X289)</f>
        <v>51.160000001162672</v>
      </c>
    </row>
    <row r="290" spans="1:25" x14ac:dyDescent="0.2">
      <c r="A290" s="382" t="s">
        <v>390</v>
      </c>
      <c r="B290" s="438">
        <v>11.184999999997665</v>
      </c>
      <c r="C290" s="438">
        <v>14.308999999940371</v>
      </c>
      <c r="D290" s="438">
        <v>4.3089999999745965</v>
      </c>
      <c r="E290" s="438">
        <f t="shared" ref="E290:E291" si="755">SUM(B290:D290)</f>
        <v>29.802999999912629</v>
      </c>
      <c r="F290" s="438"/>
      <c r="G290" s="438">
        <v>14.4079999997829</v>
      </c>
      <c r="H290" s="438">
        <v>19.561999999595422</v>
      </c>
      <c r="I290" s="438">
        <v>4.2339999999540678</v>
      </c>
      <c r="J290" s="438">
        <f t="shared" ref="J290:J291" si="756">SUM(G290:I290)</f>
        <v>38.203999999332389</v>
      </c>
      <c r="K290" s="438"/>
      <c r="L290" s="438">
        <v>17.303999999977211</v>
      </c>
      <c r="M290" s="438">
        <v>27.003999999955436</v>
      </c>
      <c r="N290" s="438">
        <v>2.7039999999809838</v>
      </c>
      <c r="O290" s="438">
        <f t="shared" ref="O290:O291" si="757">SUM(L290:N290)</f>
        <v>47.011999999913634</v>
      </c>
      <c r="P290" s="438"/>
      <c r="Q290" s="438">
        <v>17.533999999829962</v>
      </c>
      <c r="R290" s="438">
        <v>25.310999999677314</v>
      </c>
      <c r="S290" s="438">
        <v>2.6249999999562839</v>
      </c>
      <c r="T290" s="438">
        <f t="shared" ref="T290:T291" si="758">SUM(Q290:S290)</f>
        <v>45.469999999463568</v>
      </c>
      <c r="U290" s="438"/>
      <c r="V290" s="438">
        <v>18.351999999836313</v>
      </c>
      <c r="W290" s="438">
        <v>24.641999999693248</v>
      </c>
      <c r="X290" s="438">
        <v>2.6499999999687534</v>
      </c>
      <c r="Y290" s="438">
        <f t="shared" ref="Y290:Y291" si="759">SUM(V290:X290)</f>
        <v>45.64399999949832</v>
      </c>
    </row>
    <row r="291" spans="1:25" x14ac:dyDescent="0.2">
      <c r="A291" s="382" t="s">
        <v>389</v>
      </c>
      <c r="B291" s="438">
        <f>SUM(B289:B290)</f>
        <v>22.23299999974903</v>
      </c>
      <c r="C291" s="438">
        <f t="shared" ref="C291" si="760">SUM(C289:C290)</f>
        <v>40.537999999855629</v>
      </c>
      <c r="D291" s="438">
        <f t="shared" ref="D291" si="761">SUM(D289:D290)</f>
        <v>6.5139999999889149</v>
      </c>
      <c r="E291" s="438">
        <f t="shared" si="755"/>
        <v>69.284999999593566</v>
      </c>
      <c r="F291" s="438"/>
      <c r="G291" s="438">
        <f>SUM(G289:G290)</f>
        <v>21.840999999631599</v>
      </c>
      <c r="H291" s="438">
        <f t="shared" ref="H291" si="762">SUM(H289:H290)</f>
        <v>40.363999999602768</v>
      </c>
      <c r="I291" s="438">
        <f t="shared" ref="I291" si="763">SUM(I289:I290)</f>
        <v>7.3399999999884011</v>
      </c>
      <c r="J291" s="438">
        <f t="shared" si="756"/>
        <v>69.544999999222767</v>
      </c>
      <c r="K291" s="438"/>
      <c r="L291" s="438">
        <f>SUM(L289:L290)</f>
        <v>31.707000000074164</v>
      </c>
      <c r="M291" s="438">
        <f t="shared" ref="M291" si="764">SUM(M289:M290)</f>
        <v>58.708000001358243</v>
      </c>
      <c r="N291" s="438">
        <f t="shared" ref="N291" si="765">SUM(N289:N290)</f>
        <v>5.0780000000648613</v>
      </c>
      <c r="O291" s="438">
        <f t="shared" si="757"/>
        <v>95.493000001497265</v>
      </c>
      <c r="P291" s="438"/>
      <c r="Q291" s="438">
        <f>SUM(Q289:Q290)</f>
        <v>31.879999999845332</v>
      </c>
      <c r="R291" s="438">
        <f t="shared" ref="R291" si="766">SUM(R289:R290)</f>
        <v>57.367000000745584</v>
      </c>
      <c r="S291" s="438">
        <f t="shared" ref="S291" si="767">SUM(S289:S290)</f>
        <v>5.1930000000431846</v>
      </c>
      <c r="T291" s="438">
        <f t="shared" si="758"/>
        <v>94.4400000006341</v>
      </c>
      <c r="U291" s="438"/>
      <c r="V291" s="438">
        <f>SUM(V289:V290)</f>
        <v>33.145999999849799</v>
      </c>
      <c r="W291" s="438">
        <f t="shared" ref="W291" si="768">SUM(W289:W290)</f>
        <v>58.163000000759503</v>
      </c>
      <c r="X291" s="438">
        <f t="shared" ref="X291" si="769">SUM(X289:X290)</f>
        <v>5.4950000000516894</v>
      </c>
      <c r="Y291" s="438">
        <f t="shared" si="759"/>
        <v>96.804000000660992</v>
      </c>
    </row>
    <row r="292" spans="1:25" x14ac:dyDescent="0.2">
      <c r="C292" s="453"/>
    </row>
    <row r="293" spans="1:25" x14ac:dyDescent="0.2">
      <c r="A293" s="383" t="s">
        <v>400</v>
      </c>
    </row>
    <row r="294" spans="1:25" x14ac:dyDescent="0.2">
      <c r="A294" s="377" t="s">
        <v>391</v>
      </c>
      <c r="B294" s="437">
        <f>SUM(B284,B289)</f>
        <v>16.310999999632923</v>
      </c>
      <c r="C294" s="437">
        <f t="shared" ref="C294:D295" si="770">SUM(C284,C289)</f>
        <v>34.907999999887217</v>
      </c>
      <c r="D294" s="437">
        <f t="shared" si="770"/>
        <v>3.5120000000228071</v>
      </c>
      <c r="E294" s="437">
        <f>SUM(B294:D294)</f>
        <v>54.730999999542945</v>
      </c>
      <c r="F294" s="437"/>
      <c r="G294" s="437">
        <f>SUM(G284,G289)</f>
        <v>13.375999999727725</v>
      </c>
      <c r="H294" s="437">
        <f t="shared" ref="H294:I294" si="771">SUM(H284,H289)</f>
        <v>27.481000000009697</v>
      </c>
      <c r="I294" s="437">
        <f t="shared" si="771"/>
        <v>5.1430000000568477</v>
      </c>
      <c r="J294" s="437">
        <f>SUM(G294:I294)</f>
        <v>45.999999999794269</v>
      </c>
      <c r="K294" s="437"/>
      <c r="L294" s="437">
        <f>SUM(L284,L289)</f>
        <v>25.540000000171922</v>
      </c>
      <c r="M294" s="437">
        <f t="shared" ref="M294:N294" si="772">SUM(M284,M289)</f>
        <v>42.131000001864173</v>
      </c>
      <c r="N294" s="437">
        <f t="shared" si="772"/>
        <v>4.6870000001656011</v>
      </c>
      <c r="O294" s="437">
        <f>SUM(L294:N294)</f>
        <v>72.358000002201692</v>
      </c>
      <c r="P294" s="437"/>
      <c r="Q294" s="437">
        <f>SUM(Q284,Q289)</f>
        <v>25.914000000027762</v>
      </c>
      <c r="R294" s="437">
        <f t="shared" ref="R294:S294" si="773">SUM(R284,R289)</f>
        <v>43.225000001440478</v>
      </c>
      <c r="S294" s="437">
        <f t="shared" si="773"/>
        <v>4.9900000001688571</v>
      </c>
      <c r="T294" s="437">
        <f>SUM(Q294:S294)</f>
        <v>74.12900000163711</v>
      </c>
      <c r="U294" s="437"/>
      <c r="V294" s="437">
        <f>SUM(V284,V289)</f>
        <v>26.84300000002446</v>
      </c>
      <c r="W294" s="437">
        <f t="shared" ref="W294:X294" si="774">SUM(W284,W289)</f>
        <v>45.47400000144647</v>
      </c>
      <c r="X294" s="437">
        <f t="shared" si="774"/>
        <v>5.3830000001569225</v>
      </c>
      <c r="Y294" s="437">
        <f>SUM(V294:X294)</f>
        <v>77.700000001627856</v>
      </c>
    </row>
    <row r="295" spans="1:25" x14ac:dyDescent="0.2">
      <c r="A295" s="377" t="s">
        <v>390</v>
      </c>
      <c r="B295" s="437">
        <f>SUM(B285,B290)</f>
        <v>17.114999999996424</v>
      </c>
      <c r="C295" s="437">
        <f t="shared" si="770"/>
        <v>18.471999999923021</v>
      </c>
      <c r="D295" s="437">
        <f t="shared" si="770"/>
        <v>5.7819999999659135</v>
      </c>
      <c r="E295" s="437">
        <f t="shared" ref="E295:E296" si="775">SUM(B295:D295)</f>
        <v>41.368999999885354</v>
      </c>
      <c r="F295" s="437"/>
      <c r="G295" s="437">
        <f>SUM(G285,G290)</f>
        <v>23.569999999644853</v>
      </c>
      <c r="H295" s="437">
        <f t="shared" ref="H295:I295" si="776">SUM(H285,H290)</f>
        <v>24.50999999949309</v>
      </c>
      <c r="I295" s="437">
        <f t="shared" si="776"/>
        <v>5.6849999999383254</v>
      </c>
      <c r="J295" s="437">
        <f t="shared" ref="J295:J296" si="777">SUM(G295:I295)</f>
        <v>53.764999999076267</v>
      </c>
      <c r="K295" s="437"/>
      <c r="L295" s="437">
        <f>SUM(L285,L290)</f>
        <v>27.822999999963351</v>
      </c>
      <c r="M295" s="437">
        <f t="shared" ref="M295:N295" si="778">SUM(M285,M290)</f>
        <v>33.779999999944252</v>
      </c>
      <c r="N295" s="437">
        <f t="shared" si="778"/>
        <v>4.1119999999710819</v>
      </c>
      <c r="O295" s="437">
        <f t="shared" ref="O295:O296" si="779">SUM(L295:N295)</f>
        <v>65.714999999878685</v>
      </c>
      <c r="P295" s="437"/>
      <c r="Q295" s="437">
        <f>SUM(Q285,Q290)</f>
        <v>28.841999999720304</v>
      </c>
      <c r="R295" s="437">
        <f t="shared" ref="R295:S295" si="780">SUM(R285,R290)</f>
        <v>32.213999999589305</v>
      </c>
      <c r="S295" s="437">
        <f t="shared" si="780"/>
        <v>4.0189999999330688</v>
      </c>
      <c r="T295" s="437">
        <f t="shared" ref="T295:T296" si="781">SUM(Q295:S295)</f>
        <v>65.074999999242678</v>
      </c>
      <c r="U295" s="437"/>
      <c r="V295" s="437">
        <f>SUM(V285,V290)</f>
        <v>30.503999999727924</v>
      </c>
      <c r="W295" s="437">
        <f t="shared" ref="W295:X295" si="782">SUM(W285,W290)</f>
        <v>31.698999999605398</v>
      </c>
      <c r="X295" s="437">
        <f t="shared" si="782"/>
        <v>4.0339999999524316</v>
      </c>
      <c r="Y295" s="437">
        <f t="shared" ref="Y295:Y296" si="783">SUM(V295:X295)</f>
        <v>66.236999999285757</v>
      </c>
    </row>
    <row r="296" spans="1:25" x14ac:dyDescent="0.2">
      <c r="A296" s="381" t="s">
        <v>389</v>
      </c>
      <c r="B296" s="439">
        <f>SUM(B294:B295)</f>
        <v>33.425999999629347</v>
      </c>
      <c r="C296" s="439">
        <f t="shared" ref="C296" si="784">SUM(C294:C295)</f>
        <v>53.379999999810238</v>
      </c>
      <c r="D296" s="439">
        <f t="shared" ref="D296" si="785">SUM(D294:D295)</f>
        <v>9.2939999999887206</v>
      </c>
      <c r="E296" s="439">
        <f t="shared" si="775"/>
        <v>96.09999999942832</v>
      </c>
      <c r="F296" s="439"/>
      <c r="G296" s="439">
        <f>SUM(G294:G295)</f>
        <v>36.945999999372575</v>
      </c>
      <c r="H296" s="439">
        <f t="shared" ref="H296" si="786">SUM(H294:H295)</f>
        <v>51.99099999950279</v>
      </c>
      <c r="I296" s="439">
        <f t="shared" ref="I296" si="787">SUM(I294:I295)</f>
        <v>10.827999999995173</v>
      </c>
      <c r="J296" s="439">
        <f t="shared" si="777"/>
        <v>99.764999998870536</v>
      </c>
      <c r="K296" s="439"/>
      <c r="L296" s="439">
        <f>SUM(L294:L295)</f>
        <v>53.363000000135273</v>
      </c>
      <c r="M296" s="439">
        <f t="shared" ref="M296" si="788">SUM(M294:M295)</f>
        <v>75.911000001808418</v>
      </c>
      <c r="N296" s="439">
        <f t="shared" ref="N296" si="789">SUM(N294:N295)</f>
        <v>8.799000000136683</v>
      </c>
      <c r="O296" s="439">
        <f t="shared" si="779"/>
        <v>138.07300000208039</v>
      </c>
      <c r="P296" s="439"/>
      <c r="Q296" s="439">
        <f>SUM(Q294:Q295)</f>
        <v>54.75599999974807</v>
      </c>
      <c r="R296" s="439">
        <f t="shared" ref="R296" si="790">SUM(R294:R295)</f>
        <v>75.439000001029783</v>
      </c>
      <c r="S296" s="439">
        <f t="shared" ref="S296" si="791">SUM(S294:S295)</f>
        <v>9.0090000001019259</v>
      </c>
      <c r="T296" s="439">
        <f t="shared" si="781"/>
        <v>139.20400000087977</v>
      </c>
      <c r="U296" s="439"/>
      <c r="V296" s="439">
        <f>SUM(V294:V295)</f>
        <v>57.346999999752384</v>
      </c>
      <c r="W296" s="439">
        <f t="shared" ref="W296" si="792">SUM(W294:W295)</f>
        <v>77.173000001051861</v>
      </c>
      <c r="X296" s="439">
        <f t="shared" ref="X296" si="793">SUM(X294:X295)</f>
        <v>9.4170000001093541</v>
      </c>
      <c r="Y296" s="439">
        <f t="shared" si="783"/>
        <v>143.9370000009136</v>
      </c>
    </row>
    <row r="297" spans="1:25" x14ac:dyDescent="0.2">
      <c r="C297" s="453"/>
    </row>
    <row r="298" spans="1:25" x14ac:dyDescent="0.2">
      <c r="C298" s="453"/>
    </row>
    <row r="299" spans="1:25" x14ac:dyDescent="0.2">
      <c r="C299" s="453"/>
    </row>
    <row r="300" spans="1:25" ht="15" x14ac:dyDescent="0.25">
      <c r="A300" s="385" t="str">
        <f>"Industry 12 : "&amp; name!B15</f>
        <v>Industry 12 : Media</v>
      </c>
      <c r="B300" s="516">
        <f>$B$5</f>
        <v>2007</v>
      </c>
      <c r="C300" s="516"/>
      <c r="D300" s="516"/>
      <c r="E300" s="516"/>
      <c r="F300" s="461"/>
      <c r="G300" s="516">
        <f>$G$5</f>
        <v>2012</v>
      </c>
      <c r="H300" s="516"/>
      <c r="I300" s="516"/>
      <c r="J300" s="516"/>
      <c r="K300" s="461"/>
      <c r="L300" s="516">
        <f>$L$5</f>
        <v>2017</v>
      </c>
      <c r="M300" s="516"/>
      <c r="N300" s="516"/>
      <c r="O300" s="516"/>
      <c r="P300" s="459"/>
      <c r="Q300" s="516">
        <f>$Q$5</f>
        <v>2022</v>
      </c>
      <c r="R300" s="516"/>
      <c r="S300" s="516"/>
      <c r="T300" s="516"/>
      <c r="U300" s="461"/>
      <c r="V300" s="516">
        <f>$V$5</f>
        <v>2027</v>
      </c>
      <c r="W300" s="516"/>
      <c r="X300" s="516"/>
      <c r="Y300" s="516"/>
    </row>
    <row r="301" spans="1:25" x14ac:dyDescent="0.2">
      <c r="A301" s="381"/>
      <c r="B301" s="388" t="str">
        <f>$B$6</f>
        <v>FT</v>
      </c>
      <c r="C301" s="388" t="str">
        <f>$C$6</f>
        <v>PT</v>
      </c>
      <c r="D301" s="388" t="str">
        <f>$D$6</f>
        <v>SE</v>
      </c>
      <c r="E301" s="388" t="str">
        <f>$E$6</f>
        <v>Total</v>
      </c>
      <c r="F301" s="388"/>
      <c r="G301" s="388" t="str">
        <f>$B$6</f>
        <v>FT</v>
      </c>
      <c r="H301" s="388" t="str">
        <f>$C$6</f>
        <v>PT</v>
      </c>
      <c r="I301" s="388" t="str">
        <f>$D$6</f>
        <v>SE</v>
      </c>
      <c r="J301" s="388" t="str">
        <f>$E$6</f>
        <v>Total</v>
      </c>
      <c r="K301" s="388"/>
      <c r="L301" s="388" t="str">
        <f>$L$6</f>
        <v>FT</v>
      </c>
      <c r="M301" s="388" t="str">
        <f>$M$6</f>
        <v>PT</v>
      </c>
      <c r="N301" s="388" t="str">
        <f>$N$6</f>
        <v>SE</v>
      </c>
      <c r="O301" s="388" t="str">
        <f>$O$6</f>
        <v>Total</v>
      </c>
      <c r="P301" s="388"/>
      <c r="Q301" s="388" t="str">
        <f>$L$6</f>
        <v>FT</v>
      </c>
      <c r="R301" s="388" t="str">
        <f>$M$6</f>
        <v>PT</v>
      </c>
      <c r="S301" s="388" t="str">
        <f>$N$6</f>
        <v>SE</v>
      </c>
      <c r="T301" s="388" t="str">
        <f>$O$6</f>
        <v>Total</v>
      </c>
      <c r="U301" s="388"/>
      <c r="V301" s="388" t="str">
        <f>$V$6</f>
        <v>FT</v>
      </c>
      <c r="W301" s="388" t="str">
        <f>$W$6</f>
        <v>PT</v>
      </c>
      <c r="X301" s="388" t="str">
        <f>$X$6</f>
        <v>SE</v>
      </c>
      <c r="Y301" s="388" t="str">
        <f>$Y$6</f>
        <v>Total</v>
      </c>
    </row>
    <row r="302" spans="1:25" x14ac:dyDescent="0.2">
      <c r="B302" s="380"/>
      <c r="C302" s="460"/>
      <c r="D302" s="460"/>
      <c r="E302" s="460"/>
      <c r="F302" s="460"/>
      <c r="G302" s="460"/>
      <c r="H302" s="460"/>
      <c r="I302" s="460"/>
      <c r="J302" s="460"/>
      <c r="K302" s="460"/>
      <c r="L302" s="460"/>
      <c r="M302" s="460"/>
      <c r="N302" s="460"/>
      <c r="O302" s="460"/>
      <c r="P302" s="460"/>
      <c r="Q302" s="460"/>
      <c r="R302" s="460"/>
      <c r="S302" s="460"/>
      <c r="T302" s="460"/>
      <c r="U302" s="460"/>
      <c r="V302" s="460"/>
      <c r="W302" s="460"/>
      <c r="X302" s="460"/>
      <c r="Y302" s="460"/>
    </row>
    <row r="303" spans="1:25" x14ac:dyDescent="0.2">
      <c r="A303" s="378" t="str">
        <f>name!A44</f>
        <v>Publishing activities</v>
      </c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</row>
    <row r="304" spans="1:25" x14ac:dyDescent="0.2">
      <c r="A304" s="382" t="s">
        <v>391</v>
      </c>
      <c r="B304" s="437">
        <v>1.1079999999906931</v>
      </c>
      <c r="C304" s="437">
        <v>1.5879999999929795</v>
      </c>
      <c r="D304" s="437">
        <v>0.28200000000708519</v>
      </c>
      <c r="E304" s="437">
        <f>SUM(B304:D304)</f>
        <v>2.9779999999907574</v>
      </c>
      <c r="F304" s="437"/>
      <c r="G304" s="437">
        <v>1.1809999999862786</v>
      </c>
      <c r="H304" s="437">
        <v>0.60099999999699871</v>
      </c>
      <c r="I304" s="437">
        <v>0</v>
      </c>
      <c r="J304" s="437">
        <f>SUM(G304:I304)</f>
        <v>1.7819999999832774</v>
      </c>
      <c r="K304" s="437"/>
      <c r="L304" s="437">
        <v>1.1699999999915427</v>
      </c>
      <c r="M304" s="437">
        <v>0.56300000000692296</v>
      </c>
      <c r="N304" s="437">
        <v>0</v>
      </c>
      <c r="O304" s="437">
        <f>SUM(L304:N304)</f>
        <v>1.7329999999984658</v>
      </c>
      <c r="P304" s="437"/>
      <c r="Q304" s="437">
        <v>1.0659999999871999</v>
      </c>
      <c r="R304" s="437">
        <v>0.61300000000605348</v>
      </c>
      <c r="S304" s="437">
        <v>0</v>
      </c>
      <c r="T304" s="437">
        <f>SUM(Q304:S304)</f>
        <v>1.6789999999932532</v>
      </c>
      <c r="U304" s="437"/>
      <c r="V304" s="437">
        <v>1.0179999999877154</v>
      </c>
      <c r="W304" s="437">
        <v>0.67000000000602644</v>
      </c>
      <c r="X304" s="437">
        <v>0</v>
      </c>
      <c r="Y304" s="437">
        <f>SUM(V304:X304)</f>
        <v>1.6879999999937418</v>
      </c>
    </row>
    <row r="305" spans="1:25" x14ac:dyDescent="0.2">
      <c r="A305" s="382" t="s">
        <v>390</v>
      </c>
      <c r="B305" s="438">
        <v>0.96499999999704333</v>
      </c>
      <c r="C305" s="438">
        <v>0.66999999999990323</v>
      </c>
      <c r="D305" s="438">
        <v>0.77299999998794899</v>
      </c>
      <c r="E305" s="438">
        <f t="shared" ref="E305:E306" si="794">SUM(B305:D305)</f>
        <v>2.4079999999848956</v>
      </c>
      <c r="F305" s="438"/>
      <c r="G305" s="438">
        <v>1.1639999999951791</v>
      </c>
      <c r="H305" s="438">
        <v>0.33799999999679781</v>
      </c>
      <c r="I305" s="438">
        <v>0.71500000000854946</v>
      </c>
      <c r="J305" s="438">
        <f t="shared" ref="J305:J306" si="795">SUM(G305:I305)</f>
        <v>2.2170000000005263</v>
      </c>
      <c r="K305" s="438"/>
      <c r="L305" s="438">
        <v>1.1349999999954037</v>
      </c>
      <c r="M305" s="438">
        <v>0.35300000000053466</v>
      </c>
      <c r="N305" s="438">
        <v>0.46399999999174307</v>
      </c>
      <c r="O305" s="438">
        <f t="shared" ref="O305:O306" si="796">SUM(L305:N305)</f>
        <v>1.9519999999876814</v>
      </c>
      <c r="P305" s="438"/>
      <c r="Q305" s="438">
        <v>1.0389999999980049</v>
      </c>
      <c r="R305" s="438">
        <v>0.44499999999911305</v>
      </c>
      <c r="S305" s="438">
        <v>0.44999999999723789</v>
      </c>
      <c r="T305" s="438">
        <f t="shared" ref="T305:T306" si="797">SUM(Q305:S305)</f>
        <v>1.9339999999943558</v>
      </c>
      <c r="U305" s="438"/>
      <c r="V305" s="438">
        <v>0.99699999999940303</v>
      </c>
      <c r="W305" s="438">
        <v>0.53299999999913816</v>
      </c>
      <c r="X305" s="438">
        <v>0.44900000000009271</v>
      </c>
      <c r="Y305" s="438">
        <f t="shared" ref="Y305:Y306" si="798">SUM(V305:X305)</f>
        <v>1.9789999999986339</v>
      </c>
    </row>
    <row r="306" spans="1:25" x14ac:dyDescent="0.2">
      <c r="A306" s="382" t="s">
        <v>389</v>
      </c>
      <c r="B306" s="438">
        <f>SUM(B304:B305)</f>
        <v>2.0729999999877364</v>
      </c>
      <c r="C306" s="438">
        <f t="shared" ref="C306" si="799">SUM(C304:C305)</f>
        <v>2.2579999999928826</v>
      </c>
      <c r="D306" s="438">
        <f t="shared" ref="D306" si="800">SUM(D304:D305)</f>
        <v>1.0549999999950341</v>
      </c>
      <c r="E306" s="438">
        <f t="shared" si="794"/>
        <v>5.3859999999756534</v>
      </c>
      <c r="F306" s="438"/>
      <c r="G306" s="438">
        <f>SUM(G304:G305)</f>
        <v>2.3449999999814577</v>
      </c>
      <c r="H306" s="438">
        <f t="shared" ref="H306" si="801">SUM(H304:H305)</f>
        <v>0.93899999999379657</v>
      </c>
      <c r="I306" s="438">
        <f t="shared" ref="I306" si="802">SUM(I304:I305)</f>
        <v>0.71500000000854946</v>
      </c>
      <c r="J306" s="438">
        <f t="shared" si="795"/>
        <v>3.9989999999838037</v>
      </c>
      <c r="K306" s="438"/>
      <c r="L306" s="438">
        <f>SUM(L304:L305)</f>
        <v>2.3049999999869462</v>
      </c>
      <c r="M306" s="438">
        <f t="shared" ref="M306" si="803">SUM(M304:M305)</f>
        <v>0.91600000000745763</v>
      </c>
      <c r="N306" s="438">
        <f t="shared" ref="N306" si="804">SUM(N304:N305)</f>
        <v>0.46399999999174307</v>
      </c>
      <c r="O306" s="438">
        <f t="shared" si="796"/>
        <v>3.6849999999861467</v>
      </c>
      <c r="P306" s="438"/>
      <c r="Q306" s="438">
        <f>SUM(Q304:Q305)</f>
        <v>2.1049999999852047</v>
      </c>
      <c r="R306" s="438">
        <f t="shared" ref="R306" si="805">SUM(R304:R305)</f>
        <v>1.0580000000051666</v>
      </c>
      <c r="S306" s="438">
        <f t="shared" ref="S306" si="806">SUM(S304:S305)</f>
        <v>0.44999999999723789</v>
      </c>
      <c r="T306" s="438">
        <f t="shared" si="797"/>
        <v>3.6129999999876095</v>
      </c>
      <c r="U306" s="438"/>
      <c r="V306" s="438">
        <f>SUM(V304:V305)</f>
        <v>2.0149999999871184</v>
      </c>
      <c r="W306" s="438">
        <f t="shared" ref="W306" si="807">SUM(W304:W305)</f>
        <v>1.2030000000051646</v>
      </c>
      <c r="X306" s="438">
        <f t="shared" ref="X306" si="808">SUM(X304:X305)</f>
        <v>0.44900000000009271</v>
      </c>
      <c r="Y306" s="438">
        <f t="shared" si="798"/>
        <v>3.6669999999923757</v>
      </c>
    </row>
    <row r="307" spans="1:25" x14ac:dyDescent="0.2">
      <c r="B307" s="380"/>
      <c r="C307" s="460"/>
      <c r="D307" s="460"/>
      <c r="E307" s="460"/>
      <c r="F307" s="460"/>
      <c r="G307" s="460"/>
      <c r="H307" s="460"/>
      <c r="I307" s="460"/>
      <c r="J307" s="460"/>
      <c r="K307" s="460"/>
      <c r="L307" s="460"/>
      <c r="M307" s="460"/>
      <c r="N307" s="460"/>
      <c r="O307" s="460"/>
      <c r="P307" s="460"/>
      <c r="Q307" s="460"/>
      <c r="R307" s="460"/>
      <c r="S307" s="460"/>
      <c r="T307" s="460"/>
      <c r="U307" s="460"/>
      <c r="V307" s="460"/>
      <c r="W307" s="460"/>
      <c r="X307" s="460"/>
      <c r="Y307" s="460"/>
    </row>
    <row r="308" spans="1:25" x14ac:dyDescent="0.2">
      <c r="A308" s="378" t="str">
        <f>name!A45</f>
        <v>Film and music</v>
      </c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</row>
    <row r="309" spans="1:25" x14ac:dyDescent="0.2">
      <c r="A309" s="382" t="s">
        <v>391</v>
      </c>
      <c r="B309" s="437">
        <v>1.2840000000018108</v>
      </c>
      <c r="C309" s="437">
        <v>0.97199999999431097</v>
      </c>
      <c r="D309" s="437">
        <v>0.41800000001230792</v>
      </c>
      <c r="E309" s="437">
        <f>SUM(B309:D309)</f>
        <v>2.6740000000084296</v>
      </c>
      <c r="F309" s="437"/>
      <c r="G309" s="437">
        <v>0.5589999999985269</v>
      </c>
      <c r="H309" s="437">
        <v>0.28199999999819719</v>
      </c>
      <c r="I309" s="437">
        <v>0</v>
      </c>
      <c r="J309" s="437">
        <f>SUM(G309:I309)</f>
        <v>0.84099999999672415</v>
      </c>
      <c r="K309" s="437"/>
      <c r="L309" s="437">
        <v>0.85599999999281384</v>
      </c>
      <c r="M309" s="437">
        <v>0.60100000000753784</v>
      </c>
      <c r="N309" s="437">
        <v>0</v>
      </c>
      <c r="O309" s="437">
        <f>SUM(L309:N309)</f>
        <v>1.4570000000003516</v>
      </c>
      <c r="P309" s="437"/>
      <c r="Q309" s="437">
        <v>0.77999999999245606</v>
      </c>
      <c r="R309" s="437">
        <v>0.65500000000691616</v>
      </c>
      <c r="S309" s="437">
        <v>0</v>
      </c>
      <c r="T309" s="437">
        <f>SUM(Q309:S309)</f>
        <v>1.4349999999993721</v>
      </c>
      <c r="U309" s="437"/>
      <c r="V309" s="437">
        <v>0.74499999999405198</v>
      </c>
      <c r="W309" s="437">
        <v>0.71500000000696706</v>
      </c>
      <c r="X309" s="437">
        <v>0</v>
      </c>
      <c r="Y309" s="437">
        <f>SUM(V309:X309)</f>
        <v>1.4600000000010191</v>
      </c>
    </row>
    <row r="310" spans="1:25" x14ac:dyDescent="0.2">
      <c r="A310" s="382" t="s">
        <v>390</v>
      </c>
      <c r="B310" s="438">
        <v>1.3009999999998316</v>
      </c>
      <c r="C310" s="438">
        <v>0.68600000000204275</v>
      </c>
      <c r="D310" s="438">
        <v>0.83699999997619368</v>
      </c>
      <c r="E310" s="438">
        <f t="shared" ref="E310:E311" si="809">SUM(B310:D310)</f>
        <v>2.8239999999780681</v>
      </c>
      <c r="F310" s="438"/>
      <c r="G310" s="438">
        <v>0.6419999999971111</v>
      </c>
      <c r="H310" s="438">
        <v>0.26499999999751844</v>
      </c>
      <c r="I310" s="438">
        <v>0.39600000000168062</v>
      </c>
      <c r="J310" s="438">
        <f t="shared" ref="J310:J311" si="810">SUM(G310:I310)</f>
        <v>1.3029999999963102</v>
      </c>
      <c r="K310" s="438"/>
      <c r="L310" s="438">
        <v>0.96799999999964181</v>
      </c>
      <c r="M310" s="438">
        <v>0.63100000000176459</v>
      </c>
      <c r="N310" s="438">
        <v>0.44099999998813344</v>
      </c>
      <c r="O310" s="438">
        <f t="shared" ref="O310:O311" si="811">SUM(L310:N310)</f>
        <v>2.03999999998954</v>
      </c>
      <c r="P310" s="438"/>
      <c r="Q310" s="438">
        <v>0.88499999999671197</v>
      </c>
      <c r="R310" s="438">
        <v>0.79499999999309201</v>
      </c>
      <c r="S310" s="438">
        <v>0.42699999998753618</v>
      </c>
      <c r="T310" s="438">
        <f t="shared" ref="T310:T311" si="812">SUM(Q310:S310)</f>
        <v>2.1069999999773401</v>
      </c>
      <c r="U310" s="438"/>
      <c r="V310" s="438">
        <v>0.84899999999645615</v>
      </c>
      <c r="W310" s="438">
        <v>0.95199999998913043</v>
      </c>
      <c r="X310" s="438">
        <v>0.42599999999061738</v>
      </c>
      <c r="Y310" s="438">
        <f t="shared" ref="Y310:Y311" si="813">SUM(V310:X310)</f>
        <v>2.2269999999762038</v>
      </c>
    </row>
    <row r="311" spans="1:25" x14ac:dyDescent="0.2">
      <c r="A311" s="382" t="s">
        <v>389</v>
      </c>
      <c r="B311" s="438">
        <f>SUM(B309:B310)</f>
        <v>2.5850000000016422</v>
      </c>
      <c r="C311" s="438">
        <f t="shared" ref="C311" si="814">SUM(C309:C310)</f>
        <v>1.6579999999963537</v>
      </c>
      <c r="D311" s="438">
        <f t="shared" ref="D311" si="815">SUM(D309:D310)</f>
        <v>1.2549999999885015</v>
      </c>
      <c r="E311" s="438">
        <f t="shared" si="809"/>
        <v>5.4979999999864972</v>
      </c>
      <c r="F311" s="438"/>
      <c r="G311" s="438">
        <f>SUM(G309:G310)</f>
        <v>1.200999999995638</v>
      </c>
      <c r="H311" s="438">
        <f t="shared" ref="H311" si="816">SUM(H309:H310)</f>
        <v>0.54699999999571558</v>
      </c>
      <c r="I311" s="438">
        <f t="shared" ref="I311" si="817">SUM(I309:I310)</f>
        <v>0.39600000000168062</v>
      </c>
      <c r="J311" s="438">
        <f t="shared" si="810"/>
        <v>2.1439999999930341</v>
      </c>
      <c r="K311" s="438"/>
      <c r="L311" s="438">
        <f>SUM(L309:L310)</f>
        <v>1.8239999999924557</v>
      </c>
      <c r="M311" s="438">
        <f t="shared" ref="M311" si="818">SUM(M309:M310)</f>
        <v>1.2320000000093025</v>
      </c>
      <c r="N311" s="438">
        <f t="shared" ref="N311" si="819">SUM(N309:N310)</f>
        <v>0.44099999998813344</v>
      </c>
      <c r="O311" s="438">
        <f t="shared" si="811"/>
        <v>3.4969999999898915</v>
      </c>
      <c r="P311" s="438"/>
      <c r="Q311" s="438">
        <f>SUM(Q309:Q310)</f>
        <v>1.664999999989168</v>
      </c>
      <c r="R311" s="438">
        <f t="shared" ref="R311" si="820">SUM(R309:R310)</f>
        <v>1.4500000000000082</v>
      </c>
      <c r="S311" s="438">
        <f t="shared" ref="S311" si="821">SUM(S309:S310)</f>
        <v>0.42699999998753618</v>
      </c>
      <c r="T311" s="438">
        <f t="shared" si="812"/>
        <v>3.5419999999767122</v>
      </c>
      <c r="U311" s="438"/>
      <c r="V311" s="438">
        <f>SUM(V309:V310)</f>
        <v>1.5939999999905081</v>
      </c>
      <c r="W311" s="438">
        <f t="shared" ref="W311" si="822">SUM(W309:W310)</f>
        <v>1.6669999999960976</v>
      </c>
      <c r="X311" s="438">
        <f t="shared" ref="X311" si="823">SUM(X309:X310)</f>
        <v>0.42599999999061738</v>
      </c>
      <c r="Y311" s="438">
        <f t="shared" si="813"/>
        <v>3.6869999999772229</v>
      </c>
    </row>
    <row r="312" spans="1:25" x14ac:dyDescent="0.2">
      <c r="B312" s="380"/>
      <c r="C312" s="460"/>
      <c r="D312" s="460"/>
      <c r="E312" s="460"/>
      <c r="F312" s="460"/>
      <c r="G312" s="460"/>
      <c r="H312" s="460"/>
      <c r="I312" s="460"/>
      <c r="J312" s="460"/>
      <c r="K312" s="460"/>
      <c r="L312" s="460"/>
      <c r="M312" s="460"/>
      <c r="N312" s="460"/>
      <c r="O312" s="460"/>
      <c r="P312" s="460"/>
      <c r="Q312" s="460"/>
      <c r="R312" s="460"/>
      <c r="S312" s="460"/>
      <c r="T312" s="460"/>
      <c r="U312" s="460"/>
      <c r="V312" s="460"/>
      <c r="W312" s="460"/>
      <c r="X312" s="460"/>
      <c r="Y312" s="460"/>
    </row>
    <row r="313" spans="1:25" x14ac:dyDescent="0.2">
      <c r="A313" s="378" t="str">
        <f>name!A46</f>
        <v>Broadcasting</v>
      </c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</row>
    <row r="314" spans="1:25" x14ac:dyDescent="0.2">
      <c r="A314" s="382" t="s">
        <v>391</v>
      </c>
      <c r="B314" s="437">
        <v>8.0000000000410743E-2</v>
      </c>
      <c r="C314" s="437">
        <v>3.0999999999862176E-2</v>
      </c>
      <c r="D314" s="437">
        <v>0.12900000000398229</v>
      </c>
      <c r="E314" s="437">
        <f>SUM(B314:D314)</f>
        <v>0.2400000000042552</v>
      </c>
      <c r="F314" s="437"/>
      <c r="G314" s="437">
        <v>6.7999999999901431E-2</v>
      </c>
      <c r="H314" s="437">
        <v>2.8999999999880743E-2</v>
      </c>
      <c r="I314" s="437">
        <v>0</v>
      </c>
      <c r="J314" s="437">
        <f>SUM(G314:I314)</f>
        <v>9.6999999999782177E-2</v>
      </c>
      <c r="K314" s="437"/>
      <c r="L314" s="437">
        <v>0.16199999999822035</v>
      </c>
      <c r="M314" s="437">
        <v>5.7000000000990189E-2</v>
      </c>
      <c r="N314" s="437">
        <v>0</v>
      </c>
      <c r="O314" s="437">
        <f>SUM(L314:N314)</f>
        <v>0.21899999999921055</v>
      </c>
      <c r="P314" s="437"/>
      <c r="Q314" s="437">
        <v>0.14799999999826438</v>
      </c>
      <c r="R314" s="437">
        <v>6.2000000000902486E-2</v>
      </c>
      <c r="S314" s="437">
        <v>0</v>
      </c>
      <c r="T314" s="437">
        <f>SUM(Q314:S314)</f>
        <v>0.20999999999916685</v>
      </c>
      <c r="U314" s="437"/>
      <c r="V314" s="437">
        <v>0.14099999999869264</v>
      </c>
      <c r="W314" s="437">
        <v>6.7000000000910498E-2</v>
      </c>
      <c r="X314" s="437">
        <v>0</v>
      </c>
      <c r="Y314" s="437">
        <f>SUM(V314:X314)</f>
        <v>0.20799999999960314</v>
      </c>
    </row>
    <row r="315" spans="1:25" x14ac:dyDescent="0.2">
      <c r="A315" s="382" t="s">
        <v>390</v>
      </c>
      <c r="B315" s="438">
        <v>0.40599999999892811</v>
      </c>
      <c r="C315" s="438">
        <v>6.5000000000164232E-2</v>
      </c>
      <c r="D315" s="438">
        <v>0.15999999999559075</v>
      </c>
      <c r="E315" s="438">
        <f t="shared" ref="E315:E316" si="824">SUM(B315:D315)</f>
        <v>0.63099999999468315</v>
      </c>
      <c r="F315" s="438"/>
      <c r="G315" s="438">
        <v>0.39100000000106061</v>
      </c>
      <c r="H315" s="438">
        <v>7.9999999999460197E-2</v>
      </c>
      <c r="I315" s="438">
        <v>0.13400000000069354</v>
      </c>
      <c r="J315" s="438">
        <f t="shared" ref="J315:J316" si="825">SUM(G315:I315)</f>
        <v>0.60500000000121434</v>
      </c>
      <c r="K315" s="438"/>
      <c r="L315" s="438">
        <v>0.91499999999672343</v>
      </c>
      <c r="M315" s="438">
        <v>0.17600000000022795</v>
      </c>
      <c r="N315" s="438">
        <v>0.23199999999360274</v>
      </c>
      <c r="O315" s="438">
        <f t="shared" ref="O315:O316" si="826">SUM(L315:N315)</f>
        <v>1.322999999990554</v>
      </c>
      <c r="P315" s="438"/>
      <c r="Q315" s="438">
        <v>0.83700000000064601</v>
      </c>
      <c r="R315" s="438">
        <v>0.22199999999841291</v>
      </c>
      <c r="S315" s="438">
        <v>0.22499999999339002</v>
      </c>
      <c r="T315" s="438">
        <f t="shared" ref="T315:T316" si="827">SUM(Q315:S315)</f>
        <v>1.283999999992449</v>
      </c>
      <c r="U315" s="438"/>
      <c r="V315" s="438">
        <v>0.80300000000115312</v>
      </c>
      <c r="W315" s="438">
        <v>0.26599999999737767</v>
      </c>
      <c r="X315" s="438">
        <v>0.22399999999500497</v>
      </c>
      <c r="Y315" s="438">
        <f t="shared" ref="Y315:Y316" si="828">SUM(V315:X315)</f>
        <v>1.292999999993536</v>
      </c>
    </row>
    <row r="316" spans="1:25" x14ac:dyDescent="0.2">
      <c r="A316" s="382" t="s">
        <v>389</v>
      </c>
      <c r="B316" s="438">
        <f>SUM(B314:B315)</f>
        <v>0.48599999999933885</v>
      </c>
      <c r="C316" s="438">
        <f t="shared" ref="C316" si="829">SUM(C314:C315)</f>
        <v>9.6000000000026411E-2</v>
      </c>
      <c r="D316" s="438">
        <f t="shared" ref="D316" si="830">SUM(D314:D315)</f>
        <v>0.28899999999957304</v>
      </c>
      <c r="E316" s="438">
        <f t="shared" si="824"/>
        <v>0.87099999999893829</v>
      </c>
      <c r="F316" s="438"/>
      <c r="G316" s="438">
        <f>SUM(G314:G315)</f>
        <v>0.45900000000096203</v>
      </c>
      <c r="H316" s="438">
        <f t="shared" ref="H316" si="831">SUM(H314:H315)</f>
        <v>0.10899999999934094</v>
      </c>
      <c r="I316" s="438">
        <f t="shared" ref="I316" si="832">SUM(I314:I315)</f>
        <v>0.13400000000069354</v>
      </c>
      <c r="J316" s="438">
        <f t="shared" si="825"/>
        <v>0.70200000000099649</v>
      </c>
      <c r="K316" s="438"/>
      <c r="L316" s="438">
        <f>SUM(L314:L315)</f>
        <v>1.0769999999949438</v>
      </c>
      <c r="M316" s="438">
        <f t="shared" ref="M316" si="833">SUM(M314:M315)</f>
        <v>0.23300000000121812</v>
      </c>
      <c r="N316" s="438">
        <f t="shared" ref="N316" si="834">SUM(N314:N315)</f>
        <v>0.23199999999360274</v>
      </c>
      <c r="O316" s="438">
        <f t="shared" si="826"/>
        <v>1.5419999999897644</v>
      </c>
      <c r="P316" s="438"/>
      <c r="Q316" s="438">
        <f>SUM(Q314:Q315)</f>
        <v>0.98499999999891041</v>
      </c>
      <c r="R316" s="438">
        <f t="shared" ref="R316" si="835">SUM(R314:R315)</f>
        <v>0.28399999999931541</v>
      </c>
      <c r="S316" s="438">
        <f t="shared" ref="S316" si="836">SUM(S314:S315)</f>
        <v>0.22499999999339002</v>
      </c>
      <c r="T316" s="438">
        <f t="shared" si="827"/>
        <v>1.4939999999916158</v>
      </c>
      <c r="U316" s="438"/>
      <c r="V316" s="438">
        <f>SUM(V314:V315)</f>
        <v>0.94399999999984574</v>
      </c>
      <c r="W316" s="438">
        <f t="shared" ref="W316" si="837">SUM(W314:W315)</f>
        <v>0.33299999999828817</v>
      </c>
      <c r="X316" s="438">
        <f t="shared" ref="X316" si="838">SUM(X314:X315)</f>
        <v>0.22399999999500497</v>
      </c>
      <c r="Y316" s="438">
        <f t="shared" si="828"/>
        <v>1.5009999999931387</v>
      </c>
    </row>
    <row r="317" spans="1:25" x14ac:dyDescent="0.2">
      <c r="C317" s="453"/>
    </row>
    <row r="318" spans="1:25" x14ac:dyDescent="0.2">
      <c r="A318" s="383" t="s">
        <v>399</v>
      </c>
      <c r="C318" s="453"/>
    </row>
    <row r="319" spans="1:25" x14ac:dyDescent="0.2">
      <c r="A319" s="377" t="s">
        <v>391</v>
      </c>
      <c r="B319" s="437">
        <f>SUM(B304,B309,B314)</f>
        <v>2.471999999992915</v>
      </c>
      <c r="C319" s="437">
        <f t="shared" ref="C319:D319" si="839">SUM(C304,C309,C314)</f>
        <v>2.5909999999871527</v>
      </c>
      <c r="D319" s="437">
        <f t="shared" si="839"/>
        <v>0.82900000002337537</v>
      </c>
      <c r="E319" s="437">
        <f>SUM(B319:D319)</f>
        <v>5.8920000000034438</v>
      </c>
      <c r="F319" s="437"/>
      <c r="G319" s="437">
        <f>SUM(G304,G309,G314)</f>
        <v>1.807999999984707</v>
      </c>
      <c r="H319" s="437">
        <f t="shared" ref="H319:I319" si="840">SUM(H304,H309,H314)</f>
        <v>0.91199999999507664</v>
      </c>
      <c r="I319" s="437">
        <f t="shared" si="840"/>
        <v>0</v>
      </c>
      <c r="J319" s="437">
        <f>SUM(G319:I319)</f>
        <v>2.7199999999797835</v>
      </c>
      <c r="K319" s="437"/>
      <c r="L319" s="437">
        <f>SUM(L304,L309,L314)</f>
        <v>2.1879999999825768</v>
      </c>
      <c r="M319" s="437">
        <f t="shared" ref="M319:N319" si="841">SUM(M304,M309,M314)</f>
        <v>1.2210000000154511</v>
      </c>
      <c r="N319" s="437">
        <f t="shared" si="841"/>
        <v>0</v>
      </c>
      <c r="O319" s="437">
        <f>SUM(L319:N319)</f>
        <v>3.4089999999980281</v>
      </c>
      <c r="P319" s="437"/>
      <c r="Q319" s="437">
        <f>SUM(Q304,Q309,Q314)</f>
        <v>1.9939999999779203</v>
      </c>
      <c r="R319" s="437">
        <f t="shared" ref="R319:S319" si="842">SUM(R304,R309,R314)</f>
        <v>1.3300000000138721</v>
      </c>
      <c r="S319" s="437">
        <f t="shared" si="842"/>
        <v>0</v>
      </c>
      <c r="T319" s="437">
        <f>SUM(Q319:S319)</f>
        <v>3.3239999999917922</v>
      </c>
      <c r="U319" s="437"/>
      <c r="V319" s="437">
        <f>SUM(V304,V309,V314)</f>
        <v>1.90399999998046</v>
      </c>
      <c r="W319" s="437">
        <f t="shared" ref="W319:X319" si="843">SUM(W304,W309,W314)</f>
        <v>1.4520000000139039</v>
      </c>
      <c r="X319" s="437">
        <f t="shared" si="843"/>
        <v>0</v>
      </c>
      <c r="Y319" s="437">
        <f>SUM(V319:X319)</f>
        <v>3.3559999999943639</v>
      </c>
    </row>
    <row r="320" spans="1:25" x14ac:dyDescent="0.2">
      <c r="A320" s="377" t="s">
        <v>390</v>
      </c>
      <c r="B320" s="437">
        <f>SUM(B305,B310,B315)</f>
        <v>2.6719999999958031</v>
      </c>
      <c r="C320" s="437">
        <f t="shared" ref="C320:D320" si="844">SUM(C305,C310,C315)</f>
        <v>1.4210000000021101</v>
      </c>
      <c r="D320" s="437">
        <f t="shared" si="844"/>
        <v>1.7699999999597336</v>
      </c>
      <c r="E320" s="437">
        <f t="shared" ref="E320:E321" si="845">SUM(B320:D320)</f>
        <v>5.8629999999576459</v>
      </c>
      <c r="F320" s="437"/>
      <c r="G320" s="437">
        <f>SUM(G305,G310,G315)</f>
        <v>2.1969999999933507</v>
      </c>
      <c r="H320" s="437">
        <f t="shared" ref="H320:I320" si="846">SUM(H305,H310,H315)</f>
        <v>0.68299999999377647</v>
      </c>
      <c r="I320" s="437">
        <f t="shared" si="846"/>
        <v>1.2450000000109236</v>
      </c>
      <c r="J320" s="437">
        <f t="shared" ref="J320:J321" si="847">SUM(G320:I320)</f>
        <v>4.1249999999980504</v>
      </c>
      <c r="K320" s="437"/>
      <c r="L320" s="437">
        <f>SUM(L305,L310,L315)</f>
        <v>3.017999999991769</v>
      </c>
      <c r="M320" s="437">
        <f t="shared" ref="M320:N320" si="848">SUM(M305,M310,M315)</f>
        <v>1.1600000000025272</v>
      </c>
      <c r="N320" s="437">
        <f t="shared" si="848"/>
        <v>1.1369999999734792</v>
      </c>
      <c r="O320" s="437">
        <f t="shared" ref="O320:O321" si="849">SUM(L320:N320)</f>
        <v>5.3149999999677755</v>
      </c>
      <c r="P320" s="437"/>
      <c r="Q320" s="437">
        <f>SUM(Q305,Q310,Q315)</f>
        <v>2.7609999999953629</v>
      </c>
      <c r="R320" s="437">
        <f t="shared" ref="R320:S320" si="850">SUM(R305,R310,R315)</f>
        <v>1.4619999999906179</v>
      </c>
      <c r="S320" s="437">
        <f t="shared" si="850"/>
        <v>1.101999999978164</v>
      </c>
      <c r="T320" s="437">
        <f t="shared" ref="T320:T321" si="851">SUM(Q320:S320)</f>
        <v>5.3249999999641453</v>
      </c>
      <c r="U320" s="437"/>
      <c r="V320" s="437">
        <f>SUM(V305,V310,V315)</f>
        <v>2.6489999999970122</v>
      </c>
      <c r="W320" s="437">
        <f t="shared" ref="W320:X320" si="852">SUM(W305,W310,W315)</f>
        <v>1.7509999999856463</v>
      </c>
      <c r="X320" s="437">
        <f t="shared" si="852"/>
        <v>1.0989999999857152</v>
      </c>
      <c r="Y320" s="437">
        <f t="shared" ref="Y320:Y321" si="853">SUM(V320:X320)</f>
        <v>5.4989999999683743</v>
      </c>
    </row>
    <row r="321" spans="1:25" x14ac:dyDescent="0.2">
      <c r="A321" s="381" t="s">
        <v>389</v>
      </c>
      <c r="B321" s="439">
        <f>SUM(B319:B320)</f>
        <v>5.1439999999887185</v>
      </c>
      <c r="C321" s="439">
        <f t="shared" ref="C321" si="854">SUM(C319:C320)</f>
        <v>4.0119999999892624</v>
      </c>
      <c r="D321" s="439">
        <f t="shared" ref="D321" si="855">SUM(D319:D320)</f>
        <v>2.5989999999831088</v>
      </c>
      <c r="E321" s="439">
        <f t="shared" si="845"/>
        <v>11.75499999996109</v>
      </c>
      <c r="F321" s="439"/>
      <c r="G321" s="439">
        <f>SUM(G319:G320)</f>
        <v>4.0049999999780574</v>
      </c>
      <c r="H321" s="439">
        <f t="shared" ref="H321" si="856">SUM(H319:H320)</f>
        <v>1.5949999999888531</v>
      </c>
      <c r="I321" s="439">
        <f t="shared" ref="I321" si="857">SUM(I319:I320)</f>
        <v>1.2450000000109236</v>
      </c>
      <c r="J321" s="439">
        <f t="shared" si="847"/>
        <v>6.8449999999778344</v>
      </c>
      <c r="K321" s="439"/>
      <c r="L321" s="439">
        <f>SUM(L319:L320)</f>
        <v>5.2059999999743454</v>
      </c>
      <c r="M321" s="439">
        <f t="shared" ref="M321" si="858">SUM(M319:M320)</f>
        <v>2.3810000000179783</v>
      </c>
      <c r="N321" s="439">
        <f t="shared" ref="N321" si="859">SUM(N319:N320)</f>
        <v>1.1369999999734792</v>
      </c>
      <c r="O321" s="439">
        <f t="shared" si="849"/>
        <v>8.7239999999658036</v>
      </c>
      <c r="P321" s="439"/>
      <c r="Q321" s="439">
        <f>SUM(Q319:Q320)</f>
        <v>4.7549999999732835</v>
      </c>
      <c r="R321" s="439">
        <f t="shared" ref="R321" si="860">SUM(R319:R320)</f>
        <v>2.79200000000449</v>
      </c>
      <c r="S321" s="439">
        <f t="shared" ref="S321" si="861">SUM(S319:S320)</f>
        <v>1.101999999978164</v>
      </c>
      <c r="T321" s="439">
        <f t="shared" si="851"/>
        <v>8.6489999999559366</v>
      </c>
      <c r="U321" s="439"/>
      <c r="V321" s="439">
        <f>SUM(V319:V320)</f>
        <v>4.5529999999774722</v>
      </c>
      <c r="W321" s="439">
        <f t="shared" ref="W321" si="862">SUM(W319:W320)</f>
        <v>3.20299999999955</v>
      </c>
      <c r="X321" s="439">
        <f t="shared" ref="X321" si="863">SUM(X319:X320)</f>
        <v>1.0989999999857152</v>
      </c>
      <c r="Y321" s="439">
        <f t="shared" si="853"/>
        <v>8.8549999999627378</v>
      </c>
    </row>
    <row r="322" spans="1:25" x14ac:dyDescent="0.2">
      <c r="C322" s="453"/>
    </row>
    <row r="323" spans="1:25" x14ac:dyDescent="0.2">
      <c r="C323" s="453"/>
    </row>
    <row r="324" spans="1:25" x14ac:dyDescent="0.2">
      <c r="A324" s="384"/>
    </row>
    <row r="325" spans="1:25" ht="15" x14ac:dyDescent="0.25">
      <c r="A325" s="385" t="str">
        <f>"Industry 13 : "&amp; name!B16</f>
        <v>Industry 13 : Information technology</v>
      </c>
      <c r="B325" s="516">
        <f>$B$5</f>
        <v>2007</v>
      </c>
      <c r="C325" s="516"/>
      <c r="D325" s="516"/>
      <c r="E325" s="516"/>
      <c r="F325" s="461"/>
      <c r="G325" s="516">
        <f>$G$5</f>
        <v>2012</v>
      </c>
      <c r="H325" s="516"/>
      <c r="I325" s="516"/>
      <c r="J325" s="516"/>
      <c r="K325" s="461"/>
      <c r="L325" s="516">
        <f>$L$5</f>
        <v>2017</v>
      </c>
      <c r="M325" s="516"/>
      <c r="N325" s="516"/>
      <c r="O325" s="516"/>
      <c r="P325" s="459"/>
      <c r="Q325" s="516">
        <f>$Q$5</f>
        <v>2022</v>
      </c>
      <c r="R325" s="516"/>
      <c r="S325" s="516"/>
      <c r="T325" s="516"/>
      <c r="U325" s="461"/>
      <c r="V325" s="516">
        <f>$V$5</f>
        <v>2027</v>
      </c>
      <c r="W325" s="516"/>
      <c r="X325" s="516"/>
      <c r="Y325" s="516"/>
    </row>
    <row r="326" spans="1:25" x14ac:dyDescent="0.2">
      <c r="A326" s="381"/>
      <c r="B326" s="388" t="str">
        <f>$B$6</f>
        <v>FT</v>
      </c>
      <c r="C326" s="388" t="str">
        <f>$C$6</f>
        <v>PT</v>
      </c>
      <c r="D326" s="388" t="str">
        <f>$D$6</f>
        <v>SE</v>
      </c>
      <c r="E326" s="388" t="str">
        <f>$E$6</f>
        <v>Total</v>
      </c>
      <c r="F326" s="388"/>
      <c r="G326" s="388" t="str">
        <f>$B$6</f>
        <v>FT</v>
      </c>
      <c r="H326" s="388" t="str">
        <f>$C$6</f>
        <v>PT</v>
      </c>
      <c r="I326" s="388" t="str">
        <f>$D$6</f>
        <v>SE</v>
      </c>
      <c r="J326" s="388" t="str">
        <f>$E$6</f>
        <v>Total</v>
      </c>
      <c r="K326" s="388"/>
      <c r="L326" s="388" t="str">
        <f>$L$6</f>
        <v>FT</v>
      </c>
      <c r="M326" s="388" t="str">
        <f>$M$6</f>
        <v>PT</v>
      </c>
      <c r="N326" s="388" t="str">
        <f>$N$6</f>
        <v>SE</v>
      </c>
      <c r="O326" s="388" t="str">
        <f>$O$6</f>
        <v>Total</v>
      </c>
      <c r="P326" s="388"/>
      <c r="Q326" s="388" t="str">
        <f>$L$6</f>
        <v>FT</v>
      </c>
      <c r="R326" s="388" t="str">
        <f>$M$6</f>
        <v>PT</v>
      </c>
      <c r="S326" s="388" t="str">
        <f>$N$6</f>
        <v>SE</v>
      </c>
      <c r="T326" s="388" t="str">
        <f>$O$6</f>
        <v>Total</v>
      </c>
      <c r="U326" s="388"/>
      <c r="V326" s="388" t="str">
        <f>$V$6</f>
        <v>FT</v>
      </c>
      <c r="W326" s="388" t="str">
        <f>$W$6</f>
        <v>PT</v>
      </c>
      <c r="X326" s="388" t="str">
        <f>$X$6</f>
        <v>SE</v>
      </c>
      <c r="Y326" s="388" t="str">
        <f>$Y$6</f>
        <v>Total</v>
      </c>
    </row>
    <row r="327" spans="1:25" x14ac:dyDescent="0.2">
      <c r="B327" s="380"/>
      <c r="C327" s="460"/>
      <c r="D327" s="460"/>
      <c r="E327" s="460"/>
      <c r="F327" s="460"/>
      <c r="G327" s="460"/>
      <c r="H327" s="460"/>
      <c r="I327" s="460"/>
      <c r="J327" s="460"/>
      <c r="K327" s="460"/>
      <c r="L327" s="460"/>
      <c r="M327" s="460"/>
      <c r="N327" s="460"/>
      <c r="O327" s="460"/>
      <c r="P327" s="460"/>
      <c r="Q327" s="460"/>
      <c r="R327" s="460"/>
      <c r="S327" s="460"/>
      <c r="T327" s="460"/>
      <c r="U327" s="460"/>
      <c r="V327" s="460"/>
      <c r="W327" s="460"/>
      <c r="X327" s="460"/>
      <c r="Y327" s="460"/>
    </row>
    <row r="328" spans="1:25" x14ac:dyDescent="0.2">
      <c r="A328" s="378" t="str">
        <f>name!A47</f>
        <v>Telecommunications</v>
      </c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</row>
    <row r="329" spans="1:25" x14ac:dyDescent="0.2">
      <c r="A329" s="382" t="s">
        <v>391</v>
      </c>
      <c r="B329" s="437">
        <v>1.20499999999198</v>
      </c>
      <c r="C329" s="437">
        <v>0.3680000000001889</v>
      </c>
      <c r="D329" s="437">
        <v>0.13900000000208146</v>
      </c>
      <c r="E329" s="437">
        <f>SUM(B329:D329)</f>
        <v>1.7119999999942503</v>
      </c>
      <c r="F329" s="437"/>
      <c r="G329" s="437">
        <v>0.97699999999406828</v>
      </c>
      <c r="H329" s="437">
        <v>0.29000000000446158</v>
      </c>
      <c r="I329" s="437">
        <v>0</v>
      </c>
      <c r="J329" s="437">
        <f>SUM(G329:I329)</f>
        <v>1.26699999999853</v>
      </c>
      <c r="K329" s="437"/>
      <c r="L329" s="437">
        <v>0.58299999999350405</v>
      </c>
      <c r="M329" s="437">
        <v>9.4000000001575754E-2</v>
      </c>
      <c r="N329" s="437">
        <v>0</v>
      </c>
      <c r="O329" s="437">
        <f>SUM(L329:N329)</f>
        <v>0.67699999999507976</v>
      </c>
      <c r="P329" s="437"/>
      <c r="Q329" s="437">
        <v>0.5979999999914658</v>
      </c>
      <c r="R329" s="437">
        <v>0.13200000000092893</v>
      </c>
      <c r="S329" s="437">
        <v>0</v>
      </c>
      <c r="T329" s="437">
        <f>SUM(Q329:S329)</f>
        <v>0.72999999999239473</v>
      </c>
      <c r="U329" s="437"/>
      <c r="V329" s="437">
        <v>0.61199999999290011</v>
      </c>
      <c r="W329" s="437">
        <v>0.16400000000126158</v>
      </c>
      <c r="X329" s="437">
        <v>0</v>
      </c>
      <c r="Y329" s="437">
        <f>SUM(V329:X329)</f>
        <v>0.77599999999416169</v>
      </c>
    </row>
    <row r="330" spans="1:25" x14ac:dyDescent="0.2">
      <c r="A330" s="382" t="s">
        <v>390</v>
      </c>
      <c r="B330" s="438">
        <v>4.4729999999658983</v>
      </c>
      <c r="C330" s="438">
        <v>0.22499999999902359</v>
      </c>
      <c r="D330" s="438">
        <v>1.6059999999869889</v>
      </c>
      <c r="E330" s="438">
        <f t="shared" ref="E330:E331" si="864">SUM(B330:D330)</f>
        <v>6.3039999999519107</v>
      </c>
      <c r="F330" s="438"/>
      <c r="G330" s="438">
        <v>5.0290000000645589</v>
      </c>
      <c r="H330" s="438">
        <v>0.15299999999928515</v>
      </c>
      <c r="I330" s="438">
        <v>1.0100000000065015</v>
      </c>
      <c r="J330" s="438">
        <f t="shared" ref="J330:J331" si="865">SUM(G330:I330)</f>
        <v>6.1920000000703457</v>
      </c>
      <c r="K330" s="438"/>
      <c r="L330" s="438">
        <v>3.4709999999633503</v>
      </c>
      <c r="M330" s="438">
        <v>7.999999999992341E-2</v>
      </c>
      <c r="N330" s="438">
        <v>0.3279999999936884</v>
      </c>
      <c r="O330" s="438">
        <f t="shared" ref="O330:O331" si="866">SUM(L330:N330)</f>
        <v>3.878999999956962</v>
      </c>
      <c r="P330" s="438"/>
      <c r="Q330" s="438">
        <v>3.3540000000309278</v>
      </c>
      <c r="R330" s="438">
        <v>0.11999999999912773</v>
      </c>
      <c r="S330" s="438">
        <v>0.36499999999884053</v>
      </c>
      <c r="T330" s="438">
        <f t="shared" ref="T330:T331" si="867">SUM(Q330:S330)</f>
        <v>3.8390000000288964</v>
      </c>
      <c r="U330" s="438"/>
      <c r="V330" s="438">
        <v>3.2750000000417878</v>
      </c>
      <c r="W330" s="438">
        <v>0.1539999999984081</v>
      </c>
      <c r="X330" s="438">
        <v>0.39700000000068103</v>
      </c>
      <c r="Y330" s="438">
        <f t="shared" ref="Y330:Y331" si="868">SUM(V330:X330)</f>
        <v>3.8260000000408771</v>
      </c>
    </row>
    <row r="331" spans="1:25" x14ac:dyDescent="0.2">
      <c r="A331" s="382" t="s">
        <v>389</v>
      </c>
      <c r="B331" s="438">
        <f>SUM(B329:B330)</f>
        <v>5.6779999999578781</v>
      </c>
      <c r="C331" s="438">
        <f t="shared" ref="C331" si="869">SUM(C329:C330)</f>
        <v>0.59299999999921249</v>
      </c>
      <c r="D331" s="438">
        <f t="shared" ref="D331" si="870">SUM(D329:D330)</f>
        <v>1.7449999999890704</v>
      </c>
      <c r="E331" s="438">
        <f t="shared" si="864"/>
        <v>8.0159999999461604</v>
      </c>
      <c r="F331" s="438"/>
      <c r="G331" s="438">
        <f>SUM(G329:G330)</f>
        <v>6.0060000000586271</v>
      </c>
      <c r="H331" s="438">
        <f t="shared" ref="H331" si="871">SUM(H329:H330)</f>
        <v>0.44300000000374673</v>
      </c>
      <c r="I331" s="438">
        <f t="shared" ref="I331" si="872">SUM(I329:I330)</f>
        <v>1.0100000000065015</v>
      </c>
      <c r="J331" s="438">
        <f t="shared" si="865"/>
        <v>7.4590000000688752</v>
      </c>
      <c r="K331" s="438"/>
      <c r="L331" s="438">
        <f>SUM(L329:L330)</f>
        <v>4.0539999999568543</v>
      </c>
      <c r="M331" s="438">
        <f t="shared" ref="M331" si="873">SUM(M329:M330)</f>
        <v>0.17400000000149918</v>
      </c>
      <c r="N331" s="438">
        <f t="shared" ref="N331" si="874">SUM(N329:N330)</f>
        <v>0.3279999999936884</v>
      </c>
      <c r="O331" s="438">
        <f t="shared" si="866"/>
        <v>4.5559999999520411</v>
      </c>
      <c r="P331" s="438"/>
      <c r="Q331" s="438">
        <f>SUM(Q329:Q330)</f>
        <v>3.9520000000223936</v>
      </c>
      <c r="R331" s="438">
        <f t="shared" ref="R331" si="875">SUM(R329:R330)</f>
        <v>0.25200000000005668</v>
      </c>
      <c r="S331" s="438">
        <f t="shared" ref="S331" si="876">SUM(S329:S330)</f>
        <v>0.36499999999884053</v>
      </c>
      <c r="T331" s="438">
        <f t="shared" si="867"/>
        <v>4.5690000000212905</v>
      </c>
      <c r="U331" s="438"/>
      <c r="V331" s="438">
        <f>SUM(V329:V330)</f>
        <v>3.8870000000346878</v>
      </c>
      <c r="W331" s="438">
        <f t="shared" ref="W331" si="877">SUM(W329:W330)</f>
        <v>0.31799999999966966</v>
      </c>
      <c r="X331" s="438">
        <f t="shared" ref="X331" si="878">SUM(X329:X330)</f>
        <v>0.39700000000068103</v>
      </c>
      <c r="Y331" s="438">
        <f t="shared" si="868"/>
        <v>4.602000000035039</v>
      </c>
    </row>
    <row r="332" spans="1:25" x14ac:dyDescent="0.2">
      <c r="B332" s="380"/>
      <c r="C332" s="460"/>
      <c r="D332" s="460"/>
      <c r="E332" s="460"/>
      <c r="F332" s="460"/>
      <c r="G332" s="460"/>
      <c r="H332" s="460"/>
      <c r="I332" s="460"/>
      <c r="J332" s="460"/>
      <c r="K332" s="460"/>
      <c r="L332" s="460"/>
      <c r="M332" s="460"/>
      <c r="N332" s="460"/>
      <c r="O332" s="460"/>
      <c r="P332" s="460"/>
      <c r="Q332" s="460"/>
      <c r="R332" s="460"/>
      <c r="S332" s="460"/>
      <c r="T332" s="460"/>
      <c r="U332" s="460"/>
      <c r="V332" s="460"/>
      <c r="W332" s="460"/>
      <c r="X332" s="460"/>
      <c r="Y332" s="460"/>
    </row>
    <row r="333" spans="1:25" x14ac:dyDescent="0.2">
      <c r="A333" s="378" t="str">
        <f>name!A48</f>
        <v>Computing services</v>
      </c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</row>
    <row r="334" spans="1:25" x14ac:dyDescent="0.2">
      <c r="A334" s="382" t="s">
        <v>391</v>
      </c>
      <c r="B334" s="437">
        <v>2.4490000000035699</v>
      </c>
      <c r="C334" s="437">
        <v>1.2669999999931489</v>
      </c>
      <c r="D334" s="437">
        <v>0.26800000000443941</v>
      </c>
      <c r="E334" s="437">
        <f>SUM(B334:D334)</f>
        <v>3.9840000000011582</v>
      </c>
      <c r="F334" s="437"/>
      <c r="G334" s="437">
        <v>2.1099999999988985</v>
      </c>
      <c r="H334" s="437">
        <v>1.0859999999988899</v>
      </c>
      <c r="I334" s="437">
        <v>0</v>
      </c>
      <c r="J334" s="437">
        <f>SUM(G334:I334)</f>
        <v>3.1959999999977882</v>
      </c>
      <c r="K334" s="437"/>
      <c r="L334" s="437">
        <v>4.3899999999393016</v>
      </c>
      <c r="M334" s="437">
        <v>1.355999999989147</v>
      </c>
      <c r="N334" s="437">
        <v>0</v>
      </c>
      <c r="O334" s="437">
        <f>SUM(L334:N334)</f>
        <v>5.7459999999284488</v>
      </c>
      <c r="P334" s="437"/>
      <c r="Q334" s="437">
        <v>4.4959999999342077</v>
      </c>
      <c r="R334" s="437">
        <v>1.8899999999897568</v>
      </c>
      <c r="S334" s="437">
        <v>0</v>
      </c>
      <c r="T334" s="437">
        <f>SUM(Q334:S334)</f>
        <v>6.3859999999239641</v>
      </c>
      <c r="U334" s="437"/>
      <c r="V334" s="437">
        <v>4.6059999999455759</v>
      </c>
      <c r="W334" s="437">
        <v>2.3529999999915914</v>
      </c>
      <c r="X334" s="437">
        <v>0</v>
      </c>
      <c r="Y334" s="437">
        <f>SUM(V334:X334)</f>
        <v>6.9589999999371672</v>
      </c>
    </row>
    <row r="335" spans="1:25" x14ac:dyDescent="0.2">
      <c r="A335" s="382" t="s">
        <v>390</v>
      </c>
      <c r="B335" s="438">
        <v>5.4369999999471386</v>
      </c>
      <c r="C335" s="438">
        <v>0.3089999999995412</v>
      </c>
      <c r="D335" s="438">
        <v>2.3809999999578886</v>
      </c>
      <c r="E335" s="438">
        <f t="shared" ref="E335:E336" si="879">SUM(B335:D335)</f>
        <v>8.1269999999045677</v>
      </c>
      <c r="F335" s="438"/>
      <c r="G335" s="438">
        <v>6.494000000128314</v>
      </c>
      <c r="H335" s="438">
        <v>0.22900000000307338</v>
      </c>
      <c r="I335" s="438">
        <v>1.5880000000217307</v>
      </c>
      <c r="J335" s="438">
        <f t="shared" ref="J335:J336" si="880">SUM(G335:I335)</f>
        <v>8.3110000001531183</v>
      </c>
      <c r="K335" s="438"/>
      <c r="L335" s="438">
        <v>15.614999999810284</v>
      </c>
      <c r="M335" s="438">
        <v>0.4619999999988052</v>
      </c>
      <c r="N335" s="438">
        <v>1.7989999999654898</v>
      </c>
      <c r="O335" s="438">
        <f t="shared" ref="O335:O336" si="881">SUM(L335:N335)</f>
        <v>17.875999999774578</v>
      </c>
      <c r="P335" s="438"/>
      <c r="Q335" s="438">
        <v>15.090000000216182</v>
      </c>
      <c r="R335" s="438">
        <v>0.68900000000474371</v>
      </c>
      <c r="S335" s="438">
        <v>2.0029999999930603</v>
      </c>
      <c r="T335" s="438">
        <f t="shared" ref="T335:T336" si="882">SUM(Q335:S335)</f>
        <v>17.782000000213987</v>
      </c>
      <c r="U335" s="438"/>
      <c r="V335" s="438">
        <v>14.733000000263672</v>
      </c>
      <c r="W335" s="438">
        <v>0.88400000000553425</v>
      </c>
      <c r="X335" s="438">
        <v>2.1780000000064277</v>
      </c>
      <c r="Y335" s="438">
        <f t="shared" ref="Y335:Y336" si="883">SUM(V335:X335)</f>
        <v>17.795000000275635</v>
      </c>
    </row>
    <row r="336" spans="1:25" x14ac:dyDescent="0.2">
      <c r="A336" s="382" t="s">
        <v>389</v>
      </c>
      <c r="B336" s="438">
        <f>SUM(B334:B335)</f>
        <v>7.8859999999507089</v>
      </c>
      <c r="C336" s="438">
        <f t="shared" ref="C336" si="884">SUM(C334:C335)</f>
        <v>1.5759999999926901</v>
      </c>
      <c r="D336" s="438">
        <f t="shared" ref="D336" si="885">SUM(D334:D335)</f>
        <v>2.6489999999623279</v>
      </c>
      <c r="E336" s="438">
        <f t="shared" si="879"/>
        <v>12.110999999905728</v>
      </c>
      <c r="F336" s="438"/>
      <c r="G336" s="438">
        <f>SUM(G334:G335)</f>
        <v>8.604000000127213</v>
      </c>
      <c r="H336" s="438">
        <f t="shared" ref="H336" si="886">SUM(H334:H335)</f>
        <v>1.3150000000019633</v>
      </c>
      <c r="I336" s="438">
        <f t="shared" ref="I336" si="887">SUM(I334:I335)</f>
        <v>1.5880000000217307</v>
      </c>
      <c r="J336" s="438">
        <f t="shared" si="880"/>
        <v>11.507000000150908</v>
      </c>
      <c r="K336" s="438"/>
      <c r="L336" s="438">
        <f>SUM(L334:L335)</f>
        <v>20.004999999749586</v>
      </c>
      <c r="M336" s="438">
        <f t="shared" ref="M336" si="888">SUM(M334:M335)</f>
        <v>1.8179999999879521</v>
      </c>
      <c r="N336" s="438">
        <f t="shared" ref="N336" si="889">SUM(N334:N335)</f>
        <v>1.7989999999654898</v>
      </c>
      <c r="O336" s="438">
        <f t="shared" si="881"/>
        <v>23.621999999703025</v>
      </c>
      <c r="P336" s="438"/>
      <c r="Q336" s="438">
        <f>SUM(Q334:Q335)</f>
        <v>19.586000000150392</v>
      </c>
      <c r="R336" s="438">
        <f t="shared" ref="R336" si="890">SUM(R334:R335)</f>
        <v>2.5789999999945006</v>
      </c>
      <c r="S336" s="438">
        <f t="shared" ref="S336" si="891">SUM(S334:S335)</f>
        <v>2.0029999999930603</v>
      </c>
      <c r="T336" s="438">
        <f t="shared" si="882"/>
        <v>24.168000000137955</v>
      </c>
      <c r="U336" s="438"/>
      <c r="V336" s="438">
        <f>SUM(V334:V335)</f>
        <v>19.339000000209246</v>
      </c>
      <c r="W336" s="438">
        <f t="shared" ref="W336" si="892">SUM(W334:W335)</f>
        <v>3.2369999999971255</v>
      </c>
      <c r="X336" s="438">
        <f t="shared" ref="X336" si="893">SUM(X334:X335)</f>
        <v>2.1780000000064277</v>
      </c>
      <c r="Y336" s="438">
        <f t="shared" si="883"/>
        <v>24.754000000212798</v>
      </c>
    </row>
    <row r="337" spans="1:25" x14ac:dyDescent="0.2">
      <c r="B337" s="380"/>
      <c r="C337" s="460"/>
      <c r="D337" s="460"/>
      <c r="E337" s="460"/>
      <c r="F337" s="460"/>
      <c r="G337" s="460"/>
      <c r="H337" s="460"/>
      <c r="I337" s="460"/>
      <c r="J337" s="460"/>
      <c r="K337" s="460"/>
      <c r="L337" s="460"/>
      <c r="M337" s="460"/>
      <c r="N337" s="460"/>
      <c r="O337" s="460"/>
      <c r="P337" s="460"/>
      <c r="Q337" s="460"/>
      <c r="R337" s="460"/>
      <c r="S337" s="460"/>
      <c r="T337" s="460"/>
      <c r="U337" s="460"/>
      <c r="V337" s="460"/>
      <c r="W337" s="460"/>
      <c r="X337" s="460"/>
      <c r="Y337" s="460"/>
    </row>
    <row r="338" spans="1:25" x14ac:dyDescent="0.2">
      <c r="A338" s="378" t="str">
        <f>name!A49</f>
        <v>Information services</v>
      </c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</row>
    <row r="339" spans="1:25" x14ac:dyDescent="0.2">
      <c r="A339" s="382" t="s">
        <v>391</v>
      </c>
      <c r="B339" s="437">
        <v>0.19799999999822449</v>
      </c>
      <c r="C339" s="437">
        <v>2.9999999999766616E-2</v>
      </c>
      <c r="D339" s="437">
        <v>0.12600000000027695</v>
      </c>
      <c r="E339" s="437">
        <f>SUM(B339:D339)</f>
        <v>0.35399999999826803</v>
      </c>
      <c r="F339" s="437"/>
      <c r="G339" s="437">
        <v>0.31399999999737749</v>
      </c>
      <c r="H339" s="437">
        <v>6.099999999960655E-2</v>
      </c>
      <c r="I339" s="437">
        <v>0</v>
      </c>
      <c r="J339" s="437">
        <f>SUM(G339:I339)</f>
        <v>0.37499999999698402</v>
      </c>
      <c r="K339" s="437"/>
      <c r="L339" s="437">
        <v>0.16899999999997764</v>
      </c>
      <c r="M339" s="437">
        <v>1.70000000000026E-2</v>
      </c>
      <c r="N339" s="437">
        <v>0</v>
      </c>
      <c r="O339" s="437">
        <f>SUM(L339:N339)</f>
        <v>0.18599999999998024</v>
      </c>
      <c r="P339" s="437"/>
      <c r="Q339" s="437">
        <v>0.17299999999959256</v>
      </c>
      <c r="R339" s="437">
        <v>2.2999999999961097E-2</v>
      </c>
      <c r="S339" s="437">
        <v>0</v>
      </c>
      <c r="T339" s="437">
        <f>SUM(Q339:S339)</f>
        <v>0.19599999999955367</v>
      </c>
      <c r="U339" s="437"/>
      <c r="V339" s="437">
        <v>0.17699999999955679</v>
      </c>
      <c r="W339" s="437">
        <v>2.8999999999912811E-2</v>
      </c>
      <c r="X339" s="437">
        <v>0</v>
      </c>
      <c r="Y339" s="437">
        <f>SUM(V339:X339)</f>
        <v>0.20599999999946961</v>
      </c>
    </row>
    <row r="340" spans="1:25" x14ac:dyDescent="0.2">
      <c r="A340" s="382" t="s">
        <v>390</v>
      </c>
      <c r="B340" s="438">
        <v>0.3999999999981419</v>
      </c>
      <c r="C340" s="438">
        <v>3.0000000000009602E-2</v>
      </c>
      <c r="D340" s="438">
        <v>0.11399999999814342</v>
      </c>
      <c r="E340" s="438">
        <f t="shared" ref="E340:E341" si="894">SUM(B340:D340)</f>
        <v>0.543999999996295</v>
      </c>
      <c r="F340" s="438"/>
      <c r="G340" s="438">
        <v>0.88199999999973799</v>
      </c>
      <c r="H340" s="438">
        <v>5.2999999999458473E-2</v>
      </c>
      <c r="I340" s="438">
        <v>0.14500000000131413</v>
      </c>
      <c r="J340" s="438">
        <f t="shared" ref="J340:J341" si="895">SUM(G340:I340)</f>
        <v>1.0800000000005106</v>
      </c>
      <c r="K340" s="438"/>
      <c r="L340" s="438">
        <v>0.54699999999835291</v>
      </c>
      <c r="M340" s="438">
        <v>2.3000000000049186E-2</v>
      </c>
      <c r="N340" s="438">
        <v>4.0999999999260614E-2</v>
      </c>
      <c r="O340" s="438">
        <f t="shared" ref="O340:O341" si="896">SUM(L340:N340)</f>
        <v>0.61099999999766275</v>
      </c>
      <c r="P340" s="438"/>
      <c r="Q340" s="438">
        <v>0.52799999999934111</v>
      </c>
      <c r="R340" s="438">
        <v>3.4999999999744888E-2</v>
      </c>
      <c r="S340" s="438">
        <v>4.5999999999743919E-2</v>
      </c>
      <c r="T340" s="438">
        <f t="shared" ref="T340:T341" si="897">SUM(Q340:S340)</f>
        <v>0.60899999999882992</v>
      </c>
      <c r="U340" s="438"/>
      <c r="V340" s="438">
        <v>0.51599999999930268</v>
      </c>
      <c r="W340" s="438">
        <v>4.4999999999569787E-2</v>
      </c>
      <c r="X340" s="438">
        <v>4.9999999999990892E-2</v>
      </c>
      <c r="Y340" s="438">
        <f t="shared" ref="Y340:Y341" si="898">SUM(V340:X340)</f>
        <v>0.61099999999886345</v>
      </c>
    </row>
    <row r="341" spans="1:25" x14ac:dyDescent="0.2">
      <c r="A341" s="382" t="s">
        <v>389</v>
      </c>
      <c r="B341" s="438">
        <f>SUM(B339:B340)</f>
        <v>0.59799999999636633</v>
      </c>
      <c r="C341" s="438">
        <f t="shared" ref="C341" si="899">SUM(C339:C340)</f>
        <v>5.9999999999776218E-2</v>
      </c>
      <c r="D341" s="438">
        <f t="shared" ref="D341" si="900">SUM(D339:D340)</f>
        <v>0.23999999999842037</v>
      </c>
      <c r="E341" s="438">
        <f t="shared" si="894"/>
        <v>0.89799999999456293</v>
      </c>
      <c r="F341" s="438"/>
      <c r="G341" s="438">
        <f>SUM(G339:G340)</f>
        <v>1.1959999999971154</v>
      </c>
      <c r="H341" s="438">
        <f t="shared" ref="H341" si="901">SUM(H339:H340)</f>
        <v>0.11399999999906502</v>
      </c>
      <c r="I341" s="438">
        <f t="shared" ref="I341" si="902">SUM(I339:I340)</f>
        <v>0.14500000000131413</v>
      </c>
      <c r="J341" s="438">
        <f t="shared" si="895"/>
        <v>1.4549999999974945</v>
      </c>
      <c r="K341" s="438"/>
      <c r="L341" s="438">
        <f>SUM(L339:L340)</f>
        <v>0.71599999999833053</v>
      </c>
      <c r="M341" s="438">
        <f t="shared" ref="M341" si="903">SUM(M339:M340)</f>
        <v>4.0000000000051786E-2</v>
      </c>
      <c r="N341" s="438">
        <f t="shared" ref="N341" si="904">SUM(N339:N340)</f>
        <v>4.0999999999260614E-2</v>
      </c>
      <c r="O341" s="438">
        <f t="shared" si="896"/>
        <v>0.79699999999764293</v>
      </c>
      <c r="P341" s="438"/>
      <c r="Q341" s="438">
        <f>SUM(Q339:Q340)</f>
        <v>0.7009999999989337</v>
      </c>
      <c r="R341" s="438">
        <f t="shared" ref="R341" si="905">SUM(R339:R340)</f>
        <v>5.7999999999705981E-2</v>
      </c>
      <c r="S341" s="438">
        <f t="shared" ref="S341" si="906">SUM(S339:S340)</f>
        <v>4.5999999999743919E-2</v>
      </c>
      <c r="T341" s="438">
        <f t="shared" si="897"/>
        <v>0.80499999999838356</v>
      </c>
      <c r="U341" s="438"/>
      <c r="V341" s="438">
        <f>SUM(V339:V340)</f>
        <v>0.69299999999885942</v>
      </c>
      <c r="W341" s="438">
        <f t="shared" ref="W341" si="907">SUM(W339:W340)</f>
        <v>7.3999999999482591E-2</v>
      </c>
      <c r="X341" s="438">
        <f t="shared" ref="X341" si="908">SUM(X339:X340)</f>
        <v>4.9999999999990892E-2</v>
      </c>
      <c r="Y341" s="438">
        <f t="shared" si="898"/>
        <v>0.81699999999833295</v>
      </c>
    </row>
    <row r="342" spans="1:25" x14ac:dyDescent="0.2">
      <c r="C342" s="453"/>
    </row>
    <row r="343" spans="1:25" x14ac:dyDescent="0.2">
      <c r="A343" s="383" t="s">
        <v>398</v>
      </c>
      <c r="C343" s="453"/>
    </row>
    <row r="344" spans="1:25" x14ac:dyDescent="0.2">
      <c r="A344" s="377" t="s">
        <v>391</v>
      </c>
      <c r="B344" s="437">
        <f>SUM(B329,B334,B339)</f>
        <v>3.8519999999937746</v>
      </c>
      <c r="C344" s="437">
        <f t="shared" ref="C344:D344" si="909">SUM(C329,C334,C339)</f>
        <v>1.6649999999931044</v>
      </c>
      <c r="D344" s="437">
        <f t="shared" si="909"/>
        <v>0.53300000000679781</v>
      </c>
      <c r="E344" s="437">
        <f>SUM(B344:D344)</f>
        <v>6.0499999999936769</v>
      </c>
      <c r="F344" s="437"/>
      <c r="G344" s="437">
        <f>SUM(G329,G334,G339)</f>
        <v>3.4009999999903444</v>
      </c>
      <c r="H344" s="437">
        <f t="shared" ref="H344:I344" si="910">SUM(H329,H334,H339)</f>
        <v>1.4370000000029579</v>
      </c>
      <c r="I344" s="437">
        <f t="shared" si="910"/>
        <v>0</v>
      </c>
      <c r="J344" s="437">
        <f>SUM(G344:I344)</f>
        <v>4.8379999999933023</v>
      </c>
      <c r="K344" s="437"/>
      <c r="L344" s="437">
        <f>SUM(L329,L334,L339)</f>
        <v>5.141999999932783</v>
      </c>
      <c r="M344" s="437">
        <f t="shared" ref="M344:N344" si="911">SUM(M329,M334,M339)</f>
        <v>1.4669999999907253</v>
      </c>
      <c r="N344" s="437">
        <f t="shared" si="911"/>
        <v>0</v>
      </c>
      <c r="O344" s="437">
        <f>SUM(L344:N344)</f>
        <v>6.6089999999235083</v>
      </c>
      <c r="P344" s="437"/>
      <c r="Q344" s="437">
        <f>SUM(Q329,Q334,Q339)</f>
        <v>5.2669999999252655</v>
      </c>
      <c r="R344" s="437">
        <f t="shared" ref="R344:S344" si="912">SUM(R329,R334,R339)</f>
        <v>2.044999999990647</v>
      </c>
      <c r="S344" s="437">
        <f t="shared" si="912"/>
        <v>0</v>
      </c>
      <c r="T344" s="437">
        <f>SUM(Q344:S344)</f>
        <v>7.311999999915912</v>
      </c>
      <c r="U344" s="437"/>
      <c r="V344" s="437">
        <f>SUM(V329,V334,V339)</f>
        <v>5.3949999999380323</v>
      </c>
      <c r="W344" s="437">
        <f t="shared" ref="W344:X344" si="913">SUM(W329,W334,W339)</f>
        <v>2.545999999992766</v>
      </c>
      <c r="X344" s="437">
        <f t="shared" si="913"/>
        <v>0</v>
      </c>
      <c r="Y344" s="437">
        <f>SUM(V344:X344)</f>
        <v>7.9409999999307983</v>
      </c>
    </row>
    <row r="345" spans="1:25" x14ac:dyDescent="0.2">
      <c r="A345" s="377" t="s">
        <v>390</v>
      </c>
      <c r="B345" s="437">
        <f>SUM(B330,B335,B340)</f>
        <v>10.309999999911179</v>
      </c>
      <c r="C345" s="437">
        <f t="shared" ref="C345:D345" si="914">SUM(C330,C335,C340)</f>
        <v>0.56399999999857431</v>
      </c>
      <c r="D345" s="437">
        <f t="shared" si="914"/>
        <v>4.1009999999430207</v>
      </c>
      <c r="E345" s="437">
        <f t="shared" ref="E345:E346" si="915">SUM(B345:D345)</f>
        <v>14.974999999852773</v>
      </c>
      <c r="F345" s="437"/>
      <c r="G345" s="437">
        <f>SUM(G330,G335,G340)</f>
        <v>12.405000000192612</v>
      </c>
      <c r="H345" s="437">
        <f t="shared" ref="H345:I345" si="916">SUM(H330,H335,H340)</f>
        <v>0.43500000000181704</v>
      </c>
      <c r="I345" s="437">
        <f t="shared" si="916"/>
        <v>2.7430000000295465</v>
      </c>
      <c r="J345" s="437">
        <f t="shared" ref="J345:J346" si="917">SUM(G345:I345)</f>
        <v>15.583000000223976</v>
      </c>
      <c r="K345" s="437"/>
      <c r="L345" s="437">
        <f>SUM(L330,L335,L340)</f>
        <v>19.632999999771986</v>
      </c>
      <c r="M345" s="437">
        <f t="shared" ref="M345:N345" si="918">SUM(M330,M335,M340)</f>
        <v>0.56499999999877781</v>
      </c>
      <c r="N345" s="437">
        <f t="shared" si="918"/>
        <v>2.1679999999584387</v>
      </c>
      <c r="O345" s="437">
        <f t="shared" ref="O345:O346" si="919">SUM(L345:N345)</f>
        <v>22.365999999729205</v>
      </c>
      <c r="P345" s="437"/>
      <c r="Q345" s="437">
        <f>SUM(Q330,Q335,Q340)</f>
        <v>18.972000000246453</v>
      </c>
      <c r="R345" s="437">
        <f t="shared" ref="R345:S345" si="920">SUM(R330,R335,R340)</f>
        <v>0.8440000000036163</v>
      </c>
      <c r="S345" s="437">
        <f t="shared" si="920"/>
        <v>2.4139999999916451</v>
      </c>
      <c r="T345" s="437">
        <f t="shared" ref="T345:T346" si="921">SUM(Q345:S345)</f>
        <v>22.230000000241716</v>
      </c>
      <c r="U345" s="437"/>
      <c r="V345" s="437">
        <f>SUM(V330,V335,V340)</f>
        <v>18.524000000304763</v>
      </c>
      <c r="W345" s="437">
        <f t="shared" ref="W345:X345" si="922">SUM(W330,W335,W340)</f>
        <v>1.0830000000035123</v>
      </c>
      <c r="X345" s="437">
        <f t="shared" si="922"/>
        <v>2.6250000000070997</v>
      </c>
      <c r="Y345" s="437">
        <f t="shared" ref="Y345:Y346" si="923">SUM(V345:X345)</f>
        <v>22.232000000315374</v>
      </c>
    </row>
    <row r="346" spans="1:25" x14ac:dyDescent="0.2">
      <c r="A346" s="381" t="s">
        <v>389</v>
      </c>
      <c r="B346" s="439">
        <f>SUM(B344:B345)</f>
        <v>14.161999999904953</v>
      </c>
      <c r="C346" s="439">
        <f t="shared" ref="C346" si="924">SUM(C344:C345)</f>
        <v>2.2289999999916787</v>
      </c>
      <c r="D346" s="439">
        <f t="shared" ref="D346" si="925">SUM(D344:D345)</f>
        <v>4.6339999999498183</v>
      </c>
      <c r="E346" s="439">
        <f t="shared" si="915"/>
        <v>21.02499999984645</v>
      </c>
      <c r="F346" s="439"/>
      <c r="G346" s="439">
        <f>SUM(G344:G345)</f>
        <v>15.806000000182955</v>
      </c>
      <c r="H346" s="439">
        <f t="shared" ref="H346" si="926">SUM(H344:H345)</f>
        <v>1.872000000004775</v>
      </c>
      <c r="I346" s="439">
        <f t="shared" ref="I346" si="927">SUM(I344:I345)</f>
        <v>2.7430000000295465</v>
      </c>
      <c r="J346" s="439">
        <f t="shared" si="917"/>
        <v>20.421000000217276</v>
      </c>
      <c r="K346" s="439"/>
      <c r="L346" s="439">
        <f>SUM(L344:L345)</f>
        <v>24.774999999704768</v>
      </c>
      <c r="M346" s="439">
        <f t="shared" ref="M346" si="928">SUM(M344:M345)</f>
        <v>2.0319999999895031</v>
      </c>
      <c r="N346" s="439">
        <f t="shared" ref="N346" si="929">SUM(N344:N345)</f>
        <v>2.1679999999584387</v>
      </c>
      <c r="O346" s="439">
        <f t="shared" si="919"/>
        <v>28.974999999652709</v>
      </c>
      <c r="P346" s="439"/>
      <c r="Q346" s="439">
        <f>SUM(Q344:Q345)</f>
        <v>24.239000000171718</v>
      </c>
      <c r="R346" s="439">
        <f t="shared" ref="R346" si="930">SUM(R344:R345)</f>
        <v>2.8889999999942635</v>
      </c>
      <c r="S346" s="439">
        <f t="shared" ref="S346" si="931">SUM(S344:S345)</f>
        <v>2.4139999999916451</v>
      </c>
      <c r="T346" s="439">
        <f t="shared" si="921"/>
        <v>29.542000000157628</v>
      </c>
      <c r="U346" s="439"/>
      <c r="V346" s="439">
        <f>SUM(V344:V345)</f>
        <v>23.919000000242796</v>
      </c>
      <c r="W346" s="439">
        <f t="shared" ref="W346" si="932">SUM(W344:W345)</f>
        <v>3.6289999999962781</v>
      </c>
      <c r="X346" s="439">
        <f t="shared" ref="X346" si="933">SUM(X344:X345)</f>
        <v>2.6250000000070997</v>
      </c>
      <c r="Y346" s="439">
        <f t="shared" si="923"/>
        <v>30.173000000246173</v>
      </c>
    </row>
    <row r="347" spans="1:25" x14ac:dyDescent="0.2">
      <c r="A347" s="384"/>
    </row>
    <row r="348" spans="1:25" x14ac:dyDescent="0.2">
      <c r="A348" s="383"/>
    </row>
    <row r="349" spans="1:25" x14ac:dyDescent="0.2">
      <c r="C349" s="453"/>
    </row>
    <row r="350" spans="1:25" ht="15" x14ac:dyDescent="0.25">
      <c r="A350" s="385" t="str">
        <f>"Industry 14 : "&amp; name!B17</f>
        <v>Industry 14 : Finance and insurance</v>
      </c>
      <c r="B350" s="516">
        <f>$B$5</f>
        <v>2007</v>
      </c>
      <c r="C350" s="516"/>
      <c r="D350" s="516"/>
      <c r="E350" s="516"/>
      <c r="F350" s="461"/>
      <c r="G350" s="516">
        <f>$G$5</f>
        <v>2012</v>
      </c>
      <c r="H350" s="516"/>
      <c r="I350" s="516"/>
      <c r="J350" s="516"/>
      <c r="K350" s="461"/>
      <c r="L350" s="516">
        <f>$L$5</f>
        <v>2017</v>
      </c>
      <c r="M350" s="516"/>
      <c r="N350" s="516"/>
      <c r="O350" s="516"/>
      <c r="P350" s="459"/>
      <c r="Q350" s="516">
        <f>$Q$5</f>
        <v>2022</v>
      </c>
      <c r="R350" s="516"/>
      <c r="S350" s="516"/>
      <c r="T350" s="516"/>
      <c r="U350" s="461"/>
      <c r="V350" s="516">
        <f>$V$5</f>
        <v>2027</v>
      </c>
      <c r="W350" s="516"/>
      <c r="X350" s="516"/>
      <c r="Y350" s="516"/>
    </row>
    <row r="351" spans="1:25" x14ac:dyDescent="0.2">
      <c r="A351" s="381"/>
      <c r="B351" s="388" t="str">
        <f>$B$6</f>
        <v>FT</v>
      </c>
      <c r="C351" s="388" t="str">
        <f>$C$6</f>
        <v>PT</v>
      </c>
      <c r="D351" s="388" t="str">
        <f>$D$6</f>
        <v>SE</v>
      </c>
      <c r="E351" s="388" t="str">
        <f>$E$6</f>
        <v>Total</v>
      </c>
      <c r="F351" s="388"/>
      <c r="G351" s="388" t="str">
        <f>$B$6</f>
        <v>FT</v>
      </c>
      <c r="H351" s="388" t="str">
        <f>$C$6</f>
        <v>PT</v>
      </c>
      <c r="I351" s="388" t="str">
        <f>$D$6</f>
        <v>SE</v>
      </c>
      <c r="J351" s="388" t="str">
        <f>$E$6</f>
        <v>Total</v>
      </c>
      <c r="K351" s="388"/>
      <c r="L351" s="388" t="str">
        <f>$L$6</f>
        <v>FT</v>
      </c>
      <c r="M351" s="388" t="str">
        <f>$M$6</f>
        <v>PT</v>
      </c>
      <c r="N351" s="388" t="str">
        <f>$N$6</f>
        <v>SE</v>
      </c>
      <c r="O351" s="388" t="str">
        <f>$O$6</f>
        <v>Total</v>
      </c>
      <c r="P351" s="388"/>
      <c r="Q351" s="388" t="str">
        <f>$L$6</f>
        <v>FT</v>
      </c>
      <c r="R351" s="388" t="str">
        <f>$M$6</f>
        <v>PT</v>
      </c>
      <c r="S351" s="388" t="str">
        <f>$N$6</f>
        <v>SE</v>
      </c>
      <c r="T351" s="388" t="str">
        <f>$O$6</f>
        <v>Total</v>
      </c>
      <c r="U351" s="388"/>
      <c r="V351" s="388" t="str">
        <f>$V$6</f>
        <v>FT</v>
      </c>
      <c r="W351" s="388" t="str">
        <f>$W$6</f>
        <v>PT</v>
      </c>
      <c r="X351" s="388" t="str">
        <f>$X$6</f>
        <v>SE</v>
      </c>
      <c r="Y351" s="388" t="str">
        <f>$Y$6</f>
        <v>Total</v>
      </c>
    </row>
    <row r="352" spans="1:25" x14ac:dyDescent="0.2">
      <c r="B352" s="380"/>
      <c r="C352" s="460"/>
      <c r="D352" s="460"/>
      <c r="E352" s="460"/>
      <c r="F352" s="460"/>
      <c r="G352" s="460"/>
      <c r="H352" s="460"/>
      <c r="I352" s="460"/>
      <c r="J352" s="460"/>
      <c r="K352" s="460"/>
      <c r="L352" s="460"/>
      <c r="M352" s="460"/>
      <c r="N352" s="460"/>
      <c r="O352" s="460"/>
      <c r="P352" s="460"/>
      <c r="Q352" s="460"/>
      <c r="R352" s="460"/>
      <c r="S352" s="460"/>
      <c r="T352" s="460"/>
      <c r="U352" s="460"/>
      <c r="V352" s="460"/>
      <c r="W352" s="460"/>
      <c r="X352" s="460"/>
      <c r="Y352" s="460"/>
    </row>
    <row r="353" spans="1:25" x14ac:dyDescent="0.2">
      <c r="A353" s="378" t="str">
        <f>name!A50</f>
        <v>Financial services</v>
      </c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</row>
    <row r="354" spans="1:25" x14ac:dyDescent="0.2">
      <c r="A354" s="382" t="s">
        <v>391</v>
      </c>
      <c r="B354" s="437">
        <v>6.296999999932134</v>
      </c>
      <c r="C354" s="437">
        <v>4.3979999999691337</v>
      </c>
      <c r="D354" s="437">
        <v>0.44900000000592472</v>
      </c>
      <c r="E354" s="437">
        <f>SUM(B354:D354)</f>
        <v>11.143999999907191</v>
      </c>
      <c r="F354" s="437"/>
      <c r="G354" s="437">
        <v>4.6669999999598444</v>
      </c>
      <c r="H354" s="437">
        <v>2.9949999999791581</v>
      </c>
      <c r="I354" s="437">
        <v>0</v>
      </c>
      <c r="J354" s="437">
        <f>SUM(G354:I354)</f>
        <v>7.6619999999390025</v>
      </c>
      <c r="K354" s="437"/>
      <c r="L354" s="437">
        <v>5.1839999999378907</v>
      </c>
      <c r="M354" s="437">
        <v>4.2960000000445735</v>
      </c>
      <c r="N354" s="437">
        <v>0</v>
      </c>
      <c r="O354" s="437">
        <f>SUM(L354:N354)</f>
        <v>9.4799999999824642</v>
      </c>
      <c r="P354" s="437"/>
      <c r="Q354" s="437">
        <v>5.4399999999031259</v>
      </c>
      <c r="R354" s="437">
        <v>4.4750000000427921</v>
      </c>
      <c r="S354" s="437">
        <v>0</v>
      </c>
      <c r="T354" s="437">
        <f>SUM(Q354:S354)</f>
        <v>9.914999999945918</v>
      </c>
      <c r="U354" s="437"/>
      <c r="V354" s="437">
        <v>5.6189999999039237</v>
      </c>
      <c r="W354" s="437">
        <v>4.5900000000386463</v>
      </c>
      <c r="X354" s="437">
        <v>0</v>
      </c>
      <c r="Y354" s="437">
        <f>SUM(V354:X354)</f>
        <v>10.20899999994257</v>
      </c>
    </row>
    <row r="355" spans="1:25" x14ac:dyDescent="0.2">
      <c r="A355" s="382" t="s">
        <v>390</v>
      </c>
      <c r="B355" s="438">
        <v>6.6479999999466184</v>
      </c>
      <c r="C355" s="438">
        <v>0.36700000000104505</v>
      </c>
      <c r="D355" s="438">
        <v>1.2329999999757779</v>
      </c>
      <c r="E355" s="438">
        <f t="shared" ref="E355:E356" si="934">SUM(B355:D355)</f>
        <v>8.2479999999234419</v>
      </c>
      <c r="F355" s="438"/>
      <c r="G355" s="438">
        <v>6.1570000000733245</v>
      </c>
      <c r="H355" s="438">
        <v>0.24400000000148522</v>
      </c>
      <c r="I355" s="438">
        <v>0.60200000000594744</v>
      </c>
      <c r="J355" s="438">
        <f t="shared" ref="J355:J356" si="935">SUM(G355:I355)</f>
        <v>7.0030000000807568</v>
      </c>
      <c r="K355" s="438"/>
      <c r="L355" s="438">
        <v>4.2069999999594287</v>
      </c>
      <c r="M355" s="438">
        <v>0.1550000000000111</v>
      </c>
      <c r="N355" s="438">
        <v>1.0609999999798503</v>
      </c>
      <c r="O355" s="438">
        <f t="shared" ref="O355:O356" si="936">SUM(L355:N355)</f>
        <v>5.4229999999392895</v>
      </c>
      <c r="P355" s="438"/>
      <c r="Q355" s="438">
        <v>4.5820000000376391</v>
      </c>
      <c r="R355" s="438">
        <v>0.15599999999946682</v>
      </c>
      <c r="S355" s="438">
        <v>1.1309999999841653</v>
      </c>
      <c r="T355" s="438">
        <f t="shared" ref="T355:T356" si="937">SUM(Q355:S355)</f>
        <v>5.8690000000212716</v>
      </c>
      <c r="U355" s="438"/>
      <c r="V355" s="438">
        <v>4.8920000000575854</v>
      </c>
      <c r="W355" s="438">
        <v>0.15499999999844294</v>
      </c>
      <c r="X355" s="438">
        <v>1.186999999984826</v>
      </c>
      <c r="Y355" s="438">
        <f t="shared" ref="Y355:Y356" si="938">SUM(V355:X355)</f>
        <v>6.2340000000408544</v>
      </c>
    </row>
    <row r="356" spans="1:25" x14ac:dyDescent="0.2">
      <c r="A356" s="382" t="s">
        <v>389</v>
      </c>
      <c r="B356" s="438">
        <f>SUM(B354:B355)</f>
        <v>12.944999999878753</v>
      </c>
      <c r="C356" s="438">
        <f t="shared" ref="C356" si="939">SUM(C354:C355)</f>
        <v>4.7649999999701791</v>
      </c>
      <c r="D356" s="438">
        <f t="shared" ref="D356" si="940">SUM(D354:D355)</f>
        <v>1.6819999999817026</v>
      </c>
      <c r="E356" s="438">
        <f t="shared" si="934"/>
        <v>19.391999999830634</v>
      </c>
      <c r="F356" s="438"/>
      <c r="G356" s="438">
        <f>SUM(G354:G355)</f>
        <v>10.82400000003317</v>
      </c>
      <c r="H356" s="438">
        <f t="shared" ref="H356" si="941">SUM(H354:H355)</f>
        <v>3.2389999999806434</v>
      </c>
      <c r="I356" s="438">
        <f t="shared" ref="I356" si="942">SUM(I354:I355)</f>
        <v>0.60200000000594744</v>
      </c>
      <c r="J356" s="438">
        <f t="shared" si="935"/>
        <v>14.665000000019761</v>
      </c>
      <c r="K356" s="438"/>
      <c r="L356" s="438">
        <f>SUM(L354:L355)</f>
        <v>9.3909999998973195</v>
      </c>
      <c r="M356" s="438">
        <f t="shared" ref="M356" si="943">SUM(M354:M355)</f>
        <v>4.4510000000445844</v>
      </c>
      <c r="N356" s="438">
        <f t="shared" ref="N356" si="944">SUM(N354:N355)</f>
        <v>1.0609999999798503</v>
      </c>
      <c r="O356" s="438">
        <f t="shared" si="936"/>
        <v>14.902999999921756</v>
      </c>
      <c r="P356" s="438"/>
      <c r="Q356" s="438">
        <f>SUM(Q354:Q355)</f>
        <v>10.021999999940764</v>
      </c>
      <c r="R356" s="438">
        <f t="shared" ref="R356" si="945">SUM(R354:R355)</f>
        <v>4.6310000000422589</v>
      </c>
      <c r="S356" s="438">
        <f t="shared" ref="S356" si="946">SUM(S354:S355)</f>
        <v>1.1309999999841653</v>
      </c>
      <c r="T356" s="438">
        <f t="shared" si="937"/>
        <v>15.78399999996719</v>
      </c>
      <c r="U356" s="438"/>
      <c r="V356" s="438">
        <f>SUM(V354:V355)</f>
        <v>10.510999999961509</v>
      </c>
      <c r="W356" s="438">
        <f t="shared" ref="W356" si="947">SUM(W354:W355)</f>
        <v>4.7450000000370895</v>
      </c>
      <c r="X356" s="438">
        <f t="shared" ref="X356" si="948">SUM(X354:X355)</f>
        <v>1.186999999984826</v>
      </c>
      <c r="Y356" s="438">
        <f t="shared" si="938"/>
        <v>16.442999999983424</v>
      </c>
    </row>
    <row r="357" spans="1:25" x14ac:dyDescent="0.2">
      <c r="B357" s="380"/>
      <c r="C357" s="460"/>
      <c r="D357" s="460"/>
      <c r="E357" s="460"/>
      <c r="F357" s="460"/>
      <c r="G357" s="460"/>
      <c r="H357" s="460"/>
      <c r="I357" s="460"/>
      <c r="J357" s="460"/>
      <c r="K357" s="460"/>
      <c r="L357" s="460"/>
      <c r="M357" s="460"/>
      <c r="N357" s="460"/>
      <c r="O357" s="460"/>
      <c r="P357" s="460"/>
      <c r="Q357" s="460"/>
      <c r="R357" s="460"/>
      <c r="S357" s="460"/>
      <c r="T357" s="460"/>
      <c r="U357" s="460"/>
      <c r="V357" s="460"/>
      <c r="W357" s="460"/>
      <c r="X357" s="460"/>
      <c r="Y357" s="460"/>
    </row>
    <row r="358" spans="1:25" x14ac:dyDescent="0.2">
      <c r="A358" s="378" t="str">
        <f>name!A51</f>
        <v>Insurance and pensions</v>
      </c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</row>
    <row r="359" spans="1:25" x14ac:dyDescent="0.2">
      <c r="A359" s="382" t="s">
        <v>391</v>
      </c>
      <c r="B359" s="437">
        <v>1.3419999999898693</v>
      </c>
      <c r="C359" s="437">
        <v>0.43299999999793037</v>
      </c>
      <c r="D359" s="437">
        <v>0.12800000000215797</v>
      </c>
      <c r="E359" s="437">
        <f>SUM(B359:D359)</f>
        <v>1.9029999999899576</v>
      </c>
      <c r="F359" s="437"/>
      <c r="G359" s="437">
        <v>1.2109999999906846</v>
      </c>
      <c r="H359" s="437">
        <v>0.31899999999893669</v>
      </c>
      <c r="I359" s="437">
        <v>0</v>
      </c>
      <c r="J359" s="437">
        <f>SUM(G359:I359)</f>
        <v>1.5299999999896214</v>
      </c>
      <c r="K359" s="437"/>
      <c r="L359" s="437">
        <v>2.0049999999792405</v>
      </c>
      <c r="M359" s="437">
        <v>0.60200000000582488</v>
      </c>
      <c r="N359" s="437">
        <v>0</v>
      </c>
      <c r="O359" s="437">
        <f>SUM(L359:N359)</f>
        <v>2.6069999999850655</v>
      </c>
      <c r="P359" s="437"/>
      <c r="Q359" s="437">
        <v>2.1039999999682366</v>
      </c>
      <c r="R359" s="437">
        <v>0.62700000000488632</v>
      </c>
      <c r="S359" s="437">
        <v>0</v>
      </c>
      <c r="T359" s="437">
        <f>SUM(Q359:S359)</f>
        <v>2.7309999999731227</v>
      </c>
      <c r="U359" s="437"/>
      <c r="V359" s="437">
        <v>2.1739999999691832</v>
      </c>
      <c r="W359" s="437">
        <v>0.64300000000450874</v>
      </c>
      <c r="X359" s="437">
        <v>0</v>
      </c>
      <c r="Y359" s="437">
        <f>SUM(V359:X359)</f>
        <v>2.8169999999736919</v>
      </c>
    </row>
    <row r="360" spans="1:25" x14ac:dyDescent="0.2">
      <c r="A360" s="382" t="s">
        <v>390</v>
      </c>
      <c r="B360" s="438">
        <v>2.7679999999809635</v>
      </c>
      <c r="C360" s="438">
        <v>8.0999999999904981E-2</v>
      </c>
      <c r="D360" s="438">
        <v>0.57299999998988638</v>
      </c>
      <c r="E360" s="438">
        <f t="shared" ref="E360:E361" si="949">SUM(B360:D360)</f>
        <v>3.4219999999707547</v>
      </c>
      <c r="F360" s="438"/>
      <c r="G360" s="438">
        <v>3.1220000000289931</v>
      </c>
      <c r="H360" s="438">
        <v>5.8000000000059393E-2</v>
      </c>
      <c r="I360" s="438">
        <v>0.51600000000362145</v>
      </c>
      <c r="J360" s="438">
        <f t="shared" ref="J360:J361" si="950">SUM(G360:I360)</f>
        <v>3.696000000032674</v>
      </c>
      <c r="K360" s="438"/>
      <c r="L360" s="438">
        <v>3.1789999999740783</v>
      </c>
      <c r="M360" s="438">
        <v>4.7999999999976894E-2</v>
      </c>
      <c r="N360" s="438">
        <v>1.3219999999800038</v>
      </c>
      <c r="O360" s="438">
        <f t="shared" ref="O360:O361" si="951">SUM(L360:N360)</f>
        <v>4.5489999999540593</v>
      </c>
      <c r="P360" s="438"/>
      <c r="Q360" s="438">
        <v>3.4630000000216801</v>
      </c>
      <c r="R360" s="438">
        <v>4.899999999975245E-2</v>
      </c>
      <c r="S360" s="438">
        <v>1.2379999999881985</v>
      </c>
      <c r="T360" s="438">
        <f t="shared" ref="T360:T361" si="952">SUM(Q360:S360)</f>
        <v>4.7500000000096314</v>
      </c>
      <c r="U360" s="438"/>
      <c r="V360" s="438">
        <v>3.6970000000340204</v>
      </c>
      <c r="W360" s="438">
        <v>4.7999999999568797E-2</v>
      </c>
      <c r="X360" s="438">
        <v>1.1379999999903807</v>
      </c>
      <c r="Y360" s="438">
        <f t="shared" ref="Y360:Y361" si="953">SUM(V360:X360)</f>
        <v>4.8830000000239702</v>
      </c>
    </row>
    <row r="361" spans="1:25" x14ac:dyDescent="0.2">
      <c r="A361" s="382" t="s">
        <v>389</v>
      </c>
      <c r="B361" s="438">
        <f>SUM(B359:B360)</f>
        <v>4.1099999999708325</v>
      </c>
      <c r="C361" s="438">
        <f t="shared" ref="C361" si="954">SUM(C359:C360)</f>
        <v>0.5139999999978353</v>
      </c>
      <c r="D361" s="438">
        <f t="shared" ref="D361" si="955">SUM(D359:D360)</f>
        <v>0.70099999999204432</v>
      </c>
      <c r="E361" s="438">
        <f t="shared" si="949"/>
        <v>5.3249999999607116</v>
      </c>
      <c r="F361" s="438"/>
      <c r="G361" s="438">
        <f>SUM(G359:G360)</f>
        <v>4.3330000000196778</v>
      </c>
      <c r="H361" s="438">
        <f t="shared" ref="H361" si="956">SUM(H359:H360)</f>
        <v>0.37699999999899608</v>
      </c>
      <c r="I361" s="438">
        <f t="shared" ref="I361" si="957">SUM(I359:I360)</f>
        <v>0.51600000000362145</v>
      </c>
      <c r="J361" s="438">
        <f t="shared" si="950"/>
        <v>5.226000000022295</v>
      </c>
      <c r="K361" s="438"/>
      <c r="L361" s="438">
        <f>SUM(L359:L360)</f>
        <v>5.1839999999533184</v>
      </c>
      <c r="M361" s="438">
        <f t="shared" ref="M361" si="958">SUM(M359:M360)</f>
        <v>0.65000000000580171</v>
      </c>
      <c r="N361" s="438">
        <f t="shared" ref="N361" si="959">SUM(N359:N360)</f>
        <v>1.3219999999800038</v>
      </c>
      <c r="O361" s="438">
        <f t="shared" si="951"/>
        <v>7.1559999999391239</v>
      </c>
      <c r="P361" s="438"/>
      <c r="Q361" s="438">
        <f>SUM(Q359:Q360)</f>
        <v>5.5669999999899167</v>
      </c>
      <c r="R361" s="438">
        <f t="shared" ref="R361" si="960">SUM(R359:R360)</f>
        <v>0.67600000000463878</v>
      </c>
      <c r="S361" s="438">
        <f t="shared" ref="S361" si="961">SUM(S359:S360)</f>
        <v>1.2379999999881985</v>
      </c>
      <c r="T361" s="438">
        <f t="shared" si="952"/>
        <v>7.4809999999827541</v>
      </c>
      <c r="U361" s="438"/>
      <c r="V361" s="438">
        <f>SUM(V359:V360)</f>
        <v>5.8710000000032032</v>
      </c>
      <c r="W361" s="438">
        <f t="shared" ref="W361" si="962">SUM(W359:W360)</f>
        <v>0.69100000000407757</v>
      </c>
      <c r="X361" s="438">
        <f t="shared" ref="X361" si="963">SUM(X359:X360)</f>
        <v>1.1379999999903807</v>
      </c>
      <c r="Y361" s="438">
        <f t="shared" si="953"/>
        <v>7.6999999999976616</v>
      </c>
    </row>
    <row r="362" spans="1:25" x14ac:dyDescent="0.2">
      <c r="B362" s="380"/>
      <c r="C362" s="460"/>
      <c r="D362" s="460"/>
      <c r="E362" s="460"/>
      <c r="F362" s="460"/>
      <c r="G362" s="460"/>
      <c r="H362" s="460"/>
      <c r="I362" s="460"/>
      <c r="J362" s="460"/>
      <c r="K362" s="460"/>
      <c r="L362" s="460"/>
      <c r="M362" s="460"/>
      <c r="N362" s="460"/>
      <c r="O362" s="460"/>
      <c r="P362" s="460"/>
      <c r="Q362" s="460"/>
      <c r="R362" s="460"/>
      <c r="S362" s="460"/>
      <c r="T362" s="460"/>
      <c r="U362" s="460"/>
      <c r="V362" s="460"/>
      <c r="W362" s="460"/>
      <c r="X362" s="460"/>
      <c r="Y362" s="460"/>
    </row>
    <row r="363" spans="1:25" x14ac:dyDescent="0.2">
      <c r="A363" s="378" t="str">
        <f>name!A52</f>
        <v>Auxiliary financial services</v>
      </c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</row>
    <row r="364" spans="1:25" x14ac:dyDescent="0.2">
      <c r="A364" s="382" t="s">
        <v>391</v>
      </c>
      <c r="B364" s="437">
        <v>5.5869999999309519</v>
      </c>
      <c r="C364" s="437">
        <v>2.1689999999850396</v>
      </c>
      <c r="D364" s="437">
        <v>0.20000000000304138</v>
      </c>
      <c r="E364" s="437">
        <f>SUM(B364:D364)</f>
        <v>7.9559999999190323</v>
      </c>
      <c r="F364" s="437"/>
      <c r="G364" s="437">
        <v>5.2889999999515531</v>
      </c>
      <c r="H364" s="437">
        <v>1.1929999999896463</v>
      </c>
      <c r="I364" s="437">
        <v>0</v>
      </c>
      <c r="J364" s="437">
        <f>SUM(G364:I364)</f>
        <v>6.4819999999411992</v>
      </c>
      <c r="K364" s="437"/>
      <c r="L364" s="437">
        <v>5.0519999999439316</v>
      </c>
      <c r="M364" s="437">
        <v>1.3250000000132109</v>
      </c>
      <c r="N364" s="437">
        <v>0</v>
      </c>
      <c r="O364" s="437">
        <f>SUM(L364:N364)</f>
        <v>6.3769999999571425</v>
      </c>
      <c r="P364" s="437"/>
      <c r="Q364" s="437">
        <v>5.301999999909766</v>
      </c>
      <c r="R364" s="437">
        <v>1.3800000000128285</v>
      </c>
      <c r="S364" s="437">
        <v>0</v>
      </c>
      <c r="T364" s="437">
        <f>SUM(Q364:S364)</f>
        <v>6.6819999999225947</v>
      </c>
      <c r="U364" s="437"/>
      <c r="V364" s="437">
        <v>5.4759999999089919</v>
      </c>
      <c r="W364" s="437">
        <v>1.4150000000109453</v>
      </c>
      <c r="X364" s="437">
        <v>0</v>
      </c>
      <c r="Y364" s="437">
        <f>SUM(V364:X364)</f>
        <v>6.8909999999199369</v>
      </c>
    </row>
    <row r="365" spans="1:25" x14ac:dyDescent="0.2">
      <c r="A365" s="382" t="s">
        <v>390</v>
      </c>
      <c r="B365" s="438">
        <v>3.3759999999768104</v>
      </c>
      <c r="C365" s="438">
        <v>0.20400000000018992</v>
      </c>
      <c r="D365" s="438">
        <v>0.83299999998663798</v>
      </c>
      <c r="E365" s="438">
        <f t="shared" ref="E365:E366" si="964">SUM(B365:D365)</f>
        <v>4.4129999999636382</v>
      </c>
      <c r="F365" s="438"/>
      <c r="G365" s="438">
        <v>3.9930000000369401</v>
      </c>
      <c r="H365" s="438">
        <v>0.10900000000087401</v>
      </c>
      <c r="I365" s="438">
        <v>0.88300000001471202</v>
      </c>
      <c r="J365" s="438">
        <f t="shared" ref="J365:J366" si="965">SUM(G365:I365)</f>
        <v>4.9850000000525263</v>
      </c>
      <c r="K365" s="438"/>
      <c r="L365" s="438">
        <v>2.3459999999814722</v>
      </c>
      <c r="M365" s="438">
        <v>5.3999999999948325E-2</v>
      </c>
      <c r="N365" s="438">
        <v>1.3839999999870909</v>
      </c>
      <c r="O365" s="438">
        <f t="shared" ref="O365:O366" si="966">SUM(L365:N365)</f>
        <v>3.7839999999685112</v>
      </c>
      <c r="P365" s="438"/>
      <c r="Q365" s="438">
        <v>2.5550000000152542</v>
      </c>
      <c r="R365" s="438">
        <v>5.3999999999948915E-2</v>
      </c>
      <c r="S365" s="438">
        <v>1.4789999999899417</v>
      </c>
      <c r="T365" s="438">
        <f t="shared" ref="T365:T366" si="967">SUM(Q365:S365)</f>
        <v>4.0880000000051444</v>
      </c>
      <c r="U365" s="438"/>
      <c r="V365" s="438">
        <v>2.7280000000241071</v>
      </c>
      <c r="W365" s="438">
        <v>5.3999999999669097E-2</v>
      </c>
      <c r="X365" s="438">
        <v>1.5699999999873766</v>
      </c>
      <c r="Y365" s="438">
        <f t="shared" ref="Y365:Y366" si="968">SUM(V365:X365)</f>
        <v>4.3520000000111523</v>
      </c>
    </row>
    <row r="366" spans="1:25" x14ac:dyDescent="0.2">
      <c r="A366" s="382" t="s">
        <v>389</v>
      </c>
      <c r="B366" s="438">
        <f>SUM(B364:B365)</f>
        <v>8.9629999999077619</v>
      </c>
      <c r="C366" s="438">
        <f t="shared" ref="C366" si="969">SUM(C364:C365)</f>
        <v>2.3729999999852294</v>
      </c>
      <c r="D366" s="438">
        <f t="shared" ref="D366" si="970">SUM(D364:D365)</f>
        <v>1.0329999999896793</v>
      </c>
      <c r="E366" s="438">
        <f t="shared" si="964"/>
        <v>12.36899999988267</v>
      </c>
      <c r="F366" s="438"/>
      <c r="G366" s="438">
        <f>SUM(G364:G365)</f>
        <v>9.2819999999884928</v>
      </c>
      <c r="H366" s="438">
        <f t="shared" ref="H366" si="971">SUM(H364:H365)</f>
        <v>1.3019999999905203</v>
      </c>
      <c r="I366" s="438">
        <f t="shared" ref="I366" si="972">SUM(I364:I365)</f>
        <v>0.88300000001471202</v>
      </c>
      <c r="J366" s="438">
        <f t="shared" si="965"/>
        <v>11.466999999993726</v>
      </c>
      <c r="K366" s="438"/>
      <c r="L366" s="438">
        <f>SUM(L364:L365)</f>
        <v>7.3979999999254034</v>
      </c>
      <c r="M366" s="438">
        <f t="shared" ref="M366" si="973">SUM(M364:M365)</f>
        <v>1.3790000000131593</v>
      </c>
      <c r="N366" s="438">
        <f t="shared" ref="N366" si="974">SUM(N364:N365)</f>
        <v>1.3839999999870909</v>
      </c>
      <c r="O366" s="438">
        <f t="shared" si="966"/>
        <v>10.160999999925654</v>
      </c>
      <c r="P366" s="438"/>
      <c r="Q366" s="438">
        <f>SUM(Q364:Q365)</f>
        <v>7.8569999999250202</v>
      </c>
      <c r="R366" s="438">
        <f t="shared" ref="R366" si="975">SUM(R364:R365)</f>
        <v>1.4340000000127775</v>
      </c>
      <c r="S366" s="438">
        <f t="shared" ref="S366" si="976">SUM(S364:S365)</f>
        <v>1.4789999999899417</v>
      </c>
      <c r="T366" s="438">
        <f t="shared" si="967"/>
        <v>10.769999999927739</v>
      </c>
      <c r="U366" s="438"/>
      <c r="V366" s="438">
        <f>SUM(V364:V365)</f>
        <v>8.2039999999330995</v>
      </c>
      <c r="W366" s="438">
        <f t="shared" ref="W366" si="977">SUM(W364:W365)</f>
        <v>1.4690000000106145</v>
      </c>
      <c r="X366" s="438">
        <f t="shared" ref="X366" si="978">SUM(X364:X365)</f>
        <v>1.5699999999873766</v>
      </c>
      <c r="Y366" s="438">
        <f t="shared" si="968"/>
        <v>11.24299999993109</v>
      </c>
    </row>
    <row r="367" spans="1:25" x14ac:dyDescent="0.2">
      <c r="C367" s="453"/>
    </row>
    <row r="368" spans="1:25" x14ac:dyDescent="0.2">
      <c r="A368" s="383" t="s">
        <v>397</v>
      </c>
      <c r="C368" s="453"/>
    </row>
    <row r="369" spans="1:25" x14ac:dyDescent="0.2">
      <c r="A369" s="377" t="s">
        <v>391</v>
      </c>
      <c r="B369" s="437">
        <f>SUM(B354,B359,B364)</f>
        <v>13.225999999852956</v>
      </c>
      <c r="C369" s="437">
        <f t="shared" ref="C369:D369" si="979">SUM(C354,C359,C364)</f>
        <v>6.9999999999521041</v>
      </c>
      <c r="D369" s="437">
        <f t="shared" si="979"/>
        <v>0.77700000001112413</v>
      </c>
      <c r="E369" s="437">
        <f>SUM(B369:D369)</f>
        <v>21.002999999816186</v>
      </c>
      <c r="F369" s="437"/>
      <c r="G369" s="437">
        <f>SUM(G354,G359,G364)</f>
        <v>11.166999999902082</v>
      </c>
      <c r="H369" s="437">
        <f t="shared" ref="H369:I369" si="980">SUM(H354,H359,H364)</f>
        <v>4.506999999967741</v>
      </c>
      <c r="I369" s="437">
        <f t="shared" si="980"/>
        <v>0</v>
      </c>
      <c r="J369" s="437">
        <f>SUM(G369:I369)</f>
        <v>15.673999999869823</v>
      </c>
      <c r="K369" s="437"/>
      <c r="L369" s="437">
        <f>SUM(L354,L359,L364)</f>
        <v>12.240999999861064</v>
      </c>
      <c r="M369" s="437">
        <f t="shared" ref="M369:N369" si="981">SUM(M354,M359,M364)</f>
        <v>6.2230000000636094</v>
      </c>
      <c r="N369" s="437">
        <f t="shared" si="981"/>
        <v>0</v>
      </c>
      <c r="O369" s="437">
        <f>SUM(L369:N369)</f>
        <v>18.463999999924674</v>
      </c>
      <c r="P369" s="437"/>
      <c r="Q369" s="437">
        <f>SUM(Q354,Q359,Q364)</f>
        <v>12.845999999781128</v>
      </c>
      <c r="R369" s="437">
        <f t="shared" ref="R369:S369" si="982">SUM(R354,R359,R364)</f>
        <v>6.4820000000605074</v>
      </c>
      <c r="S369" s="437">
        <f t="shared" si="982"/>
        <v>0</v>
      </c>
      <c r="T369" s="437">
        <f>SUM(Q369:S369)</f>
        <v>19.327999999841637</v>
      </c>
      <c r="U369" s="437"/>
      <c r="V369" s="437">
        <f>SUM(V354,V359,V364)</f>
        <v>13.2689999997821</v>
      </c>
      <c r="W369" s="437">
        <f t="shared" ref="W369:X369" si="983">SUM(W354,W359,W364)</f>
        <v>6.6480000000541004</v>
      </c>
      <c r="X369" s="437">
        <f t="shared" si="983"/>
        <v>0</v>
      </c>
      <c r="Y369" s="437">
        <f>SUM(V369:X369)</f>
        <v>19.9169999998362</v>
      </c>
    </row>
    <row r="370" spans="1:25" x14ac:dyDescent="0.2">
      <c r="A370" s="377" t="s">
        <v>390</v>
      </c>
      <c r="B370" s="437">
        <f>SUM(B355,B360,B365)</f>
        <v>12.791999999904393</v>
      </c>
      <c r="C370" s="437">
        <f t="shared" ref="C370:D370" si="984">SUM(C355,C360,C365)</f>
        <v>0.65200000000113989</v>
      </c>
      <c r="D370" s="437">
        <f t="shared" si="984"/>
        <v>2.6389999999523024</v>
      </c>
      <c r="E370" s="437">
        <f t="shared" ref="E370:E371" si="985">SUM(B370:D370)</f>
        <v>16.082999999857833</v>
      </c>
      <c r="F370" s="437"/>
      <c r="G370" s="437">
        <f>SUM(G355,G360,G365)</f>
        <v>13.272000000139258</v>
      </c>
      <c r="H370" s="437">
        <f t="shared" ref="H370:I370" si="986">SUM(H355,H360,H365)</f>
        <v>0.4110000000024186</v>
      </c>
      <c r="I370" s="437">
        <f t="shared" si="986"/>
        <v>2.0010000000242809</v>
      </c>
      <c r="J370" s="437">
        <f t="shared" ref="J370:J371" si="987">SUM(G370:I370)</f>
        <v>15.684000000165957</v>
      </c>
      <c r="K370" s="437"/>
      <c r="L370" s="437">
        <f>SUM(L355,L360,L365)</f>
        <v>9.7319999999149793</v>
      </c>
      <c r="M370" s="437">
        <f t="shared" ref="M370:N370" si="988">SUM(M355,M360,M365)</f>
        <v>0.25699999999993633</v>
      </c>
      <c r="N370" s="437">
        <f t="shared" si="988"/>
        <v>3.766999999946945</v>
      </c>
      <c r="O370" s="437">
        <f t="shared" ref="O370:O371" si="989">SUM(L370:N370)</f>
        <v>13.75599999986186</v>
      </c>
      <c r="P370" s="437"/>
      <c r="Q370" s="437">
        <f>SUM(Q355,Q360,Q365)</f>
        <v>10.600000000074573</v>
      </c>
      <c r="R370" s="437">
        <f t="shared" ref="R370:S370" si="990">SUM(R355,R360,R365)</f>
        <v>0.25899999999916817</v>
      </c>
      <c r="S370" s="437">
        <f t="shared" si="990"/>
        <v>3.8479999999623056</v>
      </c>
      <c r="T370" s="437">
        <f t="shared" ref="T370:T371" si="991">SUM(Q370:S370)</f>
        <v>14.707000000036047</v>
      </c>
      <c r="U370" s="437"/>
      <c r="V370" s="437">
        <f>SUM(V355,V360,V365)</f>
        <v>11.317000000115712</v>
      </c>
      <c r="W370" s="437">
        <f t="shared" ref="W370:X370" si="992">SUM(W355,W360,W365)</f>
        <v>0.25699999999768086</v>
      </c>
      <c r="X370" s="437">
        <f t="shared" si="992"/>
        <v>3.8949999999625833</v>
      </c>
      <c r="Y370" s="437">
        <f t="shared" ref="Y370:Y371" si="993">SUM(V370:X370)</f>
        <v>15.469000000075976</v>
      </c>
    </row>
    <row r="371" spans="1:25" x14ac:dyDescent="0.2">
      <c r="A371" s="381" t="s">
        <v>389</v>
      </c>
      <c r="B371" s="439">
        <f>SUM(B369:B370)</f>
        <v>26.01799999975735</v>
      </c>
      <c r="C371" s="439">
        <f t="shared" ref="C371" si="994">SUM(C369:C370)</f>
        <v>7.6519999999532438</v>
      </c>
      <c r="D371" s="439">
        <f t="shared" ref="D371" si="995">SUM(D369:D370)</f>
        <v>3.4159999999634265</v>
      </c>
      <c r="E371" s="439">
        <f t="shared" si="985"/>
        <v>37.085999999674023</v>
      </c>
      <c r="F371" s="439"/>
      <c r="G371" s="439">
        <f>SUM(G369:G370)</f>
        <v>24.439000000041339</v>
      </c>
      <c r="H371" s="439">
        <f t="shared" ref="H371" si="996">SUM(H369:H370)</f>
        <v>4.91799999997016</v>
      </c>
      <c r="I371" s="439">
        <f t="shared" ref="I371" si="997">SUM(I369:I370)</f>
        <v>2.0010000000242809</v>
      </c>
      <c r="J371" s="439">
        <f t="shared" si="987"/>
        <v>31.35800000003578</v>
      </c>
      <c r="K371" s="439"/>
      <c r="L371" s="439">
        <f>SUM(L369:L370)</f>
        <v>21.972999999776043</v>
      </c>
      <c r="M371" s="439">
        <f t="shared" ref="M371" si="998">SUM(M369:M370)</f>
        <v>6.480000000063546</v>
      </c>
      <c r="N371" s="439">
        <f t="shared" ref="N371" si="999">SUM(N369:N370)</f>
        <v>3.766999999946945</v>
      </c>
      <c r="O371" s="439">
        <f t="shared" si="989"/>
        <v>32.219999999786538</v>
      </c>
      <c r="P371" s="439"/>
      <c r="Q371" s="439">
        <f>SUM(Q369:Q370)</f>
        <v>23.445999999855701</v>
      </c>
      <c r="R371" s="439">
        <f t="shared" ref="R371" si="1000">SUM(R369:R370)</f>
        <v>6.7410000000596755</v>
      </c>
      <c r="S371" s="439">
        <f t="shared" ref="S371" si="1001">SUM(S369:S370)</f>
        <v>3.8479999999623056</v>
      </c>
      <c r="T371" s="439">
        <f t="shared" si="991"/>
        <v>34.034999999877684</v>
      </c>
      <c r="U371" s="439"/>
      <c r="V371" s="439">
        <f>SUM(V369:V370)</f>
        <v>24.585999999897812</v>
      </c>
      <c r="W371" s="439">
        <f t="shared" ref="W371" si="1002">SUM(W369:W370)</f>
        <v>6.9050000000517811</v>
      </c>
      <c r="X371" s="439">
        <f t="shared" ref="X371" si="1003">SUM(X369:X370)</f>
        <v>3.8949999999625833</v>
      </c>
      <c r="Y371" s="439">
        <f t="shared" si="993"/>
        <v>35.38599999991218</v>
      </c>
    </row>
    <row r="375" spans="1:25" ht="15" x14ac:dyDescent="0.25">
      <c r="A375" s="385" t="str">
        <f>"Industry 15 : "&amp; name!B18</f>
        <v>Industry 15 : Real estate</v>
      </c>
      <c r="B375" s="516">
        <f>$B$5</f>
        <v>2007</v>
      </c>
      <c r="C375" s="516"/>
      <c r="D375" s="516"/>
      <c r="E375" s="516"/>
      <c r="F375" s="461"/>
      <c r="G375" s="516">
        <f>$G$5</f>
        <v>2012</v>
      </c>
      <c r="H375" s="516"/>
      <c r="I375" s="516"/>
      <c r="J375" s="516"/>
      <c r="K375" s="461"/>
      <c r="L375" s="516">
        <f>$L$5</f>
        <v>2017</v>
      </c>
      <c r="M375" s="516"/>
      <c r="N375" s="516"/>
      <c r="O375" s="516"/>
      <c r="P375" s="459"/>
      <c r="Q375" s="516">
        <f>$Q$5</f>
        <v>2022</v>
      </c>
      <c r="R375" s="516"/>
      <c r="S375" s="516"/>
      <c r="T375" s="516"/>
      <c r="U375" s="461"/>
      <c r="V375" s="516">
        <f>$V$5</f>
        <v>2027</v>
      </c>
      <c r="W375" s="516"/>
      <c r="X375" s="516"/>
      <c r="Y375" s="516"/>
    </row>
    <row r="376" spans="1:25" x14ac:dyDescent="0.2">
      <c r="A376" s="381"/>
      <c r="B376" s="388" t="str">
        <f>$B$6</f>
        <v>FT</v>
      </c>
      <c r="C376" s="388" t="str">
        <f>$C$6</f>
        <v>PT</v>
      </c>
      <c r="D376" s="388" t="str">
        <f>$D$6</f>
        <v>SE</v>
      </c>
      <c r="E376" s="388" t="str">
        <f>$E$6</f>
        <v>Total</v>
      </c>
      <c r="F376" s="388"/>
      <c r="G376" s="388" t="str">
        <f>$B$6</f>
        <v>FT</v>
      </c>
      <c r="H376" s="388" t="str">
        <f>$C$6</f>
        <v>PT</v>
      </c>
      <c r="I376" s="388" t="str">
        <f>$D$6</f>
        <v>SE</v>
      </c>
      <c r="J376" s="388" t="str">
        <f>$E$6</f>
        <v>Total</v>
      </c>
      <c r="K376" s="388"/>
      <c r="L376" s="388" t="str">
        <f>$L$6</f>
        <v>FT</v>
      </c>
      <c r="M376" s="388" t="str">
        <f>$M$6</f>
        <v>PT</v>
      </c>
      <c r="N376" s="388" t="str">
        <f>$N$6</f>
        <v>SE</v>
      </c>
      <c r="O376" s="388" t="str">
        <f>$O$6</f>
        <v>Total</v>
      </c>
      <c r="P376" s="388"/>
      <c r="Q376" s="388" t="str">
        <f>$L$6</f>
        <v>FT</v>
      </c>
      <c r="R376" s="388" t="str">
        <f>$M$6</f>
        <v>PT</v>
      </c>
      <c r="S376" s="388" t="str">
        <f>$N$6</f>
        <v>SE</v>
      </c>
      <c r="T376" s="388" t="str">
        <f>$O$6</f>
        <v>Total</v>
      </c>
      <c r="U376" s="388"/>
      <c r="V376" s="388" t="str">
        <f>$V$6</f>
        <v>FT</v>
      </c>
      <c r="W376" s="388" t="str">
        <f>$W$6</f>
        <v>PT</v>
      </c>
      <c r="X376" s="388" t="str">
        <f>$X$6</f>
        <v>SE</v>
      </c>
      <c r="Y376" s="388" t="str">
        <f>$Y$6</f>
        <v>Total</v>
      </c>
    </row>
    <row r="377" spans="1:25" x14ac:dyDescent="0.2">
      <c r="B377" s="380"/>
      <c r="C377" s="460"/>
      <c r="D377" s="460"/>
      <c r="E377" s="460"/>
      <c r="F377" s="460"/>
      <c r="G377" s="460"/>
      <c r="H377" s="460"/>
      <c r="I377" s="460"/>
      <c r="J377" s="460"/>
      <c r="K377" s="460"/>
      <c r="L377" s="460"/>
      <c r="M377" s="460"/>
      <c r="N377" s="460"/>
      <c r="O377" s="460"/>
      <c r="P377" s="460"/>
      <c r="Q377" s="460"/>
      <c r="R377" s="460"/>
      <c r="S377" s="460"/>
      <c r="T377" s="460"/>
      <c r="U377" s="460"/>
      <c r="V377" s="460"/>
      <c r="W377" s="460"/>
      <c r="X377" s="460"/>
      <c r="Y377" s="460"/>
    </row>
    <row r="378" spans="1:25" x14ac:dyDescent="0.2">
      <c r="A378" s="378" t="str">
        <f>name!A53</f>
        <v>Real estate</v>
      </c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</row>
    <row r="379" spans="1:25" x14ac:dyDescent="0.2">
      <c r="A379" s="382" t="s">
        <v>391</v>
      </c>
      <c r="B379" s="437">
        <v>3.084999999974297</v>
      </c>
      <c r="C379" s="437">
        <v>2.1409999999963505</v>
      </c>
      <c r="D379" s="437">
        <v>1.6000000000242094</v>
      </c>
      <c r="E379" s="437">
        <f>SUM(B379:D379)</f>
        <v>6.8259999999948571</v>
      </c>
      <c r="F379" s="437"/>
      <c r="G379" s="437">
        <v>6.4359999999393551</v>
      </c>
      <c r="H379" s="437">
        <v>2.6279999999981105</v>
      </c>
      <c r="I379" s="437">
        <v>0.52800000000624558</v>
      </c>
      <c r="J379" s="437">
        <f>SUM(G379:I379)</f>
        <v>9.5919999999437113</v>
      </c>
      <c r="K379" s="437"/>
      <c r="L379" s="437">
        <v>6.764999999961967</v>
      </c>
      <c r="M379" s="437">
        <v>4.5430000000634143</v>
      </c>
      <c r="N379" s="437">
        <v>2.1140000000307149</v>
      </c>
      <c r="O379" s="437">
        <f>SUM(L379:N379)</f>
        <v>13.422000000056094</v>
      </c>
      <c r="P379" s="437"/>
      <c r="Q379" s="437">
        <v>6.8579999999441812</v>
      </c>
      <c r="R379" s="437">
        <v>4.6970000000580088</v>
      </c>
      <c r="S379" s="437">
        <v>2.2510000000406754</v>
      </c>
      <c r="T379" s="437">
        <f>SUM(Q379:S379)</f>
        <v>13.806000000042864</v>
      </c>
      <c r="U379" s="437"/>
      <c r="V379" s="437">
        <v>6.986999999952924</v>
      </c>
      <c r="W379" s="437">
        <v>4.8740000000607742</v>
      </c>
      <c r="X379" s="437">
        <v>2.399000000039722</v>
      </c>
      <c r="Y379" s="437">
        <f>SUM(V379:X379)</f>
        <v>14.26000000005342</v>
      </c>
    </row>
    <row r="380" spans="1:25" x14ac:dyDescent="0.2">
      <c r="A380" s="382" t="s">
        <v>390</v>
      </c>
      <c r="B380" s="438">
        <v>5.1279999999784751</v>
      </c>
      <c r="C380" s="438">
        <v>0.61900000000017141</v>
      </c>
      <c r="D380" s="438">
        <v>0.878999999997086</v>
      </c>
      <c r="E380" s="438">
        <f t="shared" ref="E380:E381" si="1004">SUM(B380:D380)</f>
        <v>6.6259999999757326</v>
      </c>
      <c r="F380" s="438"/>
      <c r="G380" s="438">
        <v>5.3010000000132811</v>
      </c>
      <c r="H380" s="438">
        <v>0.54700000000486437</v>
      </c>
      <c r="I380" s="438">
        <v>1.5649999999897546</v>
      </c>
      <c r="J380" s="438">
        <f t="shared" ref="J380:J381" si="1005">SUM(G380:I380)</f>
        <v>7.4130000000078997</v>
      </c>
      <c r="K380" s="438"/>
      <c r="L380" s="438">
        <v>5.7859999999706755</v>
      </c>
      <c r="M380" s="438">
        <v>1.6189999999883069</v>
      </c>
      <c r="N380" s="438">
        <v>1.4859999999921616</v>
      </c>
      <c r="O380" s="438">
        <f t="shared" ref="O380:O381" si="1006">SUM(L380:N380)</f>
        <v>8.8909999999511449</v>
      </c>
      <c r="P380" s="438"/>
      <c r="Q380" s="438">
        <v>6.2779999999954956</v>
      </c>
      <c r="R380" s="438">
        <v>1.6080000000104904</v>
      </c>
      <c r="S380" s="438">
        <v>1.5320000000039964</v>
      </c>
      <c r="T380" s="438">
        <f t="shared" ref="T380:T381" si="1007">SUM(Q380:S380)</f>
        <v>9.4180000000099824</v>
      </c>
      <c r="U380" s="438"/>
      <c r="V380" s="438">
        <v>6.7939999999940781</v>
      </c>
      <c r="W380" s="438">
        <v>1.6050000000058724</v>
      </c>
      <c r="X380" s="438">
        <v>1.5860000000037084</v>
      </c>
      <c r="Y380" s="438">
        <f t="shared" ref="Y380:Y381" si="1008">SUM(V380:X380)</f>
        <v>9.9850000000036587</v>
      </c>
    </row>
    <row r="381" spans="1:25" x14ac:dyDescent="0.2">
      <c r="A381" s="381" t="s">
        <v>389</v>
      </c>
      <c r="B381" s="439">
        <f>SUM(B379:B380)</f>
        <v>8.2129999999527712</v>
      </c>
      <c r="C381" s="439">
        <f t="shared" ref="C381" si="1009">SUM(C379:C380)</f>
        <v>2.7599999999965217</v>
      </c>
      <c r="D381" s="439">
        <f t="shared" ref="D381" si="1010">SUM(D379:D380)</f>
        <v>2.4790000000212955</v>
      </c>
      <c r="E381" s="439">
        <f t="shared" si="1004"/>
        <v>13.451999999970589</v>
      </c>
      <c r="F381" s="439"/>
      <c r="G381" s="439">
        <f>SUM(G379:G380)</f>
        <v>11.736999999952637</v>
      </c>
      <c r="H381" s="439">
        <f t="shared" ref="H381" si="1011">SUM(H379:H380)</f>
        <v>3.1750000000029748</v>
      </c>
      <c r="I381" s="439">
        <f t="shared" ref="I381" si="1012">SUM(I379:I380)</f>
        <v>2.0929999999960001</v>
      </c>
      <c r="J381" s="439">
        <f t="shared" si="1005"/>
        <v>17.004999999951611</v>
      </c>
      <c r="K381" s="439"/>
      <c r="L381" s="439">
        <f>SUM(L379:L380)</f>
        <v>12.550999999932642</v>
      </c>
      <c r="M381" s="439">
        <f t="shared" ref="M381" si="1013">SUM(M379:M380)</f>
        <v>6.1620000000517212</v>
      </c>
      <c r="N381" s="439">
        <f t="shared" ref="N381" si="1014">SUM(N379:N380)</f>
        <v>3.6000000000228765</v>
      </c>
      <c r="O381" s="439">
        <f t="shared" si="1006"/>
        <v>22.313000000007239</v>
      </c>
      <c r="P381" s="439"/>
      <c r="Q381" s="439">
        <f>SUM(Q379:Q380)</f>
        <v>13.135999999939678</v>
      </c>
      <c r="R381" s="439">
        <f t="shared" ref="R381" si="1015">SUM(R379:R380)</f>
        <v>6.3050000000684996</v>
      </c>
      <c r="S381" s="439">
        <f t="shared" ref="S381" si="1016">SUM(S379:S380)</f>
        <v>3.7830000000446717</v>
      </c>
      <c r="T381" s="439">
        <f t="shared" si="1007"/>
        <v>23.22400000005285</v>
      </c>
      <c r="U381" s="439"/>
      <c r="V381" s="439">
        <f>SUM(V379:V380)</f>
        <v>13.780999999947003</v>
      </c>
      <c r="W381" s="439">
        <f t="shared" ref="W381" si="1017">SUM(W379:W380)</f>
        <v>6.4790000000666463</v>
      </c>
      <c r="X381" s="439">
        <f t="shared" ref="X381" si="1018">SUM(X379:X380)</f>
        <v>3.9850000000434305</v>
      </c>
      <c r="Y381" s="439">
        <f t="shared" si="1008"/>
        <v>24.245000000057079</v>
      </c>
    </row>
    <row r="382" spans="1:25" x14ac:dyDescent="0.2">
      <c r="C382" s="453"/>
    </row>
    <row r="383" spans="1:25" x14ac:dyDescent="0.2">
      <c r="A383" s="378"/>
      <c r="B383" s="380"/>
      <c r="C383" s="455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</row>
    <row r="384" spans="1:25" x14ac:dyDescent="0.2">
      <c r="A384" s="377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</row>
    <row r="385" spans="1:25" ht="15" x14ac:dyDescent="0.25">
      <c r="A385" s="385" t="str">
        <f>"Industry 16 : "&amp; name!B19</f>
        <v>Industry 16 : Professional services</v>
      </c>
      <c r="B385" s="516">
        <f>$B$5</f>
        <v>2007</v>
      </c>
      <c r="C385" s="516"/>
      <c r="D385" s="516"/>
      <c r="E385" s="516"/>
      <c r="F385" s="461"/>
      <c r="G385" s="516">
        <f>$G$5</f>
        <v>2012</v>
      </c>
      <c r="H385" s="516"/>
      <c r="I385" s="516"/>
      <c r="J385" s="516"/>
      <c r="K385" s="461"/>
      <c r="L385" s="516">
        <f>$L$5</f>
        <v>2017</v>
      </c>
      <c r="M385" s="516"/>
      <c r="N385" s="516"/>
      <c r="O385" s="516"/>
      <c r="P385" s="459"/>
      <c r="Q385" s="516">
        <f>$Q$5</f>
        <v>2022</v>
      </c>
      <c r="R385" s="516"/>
      <c r="S385" s="516"/>
      <c r="T385" s="516"/>
      <c r="U385" s="461"/>
      <c r="V385" s="516">
        <f>$V$5</f>
        <v>2027</v>
      </c>
      <c r="W385" s="516"/>
      <c r="X385" s="516"/>
      <c r="Y385" s="516"/>
    </row>
    <row r="386" spans="1:25" x14ac:dyDescent="0.2">
      <c r="A386" s="381"/>
      <c r="B386" s="388" t="str">
        <f>$B$6</f>
        <v>FT</v>
      </c>
      <c r="C386" s="388" t="str">
        <f>$C$6</f>
        <v>PT</v>
      </c>
      <c r="D386" s="388" t="str">
        <f>$D$6</f>
        <v>SE</v>
      </c>
      <c r="E386" s="388" t="str">
        <f>$E$6</f>
        <v>Total</v>
      </c>
      <c r="F386" s="388"/>
      <c r="G386" s="388" t="str">
        <f>$B$6</f>
        <v>FT</v>
      </c>
      <c r="H386" s="388" t="str">
        <f>$C$6</f>
        <v>PT</v>
      </c>
      <c r="I386" s="388" t="str">
        <f>$D$6</f>
        <v>SE</v>
      </c>
      <c r="J386" s="388" t="str">
        <f>$E$6</f>
        <v>Total</v>
      </c>
      <c r="K386" s="388"/>
      <c r="L386" s="388" t="str">
        <f>$L$6</f>
        <v>FT</v>
      </c>
      <c r="M386" s="388" t="str">
        <f>$M$6</f>
        <v>PT</v>
      </c>
      <c r="N386" s="388" t="str">
        <f>$N$6</f>
        <v>SE</v>
      </c>
      <c r="O386" s="388" t="str">
        <f>$O$6</f>
        <v>Total</v>
      </c>
      <c r="P386" s="388"/>
      <c r="Q386" s="388" t="str">
        <f>$L$6</f>
        <v>FT</v>
      </c>
      <c r="R386" s="388" t="str">
        <f>$M$6</f>
        <v>PT</v>
      </c>
      <c r="S386" s="388" t="str">
        <f>$N$6</f>
        <v>SE</v>
      </c>
      <c r="T386" s="388" t="str">
        <f>$O$6</f>
        <v>Total</v>
      </c>
      <c r="U386" s="388"/>
      <c r="V386" s="388" t="str">
        <f>$V$6</f>
        <v>FT</v>
      </c>
      <c r="W386" s="388" t="str">
        <f>$W$6</f>
        <v>PT</v>
      </c>
      <c r="X386" s="388" t="str">
        <f>$X$6</f>
        <v>SE</v>
      </c>
      <c r="Y386" s="388" t="str">
        <f>$Y$6</f>
        <v>Total</v>
      </c>
    </row>
    <row r="387" spans="1:25" x14ac:dyDescent="0.2">
      <c r="B387" s="380"/>
      <c r="C387" s="460"/>
      <c r="D387" s="460"/>
      <c r="E387" s="460"/>
      <c r="F387" s="460"/>
      <c r="G387" s="460"/>
      <c r="H387" s="460"/>
      <c r="I387" s="460"/>
      <c r="J387" s="460"/>
      <c r="K387" s="460"/>
      <c r="L387" s="460"/>
      <c r="M387" s="460"/>
      <c r="N387" s="460"/>
      <c r="O387" s="460"/>
      <c r="P387" s="460"/>
      <c r="Q387" s="460"/>
      <c r="R387" s="460"/>
      <c r="S387" s="460"/>
      <c r="T387" s="460"/>
      <c r="U387" s="460"/>
      <c r="V387" s="460"/>
      <c r="W387" s="460"/>
      <c r="X387" s="460"/>
      <c r="Y387" s="460"/>
    </row>
    <row r="388" spans="1:25" x14ac:dyDescent="0.2">
      <c r="A388" s="378" t="str">
        <f>name!A54</f>
        <v>Legal and accounting</v>
      </c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</row>
    <row r="389" spans="1:25" x14ac:dyDescent="0.2">
      <c r="A389" s="382" t="s">
        <v>391</v>
      </c>
      <c r="B389" s="437">
        <v>6.5089999999974841</v>
      </c>
      <c r="C389" s="437">
        <v>3.4639999999917475</v>
      </c>
      <c r="D389" s="437">
        <v>1.1870000000286498</v>
      </c>
      <c r="E389" s="437">
        <f>SUM(B389:D389)</f>
        <v>11.160000000017881</v>
      </c>
      <c r="F389" s="437"/>
      <c r="G389" s="437">
        <v>5.1689999999890848</v>
      </c>
      <c r="H389" s="437">
        <v>2.7949999999947615</v>
      </c>
      <c r="I389" s="437">
        <v>1.94300000004203</v>
      </c>
      <c r="J389" s="437">
        <f>SUM(G389:I389)</f>
        <v>9.9070000000258762</v>
      </c>
      <c r="K389" s="437"/>
      <c r="L389" s="437">
        <v>8.6149999998183588</v>
      </c>
      <c r="M389" s="437">
        <v>4.4799999999983608</v>
      </c>
      <c r="N389" s="437">
        <v>1.7489999999897134</v>
      </c>
      <c r="O389" s="437">
        <f>SUM(L389:N389)</f>
        <v>14.843999999806433</v>
      </c>
      <c r="P389" s="437"/>
      <c r="Q389" s="437">
        <v>8.2389999997960555</v>
      </c>
      <c r="R389" s="437">
        <v>4.3809999999940388</v>
      </c>
      <c r="S389" s="437">
        <v>1.776999999994636</v>
      </c>
      <c r="T389" s="437">
        <f>SUM(Q389:S389)</f>
        <v>14.396999999784731</v>
      </c>
      <c r="U389" s="437"/>
      <c r="V389" s="437">
        <v>8.0909999998187079</v>
      </c>
      <c r="W389" s="437">
        <v>4.3809999999954377</v>
      </c>
      <c r="X389" s="437">
        <v>1.8379999999982961</v>
      </c>
      <c r="Y389" s="437">
        <f>SUM(V389:X389)</f>
        <v>14.30999999981244</v>
      </c>
    </row>
    <row r="390" spans="1:25" x14ac:dyDescent="0.2">
      <c r="A390" s="382" t="s">
        <v>390</v>
      </c>
      <c r="B390" s="438">
        <v>7.5529999998936832</v>
      </c>
      <c r="C390" s="438">
        <v>1.5129999999964103</v>
      </c>
      <c r="D390" s="438">
        <v>3.8059999998888201</v>
      </c>
      <c r="E390" s="438">
        <f t="shared" ref="E390:E391" si="1019">SUM(B390:D390)</f>
        <v>12.871999999778915</v>
      </c>
      <c r="F390" s="438"/>
      <c r="G390" s="438">
        <v>5.1950000001028727</v>
      </c>
      <c r="H390" s="438">
        <v>0.51000000000677481</v>
      </c>
      <c r="I390" s="438">
        <v>2.7470000000421364</v>
      </c>
      <c r="J390" s="438">
        <f t="shared" ref="J390:J391" si="1020">SUM(G390:I390)</f>
        <v>8.4520000001517843</v>
      </c>
      <c r="K390" s="438"/>
      <c r="L390" s="438">
        <v>4.2639999999403964</v>
      </c>
      <c r="M390" s="438">
        <v>0.57399999999890161</v>
      </c>
      <c r="N390" s="438">
        <v>1.705999999953274</v>
      </c>
      <c r="O390" s="438">
        <f t="shared" ref="O390:O391" si="1021">SUM(L390:N390)</f>
        <v>6.5439999998925718</v>
      </c>
      <c r="P390" s="438"/>
      <c r="Q390" s="438">
        <v>4.3620000000584032</v>
      </c>
      <c r="R390" s="438">
        <v>0.53400000000194769</v>
      </c>
      <c r="S390" s="438">
        <v>1.6599999999773576</v>
      </c>
      <c r="T390" s="438">
        <f t="shared" ref="T390:T391" si="1022">SUM(Q390:S390)</f>
        <v>6.5560000000377086</v>
      </c>
      <c r="U390" s="438"/>
      <c r="V390" s="438">
        <v>4.554000000081377</v>
      </c>
      <c r="W390" s="438">
        <v>0.51000000000052492</v>
      </c>
      <c r="X390" s="438">
        <v>1.6569999999893654</v>
      </c>
      <c r="Y390" s="438">
        <f t="shared" ref="Y390:Y391" si="1023">SUM(V390:X390)</f>
        <v>6.7210000000712675</v>
      </c>
    </row>
    <row r="391" spans="1:25" x14ac:dyDescent="0.2">
      <c r="A391" s="382" t="s">
        <v>389</v>
      </c>
      <c r="B391" s="438">
        <f>SUM(B389:B390)</f>
        <v>14.061999999891167</v>
      </c>
      <c r="C391" s="438">
        <f t="shared" ref="C391" si="1024">SUM(C389:C390)</f>
        <v>4.9769999999881573</v>
      </c>
      <c r="D391" s="438">
        <f t="shared" ref="D391" si="1025">SUM(D389:D390)</f>
        <v>4.9929999999174699</v>
      </c>
      <c r="E391" s="438">
        <f t="shared" si="1019"/>
        <v>24.031999999796792</v>
      </c>
      <c r="F391" s="438"/>
      <c r="G391" s="438">
        <f>SUM(G389:G390)</f>
        <v>10.364000000091957</v>
      </c>
      <c r="H391" s="438">
        <f t="shared" ref="H391" si="1026">SUM(H389:H390)</f>
        <v>3.3050000000015363</v>
      </c>
      <c r="I391" s="438">
        <f t="shared" ref="I391" si="1027">SUM(I389:I390)</f>
        <v>4.6900000000841668</v>
      </c>
      <c r="J391" s="438">
        <f t="shared" si="1020"/>
        <v>18.359000000177659</v>
      </c>
      <c r="K391" s="438"/>
      <c r="L391" s="438">
        <f>SUM(L389:L390)</f>
        <v>12.878999999758754</v>
      </c>
      <c r="M391" s="438">
        <f t="shared" ref="M391" si="1028">SUM(M389:M390)</f>
        <v>5.0539999999972629</v>
      </c>
      <c r="N391" s="438">
        <f t="shared" ref="N391" si="1029">SUM(N389:N390)</f>
        <v>3.4549999999429875</v>
      </c>
      <c r="O391" s="438">
        <f t="shared" si="1021"/>
        <v>21.387999999699005</v>
      </c>
      <c r="P391" s="438"/>
      <c r="Q391" s="438">
        <f>SUM(Q389:Q390)</f>
        <v>12.600999999854459</v>
      </c>
      <c r="R391" s="438">
        <f t="shared" ref="R391" si="1030">SUM(R389:R390)</f>
        <v>4.9149999999959864</v>
      </c>
      <c r="S391" s="438">
        <f t="shared" ref="S391" si="1031">SUM(S389:S390)</f>
        <v>3.4369999999719933</v>
      </c>
      <c r="T391" s="438">
        <f t="shared" si="1022"/>
        <v>20.952999999822438</v>
      </c>
      <c r="U391" s="438"/>
      <c r="V391" s="438">
        <f>SUM(V389:V390)</f>
        <v>12.644999999900085</v>
      </c>
      <c r="W391" s="438">
        <f t="shared" ref="W391" si="1032">SUM(W389:W390)</f>
        <v>4.8909999999959624</v>
      </c>
      <c r="X391" s="438">
        <f t="shared" ref="X391" si="1033">SUM(X389:X390)</f>
        <v>3.4949999999876615</v>
      </c>
      <c r="Y391" s="438">
        <f t="shared" si="1023"/>
        <v>21.030999999883711</v>
      </c>
    </row>
    <row r="392" spans="1:25" x14ac:dyDescent="0.2">
      <c r="B392" s="380"/>
      <c r="C392" s="460"/>
      <c r="D392" s="460"/>
      <c r="E392" s="460"/>
      <c r="F392" s="460"/>
      <c r="G392" s="460"/>
      <c r="H392" s="460"/>
      <c r="I392" s="460"/>
      <c r="J392" s="460"/>
      <c r="K392" s="460"/>
      <c r="L392" s="460"/>
      <c r="M392" s="460"/>
      <c r="N392" s="460"/>
      <c r="O392" s="460"/>
      <c r="P392" s="460"/>
      <c r="Q392" s="460"/>
      <c r="R392" s="460"/>
      <c r="S392" s="460"/>
      <c r="T392" s="460"/>
      <c r="U392" s="460"/>
      <c r="V392" s="460"/>
      <c r="W392" s="460"/>
      <c r="X392" s="460"/>
      <c r="Y392" s="460"/>
    </row>
    <row r="393" spans="1:25" x14ac:dyDescent="0.2">
      <c r="A393" s="378" t="str">
        <f>name!A55</f>
        <v>Head offices, etc</v>
      </c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</row>
    <row r="394" spans="1:25" x14ac:dyDescent="0.2">
      <c r="A394" s="382" t="s">
        <v>391</v>
      </c>
      <c r="B394" s="437">
        <v>2.2629999999991268</v>
      </c>
      <c r="C394" s="437">
        <v>1.4889999999964523</v>
      </c>
      <c r="D394" s="437">
        <v>0.33700000000813402</v>
      </c>
      <c r="E394" s="437">
        <f>SUM(B394:D394)</f>
        <v>4.089000000003713</v>
      </c>
      <c r="F394" s="437"/>
      <c r="G394" s="437">
        <v>2.4739999999947737</v>
      </c>
      <c r="H394" s="437">
        <v>1.4189999999973373</v>
      </c>
      <c r="I394" s="437">
        <v>0.82800000001791074</v>
      </c>
      <c r="J394" s="437">
        <f>SUM(G394:I394)</f>
        <v>4.7210000000100214</v>
      </c>
      <c r="K394" s="437"/>
      <c r="L394" s="437">
        <v>5.6169999998815685</v>
      </c>
      <c r="M394" s="437">
        <v>2.085999999999236</v>
      </c>
      <c r="N394" s="437">
        <v>0.93299999999451133</v>
      </c>
      <c r="O394" s="437">
        <f>SUM(L394:N394)</f>
        <v>8.635999999875315</v>
      </c>
      <c r="P394" s="437"/>
      <c r="Q394" s="437">
        <v>5.838999999855468</v>
      </c>
      <c r="R394" s="437">
        <v>2.2079999999969941</v>
      </c>
      <c r="S394" s="437">
        <v>1.0289999999968935</v>
      </c>
      <c r="T394" s="437">
        <f>SUM(Q394:S394)</f>
        <v>9.0759999998493548</v>
      </c>
      <c r="U394" s="437"/>
      <c r="V394" s="437">
        <v>5.8189999998696242</v>
      </c>
      <c r="W394" s="437">
        <v>2.2359999999976714</v>
      </c>
      <c r="X394" s="437">
        <v>1.0789999999990003</v>
      </c>
      <c r="Y394" s="437">
        <f>SUM(V394:X394)</f>
        <v>9.1339999998662957</v>
      </c>
    </row>
    <row r="395" spans="1:25" x14ac:dyDescent="0.2">
      <c r="A395" s="382" t="s">
        <v>390</v>
      </c>
      <c r="B395" s="438">
        <v>4.4699999999370821</v>
      </c>
      <c r="C395" s="438">
        <v>0.95899999999772456</v>
      </c>
      <c r="D395" s="438">
        <v>1.2739999999627847</v>
      </c>
      <c r="E395" s="438">
        <f t="shared" ref="E395:E396" si="1034">SUM(B395:D395)</f>
        <v>6.7029999998975907</v>
      </c>
      <c r="F395" s="438"/>
      <c r="G395" s="438">
        <v>4.402000000087166</v>
      </c>
      <c r="H395" s="438">
        <v>0.31700000000421041</v>
      </c>
      <c r="I395" s="438">
        <v>1.4070000000215805</v>
      </c>
      <c r="J395" s="438">
        <f t="shared" ref="J395:J396" si="1035">SUM(G395:I395)</f>
        <v>6.1260000001129562</v>
      </c>
      <c r="K395" s="438"/>
      <c r="L395" s="438">
        <v>4.4629999999376242</v>
      </c>
      <c r="M395" s="438">
        <v>0.30799999999941102</v>
      </c>
      <c r="N395" s="438">
        <v>1.1189999999693512</v>
      </c>
      <c r="O395" s="438">
        <f t="shared" ref="O395:O396" si="1036">SUM(L395:N395)</f>
        <v>5.8899999999063866</v>
      </c>
      <c r="P395" s="438"/>
      <c r="Q395" s="438">
        <v>4.7730000000639068</v>
      </c>
      <c r="R395" s="438">
        <v>0.30800000000112321</v>
      </c>
      <c r="S395" s="438">
        <v>1.156999999984218</v>
      </c>
      <c r="T395" s="438">
        <f t="shared" ref="T395:T396" si="1037">SUM(Q395:S395)</f>
        <v>6.2380000000492482</v>
      </c>
      <c r="U395" s="438"/>
      <c r="V395" s="438">
        <v>4.8780000000871695</v>
      </c>
      <c r="W395" s="438">
        <v>0.29700000000030546</v>
      </c>
      <c r="X395" s="438">
        <v>1.1479999999926325</v>
      </c>
      <c r="Y395" s="438">
        <f t="shared" ref="Y395:Y396" si="1038">SUM(V395:X395)</f>
        <v>6.323000000080107</v>
      </c>
    </row>
    <row r="396" spans="1:25" x14ac:dyDescent="0.2">
      <c r="A396" s="382" t="s">
        <v>389</v>
      </c>
      <c r="B396" s="438">
        <f>SUM(B394:B395)</f>
        <v>6.7329999999362089</v>
      </c>
      <c r="C396" s="438">
        <f t="shared" ref="C396" si="1039">SUM(C394:C395)</f>
        <v>2.4479999999941766</v>
      </c>
      <c r="D396" s="438">
        <f t="shared" ref="D396" si="1040">SUM(D394:D395)</f>
        <v>1.6109999999709186</v>
      </c>
      <c r="E396" s="438">
        <f t="shared" si="1034"/>
        <v>10.791999999901304</v>
      </c>
      <c r="F396" s="438"/>
      <c r="G396" s="438">
        <f>SUM(G394:G395)</f>
        <v>6.8760000000819392</v>
      </c>
      <c r="H396" s="438">
        <f t="shared" ref="H396" si="1041">SUM(H394:H395)</f>
        <v>1.7360000000015476</v>
      </c>
      <c r="I396" s="438">
        <f t="shared" ref="I396" si="1042">SUM(I394:I395)</f>
        <v>2.2350000000394914</v>
      </c>
      <c r="J396" s="438">
        <f t="shared" si="1035"/>
        <v>10.847000000122978</v>
      </c>
      <c r="K396" s="438"/>
      <c r="L396" s="438">
        <f>SUM(L394:L395)</f>
        <v>10.079999999819194</v>
      </c>
      <c r="M396" s="438">
        <f t="shared" ref="M396" si="1043">SUM(M394:M395)</f>
        <v>2.393999999998647</v>
      </c>
      <c r="N396" s="438">
        <f t="shared" ref="N396" si="1044">SUM(N394:N395)</f>
        <v>2.0519999999638623</v>
      </c>
      <c r="O396" s="438">
        <f t="shared" si="1036"/>
        <v>14.525999999781703</v>
      </c>
      <c r="P396" s="438"/>
      <c r="Q396" s="438">
        <f>SUM(Q394:Q395)</f>
        <v>10.611999999919375</v>
      </c>
      <c r="R396" s="438">
        <f t="shared" ref="R396" si="1045">SUM(R394:R395)</f>
        <v>2.5159999999981175</v>
      </c>
      <c r="S396" s="438">
        <f t="shared" ref="S396" si="1046">SUM(S394:S395)</f>
        <v>2.1859999999811115</v>
      </c>
      <c r="T396" s="438">
        <f t="shared" si="1037"/>
        <v>15.313999999898604</v>
      </c>
      <c r="U396" s="438"/>
      <c r="V396" s="438">
        <f>SUM(V394:V395)</f>
        <v>10.696999999956795</v>
      </c>
      <c r="W396" s="438">
        <f t="shared" ref="W396" si="1047">SUM(W394:W395)</f>
        <v>2.5329999999979771</v>
      </c>
      <c r="X396" s="438">
        <f t="shared" ref="X396" si="1048">SUM(X394:X395)</f>
        <v>2.2269999999916328</v>
      </c>
      <c r="Y396" s="438">
        <f t="shared" si="1038"/>
        <v>15.456999999946405</v>
      </c>
    </row>
    <row r="397" spans="1:25" x14ac:dyDescent="0.2">
      <c r="B397" s="380"/>
      <c r="C397" s="460"/>
      <c r="D397" s="460"/>
      <c r="E397" s="460"/>
      <c r="F397" s="460"/>
      <c r="G397" s="460"/>
      <c r="H397" s="460"/>
      <c r="I397" s="460"/>
      <c r="J397" s="460"/>
      <c r="K397" s="460"/>
      <c r="L397" s="460"/>
      <c r="M397" s="460"/>
      <c r="N397" s="460"/>
      <c r="O397" s="460"/>
      <c r="P397" s="460"/>
      <c r="Q397" s="460"/>
      <c r="R397" s="460"/>
      <c r="S397" s="460"/>
      <c r="T397" s="460"/>
      <c r="U397" s="460"/>
      <c r="V397" s="460"/>
      <c r="W397" s="460"/>
      <c r="X397" s="460"/>
      <c r="Y397" s="460"/>
    </row>
    <row r="398" spans="1:25" x14ac:dyDescent="0.2">
      <c r="A398" s="378" t="str">
        <f>name!A56</f>
        <v>Architectural and related</v>
      </c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</row>
    <row r="399" spans="1:25" x14ac:dyDescent="0.2">
      <c r="A399" s="382" t="s">
        <v>391</v>
      </c>
      <c r="B399" s="437">
        <v>2.9439999999988609</v>
      </c>
      <c r="C399" s="437">
        <v>1.5039999999964155</v>
      </c>
      <c r="D399" s="437">
        <v>0.4230000000102096</v>
      </c>
      <c r="E399" s="437">
        <f>SUM(B399:D399)</f>
        <v>4.8710000000054858</v>
      </c>
      <c r="F399" s="437"/>
      <c r="G399" s="437">
        <v>1.2139999999974371</v>
      </c>
      <c r="H399" s="437">
        <v>1.2079999999977358</v>
      </c>
      <c r="I399" s="437">
        <v>0.44000000000951761</v>
      </c>
      <c r="J399" s="437">
        <f>SUM(G399:I399)</f>
        <v>2.8620000000046906</v>
      </c>
      <c r="K399" s="437"/>
      <c r="L399" s="437">
        <v>3.9479999999167568</v>
      </c>
      <c r="M399" s="437">
        <v>1.9419999999992898</v>
      </c>
      <c r="N399" s="437">
        <v>0.7459999999956114</v>
      </c>
      <c r="O399" s="437">
        <f>SUM(L399:N399)</f>
        <v>6.6359999999116575</v>
      </c>
      <c r="P399" s="437"/>
      <c r="Q399" s="437">
        <v>4.3399999998925738</v>
      </c>
      <c r="R399" s="437">
        <v>2.1719999999970439</v>
      </c>
      <c r="S399" s="437">
        <v>0.85999999999740329</v>
      </c>
      <c r="T399" s="437">
        <f>SUM(Q399:S399)</f>
        <v>7.3719999998870209</v>
      </c>
      <c r="U399" s="437"/>
      <c r="V399" s="437">
        <v>4.4069999999012577</v>
      </c>
      <c r="W399" s="437">
        <v>2.2469999999976595</v>
      </c>
      <c r="X399" s="437">
        <v>0.90999999999915659</v>
      </c>
      <c r="Y399" s="437">
        <f>SUM(V399:X399)</f>
        <v>7.5639999998980736</v>
      </c>
    </row>
    <row r="400" spans="1:25" x14ac:dyDescent="0.2">
      <c r="A400" s="382" t="s">
        <v>390</v>
      </c>
      <c r="B400" s="438">
        <v>7.8129999998900113</v>
      </c>
      <c r="C400" s="438">
        <v>1.1539999999972634</v>
      </c>
      <c r="D400" s="438">
        <v>3.2859999999040075</v>
      </c>
      <c r="E400" s="438">
        <f t="shared" ref="E400:E401" si="1049">SUM(B400:D400)</f>
        <v>12.252999999791282</v>
      </c>
      <c r="F400" s="438"/>
      <c r="G400" s="438">
        <v>8.1680000001617419</v>
      </c>
      <c r="H400" s="438">
        <v>0.50200000000666811</v>
      </c>
      <c r="I400" s="438">
        <v>3.1000000000475514</v>
      </c>
      <c r="J400" s="438">
        <f t="shared" ref="J400:J401" si="1050">SUM(G400:I400)</f>
        <v>11.77000000021596</v>
      </c>
      <c r="K400" s="438"/>
      <c r="L400" s="438">
        <v>11.959999999832819</v>
      </c>
      <c r="M400" s="438">
        <v>0.69199999999867645</v>
      </c>
      <c r="N400" s="438">
        <v>3.3499999999082424</v>
      </c>
      <c r="O400" s="438">
        <f t="shared" ref="O400:O401" si="1051">SUM(L400:N400)</f>
        <v>16.001999999739738</v>
      </c>
      <c r="P400" s="438"/>
      <c r="Q400" s="438">
        <v>13.038000000174568</v>
      </c>
      <c r="R400" s="438">
        <v>0.72800000000265574</v>
      </c>
      <c r="S400" s="438">
        <v>3.5809999999511524</v>
      </c>
      <c r="T400" s="438">
        <f t="shared" ref="T400:T401" si="1052">SUM(Q400:S400)</f>
        <v>17.347000000128375</v>
      </c>
      <c r="U400" s="438"/>
      <c r="V400" s="438">
        <v>13.164000000235227</v>
      </c>
      <c r="W400" s="438">
        <v>0.71100000000073149</v>
      </c>
      <c r="X400" s="438">
        <v>3.5559999999771761</v>
      </c>
      <c r="Y400" s="438">
        <f t="shared" ref="Y400:Y401" si="1053">SUM(V400:X400)</f>
        <v>17.431000000213135</v>
      </c>
    </row>
    <row r="401" spans="1:25" x14ac:dyDescent="0.2">
      <c r="A401" s="382" t="s">
        <v>389</v>
      </c>
      <c r="B401" s="438">
        <f>SUM(B399:B400)</f>
        <v>10.756999999888873</v>
      </c>
      <c r="C401" s="438">
        <f t="shared" ref="C401" si="1054">SUM(C399:C400)</f>
        <v>2.6579999999936792</v>
      </c>
      <c r="D401" s="438">
        <f t="shared" ref="D401" si="1055">SUM(D399:D400)</f>
        <v>3.7089999999142171</v>
      </c>
      <c r="E401" s="438">
        <f t="shared" si="1049"/>
        <v>17.123999999796769</v>
      </c>
      <c r="F401" s="438"/>
      <c r="G401" s="438">
        <f>SUM(G399:G400)</f>
        <v>9.382000000159179</v>
      </c>
      <c r="H401" s="438">
        <f t="shared" ref="H401" si="1056">SUM(H399:H400)</f>
        <v>1.710000000004404</v>
      </c>
      <c r="I401" s="438">
        <f t="shared" ref="I401" si="1057">SUM(I399:I400)</f>
        <v>3.5400000000570691</v>
      </c>
      <c r="J401" s="438">
        <f t="shared" si="1050"/>
        <v>14.632000000220653</v>
      </c>
      <c r="K401" s="438"/>
      <c r="L401" s="438">
        <f>SUM(L399:L400)</f>
        <v>15.907999999749576</v>
      </c>
      <c r="M401" s="438">
        <f t="shared" ref="M401" si="1058">SUM(M399:M400)</f>
        <v>2.6339999999979664</v>
      </c>
      <c r="N401" s="438">
        <f t="shared" ref="N401" si="1059">SUM(N399:N400)</f>
        <v>4.0959999999038539</v>
      </c>
      <c r="O401" s="438">
        <f t="shared" si="1051"/>
        <v>22.637999999651395</v>
      </c>
      <c r="P401" s="438"/>
      <c r="Q401" s="438">
        <f>SUM(Q399:Q400)</f>
        <v>17.378000000067143</v>
      </c>
      <c r="R401" s="438">
        <f t="shared" ref="R401" si="1060">SUM(R399:R400)</f>
        <v>2.8999999999996997</v>
      </c>
      <c r="S401" s="438">
        <f t="shared" ref="S401" si="1061">SUM(S399:S400)</f>
        <v>4.4409999999485557</v>
      </c>
      <c r="T401" s="438">
        <f t="shared" si="1052"/>
        <v>24.719000000015399</v>
      </c>
      <c r="U401" s="438"/>
      <c r="V401" s="438">
        <f>SUM(V399:V400)</f>
        <v>17.571000000136486</v>
      </c>
      <c r="W401" s="438">
        <f t="shared" ref="W401" si="1062">SUM(W399:W400)</f>
        <v>2.9579999999983908</v>
      </c>
      <c r="X401" s="438">
        <f t="shared" ref="X401" si="1063">SUM(X399:X400)</f>
        <v>4.4659999999763329</v>
      </c>
      <c r="Y401" s="438">
        <f t="shared" si="1053"/>
        <v>24.995000000111212</v>
      </c>
    </row>
    <row r="402" spans="1:25" x14ac:dyDescent="0.2">
      <c r="B402" s="380"/>
      <c r="C402" s="460"/>
      <c r="D402" s="460"/>
      <c r="E402" s="460"/>
      <c r="F402" s="460"/>
      <c r="G402" s="460"/>
      <c r="H402" s="460"/>
      <c r="I402" s="460"/>
      <c r="J402" s="460"/>
      <c r="K402" s="460"/>
      <c r="L402" s="460"/>
      <c r="M402" s="460"/>
      <c r="N402" s="460"/>
      <c r="O402" s="460"/>
      <c r="P402" s="460"/>
      <c r="Q402" s="460"/>
      <c r="R402" s="460"/>
      <c r="S402" s="460"/>
      <c r="T402" s="460"/>
      <c r="U402" s="460"/>
      <c r="V402" s="460"/>
      <c r="W402" s="460"/>
      <c r="X402" s="460"/>
      <c r="Y402" s="460"/>
    </row>
    <row r="403" spans="1:25" x14ac:dyDescent="0.2">
      <c r="A403" s="378" t="str">
        <f>name!A57</f>
        <v>Scientific research and development</v>
      </c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</row>
    <row r="404" spans="1:25" x14ac:dyDescent="0.2">
      <c r="A404" s="382" t="s">
        <v>391</v>
      </c>
      <c r="B404" s="437">
        <v>0.41900000001488891</v>
      </c>
      <c r="C404" s="437">
        <v>0.13700000000022713</v>
      </c>
      <c r="D404" s="437">
        <v>0.13700000000223289</v>
      </c>
      <c r="E404" s="437">
        <f>SUM(B404:D404)</f>
        <v>0.69300000001734896</v>
      </c>
      <c r="F404" s="437"/>
      <c r="G404" s="437">
        <v>0.31900000000862916</v>
      </c>
      <c r="H404" s="437">
        <v>0.1009999999997141</v>
      </c>
      <c r="I404" s="437">
        <v>0.23300000000462498</v>
      </c>
      <c r="J404" s="437">
        <f>SUM(G404:I404)</f>
        <v>0.65300000001296821</v>
      </c>
      <c r="K404" s="437"/>
      <c r="L404" s="437">
        <v>0.80099999998753613</v>
      </c>
      <c r="M404" s="437">
        <v>0.51699999998973256</v>
      </c>
      <c r="N404" s="437">
        <v>0.45799999999988522</v>
      </c>
      <c r="O404" s="437">
        <f>SUM(L404:N404)</f>
        <v>1.7759999999771539</v>
      </c>
      <c r="P404" s="437"/>
      <c r="Q404" s="437">
        <v>0.86799999999327582</v>
      </c>
      <c r="R404" s="437">
        <v>0.57199999999056927</v>
      </c>
      <c r="S404" s="437">
        <v>0.47800000000046161</v>
      </c>
      <c r="T404" s="437">
        <f>SUM(Q404:S404)</f>
        <v>1.9179999999843067</v>
      </c>
      <c r="U404" s="437"/>
      <c r="V404" s="437">
        <v>0.93099999999388106</v>
      </c>
      <c r="W404" s="437">
        <v>0.62699999999020506</v>
      </c>
      <c r="X404" s="437">
        <v>0.49900000000092365</v>
      </c>
      <c r="Y404" s="437">
        <f>SUM(V404:X404)</f>
        <v>2.0569999999850097</v>
      </c>
    </row>
    <row r="405" spans="1:25" x14ac:dyDescent="0.2">
      <c r="A405" s="382" t="s">
        <v>390</v>
      </c>
      <c r="B405" s="438">
        <v>1.363999999994612</v>
      </c>
      <c r="C405" s="438">
        <v>0.11500000000046388</v>
      </c>
      <c r="D405" s="438">
        <v>0.67899999998196814</v>
      </c>
      <c r="E405" s="438">
        <f t="shared" ref="E405:E406" si="1064">SUM(B405:D405)</f>
        <v>2.1579999999770441</v>
      </c>
      <c r="F405" s="438"/>
      <c r="G405" s="438">
        <v>1.257000000050184</v>
      </c>
      <c r="H405" s="438">
        <v>6.7000000001853813E-2</v>
      </c>
      <c r="I405" s="438">
        <v>0.68200000001585459</v>
      </c>
      <c r="J405" s="438">
        <f t="shared" ref="J405:J406" si="1065">SUM(G405:I405)</f>
        <v>2.0060000000678926</v>
      </c>
      <c r="K405" s="438"/>
      <c r="L405" s="438">
        <v>1.4540000000066271</v>
      </c>
      <c r="M405" s="438">
        <v>0.22800000000058152</v>
      </c>
      <c r="N405" s="438">
        <v>0.64599999998486457</v>
      </c>
      <c r="O405" s="438">
        <f t="shared" ref="O405:O406" si="1066">SUM(L405:N405)</f>
        <v>2.3279999999920733</v>
      </c>
      <c r="P405" s="438"/>
      <c r="Q405" s="438">
        <v>1.6210000000480602</v>
      </c>
      <c r="R405" s="438">
        <v>0.23399999999885002</v>
      </c>
      <c r="S405" s="438">
        <v>0.69699999999671958</v>
      </c>
      <c r="T405" s="438">
        <f t="shared" ref="T405:T406" si="1067">SUM(Q405:S405)</f>
        <v>2.5520000000436296</v>
      </c>
      <c r="U405" s="438"/>
      <c r="V405" s="438">
        <v>1.7830000000563697</v>
      </c>
      <c r="W405" s="438">
        <v>0.2389999999962911</v>
      </c>
      <c r="X405" s="438">
        <v>0.75100000000075462</v>
      </c>
      <c r="Y405" s="438">
        <f t="shared" ref="Y405:Y406" si="1068">SUM(V405:X405)</f>
        <v>2.7730000000534156</v>
      </c>
    </row>
    <row r="406" spans="1:25" x14ac:dyDescent="0.2">
      <c r="A406" s="377" t="s">
        <v>389</v>
      </c>
      <c r="B406" s="438">
        <f>SUM(B404:B405)</f>
        <v>1.7830000000095008</v>
      </c>
      <c r="C406" s="438">
        <f t="shared" ref="C406" si="1069">SUM(C404:C405)</f>
        <v>0.252000000000691</v>
      </c>
      <c r="D406" s="438">
        <f t="shared" ref="D406" si="1070">SUM(D404:D405)</f>
        <v>0.81599999998420103</v>
      </c>
      <c r="E406" s="438">
        <f t="shared" si="1064"/>
        <v>2.8509999999943929</v>
      </c>
      <c r="F406" s="438"/>
      <c r="G406" s="438">
        <f>SUM(G404:G405)</f>
        <v>1.576000000058813</v>
      </c>
      <c r="H406" s="438">
        <f t="shared" ref="H406" si="1071">SUM(H404:H405)</f>
        <v>0.1680000000015679</v>
      </c>
      <c r="I406" s="438">
        <f t="shared" ref="I406" si="1072">SUM(I404:I405)</f>
        <v>0.91500000002047954</v>
      </c>
      <c r="J406" s="438">
        <f t="shared" si="1065"/>
        <v>2.6590000000808605</v>
      </c>
      <c r="K406" s="438"/>
      <c r="L406" s="438">
        <f>SUM(L404:L405)</f>
        <v>2.2549999999941632</v>
      </c>
      <c r="M406" s="438">
        <f t="shared" ref="M406" si="1073">SUM(M404:M405)</f>
        <v>0.74499999999031408</v>
      </c>
      <c r="N406" s="438">
        <f t="shared" ref="N406" si="1074">SUM(N404:N405)</f>
        <v>1.1039999999847498</v>
      </c>
      <c r="O406" s="438">
        <f t="shared" si="1066"/>
        <v>4.1039999999692274</v>
      </c>
      <c r="P406" s="438"/>
      <c r="Q406" s="438">
        <f>SUM(Q404:Q405)</f>
        <v>2.4890000000413361</v>
      </c>
      <c r="R406" s="438">
        <f t="shared" ref="R406" si="1075">SUM(R404:R405)</f>
        <v>0.80599999998941929</v>
      </c>
      <c r="S406" s="438">
        <f t="shared" ref="S406" si="1076">SUM(S404:S405)</f>
        <v>1.1749999999971812</v>
      </c>
      <c r="T406" s="438">
        <f t="shared" si="1067"/>
        <v>4.4700000000279365</v>
      </c>
      <c r="U406" s="438"/>
      <c r="V406" s="438">
        <f>SUM(V404:V405)</f>
        <v>2.7140000000502509</v>
      </c>
      <c r="W406" s="438">
        <f t="shared" ref="W406" si="1077">SUM(W404:W405)</f>
        <v>0.86599999998649613</v>
      </c>
      <c r="X406" s="438">
        <f t="shared" ref="X406" si="1078">SUM(X404:X405)</f>
        <v>1.2500000000016782</v>
      </c>
      <c r="Y406" s="438">
        <f t="shared" si="1068"/>
        <v>4.8300000000384253</v>
      </c>
    </row>
    <row r="407" spans="1:25" x14ac:dyDescent="0.2">
      <c r="B407" s="380"/>
      <c r="C407" s="460"/>
      <c r="D407" s="460"/>
      <c r="E407" s="460"/>
      <c r="F407" s="460"/>
      <c r="G407" s="460"/>
      <c r="H407" s="460"/>
      <c r="I407" s="460"/>
      <c r="J407" s="460"/>
      <c r="K407" s="460"/>
      <c r="L407" s="460"/>
      <c r="M407" s="460"/>
      <c r="N407" s="460"/>
      <c r="O407" s="460"/>
      <c r="P407" s="460"/>
      <c r="Q407" s="460"/>
      <c r="R407" s="460"/>
      <c r="S407" s="460"/>
      <c r="T407" s="460"/>
      <c r="U407" s="460"/>
      <c r="V407" s="460"/>
      <c r="W407" s="460"/>
      <c r="X407" s="460"/>
      <c r="Y407" s="460"/>
    </row>
    <row r="408" spans="1:25" x14ac:dyDescent="0.2">
      <c r="A408" s="378" t="str">
        <f>name!A58</f>
        <v>Advertising, etc</v>
      </c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</row>
    <row r="409" spans="1:25" x14ac:dyDescent="0.2">
      <c r="A409" s="382" t="s">
        <v>391</v>
      </c>
      <c r="B409" s="437">
        <v>0.68099999999973626</v>
      </c>
      <c r="C409" s="437">
        <v>0.42699999999898286</v>
      </c>
      <c r="D409" s="437">
        <v>0.1220000000029447</v>
      </c>
      <c r="E409" s="437">
        <f>SUM(B409:D409)</f>
        <v>1.2300000000016638</v>
      </c>
      <c r="F409" s="437"/>
      <c r="G409" s="437">
        <v>0.2389999999994955</v>
      </c>
      <c r="H409" s="437">
        <v>0.49599999999906974</v>
      </c>
      <c r="I409" s="437">
        <v>0.18600000000402342</v>
      </c>
      <c r="J409" s="437">
        <f>SUM(G409:I409)</f>
        <v>0.92100000000258864</v>
      </c>
      <c r="K409" s="437"/>
      <c r="L409" s="437">
        <v>0.42599999999101829</v>
      </c>
      <c r="M409" s="437">
        <v>0.61699999999977406</v>
      </c>
      <c r="N409" s="437">
        <v>0.14199999999916468</v>
      </c>
      <c r="O409" s="437">
        <f>SUM(L409:N409)</f>
        <v>1.184999999989957</v>
      </c>
      <c r="P409" s="437"/>
      <c r="Q409" s="437">
        <v>0.46099999998858954</v>
      </c>
      <c r="R409" s="437">
        <v>0.68399999999906913</v>
      </c>
      <c r="S409" s="437">
        <v>0.14799999999955307</v>
      </c>
      <c r="T409" s="437">
        <f>SUM(Q409:S409)</f>
        <v>1.2929999999872119</v>
      </c>
      <c r="U409" s="437"/>
      <c r="V409" s="437">
        <v>0.49499999998890909</v>
      </c>
      <c r="W409" s="437">
        <v>0.74899999999921918</v>
      </c>
      <c r="X409" s="437">
        <v>0.15399999999985733</v>
      </c>
      <c r="Y409" s="437">
        <f>SUM(V409:X409)</f>
        <v>1.3979999999879857</v>
      </c>
    </row>
    <row r="410" spans="1:25" x14ac:dyDescent="0.2">
      <c r="A410" s="382" t="s">
        <v>390</v>
      </c>
      <c r="B410" s="438">
        <v>0.7139999999899489</v>
      </c>
      <c r="C410" s="438">
        <v>0.19099999999954659</v>
      </c>
      <c r="D410" s="438">
        <v>0.5019999999853354</v>
      </c>
      <c r="E410" s="438">
        <f t="shared" ref="E410:E411" si="1079">SUM(B410:D410)</f>
        <v>1.4069999999748308</v>
      </c>
      <c r="F410" s="438"/>
      <c r="G410" s="438">
        <v>0.30400000000602001</v>
      </c>
      <c r="H410" s="438">
        <v>0.174000000002311</v>
      </c>
      <c r="I410" s="438">
        <v>0.45000000000690227</v>
      </c>
      <c r="J410" s="438">
        <f t="shared" ref="J410:J411" si="1080">SUM(G410:I410)</f>
        <v>0.92800000001523331</v>
      </c>
      <c r="K410" s="438"/>
      <c r="L410" s="438">
        <v>0.24899999999651956</v>
      </c>
      <c r="M410" s="438">
        <v>0.14499999999972246</v>
      </c>
      <c r="N410" s="438">
        <v>0.16599999999545345</v>
      </c>
      <c r="O410" s="438">
        <f t="shared" ref="O410:O411" si="1081">SUM(L410:N410)</f>
        <v>0.55999999999169547</v>
      </c>
      <c r="P410" s="438"/>
      <c r="Q410" s="438">
        <v>0.2780000000037221</v>
      </c>
      <c r="R410" s="438">
        <v>0.1490000000005435</v>
      </c>
      <c r="S410" s="438">
        <v>0.17899999999755842</v>
      </c>
      <c r="T410" s="438">
        <f t="shared" ref="T410:T411" si="1082">SUM(Q410:S410)</f>
        <v>0.60600000000182408</v>
      </c>
      <c r="U410" s="438"/>
      <c r="V410" s="438">
        <v>0.30600000000546812</v>
      </c>
      <c r="W410" s="438">
        <v>0.15200000000015645</v>
      </c>
      <c r="X410" s="438">
        <v>0.19299999999876122</v>
      </c>
      <c r="Y410" s="438">
        <f t="shared" ref="Y410:Y411" si="1083">SUM(V410:X410)</f>
        <v>0.65100000000438585</v>
      </c>
    </row>
    <row r="411" spans="1:25" x14ac:dyDescent="0.2">
      <c r="A411" s="382" t="s">
        <v>389</v>
      </c>
      <c r="B411" s="438">
        <f>SUM(B409:B410)</f>
        <v>1.3949999999896852</v>
      </c>
      <c r="C411" s="438">
        <f t="shared" ref="C411" si="1084">SUM(C409:C410)</f>
        <v>0.6179999999985295</v>
      </c>
      <c r="D411" s="438">
        <f t="shared" ref="D411" si="1085">SUM(D409:D410)</f>
        <v>0.62399999998828015</v>
      </c>
      <c r="E411" s="438">
        <f t="shared" si="1079"/>
        <v>2.6369999999764948</v>
      </c>
      <c r="F411" s="438"/>
      <c r="G411" s="438">
        <f>SUM(G409:G410)</f>
        <v>0.54300000000551552</v>
      </c>
      <c r="H411" s="438">
        <f t="shared" ref="H411" si="1086">SUM(H409:H410)</f>
        <v>0.67000000000138071</v>
      </c>
      <c r="I411" s="438">
        <f t="shared" ref="I411" si="1087">SUM(I409:I410)</f>
        <v>0.63600000001092571</v>
      </c>
      <c r="J411" s="438">
        <f t="shared" si="1080"/>
        <v>1.8490000000178219</v>
      </c>
      <c r="K411" s="438"/>
      <c r="L411" s="438">
        <f>SUM(L409:L410)</f>
        <v>0.67499999998753779</v>
      </c>
      <c r="M411" s="438">
        <f t="shared" ref="M411" si="1088">SUM(M409:M410)</f>
        <v>0.76199999999949652</v>
      </c>
      <c r="N411" s="438">
        <f t="shared" ref="N411" si="1089">SUM(N409:N410)</f>
        <v>0.30799999999461813</v>
      </c>
      <c r="O411" s="438">
        <f t="shared" si="1081"/>
        <v>1.7449999999816523</v>
      </c>
      <c r="P411" s="438"/>
      <c r="Q411" s="438">
        <f>SUM(Q409:Q410)</f>
        <v>0.73899999999231158</v>
      </c>
      <c r="R411" s="438">
        <f t="shared" ref="R411" si="1090">SUM(R409:R410)</f>
        <v>0.83299999999961261</v>
      </c>
      <c r="S411" s="438">
        <f t="shared" ref="S411" si="1091">SUM(S409:S410)</f>
        <v>0.32699999999711149</v>
      </c>
      <c r="T411" s="438">
        <f t="shared" si="1082"/>
        <v>1.8989999999890359</v>
      </c>
      <c r="U411" s="438"/>
      <c r="V411" s="438">
        <f>SUM(V409:V410)</f>
        <v>0.80099999999437721</v>
      </c>
      <c r="W411" s="438">
        <f t="shared" ref="W411" si="1092">SUM(W409:W410)</f>
        <v>0.90099999999937563</v>
      </c>
      <c r="X411" s="438">
        <f t="shared" ref="X411" si="1093">SUM(X409:X410)</f>
        <v>0.34699999999861852</v>
      </c>
      <c r="Y411" s="438">
        <f t="shared" si="1083"/>
        <v>2.0489999999923714</v>
      </c>
    </row>
    <row r="412" spans="1:25" x14ac:dyDescent="0.2">
      <c r="B412" s="380"/>
      <c r="C412" s="460"/>
      <c r="D412" s="460"/>
      <c r="E412" s="460"/>
      <c r="F412" s="460"/>
      <c r="G412" s="460"/>
      <c r="H412" s="460"/>
      <c r="I412" s="460"/>
      <c r="J412" s="460"/>
      <c r="K412" s="460"/>
      <c r="L412" s="460"/>
      <c r="M412" s="460"/>
      <c r="N412" s="460"/>
      <c r="O412" s="460"/>
      <c r="P412" s="460"/>
      <c r="Q412" s="460"/>
      <c r="R412" s="460"/>
      <c r="S412" s="460"/>
      <c r="T412" s="460"/>
      <c r="U412" s="460"/>
      <c r="V412" s="460"/>
      <c r="W412" s="460"/>
      <c r="X412" s="460"/>
      <c r="Y412" s="460"/>
    </row>
    <row r="413" spans="1:25" x14ac:dyDescent="0.2">
      <c r="A413" s="378" t="str">
        <f>name!A59</f>
        <v>Other professional</v>
      </c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</row>
    <row r="414" spans="1:25" x14ac:dyDescent="0.2">
      <c r="A414" s="382" t="s">
        <v>391</v>
      </c>
      <c r="B414" s="437">
        <v>2.2099999999894604</v>
      </c>
      <c r="C414" s="437">
        <v>1.3289999999953859</v>
      </c>
      <c r="D414" s="437">
        <v>0.34800000000527892</v>
      </c>
      <c r="E414" s="437">
        <f>SUM(B414:D414)</f>
        <v>3.8869999999901252</v>
      </c>
      <c r="F414" s="437"/>
      <c r="G414" s="437">
        <v>1.0829999999960132</v>
      </c>
      <c r="H414" s="437">
        <v>0.63399999999638601</v>
      </c>
      <c r="I414" s="437">
        <v>0.3890000000060268</v>
      </c>
      <c r="J414" s="437">
        <f>SUM(G414:I414)</f>
        <v>2.105999999998426</v>
      </c>
      <c r="K414" s="437"/>
      <c r="L414" s="437">
        <v>2.0969999999696651</v>
      </c>
      <c r="M414" s="437">
        <v>0.37200000000098171</v>
      </c>
      <c r="N414" s="437">
        <v>0.4190000000042125</v>
      </c>
      <c r="O414" s="437">
        <f>SUM(L414:N414)</f>
        <v>2.8879999999748596</v>
      </c>
      <c r="P414" s="437"/>
      <c r="Q414" s="437">
        <v>2.2709999999610475</v>
      </c>
      <c r="R414" s="437">
        <v>0.41300000000037068</v>
      </c>
      <c r="S414" s="437">
        <v>0.43700000000500971</v>
      </c>
      <c r="T414" s="437">
        <f>SUM(Q414:S414)</f>
        <v>3.1209999999664277</v>
      </c>
      <c r="U414" s="437"/>
      <c r="V414" s="437">
        <v>2.4379999999622517</v>
      </c>
      <c r="W414" s="437">
        <v>0.45199999999946566</v>
      </c>
      <c r="X414" s="437">
        <v>0.45600000000487073</v>
      </c>
      <c r="Y414" s="437">
        <f>SUM(V414:X414)</f>
        <v>3.3459999999665881</v>
      </c>
    </row>
    <row r="415" spans="1:25" x14ac:dyDescent="0.2">
      <c r="A415" s="382" t="s">
        <v>390</v>
      </c>
      <c r="B415" s="438">
        <v>2.8209999999762894</v>
      </c>
      <c r="C415" s="438">
        <v>0.49699999999949973</v>
      </c>
      <c r="D415" s="438">
        <v>2.0289999999488155</v>
      </c>
      <c r="E415" s="438">
        <f t="shared" ref="E415:E416" si="1094">SUM(B415:D415)</f>
        <v>5.3469999999246047</v>
      </c>
      <c r="F415" s="438"/>
      <c r="G415" s="438">
        <v>1.6740000000075517</v>
      </c>
      <c r="H415" s="438">
        <v>0.18599999999975089</v>
      </c>
      <c r="I415" s="438">
        <v>1.3400000000140406</v>
      </c>
      <c r="J415" s="438">
        <f t="shared" ref="J415:J416" si="1095">SUM(G415:I415)</f>
        <v>3.2000000000213431</v>
      </c>
      <c r="K415" s="438"/>
      <c r="L415" s="438">
        <v>1.493999999990296</v>
      </c>
      <c r="M415" s="438">
        <v>7.3000000000018994E-2</v>
      </c>
      <c r="N415" s="438">
        <v>0.69499999998369255</v>
      </c>
      <c r="O415" s="438">
        <f t="shared" ref="O415:O416" si="1096">SUM(L415:N415)</f>
        <v>2.2619999999740075</v>
      </c>
      <c r="P415" s="438"/>
      <c r="Q415" s="438">
        <v>1.6660000000059765</v>
      </c>
      <c r="R415" s="438">
        <v>7.4999999999820335E-2</v>
      </c>
      <c r="S415" s="438">
        <v>0.74899999999147726</v>
      </c>
      <c r="T415" s="438">
        <f t="shared" ref="T415:T416" si="1097">SUM(Q415:S415)</f>
        <v>2.4899999999972739</v>
      </c>
      <c r="U415" s="438"/>
      <c r="V415" s="438">
        <v>1.8320000000119072</v>
      </c>
      <c r="W415" s="438">
        <v>7.6999999999633695E-2</v>
      </c>
      <c r="X415" s="438">
        <v>0.80699999999580974</v>
      </c>
      <c r="Y415" s="438">
        <f t="shared" ref="Y415:Y416" si="1098">SUM(V415:X415)</f>
        <v>2.7160000000073508</v>
      </c>
    </row>
    <row r="416" spans="1:25" x14ac:dyDescent="0.2">
      <c r="A416" s="382" t="s">
        <v>389</v>
      </c>
      <c r="B416" s="438">
        <f>SUM(B414:B415)</f>
        <v>5.0309999999657498</v>
      </c>
      <c r="C416" s="438">
        <f t="shared" ref="C416" si="1099">SUM(C414:C415)</f>
        <v>1.8259999999948855</v>
      </c>
      <c r="D416" s="438">
        <f t="shared" ref="D416" si="1100">SUM(D414:D415)</f>
        <v>2.3769999999540943</v>
      </c>
      <c r="E416" s="438">
        <f t="shared" si="1094"/>
        <v>9.2339999999147295</v>
      </c>
      <c r="F416" s="438"/>
      <c r="G416" s="438">
        <f>SUM(G414:G415)</f>
        <v>2.7570000000035648</v>
      </c>
      <c r="H416" s="438">
        <f t="shared" ref="H416" si="1101">SUM(H414:H415)</f>
        <v>0.81999999999613693</v>
      </c>
      <c r="I416" s="438">
        <f t="shared" ref="I416" si="1102">SUM(I414:I415)</f>
        <v>1.7290000000200674</v>
      </c>
      <c r="J416" s="438">
        <f t="shared" si="1095"/>
        <v>5.3060000000197691</v>
      </c>
      <c r="K416" s="438"/>
      <c r="L416" s="438">
        <f>SUM(L414:L415)</f>
        <v>3.5909999999599611</v>
      </c>
      <c r="M416" s="438">
        <f t="shared" ref="M416" si="1103">SUM(M414:M415)</f>
        <v>0.44500000000100071</v>
      </c>
      <c r="N416" s="438">
        <f t="shared" ref="N416" si="1104">SUM(N414:N415)</f>
        <v>1.1139999999879051</v>
      </c>
      <c r="O416" s="438">
        <f t="shared" si="1096"/>
        <v>5.1499999999488661</v>
      </c>
      <c r="P416" s="438"/>
      <c r="Q416" s="438">
        <f>SUM(Q414:Q415)</f>
        <v>3.936999999967024</v>
      </c>
      <c r="R416" s="438">
        <f t="shared" ref="R416" si="1105">SUM(R414:R415)</f>
        <v>0.488000000000191</v>
      </c>
      <c r="S416" s="438">
        <f t="shared" ref="S416" si="1106">SUM(S414:S415)</f>
        <v>1.185999999996487</v>
      </c>
      <c r="T416" s="438">
        <f t="shared" si="1097"/>
        <v>5.6109999999637026</v>
      </c>
      <c r="U416" s="438"/>
      <c r="V416" s="438">
        <f>SUM(V414:V415)</f>
        <v>4.2699999999741589</v>
      </c>
      <c r="W416" s="438">
        <f t="shared" ref="W416" si="1107">SUM(W414:W415)</f>
        <v>0.5289999999990993</v>
      </c>
      <c r="X416" s="438">
        <f t="shared" ref="X416" si="1108">SUM(X414:X415)</f>
        <v>1.2630000000006805</v>
      </c>
      <c r="Y416" s="438">
        <f t="shared" si="1098"/>
        <v>6.0619999999739385</v>
      </c>
    </row>
    <row r="417" spans="1:25" x14ac:dyDescent="0.2">
      <c r="A417" s="383"/>
      <c r="B417" s="380"/>
      <c r="C417" s="460"/>
      <c r="D417" s="460"/>
      <c r="E417" s="460"/>
      <c r="F417" s="460"/>
      <c r="G417" s="460"/>
      <c r="H417" s="460"/>
      <c r="I417" s="460"/>
      <c r="J417" s="460"/>
      <c r="K417" s="460"/>
      <c r="L417" s="460"/>
      <c r="M417" s="460"/>
      <c r="N417" s="460"/>
      <c r="O417" s="460"/>
      <c r="P417" s="460"/>
      <c r="Q417" s="460"/>
      <c r="R417" s="460"/>
      <c r="S417" s="460"/>
      <c r="T417" s="460"/>
      <c r="U417" s="460"/>
      <c r="V417" s="460"/>
      <c r="W417" s="460"/>
      <c r="X417" s="460"/>
      <c r="Y417" s="460"/>
    </row>
    <row r="418" spans="1:25" x14ac:dyDescent="0.2">
      <c r="A418" s="378" t="str">
        <f>name!A60</f>
        <v>Veterinary</v>
      </c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</row>
    <row r="419" spans="1:25" x14ac:dyDescent="0.2">
      <c r="A419" s="382" t="s">
        <v>391</v>
      </c>
      <c r="B419" s="437">
        <v>0.47400000000865272</v>
      </c>
      <c r="C419" s="437">
        <v>0.71999999999052444</v>
      </c>
      <c r="D419" s="437">
        <v>0.29499999998736443</v>
      </c>
      <c r="E419" s="437">
        <f>SUM(B419:D419)</f>
        <v>1.4889999999865415</v>
      </c>
      <c r="F419" s="437"/>
      <c r="G419" s="437">
        <v>0.40800000000520964</v>
      </c>
      <c r="H419" s="437">
        <v>0.3099999999951723</v>
      </c>
      <c r="I419" s="437">
        <v>0.46899999997458952</v>
      </c>
      <c r="J419" s="437">
        <f>SUM(G419:I419)</f>
        <v>1.1869999999749714</v>
      </c>
      <c r="K419" s="437"/>
      <c r="L419" s="437">
        <v>0.38199999999361578</v>
      </c>
      <c r="M419" s="437">
        <v>0.58999999998772468</v>
      </c>
      <c r="N419" s="437">
        <v>0.34799999997285175</v>
      </c>
      <c r="O419" s="437">
        <f>SUM(L419:N419)</f>
        <v>1.3199999999541923</v>
      </c>
      <c r="P419" s="437"/>
      <c r="Q419" s="437">
        <v>0.41299999999525927</v>
      </c>
      <c r="R419" s="437">
        <v>0.65399999999346836</v>
      </c>
      <c r="S419" s="437">
        <v>0.3629999999715306</v>
      </c>
      <c r="T419" s="437">
        <f>SUM(Q419:S419)</f>
        <v>1.4299999999602582</v>
      </c>
      <c r="U419" s="437"/>
      <c r="V419" s="437">
        <v>0.44399999999679995</v>
      </c>
      <c r="W419" s="437">
        <v>0.71699999999234099</v>
      </c>
      <c r="X419" s="437">
        <v>0.37799999997612826</v>
      </c>
      <c r="Y419" s="437">
        <f>SUM(V419:X419)</f>
        <v>1.5389999999652693</v>
      </c>
    </row>
    <row r="420" spans="1:25" x14ac:dyDescent="0.2">
      <c r="A420" s="382" t="s">
        <v>390</v>
      </c>
      <c r="B420" s="438">
        <v>1.082999999987202</v>
      </c>
      <c r="C420" s="438">
        <v>0.29400000000156806</v>
      </c>
      <c r="D420" s="438">
        <v>0.1969999999853195</v>
      </c>
      <c r="E420" s="438">
        <f t="shared" ref="E420:E421" si="1109">SUM(B420:D420)</f>
        <v>1.5739999999740897</v>
      </c>
      <c r="F420" s="438"/>
      <c r="G420" s="438">
        <v>1.1290000000273603</v>
      </c>
      <c r="H420" s="438">
        <v>9.9000000001022714E-2</v>
      </c>
      <c r="I420" s="438">
        <v>0.18400000000451414</v>
      </c>
      <c r="J420" s="438">
        <f t="shared" ref="J420:J421" si="1110">SUM(G420:I420)</f>
        <v>1.4120000000328972</v>
      </c>
      <c r="K420" s="438"/>
      <c r="L420" s="438">
        <v>0.48699999999779187</v>
      </c>
      <c r="M420" s="438">
        <v>0.12700000000021705</v>
      </c>
      <c r="N420" s="438">
        <v>6.5999999995730987E-2</v>
      </c>
      <c r="O420" s="438">
        <f t="shared" ref="O420:O421" si="1111">SUM(L420:N420)</f>
        <v>0.67999999999373995</v>
      </c>
      <c r="P420" s="438"/>
      <c r="Q420" s="438">
        <v>0.54300000000840631</v>
      </c>
      <c r="R420" s="438">
        <v>0.1310000000010319</v>
      </c>
      <c r="S420" s="438">
        <v>7.0999999997428911E-2</v>
      </c>
      <c r="T420" s="438">
        <f t="shared" ref="T420:T421" si="1112">SUM(Q420:S420)</f>
        <v>0.74500000000686706</v>
      </c>
      <c r="U420" s="438"/>
      <c r="V420" s="438">
        <v>0.59700000001003695</v>
      </c>
      <c r="W420" s="438">
        <v>0.13300000000119963</v>
      </c>
      <c r="X420" s="438">
        <v>7.6999999998623794E-2</v>
      </c>
      <c r="Y420" s="438">
        <f t="shared" ref="Y420:Y421" si="1113">SUM(V420:X420)</f>
        <v>0.80700000000986039</v>
      </c>
    </row>
    <row r="421" spans="1:25" x14ac:dyDescent="0.2">
      <c r="A421" s="382" t="s">
        <v>389</v>
      </c>
      <c r="B421" s="438">
        <f>SUM(B419:B420)</f>
        <v>1.5569999999958548</v>
      </c>
      <c r="C421" s="438">
        <f t="shared" ref="C421" si="1114">SUM(C419:C420)</f>
        <v>1.0139999999920926</v>
      </c>
      <c r="D421" s="438">
        <f t="shared" ref="D421" si="1115">SUM(D419:D420)</f>
        <v>0.49199999997268395</v>
      </c>
      <c r="E421" s="438">
        <f t="shared" si="1109"/>
        <v>3.0629999999606312</v>
      </c>
      <c r="F421" s="438"/>
      <c r="G421" s="438">
        <f>SUM(G419:G420)</f>
        <v>1.5370000000325699</v>
      </c>
      <c r="H421" s="438">
        <f t="shared" ref="H421" si="1116">SUM(H419:H420)</f>
        <v>0.40899999999619502</v>
      </c>
      <c r="I421" s="438">
        <f t="shared" ref="I421" si="1117">SUM(I419:I420)</f>
        <v>0.65299999997910363</v>
      </c>
      <c r="J421" s="438">
        <f t="shared" si="1110"/>
        <v>2.5990000000078686</v>
      </c>
      <c r="K421" s="438"/>
      <c r="L421" s="438">
        <f>SUM(L419:L420)</f>
        <v>0.86899999999140765</v>
      </c>
      <c r="M421" s="438">
        <f t="shared" ref="M421" si="1118">SUM(M419:M420)</f>
        <v>0.71699999998794173</v>
      </c>
      <c r="N421" s="438">
        <f t="shared" ref="N421" si="1119">SUM(N419:N420)</f>
        <v>0.41399999996858272</v>
      </c>
      <c r="O421" s="438">
        <f t="shared" si="1111"/>
        <v>1.9999999999479319</v>
      </c>
      <c r="P421" s="438"/>
      <c r="Q421" s="438">
        <f>SUM(Q419:Q420)</f>
        <v>0.95600000000366558</v>
      </c>
      <c r="R421" s="438">
        <f t="shared" ref="R421" si="1120">SUM(R419:R420)</f>
        <v>0.78499999999450032</v>
      </c>
      <c r="S421" s="438">
        <f t="shared" ref="S421" si="1121">SUM(S419:S420)</f>
        <v>0.43399999996895949</v>
      </c>
      <c r="T421" s="438">
        <f t="shared" si="1112"/>
        <v>2.1749999999671257</v>
      </c>
      <c r="U421" s="438"/>
      <c r="V421" s="438">
        <f>SUM(V419:V420)</f>
        <v>1.0410000000068369</v>
      </c>
      <c r="W421" s="438">
        <f t="shared" ref="W421" si="1122">SUM(W419:W420)</f>
        <v>0.84999999999354059</v>
      </c>
      <c r="X421" s="438">
        <f t="shared" ref="X421" si="1123">SUM(X419:X420)</f>
        <v>0.45499999997475205</v>
      </c>
      <c r="Y421" s="438">
        <f t="shared" si="1113"/>
        <v>2.3459999999751293</v>
      </c>
    </row>
    <row r="423" spans="1:25" x14ac:dyDescent="0.2">
      <c r="A423" s="383" t="s">
        <v>396</v>
      </c>
    </row>
    <row r="424" spans="1:25" x14ac:dyDescent="0.2">
      <c r="A424" s="377" t="s">
        <v>391</v>
      </c>
      <c r="B424" s="437">
        <f>SUM(B389,B394,B399,B404,B409,B414,B419)</f>
        <v>15.500000000008209</v>
      </c>
      <c r="C424" s="437">
        <f t="shared" ref="C424:D425" si="1124">SUM(C389,C394,C399,C404,C409,C414,C419)</f>
        <v>9.0699999999697347</v>
      </c>
      <c r="D424" s="437">
        <f t="shared" si="1124"/>
        <v>2.8490000000448141</v>
      </c>
      <c r="E424" s="437">
        <f>SUM(B424:D424)</f>
        <v>27.419000000022759</v>
      </c>
      <c r="F424" s="437"/>
      <c r="G424" s="437">
        <f>SUM(G389,G394,G399,G404,G409,G414,G419)</f>
        <v>10.905999999990645</v>
      </c>
      <c r="H424" s="437">
        <f t="shared" ref="H424:I424" si="1125">SUM(H389,H394,H399,H404,H409,H414,H419)</f>
        <v>6.9629999999801768</v>
      </c>
      <c r="I424" s="437">
        <f t="shared" si="1125"/>
        <v>4.4880000000587232</v>
      </c>
      <c r="J424" s="437">
        <f>SUM(G424:I424)</f>
        <v>22.357000000029544</v>
      </c>
      <c r="K424" s="437"/>
      <c r="L424" s="437">
        <f>SUM(L389,L394,L399,L404,L409,L414,L419)</f>
        <v>21.885999999558518</v>
      </c>
      <c r="M424" s="437">
        <f t="shared" ref="M424:N424" si="1126">SUM(M389,M394,M399,M404,M409,M414,M419)</f>
        <v>10.6039999999751</v>
      </c>
      <c r="N424" s="437">
        <f t="shared" si="1126"/>
        <v>4.7949999999559498</v>
      </c>
      <c r="O424" s="437">
        <f>SUM(L424:N424)</f>
        <v>37.284999999489564</v>
      </c>
      <c r="P424" s="437"/>
      <c r="Q424" s="437">
        <f>SUM(Q389,Q394,Q399,Q404,Q409,Q414,Q419)</f>
        <v>22.430999999482275</v>
      </c>
      <c r="R424" s="437">
        <f t="shared" ref="R424:S424" si="1127">SUM(R389,R394,R399,R404,R409,R414,R419)</f>
        <v>11.083999999971553</v>
      </c>
      <c r="S424" s="437">
        <f t="shared" si="1127"/>
        <v>5.0919999999654877</v>
      </c>
      <c r="T424" s="437">
        <f>SUM(Q424:S424)</f>
        <v>38.606999999419315</v>
      </c>
      <c r="U424" s="437"/>
      <c r="V424" s="437">
        <f>SUM(V389,V394,V399,V404,V409,V414,V419)</f>
        <v>22.624999999531433</v>
      </c>
      <c r="W424" s="437">
        <f t="shared" ref="W424:X424" si="1128">SUM(W389,W394,W399,W404,W409,W414,W419)</f>
        <v>11.408999999971998</v>
      </c>
      <c r="X424" s="437">
        <f t="shared" si="1128"/>
        <v>5.3139999999782317</v>
      </c>
      <c r="Y424" s="437">
        <f>SUM(V424:X424)</f>
        <v>39.347999999481658</v>
      </c>
    </row>
    <row r="425" spans="1:25" x14ac:dyDescent="0.2">
      <c r="A425" s="377" t="s">
        <v>390</v>
      </c>
      <c r="B425" s="437">
        <f>SUM(B390,B395,B400,B405,B410,B415,B420)</f>
        <v>25.817999999668828</v>
      </c>
      <c r="C425" s="437">
        <f t="shared" si="1124"/>
        <v>4.7229999999924761</v>
      </c>
      <c r="D425" s="437">
        <f t="shared" si="1124"/>
        <v>11.772999999657051</v>
      </c>
      <c r="E425" s="437">
        <f t="shared" ref="E425:E426" si="1129">SUM(B425:D425)</f>
        <v>42.313999999318355</v>
      </c>
      <c r="F425" s="437"/>
      <c r="G425" s="437">
        <f>SUM(G390,G395,G400,G405,G410,G415,G420)</f>
        <v>22.1290000004429</v>
      </c>
      <c r="H425" s="437">
        <f t="shared" ref="H425:I425" si="1130">SUM(H390,H395,H400,H405,H410,H415,H420)</f>
        <v>1.8550000000225915</v>
      </c>
      <c r="I425" s="437">
        <f t="shared" si="1130"/>
        <v>9.9100000001525803</v>
      </c>
      <c r="J425" s="437">
        <f t="shared" ref="J425:J426" si="1131">SUM(G425:I425)</f>
        <v>33.894000000618071</v>
      </c>
      <c r="K425" s="437"/>
      <c r="L425" s="437">
        <f>SUM(L390,L395,L400,L405,L410,L415,L420)</f>
        <v>24.370999999702079</v>
      </c>
      <c r="M425" s="437">
        <f t="shared" ref="M425:N425" si="1132">SUM(M390,M395,M400,M405,M410,M415,M420)</f>
        <v>2.1469999999975289</v>
      </c>
      <c r="N425" s="437">
        <f t="shared" si="1132"/>
        <v>7.7479999997906095</v>
      </c>
      <c r="O425" s="437">
        <f t="shared" ref="O425:O426" si="1133">SUM(L425:N425)</f>
        <v>34.265999999490219</v>
      </c>
      <c r="P425" s="437"/>
      <c r="Q425" s="437">
        <f>SUM(Q390,Q395,Q400,Q405,Q410,Q415,Q420)</f>
        <v>26.281000000363044</v>
      </c>
      <c r="R425" s="437">
        <f t="shared" ref="R425:S425" si="1134">SUM(R390,R395,R400,R405,R410,R415,R420)</f>
        <v>2.1590000000059728</v>
      </c>
      <c r="S425" s="437">
        <f t="shared" si="1134"/>
        <v>8.093999999895912</v>
      </c>
      <c r="T425" s="437">
        <f t="shared" ref="T425:T426" si="1135">SUM(Q425:S425)</f>
        <v>36.534000000264932</v>
      </c>
      <c r="U425" s="437"/>
      <c r="V425" s="437">
        <f>SUM(V390,V395,V400,V405,V410,V415,V420)</f>
        <v>27.114000000487554</v>
      </c>
      <c r="W425" s="437">
        <f t="shared" ref="W425:X425" si="1136">SUM(W390,W395,W400,W405,W410,W415,W420)</f>
        <v>2.1189999999988425</v>
      </c>
      <c r="X425" s="437">
        <f t="shared" si="1136"/>
        <v>8.1889999999531238</v>
      </c>
      <c r="Y425" s="437">
        <f t="shared" ref="Y425:Y426" si="1137">SUM(V425:X425)</f>
        <v>37.422000000439517</v>
      </c>
    </row>
    <row r="426" spans="1:25" x14ac:dyDescent="0.2">
      <c r="A426" s="381" t="s">
        <v>389</v>
      </c>
      <c r="B426" s="439">
        <f>SUM(B424:B425)</f>
        <v>41.317999999677035</v>
      </c>
      <c r="C426" s="439">
        <f t="shared" ref="C426" si="1138">SUM(C424:C425)</f>
        <v>13.792999999962211</v>
      </c>
      <c r="D426" s="439">
        <f t="shared" ref="D426" si="1139">SUM(D424:D425)</f>
        <v>14.621999999701865</v>
      </c>
      <c r="E426" s="439">
        <f t="shared" si="1129"/>
        <v>69.732999999341118</v>
      </c>
      <c r="F426" s="439"/>
      <c r="G426" s="439">
        <f>SUM(G424:G425)</f>
        <v>33.035000000433541</v>
      </c>
      <c r="H426" s="439">
        <f t="shared" ref="H426" si="1140">SUM(H424:H425)</f>
        <v>8.818000000002769</v>
      </c>
      <c r="I426" s="439">
        <f t="shared" ref="I426" si="1141">SUM(I424:I425)</f>
        <v>14.398000000211304</v>
      </c>
      <c r="J426" s="439">
        <f t="shared" si="1131"/>
        <v>56.251000000647615</v>
      </c>
      <c r="K426" s="439"/>
      <c r="L426" s="439">
        <f>SUM(L424:L425)</f>
        <v>46.2569999992606</v>
      </c>
      <c r="M426" s="439">
        <f t="shared" ref="M426" si="1142">SUM(M424:M425)</f>
        <v>12.750999999972629</v>
      </c>
      <c r="N426" s="439">
        <f t="shared" ref="N426" si="1143">SUM(N424:N425)</f>
        <v>12.542999999746559</v>
      </c>
      <c r="O426" s="439">
        <f t="shared" si="1133"/>
        <v>71.55099999897979</v>
      </c>
      <c r="P426" s="439"/>
      <c r="Q426" s="439">
        <f>SUM(Q424:Q425)</f>
        <v>48.711999999845318</v>
      </c>
      <c r="R426" s="439">
        <f t="shared" ref="R426" si="1144">SUM(R424:R425)</f>
        <v>13.242999999977526</v>
      </c>
      <c r="S426" s="439">
        <f t="shared" ref="S426" si="1145">SUM(S424:S425)</f>
        <v>13.1859999998614</v>
      </c>
      <c r="T426" s="439">
        <f t="shared" si="1135"/>
        <v>75.14099999968424</v>
      </c>
      <c r="U426" s="439"/>
      <c r="V426" s="439">
        <f>SUM(V424:V425)</f>
        <v>49.73900000001899</v>
      </c>
      <c r="W426" s="439">
        <f t="shared" ref="W426" si="1146">SUM(W424:W425)</f>
        <v>13.527999999970842</v>
      </c>
      <c r="X426" s="439">
        <f t="shared" ref="X426" si="1147">SUM(X424:X425)</f>
        <v>13.502999999931355</v>
      </c>
      <c r="Y426" s="439">
        <f t="shared" si="1137"/>
        <v>76.769999999921197</v>
      </c>
    </row>
    <row r="427" spans="1:25" x14ac:dyDescent="0.2">
      <c r="C427" s="453"/>
    </row>
    <row r="428" spans="1:25" x14ac:dyDescent="0.2">
      <c r="A428" s="383"/>
    </row>
    <row r="429" spans="1:25" x14ac:dyDescent="0.2">
      <c r="C429" s="453"/>
    </row>
    <row r="430" spans="1:25" ht="15" x14ac:dyDescent="0.25">
      <c r="A430" s="385" t="str">
        <f>"Industry 17 : "&amp; name!B20</f>
        <v>Industry 17 : Support services</v>
      </c>
      <c r="B430" s="516">
        <f>$B$5</f>
        <v>2007</v>
      </c>
      <c r="C430" s="516"/>
      <c r="D430" s="516"/>
      <c r="E430" s="516"/>
      <c r="F430" s="461"/>
      <c r="G430" s="516">
        <f>$G$5</f>
        <v>2012</v>
      </c>
      <c r="H430" s="516"/>
      <c r="I430" s="516"/>
      <c r="J430" s="516"/>
      <c r="K430" s="461"/>
      <c r="L430" s="516">
        <f>$L$5</f>
        <v>2017</v>
      </c>
      <c r="M430" s="516"/>
      <c r="N430" s="516"/>
      <c r="O430" s="516"/>
      <c r="P430" s="459"/>
      <c r="Q430" s="516">
        <f>$Q$5</f>
        <v>2022</v>
      </c>
      <c r="R430" s="516"/>
      <c r="S430" s="516"/>
      <c r="T430" s="516"/>
      <c r="U430" s="461"/>
      <c r="V430" s="516">
        <f>$V$5</f>
        <v>2027</v>
      </c>
      <c r="W430" s="516"/>
      <c r="X430" s="516"/>
      <c r="Y430" s="516"/>
    </row>
    <row r="431" spans="1:25" x14ac:dyDescent="0.2">
      <c r="A431" s="381"/>
      <c r="B431" s="388" t="str">
        <f>$B$6</f>
        <v>FT</v>
      </c>
      <c r="C431" s="388" t="str">
        <f>$C$6</f>
        <v>PT</v>
      </c>
      <c r="D431" s="388" t="str">
        <f>$D$6</f>
        <v>SE</v>
      </c>
      <c r="E431" s="388" t="str">
        <f>$E$6</f>
        <v>Total</v>
      </c>
      <c r="F431" s="388"/>
      <c r="G431" s="388" t="str">
        <f>$B$6</f>
        <v>FT</v>
      </c>
      <c r="H431" s="388" t="str">
        <f>$C$6</f>
        <v>PT</v>
      </c>
      <c r="I431" s="388" t="str">
        <f>$D$6</f>
        <v>SE</v>
      </c>
      <c r="J431" s="388" t="str">
        <f>$E$6</f>
        <v>Total</v>
      </c>
      <c r="K431" s="388"/>
      <c r="L431" s="388" t="str">
        <f>$L$6</f>
        <v>FT</v>
      </c>
      <c r="M431" s="388" t="str">
        <f>$M$6</f>
        <v>PT</v>
      </c>
      <c r="N431" s="388" t="str">
        <f>$N$6</f>
        <v>SE</v>
      </c>
      <c r="O431" s="388" t="str">
        <f>$O$6</f>
        <v>Total</v>
      </c>
      <c r="P431" s="388"/>
      <c r="Q431" s="388" t="str">
        <f>$L$6</f>
        <v>FT</v>
      </c>
      <c r="R431" s="388" t="str">
        <f>$M$6</f>
        <v>PT</v>
      </c>
      <c r="S431" s="388" t="str">
        <f>$N$6</f>
        <v>SE</v>
      </c>
      <c r="T431" s="388" t="str">
        <f>$O$6</f>
        <v>Total</v>
      </c>
      <c r="U431" s="388"/>
      <c r="V431" s="388" t="str">
        <f>$V$6</f>
        <v>FT</v>
      </c>
      <c r="W431" s="388" t="str">
        <f>$W$6</f>
        <v>PT</v>
      </c>
      <c r="X431" s="388" t="str">
        <f>$X$6</f>
        <v>SE</v>
      </c>
      <c r="Y431" s="388" t="str">
        <f>$Y$6</f>
        <v>Total</v>
      </c>
    </row>
    <row r="432" spans="1:25" x14ac:dyDescent="0.2">
      <c r="A432" s="384"/>
      <c r="B432" s="380"/>
      <c r="C432" s="460"/>
      <c r="D432" s="460"/>
      <c r="E432" s="460"/>
      <c r="F432" s="460"/>
      <c r="G432" s="460"/>
      <c r="H432" s="460"/>
      <c r="I432" s="460"/>
      <c r="J432" s="460"/>
      <c r="K432" s="460"/>
      <c r="L432" s="460"/>
      <c r="M432" s="460"/>
      <c r="N432" s="460"/>
      <c r="O432" s="460"/>
      <c r="P432" s="460"/>
      <c r="Q432" s="460"/>
      <c r="R432" s="460"/>
      <c r="S432" s="460"/>
      <c r="T432" s="460"/>
      <c r="U432" s="460"/>
      <c r="V432" s="460"/>
      <c r="W432" s="460"/>
      <c r="X432" s="460"/>
      <c r="Y432" s="460"/>
    </row>
    <row r="433" spans="1:25" x14ac:dyDescent="0.2">
      <c r="A433" s="378" t="str">
        <f>name!A61</f>
        <v>Rental and leasing</v>
      </c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</row>
    <row r="434" spans="1:25" x14ac:dyDescent="0.2">
      <c r="A434" s="382" t="s">
        <v>391</v>
      </c>
      <c r="B434" s="437">
        <v>0.92999999999002358</v>
      </c>
      <c r="C434" s="437">
        <v>0.65200000000604497</v>
      </c>
      <c r="D434" s="437">
        <v>7.3000000000933249E-2</v>
      </c>
      <c r="E434" s="437">
        <f>SUM(B434:D434)</f>
        <v>1.6549999999970018</v>
      </c>
      <c r="F434" s="437"/>
      <c r="G434" s="437">
        <v>0.88199999998938861</v>
      </c>
      <c r="H434" s="437">
        <v>0.94800000000991103</v>
      </c>
      <c r="I434" s="437">
        <v>0.19000000000046796</v>
      </c>
      <c r="J434" s="437">
        <f>SUM(G434:I434)</f>
        <v>2.0199999999997678</v>
      </c>
      <c r="K434" s="437"/>
      <c r="L434" s="437">
        <v>1.6449999999972993</v>
      </c>
      <c r="M434" s="437">
        <v>0.36600000000881494</v>
      </c>
      <c r="N434" s="437">
        <v>0.30800000000000027</v>
      </c>
      <c r="O434" s="437">
        <f>SUM(L434:N434)</f>
        <v>2.3190000000061146</v>
      </c>
      <c r="P434" s="437"/>
      <c r="Q434" s="437">
        <v>1.6699999999928441</v>
      </c>
      <c r="R434" s="437">
        <v>0.38200000000593548</v>
      </c>
      <c r="S434" s="437">
        <v>0.31799999999869011</v>
      </c>
      <c r="T434" s="437">
        <f>SUM(Q434:S434)</f>
        <v>2.3699999999974697</v>
      </c>
      <c r="U434" s="437"/>
      <c r="V434" s="437">
        <v>1.6829999999949532</v>
      </c>
      <c r="W434" s="437">
        <v>0.38900000000634166</v>
      </c>
      <c r="X434" s="437">
        <v>0.31799999999817036</v>
      </c>
      <c r="Y434" s="437">
        <f>SUM(V434:X434)</f>
        <v>2.3899999999994654</v>
      </c>
    </row>
    <row r="435" spans="1:25" x14ac:dyDescent="0.2">
      <c r="A435" s="382" t="s">
        <v>390</v>
      </c>
      <c r="B435" s="438">
        <v>3.512000000001986</v>
      </c>
      <c r="C435" s="438">
        <v>0.42899999999793748</v>
      </c>
      <c r="D435" s="438">
        <v>0.25699999999828954</v>
      </c>
      <c r="E435" s="438">
        <f t="shared" ref="E435:E436" si="1148">SUM(B435:D435)</f>
        <v>4.1979999999982134</v>
      </c>
      <c r="F435" s="438"/>
      <c r="G435" s="438">
        <v>3.7829999999827701</v>
      </c>
      <c r="H435" s="438">
        <v>0.76899999999319424</v>
      </c>
      <c r="I435" s="438">
        <v>1.5740000000028476</v>
      </c>
      <c r="J435" s="438">
        <f t="shared" ref="J435:J436" si="1149">SUM(G435:I435)</f>
        <v>6.1259999999788119</v>
      </c>
      <c r="K435" s="438"/>
      <c r="L435" s="438">
        <v>5.7349999999993955</v>
      </c>
      <c r="M435" s="438">
        <v>0.34899999999942682</v>
      </c>
      <c r="N435" s="438">
        <v>1.1099999999938317</v>
      </c>
      <c r="O435" s="438">
        <f t="shared" ref="O435:O436" si="1150">SUM(L435:N435)</f>
        <v>7.1939999999926538</v>
      </c>
      <c r="P435" s="438"/>
      <c r="Q435" s="438">
        <v>6.0929999999819877</v>
      </c>
      <c r="R435" s="438">
        <v>0.36699999999735278</v>
      </c>
      <c r="S435" s="438">
        <v>1.0869999999887139</v>
      </c>
      <c r="T435" s="438">
        <f t="shared" ref="T435:T436" si="1151">SUM(Q435:S435)</f>
        <v>7.5469999999680537</v>
      </c>
      <c r="U435" s="438"/>
      <c r="V435" s="438">
        <v>6.3999999999845842</v>
      </c>
      <c r="W435" s="438">
        <v>0.37899999999669065</v>
      </c>
      <c r="X435" s="438">
        <v>1.0379999999924834</v>
      </c>
      <c r="Y435" s="438">
        <f t="shared" ref="Y435:Y436" si="1152">SUM(V435:X435)</f>
        <v>7.8169999999737589</v>
      </c>
    </row>
    <row r="436" spans="1:25" x14ac:dyDescent="0.2">
      <c r="A436" s="382" t="s">
        <v>389</v>
      </c>
      <c r="B436" s="438">
        <f>SUM(B434:B435)</f>
        <v>4.4419999999920092</v>
      </c>
      <c r="C436" s="438">
        <f t="shared" ref="C436" si="1153">SUM(C434:C435)</f>
        <v>1.0810000000039826</v>
      </c>
      <c r="D436" s="438">
        <f t="shared" ref="D436" si="1154">SUM(D434:D435)</f>
        <v>0.3299999999992228</v>
      </c>
      <c r="E436" s="438">
        <f t="shared" si="1148"/>
        <v>5.8529999999952151</v>
      </c>
      <c r="F436" s="438"/>
      <c r="G436" s="438">
        <f>SUM(G434:G435)</f>
        <v>4.6649999999721583</v>
      </c>
      <c r="H436" s="438">
        <f t="shared" ref="H436" si="1155">SUM(H434:H435)</f>
        <v>1.7170000000031052</v>
      </c>
      <c r="I436" s="438">
        <f t="shared" ref="I436" si="1156">SUM(I434:I435)</f>
        <v>1.7640000000033156</v>
      </c>
      <c r="J436" s="438">
        <f t="shared" si="1149"/>
        <v>8.1459999999785797</v>
      </c>
      <c r="K436" s="438"/>
      <c r="L436" s="438">
        <f>SUM(L434:L435)</f>
        <v>7.379999999996695</v>
      </c>
      <c r="M436" s="438">
        <f t="shared" ref="M436" si="1157">SUM(M434:M435)</f>
        <v>0.71500000000824171</v>
      </c>
      <c r="N436" s="438">
        <f t="shared" ref="N436" si="1158">SUM(N434:N435)</f>
        <v>1.417999999993832</v>
      </c>
      <c r="O436" s="438">
        <f t="shared" si="1150"/>
        <v>9.5129999999987689</v>
      </c>
      <c r="P436" s="438"/>
      <c r="Q436" s="438">
        <f>SUM(Q434:Q435)</f>
        <v>7.7629999999748316</v>
      </c>
      <c r="R436" s="438">
        <f t="shared" ref="R436" si="1159">SUM(R434:R435)</f>
        <v>0.74900000000328826</v>
      </c>
      <c r="S436" s="438">
        <f t="shared" ref="S436" si="1160">SUM(S434:S435)</f>
        <v>1.4049999999874041</v>
      </c>
      <c r="T436" s="438">
        <f t="shared" si="1151"/>
        <v>9.9169999999655225</v>
      </c>
      <c r="U436" s="438"/>
      <c r="V436" s="438">
        <f>SUM(V434:V435)</f>
        <v>8.0829999999795383</v>
      </c>
      <c r="W436" s="438">
        <f t="shared" ref="W436" si="1161">SUM(W434:W435)</f>
        <v>0.76800000000303226</v>
      </c>
      <c r="X436" s="438">
        <f t="shared" ref="X436" si="1162">SUM(X434:X435)</f>
        <v>1.3559999999906538</v>
      </c>
      <c r="Y436" s="438">
        <f t="shared" si="1152"/>
        <v>10.206999999973226</v>
      </c>
    </row>
    <row r="437" spans="1:25" x14ac:dyDescent="0.2">
      <c r="B437" s="380"/>
      <c r="C437" s="460"/>
      <c r="D437" s="460"/>
      <c r="E437" s="460"/>
      <c r="F437" s="460"/>
      <c r="G437" s="460"/>
      <c r="H437" s="460"/>
      <c r="I437" s="460"/>
      <c r="J437" s="460"/>
      <c r="K437" s="460"/>
      <c r="L437" s="460"/>
      <c r="M437" s="460"/>
      <c r="N437" s="460"/>
      <c r="O437" s="460"/>
      <c r="P437" s="460"/>
      <c r="Q437" s="460"/>
      <c r="R437" s="460"/>
      <c r="S437" s="460"/>
      <c r="T437" s="460"/>
      <c r="U437" s="460"/>
      <c r="V437" s="460"/>
      <c r="W437" s="460"/>
      <c r="X437" s="460"/>
      <c r="Y437" s="460"/>
    </row>
    <row r="438" spans="1:25" x14ac:dyDescent="0.2">
      <c r="A438" s="378" t="str">
        <f>name!A62</f>
        <v>Employment activities</v>
      </c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</row>
    <row r="439" spans="1:25" x14ac:dyDescent="0.2">
      <c r="A439" s="382" t="s">
        <v>391</v>
      </c>
      <c r="B439" s="437">
        <v>8.6579999998808557</v>
      </c>
      <c r="C439" s="437">
        <v>3.2249999999847359</v>
      </c>
      <c r="D439" s="437">
        <v>0.47900000000370502</v>
      </c>
      <c r="E439" s="437">
        <f>SUM(B439:D439)</f>
        <v>12.361999999869296</v>
      </c>
      <c r="F439" s="437"/>
      <c r="G439" s="437">
        <v>4.9249999999457188</v>
      </c>
      <c r="H439" s="437">
        <v>3.4139999999705219</v>
      </c>
      <c r="I439" s="437">
        <v>0.78400000000887371</v>
      </c>
      <c r="J439" s="437">
        <f>SUM(G439:I439)</f>
        <v>9.1229999999251135</v>
      </c>
      <c r="K439" s="437"/>
      <c r="L439" s="437">
        <v>7.2700000000285074</v>
      </c>
      <c r="M439" s="437">
        <v>2.4880000000198419</v>
      </c>
      <c r="N439" s="437">
        <v>1.1800000000276125</v>
      </c>
      <c r="O439" s="437">
        <f>SUM(L439:N439)</f>
        <v>10.938000000075963</v>
      </c>
      <c r="P439" s="437"/>
      <c r="Q439" s="437">
        <v>7.3810000000165168</v>
      </c>
      <c r="R439" s="437">
        <v>2.5970000000131117</v>
      </c>
      <c r="S439" s="437">
        <v>1.2180000000269535</v>
      </c>
      <c r="T439" s="437">
        <f>SUM(Q439:S439)</f>
        <v>11.196000000056582</v>
      </c>
      <c r="U439" s="437"/>
      <c r="V439" s="437">
        <v>7.4350000000166743</v>
      </c>
      <c r="W439" s="437">
        <v>2.6420000000072918</v>
      </c>
      <c r="X439" s="437">
        <v>1.2180000000201243</v>
      </c>
      <c r="Y439" s="437">
        <f>SUM(V439:X439)</f>
        <v>11.295000000044091</v>
      </c>
    </row>
    <row r="440" spans="1:25" x14ac:dyDescent="0.2">
      <c r="A440" s="382" t="s">
        <v>390</v>
      </c>
      <c r="B440" s="438">
        <v>15.067000000022269</v>
      </c>
      <c r="C440" s="438">
        <v>3.7660000000078497</v>
      </c>
      <c r="D440" s="438">
        <v>1.2399999999846811</v>
      </c>
      <c r="E440" s="438">
        <f t="shared" ref="E440:E441" si="1163">SUM(B440:D440)</f>
        <v>20.073000000014801</v>
      </c>
      <c r="F440" s="438"/>
      <c r="G440" s="438">
        <v>9.7299999998972169</v>
      </c>
      <c r="H440" s="438">
        <v>4.9089999999409422</v>
      </c>
      <c r="I440" s="438">
        <v>4.7619999999960072</v>
      </c>
      <c r="J440" s="438">
        <f t="shared" ref="J440:J441" si="1164">SUM(G440:I440)</f>
        <v>19.400999999834166</v>
      </c>
      <c r="K440" s="438"/>
      <c r="L440" s="438">
        <v>11.677000000029206</v>
      </c>
      <c r="M440" s="438">
        <v>4.212000000008068</v>
      </c>
      <c r="N440" s="438">
        <v>3.1149999999390299</v>
      </c>
      <c r="O440" s="438">
        <f t="shared" ref="O440:O441" si="1165">SUM(L440:N440)</f>
        <v>19.003999999976305</v>
      </c>
      <c r="P440" s="438"/>
      <c r="Q440" s="438">
        <v>12.405999999909119</v>
      </c>
      <c r="R440" s="438">
        <v>4.4279999999635251</v>
      </c>
      <c r="S440" s="438">
        <v>3.0519999999565446</v>
      </c>
      <c r="T440" s="438">
        <f t="shared" ref="T440:T441" si="1166">SUM(Q440:S440)</f>
        <v>19.885999999829188</v>
      </c>
      <c r="U440" s="438"/>
      <c r="V440" s="438">
        <v>13.031999999899469</v>
      </c>
      <c r="W440" s="438">
        <v>4.5619999999541516</v>
      </c>
      <c r="X440" s="438">
        <v>2.9139999999782908</v>
      </c>
      <c r="Y440" s="438">
        <f t="shared" ref="Y440:Y441" si="1167">SUM(V440:X440)</f>
        <v>20.507999999831913</v>
      </c>
    </row>
    <row r="441" spans="1:25" x14ac:dyDescent="0.2">
      <c r="A441" s="382" t="s">
        <v>389</v>
      </c>
      <c r="B441" s="438">
        <f>SUM(B439:B440)</f>
        <v>23.724999999903126</v>
      </c>
      <c r="C441" s="438">
        <f t="shared" ref="C441" si="1168">SUM(C439:C440)</f>
        <v>6.9909999999925851</v>
      </c>
      <c r="D441" s="438">
        <f t="shared" ref="D441" si="1169">SUM(D439:D440)</f>
        <v>1.718999999988386</v>
      </c>
      <c r="E441" s="438">
        <f t="shared" si="1163"/>
        <v>32.434999999884099</v>
      </c>
      <c r="F441" s="438"/>
      <c r="G441" s="438">
        <f>SUM(G439:G440)</f>
        <v>14.654999999842936</v>
      </c>
      <c r="H441" s="438">
        <f t="shared" ref="H441" si="1170">SUM(H439:H440)</f>
        <v>8.3229999999114632</v>
      </c>
      <c r="I441" s="438">
        <f t="shared" ref="I441" si="1171">SUM(I439:I440)</f>
        <v>5.5460000000048808</v>
      </c>
      <c r="J441" s="438">
        <f t="shared" si="1164"/>
        <v>28.52399999975928</v>
      </c>
      <c r="K441" s="438"/>
      <c r="L441" s="438">
        <f>SUM(L439:L440)</f>
        <v>18.947000000057713</v>
      </c>
      <c r="M441" s="438">
        <f t="shared" ref="M441" si="1172">SUM(M439:M440)</f>
        <v>6.7000000000279094</v>
      </c>
      <c r="N441" s="438">
        <f t="shared" ref="N441" si="1173">SUM(N439:N440)</f>
        <v>4.2949999999666426</v>
      </c>
      <c r="O441" s="438">
        <f t="shared" si="1165"/>
        <v>29.942000000052264</v>
      </c>
      <c r="P441" s="438"/>
      <c r="Q441" s="438">
        <f>SUM(Q439:Q440)</f>
        <v>19.786999999925634</v>
      </c>
      <c r="R441" s="438">
        <f t="shared" ref="R441" si="1174">SUM(R439:R440)</f>
        <v>7.0249999999766368</v>
      </c>
      <c r="S441" s="438">
        <f t="shared" ref="S441" si="1175">SUM(S439:S440)</f>
        <v>4.2699999999834981</v>
      </c>
      <c r="T441" s="438">
        <f t="shared" si="1166"/>
        <v>31.081999999885767</v>
      </c>
      <c r="U441" s="438"/>
      <c r="V441" s="438">
        <f>SUM(V439:V440)</f>
        <v>20.466999999916144</v>
      </c>
      <c r="W441" s="438">
        <f t="shared" ref="W441" si="1176">SUM(W439:W440)</f>
        <v>7.203999999961443</v>
      </c>
      <c r="X441" s="438">
        <f t="shared" ref="X441" si="1177">SUM(X439:X440)</f>
        <v>4.1319999999984152</v>
      </c>
      <c r="Y441" s="438">
        <f t="shared" si="1167"/>
        <v>31.802999999876</v>
      </c>
    </row>
    <row r="442" spans="1:25" x14ac:dyDescent="0.2">
      <c r="B442" s="380"/>
      <c r="C442" s="460"/>
      <c r="D442" s="460"/>
      <c r="E442" s="460"/>
      <c r="F442" s="460"/>
      <c r="G442" s="460"/>
      <c r="H442" s="460"/>
      <c r="I442" s="460"/>
      <c r="J442" s="460"/>
      <c r="K442" s="460"/>
      <c r="L442" s="460"/>
      <c r="M442" s="460"/>
      <c r="N442" s="460"/>
      <c r="O442" s="460"/>
      <c r="P442" s="460"/>
      <c r="Q442" s="460"/>
      <c r="R442" s="460"/>
      <c r="S442" s="460"/>
      <c r="T442" s="460"/>
      <c r="U442" s="460"/>
      <c r="V442" s="460"/>
      <c r="W442" s="460"/>
      <c r="X442" s="460"/>
      <c r="Y442" s="460"/>
    </row>
    <row r="443" spans="1:25" x14ac:dyDescent="0.2">
      <c r="A443" s="378" t="str">
        <f>name!A63</f>
        <v>Travel, etc</v>
      </c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</row>
    <row r="444" spans="1:25" x14ac:dyDescent="0.2">
      <c r="A444" s="382" t="s">
        <v>391</v>
      </c>
      <c r="B444" s="437">
        <v>0.93899999998346462</v>
      </c>
      <c r="C444" s="437">
        <v>0.31399999999873718</v>
      </c>
      <c r="D444" s="437">
        <v>8.7000000001598729E-2</v>
      </c>
      <c r="E444" s="437">
        <f>SUM(B444:D444)</f>
        <v>1.3399999999838006</v>
      </c>
      <c r="F444" s="437"/>
      <c r="G444" s="437">
        <v>0.66599999998659509</v>
      </c>
      <c r="H444" s="437">
        <v>0.41699999999769921</v>
      </c>
      <c r="I444" s="437">
        <v>0.17700000000381744</v>
      </c>
      <c r="J444" s="437">
        <f>SUM(G444:I444)</f>
        <v>1.2599999999881117</v>
      </c>
      <c r="K444" s="437"/>
      <c r="L444" s="437">
        <v>0.69400000000246254</v>
      </c>
      <c r="M444" s="437">
        <v>0.2090000000052204</v>
      </c>
      <c r="N444" s="437">
        <v>0.19100000000446618</v>
      </c>
      <c r="O444" s="437">
        <f>SUM(L444:N444)</f>
        <v>1.0940000000121493</v>
      </c>
      <c r="P444" s="437"/>
      <c r="Q444" s="437">
        <v>0.70399999999864638</v>
      </c>
      <c r="R444" s="437">
        <v>0.21800000000429812</v>
      </c>
      <c r="S444" s="437">
        <v>0.19700000000490883</v>
      </c>
      <c r="T444" s="437">
        <f>SUM(Q444:S444)</f>
        <v>1.1190000000078533</v>
      </c>
      <c r="U444" s="437"/>
      <c r="V444" s="437">
        <v>0.70899999999914354</v>
      </c>
      <c r="W444" s="437">
        <v>0.22200000000353853</v>
      </c>
      <c r="X444" s="437">
        <v>0.19700000000382684</v>
      </c>
      <c r="Y444" s="437">
        <f>SUM(V444:X444)</f>
        <v>1.1280000000065089</v>
      </c>
    </row>
    <row r="445" spans="1:25" x14ac:dyDescent="0.2">
      <c r="A445" s="382" t="s">
        <v>390</v>
      </c>
      <c r="B445" s="438">
        <v>1.7100000000021591</v>
      </c>
      <c r="C445" s="438">
        <v>0.37000000000036393</v>
      </c>
      <c r="D445" s="438">
        <v>6.6999999999525661E-2</v>
      </c>
      <c r="E445" s="438">
        <f t="shared" ref="E445:E446" si="1178">SUM(B445:D445)</f>
        <v>2.1470000000020484</v>
      </c>
      <c r="F445" s="438"/>
      <c r="G445" s="438">
        <v>1.3759999999795056</v>
      </c>
      <c r="H445" s="438">
        <v>0.60399999999231324</v>
      </c>
      <c r="I445" s="438">
        <v>0.32100000000185996</v>
      </c>
      <c r="J445" s="438">
        <f t="shared" ref="J445:J446" si="1179">SUM(G445:I445)</f>
        <v>2.300999999973679</v>
      </c>
      <c r="K445" s="438"/>
      <c r="L445" s="438">
        <v>1.1659999999998631</v>
      </c>
      <c r="M445" s="438">
        <v>0.35500000000090315</v>
      </c>
      <c r="N445" s="438">
        <v>0.14999999999993938</v>
      </c>
      <c r="O445" s="438">
        <f t="shared" ref="O445:O446" si="1180">SUM(L445:N445)</f>
        <v>1.6710000000007057</v>
      </c>
      <c r="P445" s="438"/>
      <c r="Q445" s="438">
        <v>1.2389999999876609</v>
      </c>
      <c r="R445" s="438">
        <v>0.37399999999601258</v>
      </c>
      <c r="S445" s="438">
        <v>0.14699999999828567</v>
      </c>
      <c r="T445" s="438">
        <f t="shared" ref="T445:T446" si="1181">SUM(Q445:S445)</f>
        <v>1.7599999999819591</v>
      </c>
      <c r="U445" s="438"/>
      <c r="V445" s="438">
        <v>1.3009999999872985</v>
      </c>
      <c r="W445" s="438">
        <v>0.3849999999945023</v>
      </c>
      <c r="X445" s="438">
        <v>0.14099999999858653</v>
      </c>
      <c r="Y445" s="438">
        <f t="shared" ref="Y445:Y446" si="1182">SUM(V445:X445)</f>
        <v>1.8269999999803872</v>
      </c>
    </row>
    <row r="446" spans="1:25" x14ac:dyDescent="0.2">
      <c r="A446" s="382" t="s">
        <v>389</v>
      </c>
      <c r="B446" s="438">
        <f>SUM(B444:B445)</f>
        <v>2.648999999985624</v>
      </c>
      <c r="C446" s="438">
        <f t="shared" ref="C446" si="1183">SUM(C444:C445)</f>
        <v>0.6839999999991011</v>
      </c>
      <c r="D446" s="438">
        <f t="shared" ref="D446" si="1184">SUM(D444:D445)</f>
        <v>0.1540000000011244</v>
      </c>
      <c r="E446" s="438">
        <f t="shared" si="1178"/>
        <v>3.4869999999858496</v>
      </c>
      <c r="F446" s="438"/>
      <c r="G446" s="438">
        <f>SUM(G444:G445)</f>
        <v>2.0419999999661007</v>
      </c>
      <c r="H446" s="438">
        <f t="shared" ref="H446" si="1185">SUM(H444:H445)</f>
        <v>1.0209999999900123</v>
      </c>
      <c r="I446" s="438">
        <f t="shared" ref="I446" si="1186">SUM(I444:I445)</f>
        <v>0.4980000000056774</v>
      </c>
      <c r="J446" s="438">
        <f t="shared" si="1179"/>
        <v>3.5609999999617905</v>
      </c>
      <c r="K446" s="438"/>
      <c r="L446" s="438">
        <f>SUM(L444:L445)</f>
        <v>1.8600000000023256</v>
      </c>
      <c r="M446" s="438">
        <f t="shared" ref="M446" si="1187">SUM(M444:M445)</f>
        <v>0.5640000000061236</v>
      </c>
      <c r="N446" s="438">
        <f t="shared" ref="N446" si="1188">SUM(N444:N445)</f>
        <v>0.34100000000440556</v>
      </c>
      <c r="O446" s="438">
        <f t="shared" si="1180"/>
        <v>2.7650000000128547</v>
      </c>
      <c r="P446" s="438"/>
      <c r="Q446" s="438">
        <f>SUM(Q444:Q445)</f>
        <v>1.9429999999863072</v>
      </c>
      <c r="R446" s="438">
        <f t="shared" ref="R446" si="1189">SUM(R444:R445)</f>
        <v>0.59200000000031072</v>
      </c>
      <c r="S446" s="438">
        <f t="shared" ref="S446" si="1190">SUM(S444:S445)</f>
        <v>0.34400000000319453</v>
      </c>
      <c r="T446" s="438">
        <f t="shared" si="1181"/>
        <v>2.8789999999898126</v>
      </c>
      <c r="U446" s="438"/>
      <c r="V446" s="438">
        <f>SUM(V444:V445)</f>
        <v>2.0099999999864422</v>
      </c>
      <c r="W446" s="438">
        <f t="shared" ref="W446" si="1191">SUM(W444:W445)</f>
        <v>0.60699999999804088</v>
      </c>
      <c r="X446" s="438">
        <f t="shared" ref="X446" si="1192">SUM(X444:X445)</f>
        <v>0.33800000000241337</v>
      </c>
      <c r="Y446" s="438">
        <f t="shared" si="1182"/>
        <v>2.9549999999868963</v>
      </c>
    </row>
    <row r="447" spans="1:25" x14ac:dyDescent="0.2">
      <c r="B447" s="380"/>
      <c r="C447" s="460"/>
      <c r="D447" s="460"/>
      <c r="E447" s="460"/>
      <c r="F447" s="460"/>
      <c r="G447" s="460"/>
      <c r="H447" s="460"/>
      <c r="I447" s="460"/>
      <c r="J447" s="460"/>
      <c r="K447" s="460"/>
      <c r="L447" s="460"/>
      <c r="M447" s="460"/>
      <c r="N447" s="460"/>
      <c r="O447" s="460"/>
      <c r="P447" s="460"/>
      <c r="Q447" s="460"/>
      <c r="R447" s="460"/>
      <c r="S447" s="460"/>
      <c r="T447" s="460"/>
      <c r="U447" s="460"/>
      <c r="V447" s="460"/>
      <c r="W447" s="460"/>
      <c r="X447" s="460"/>
      <c r="Y447" s="460"/>
    </row>
    <row r="448" spans="1:25" x14ac:dyDescent="0.2">
      <c r="A448" s="378" t="str">
        <f>name!A64</f>
        <v>Security, etc</v>
      </c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</row>
    <row r="449" spans="1:25" x14ac:dyDescent="0.2">
      <c r="A449" s="382" t="s">
        <v>391</v>
      </c>
      <c r="B449" s="437">
        <v>1.4819999999771927</v>
      </c>
      <c r="C449" s="437">
        <v>0.4169999999977953</v>
      </c>
      <c r="D449" s="437">
        <v>3.4000000000023907E-2</v>
      </c>
      <c r="E449" s="437">
        <f>SUM(B449:D449)</f>
        <v>1.932999999975012</v>
      </c>
      <c r="F449" s="437"/>
      <c r="G449" s="437">
        <v>1.0839999999873595</v>
      </c>
      <c r="H449" s="437">
        <v>0.7279999999932717</v>
      </c>
      <c r="I449" s="437">
        <v>7.5000000000506675E-2</v>
      </c>
      <c r="J449" s="437">
        <f>SUM(G449:I449)</f>
        <v>1.886999999981138</v>
      </c>
      <c r="K449" s="437"/>
      <c r="L449" s="437">
        <v>1.4250000000069787</v>
      </c>
      <c r="M449" s="437">
        <v>0.35800000000250898</v>
      </c>
      <c r="N449" s="437">
        <v>9.1000000002954745E-2</v>
      </c>
      <c r="O449" s="437">
        <f>SUM(L449:N449)</f>
        <v>1.8740000000124424</v>
      </c>
      <c r="P449" s="437"/>
      <c r="Q449" s="437">
        <v>1.4460000000046962</v>
      </c>
      <c r="R449" s="437">
        <v>0.37300000000147132</v>
      </c>
      <c r="S449" s="437">
        <v>9.4000000002876671E-2</v>
      </c>
      <c r="T449" s="437">
        <f>SUM(Q449:S449)</f>
        <v>1.9130000000090441</v>
      </c>
      <c r="U449" s="437"/>
      <c r="V449" s="437">
        <v>1.4570000000046492</v>
      </c>
      <c r="W449" s="437">
        <v>0.38000000000041173</v>
      </c>
      <c r="X449" s="437">
        <v>9.4000000002188167E-2</v>
      </c>
      <c r="Y449" s="437">
        <f>SUM(V449:X449)</f>
        <v>1.9310000000072491</v>
      </c>
    </row>
    <row r="450" spans="1:25" x14ac:dyDescent="0.2">
      <c r="A450" s="382" t="s">
        <v>390</v>
      </c>
      <c r="B450" s="438">
        <v>2.8400000000042311</v>
      </c>
      <c r="C450" s="438">
        <v>0.35500000000062287</v>
      </c>
      <c r="D450" s="438">
        <v>0.28199999999818454</v>
      </c>
      <c r="E450" s="438">
        <f t="shared" ref="E450:E451" si="1193">SUM(B450:D450)</f>
        <v>3.4770000000030388</v>
      </c>
      <c r="F450" s="438"/>
      <c r="G450" s="438">
        <v>2.3579999999746826</v>
      </c>
      <c r="H450" s="438">
        <v>0.76299999999041024</v>
      </c>
      <c r="I450" s="438">
        <v>1.4699999999956697</v>
      </c>
      <c r="J450" s="438">
        <f t="shared" ref="J450:J451" si="1194">SUM(G450:I450)</f>
        <v>4.5909999999607622</v>
      </c>
      <c r="K450" s="438"/>
      <c r="L450" s="438">
        <v>2.520000000006422</v>
      </c>
      <c r="M450" s="438">
        <v>0.44200000000082751</v>
      </c>
      <c r="N450" s="438">
        <v>0.77299999998800606</v>
      </c>
      <c r="O450" s="438">
        <f t="shared" ref="O450:O451" si="1195">SUM(L450:N450)</f>
        <v>3.7349999999952557</v>
      </c>
      <c r="P450" s="438"/>
      <c r="Q450" s="438">
        <v>2.6769999999800866</v>
      </c>
      <c r="R450" s="438">
        <v>0.46399999999608116</v>
      </c>
      <c r="S450" s="438">
        <v>0.75699999999232537</v>
      </c>
      <c r="T450" s="438">
        <f t="shared" ref="T450:T451" si="1196">SUM(Q450:S450)</f>
        <v>3.8979999999684933</v>
      </c>
      <c r="U450" s="438"/>
      <c r="V450" s="438">
        <v>2.811999999977941</v>
      </c>
      <c r="W450" s="438">
        <v>0.4779999999951049</v>
      </c>
      <c r="X450" s="438">
        <v>0.72299999999633846</v>
      </c>
      <c r="Y450" s="438">
        <f t="shared" ref="Y450:Y451" si="1197">SUM(V450:X450)</f>
        <v>4.0129999999693844</v>
      </c>
    </row>
    <row r="451" spans="1:25" x14ac:dyDescent="0.2">
      <c r="A451" s="382" t="s">
        <v>389</v>
      </c>
      <c r="B451" s="438">
        <f>SUM(B449:B450)</f>
        <v>4.3219999999814238</v>
      </c>
      <c r="C451" s="438">
        <f t="shared" ref="C451" si="1198">SUM(C449:C450)</f>
        <v>0.77199999999841817</v>
      </c>
      <c r="D451" s="438">
        <f t="shared" ref="D451" si="1199">SUM(D449:D450)</f>
        <v>0.31599999999820844</v>
      </c>
      <c r="E451" s="438">
        <f t="shared" si="1193"/>
        <v>5.4099999999780506</v>
      </c>
      <c r="F451" s="438"/>
      <c r="G451" s="438">
        <f>SUM(G449:G450)</f>
        <v>3.4419999999620421</v>
      </c>
      <c r="H451" s="438">
        <f t="shared" ref="H451" si="1200">SUM(H449:H450)</f>
        <v>1.490999999983682</v>
      </c>
      <c r="I451" s="438">
        <f t="shared" ref="I451" si="1201">SUM(I449:I450)</f>
        <v>1.5449999999961763</v>
      </c>
      <c r="J451" s="438">
        <f t="shared" si="1194"/>
        <v>6.4779999999419005</v>
      </c>
      <c r="K451" s="438"/>
      <c r="L451" s="438">
        <f>SUM(L449:L450)</f>
        <v>3.9450000000134007</v>
      </c>
      <c r="M451" s="438">
        <f t="shared" ref="M451" si="1202">SUM(M449:M450)</f>
        <v>0.80000000000333649</v>
      </c>
      <c r="N451" s="438">
        <f t="shared" ref="N451" si="1203">SUM(N449:N450)</f>
        <v>0.86399999999096078</v>
      </c>
      <c r="O451" s="438">
        <f t="shared" si="1195"/>
        <v>5.6090000000076978</v>
      </c>
      <c r="P451" s="438"/>
      <c r="Q451" s="438">
        <f>SUM(Q449:Q450)</f>
        <v>4.1229999999847831</v>
      </c>
      <c r="R451" s="438">
        <f t="shared" ref="R451" si="1204">SUM(R449:R450)</f>
        <v>0.83699999999755248</v>
      </c>
      <c r="S451" s="438">
        <f t="shared" ref="S451" si="1205">SUM(S449:S450)</f>
        <v>0.85099999999520204</v>
      </c>
      <c r="T451" s="438">
        <f t="shared" si="1196"/>
        <v>5.8109999999775379</v>
      </c>
      <c r="U451" s="438"/>
      <c r="V451" s="438">
        <f>SUM(V449:V450)</f>
        <v>4.2689999999825901</v>
      </c>
      <c r="W451" s="438">
        <f t="shared" ref="W451" si="1206">SUM(W449:W450)</f>
        <v>0.85799999999551657</v>
      </c>
      <c r="X451" s="438">
        <f t="shared" ref="X451" si="1207">SUM(X449:X450)</f>
        <v>0.81699999999852668</v>
      </c>
      <c r="Y451" s="438">
        <f t="shared" si="1197"/>
        <v>5.9439999999766338</v>
      </c>
    </row>
    <row r="452" spans="1:25" x14ac:dyDescent="0.2">
      <c r="B452" s="380"/>
      <c r="C452" s="460"/>
      <c r="D452" s="460"/>
      <c r="E452" s="460"/>
      <c r="F452" s="460"/>
      <c r="G452" s="460"/>
      <c r="H452" s="460"/>
      <c r="I452" s="460"/>
      <c r="J452" s="460"/>
      <c r="K452" s="460"/>
      <c r="L452" s="460"/>
      <c r="M452" s="460"/>
      <c r="N452" s="460"/>
      <c r="O452" s="460"/>
      <c r="P452" s="460"/>
      <c r="Q452" s="460"/>
      <c r="R452" s="460"/>
      <c r="S452" s="460"/>
      <c r="T452" s="460"/>
      <c r="U452" s="460"/>
      <c r="V452" s="460"/>
      <c r="W452" s="460"/>
      <c r="X452" s="460"/>
      <c r="Y452" s="460"/>
    </row>
    <row r="453" spans="1:25" x14ac:dyDescent="0.2">
      <c r="A453" s="378" t="str">
        <f>name!A65</f>
        <v>Services to buildings</v>
      </c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</row>
    <row r="454" spans="1:25" x14ac:dyDescent="0.2">
      <c r="A454" s="382" t="s">
        <v>391</v>
      </c>
      <c r="B454" s="437">
        <v>4.2199999999496747</v>
      </c>
      <c r="C454" s="437">
        <v>8.2349999999610652</v>
      </c>
      <c r="D454" s="437">
        <v>0.371000000002426</v>
      </c>
      <c r="E454" s="437">
        <f>SUM(B454:D454)</f>
        <v>12.825999999913165</v>
      </c>
      <c r="F454" s="437"/>
      <c r="G454" s="437">
        <v>3.7799999999617375</v>
      </c>
      <c r="H454" s="437">
        <v>12.642999999897693</v>
      </c>
      <c r="I454" s="437">
        <v>0.91100000000657999</v>
      </c>
      <c r="J454" s="437">
        <f>SUM(G454:I454)</f>
        <v>17.333999999866013</v>
      </c>
      <c r="K454" s="437"/>
      <c r="L454" s="437">
        <v>4.0050000000166426</v>
      </c>
      <c r="M454" s="437">
        <v>7.6110000000413782</v>
      </c>
      <c r="N454" s="437">
        <v>1.0900000000245349</v>
      </c>
      <c r="O454" s="437">
        <f>SUM(L454:N454)</f>
        <v>12.706000000082556</v>
      </c>
      <c r="P454" s="437"/>
      <c r="Q454" s="437">
        <v>4.0660000000120888</v>
      </c>
      <c r="R454" s="437">
        <v>7.9420000000287763</v>
      </c>
      <c r="S454" s="437">
        <v>1.1260000000232593</v>
      </c>
      <c r="T454" s="437">
        <f>SUM(Q454:S454)</f>
        <v>13.134000000064125</v>
      </c>
      <c r="U454" s="437"/>
      <c r="V454" s="437">
        <v>4.0960000000126477</v>
      </c>
      <c r="W454" s="437">
        <v>8.0810000000246962</v>
      </c>
      <c r="X454" s="437">
        <v>1.1260000000171329</v>
      </c>
      <c r="Y454" s="437">
        <f>SUM(V454:X454)</f>
        <v>13.303000000054476</v>
      </c>
    </row>
    <row r="455" spans="1:25" x14ac:dyDescent="0.2">
      <c r="A455" s="382" t="s">
        <v>390</v>
      </c>
      <c r="B455" s="438">
        <v>4.5130000000040518</v>
      </c>
      <c r="C455" s="438">
        <v>1.4690000000022907</v>
      </c>
      <c r="D455" s="438">
        <v>0.5579999999967703</v>
      </c>
      <c r="E455" s="438">
        <f t="shared" ref="E455:E456" si="1208">SUM(B455:D455)</f>
        <v>6.5400000000031131</v>
      </c>
      <c r="F455" s="438"/>
      <c r="G455" s="438">
        <v>4.5899999999580015</v>
      </c>
      <c r="H455" s="438">
        <v>2.7769999999712023</v>
      </c>
      <c r="I455" s="438">
        <v>3.2159999999879818</v>
      </c>
      <c r="J455" s="438">
        <f t="shared" ref="J455:J456" si="1209">SUM(G455:I455)</f>
        <v>10.582999999917186</v>
      </c>
      <c r="K455" s="438"/>
      <c r="L455" s="438">
        <v>3.953000000006905</v>
      </c>
      <c r="M455" s="438">
        <v>1.9680000000025315</v>
      </c>
      <c r="N455" s="438">
        <v>1.6749999999793823</v>
      </c>
      <c r="O455" s="438">
        <f t="shared" ref="O455:O456" si="1210">SUM(L455:N455)</f>
        <v>7.5959999999888188</v>
      </c>
      <c r="P455" s="438"/>
      <c r="Q455" s="438">
        <v>4.199999999973417</v>
      </c>
      <c r="R455" s="438">
        <v>2.0679999999855871</v>
      </c>
      <c r="S455" s="438">
        <v>1.6409999999930334</v>
      </c>
      <c r="T455" s="438">
        <f t="shared" ref="T455:T456" si="1211">SUM(Q455:S455)</f>
        <v>7.9089999999520373</v>
      </c>
      <c r="U455" s="438"/>
      <c r="V455" s="438">
        <v>4.4119999999715782</v>
      </c>
      <c r="W455" s="438">
        <v>2.13099999998171</v>
      </c>
      <c r="X455" s="438">
        <v>1.5669999999987552</v>
      </c>
      <c r="Y455" s="438">
        <f t="shared" ref="Y455:Y456" si="1212">SUM(V455:X455)</f>
        <v>8.1099999999520431</v>
      </c>
    </row>
    <row r="456" spans="1:25" x14ac:dyDescent="0.2">
      <c r="A456" s="382" t="s">
        <v>389</v>
      </c>
      <c r="B456" s="438">
        <f>SUM(B454:B455)</f>
        <v>8.7329999999537264</v>
      </c>
      <c r="C456" s="438">
        <f t="shared" ref="C456" si="1213">SUM(C454:C455)</f>
        <v>9.7039999999633562</v>
      </c>
      <c r="D456" s="438">
        <f t="shared" ref="D456" si="1214">SUM(D454:D455)</f>
        <v>0.92899999999919625</v>
      </c>
      <c r="E456" s="438">
        <f t="shared" si="1208"/>
        <v>19.36599999991628</v>
      </c>
      <c r="F456" s="438"/>
      <c r="G456" s="438">
        <f>SUM(G454:G455)</f>
        <v>8.3699999999197381</v>
      </c>
      <c r="H456" s="438">
        <f t="shared" ref="H456" si="1215">SUM(H454:H455)</f>
        <v>15.419999999868896</v>
      </c>
      <c r="I456" s="438">
        <f t="shared" ref="I456" si="1216">SUM(I454:I455)</f>
        <v>4.1269999999945615</v>
      </c>
      <c r="J456" s="438">
        <f t="shared" si="1209"/>
        <v>27.916999999783194</v>
      </c>
      <c r="K456" s="438"/>
      <c r="L456" s="438">
        <f>SUM(L454:L455)</f>
        <v>7.9580000000235476</v>
      </c>
      <c r="M456" s="438">
        <f t="shared" ref="M456" si="1217">SUM(M454:M455)</f>
        <v>9.5790000000439104</v>
      </c>
      <c r="N456" s="438">
        <f t="shared" ref="N456" si="1218">SUM(N454:N455)</f>
        <v>2.7650000000039174</v>
      </c>
      <c r="O456" s="438">
        <f t="shared" si="1210"/>
        <v>20.302000000071374</v>
      </c>
      <c r="P456" s="438"/>
      <c r="Q456" s="438">
        <f>SUM(Q454:Q455)</f>
        <v>8.2659999999855067</v>
      </c>
      <c r="R456" s="438">
        <f t="shared" ref="R456" si="1219">SUM(R454:R455)</f>
        <v>10.010000000014363</v>
      </c>
      <c r="S456" s="438">
        <f t="shared" ref="S456" si="1220">SUM(S454:S455)</f>
        <v>2.7670000000162926</v>
      </c>
      <c r="T456" s="438">
        <f t="shared" si="1211"/>
        <v>21.043000000016161</v>
      </c>
      <c r="U456" s="438"/>
      <c r="V456" s="438">
        <f>SUM(V454:V455)</f>
        <v>8.5079999999842251</v>
      </c>
      <c r="W456" s="438">
        <f t="shared" ref="W456" si="1221">SUM(W454:W455)</f>
        <v>10.212000000006405</v>
      </c>
      <c r="X456" s="438">
        <f t="shared" ref="X456" si="1222">SUM(X454:X455)</f>
        <v>2.6930000000158882</v>
      </c>
      <c r="Y456" s="438">
        <f t="shared" si="1212"/>
        <v>21.413000000006519</v>
      </c>
    </row>
    <row r="457" spans="1:25" x14ac:dyDescent="0.2">
      <c r="B457" s="380"/>
      <c r="C457" s="460"/>
      <c r="D457" s="460"/>
      <c r="E457" s="460"/>
      <c r="F457" s="460"/>
      <c r="G457" s="460"/>
      <c r="H457" s="460"/>
      <c r="I457" s="460"/>
      <c r="J457" s="460"/>
      <c r="K457" s="460"/>
      <c r="L457" s="460"/>
      <c r="M457" s="460"/>
      <c r="N457" s="460"/>
      <c r="O457" s="460"/>
      <c r="P457" s="460"/>
      <c r="Q457" s="460"/>
      <c r="R457" s="460"/>
      <c r="S457" s="460"/>
      <c r="T457" s="460"/>
      <c r="U457" s="460"/>
      <c r="V457" s="460"/>
      <c r="W457" s="460"/>
      <c r="X457" s="460"/>
      <c r="Y457" s="460"/>
    </row>
    <row r="458" spans="1:25" x14ac:dyDescent="0.2">
      <c r="A458" s="378" t="str">
        <f>name!A66</f>
        <v>Office administrative</v>
      </c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</row>
    <row r="459" spans="1:25" x14ac:dyDescent="0.2">
      <c r="A459" s="382" t="s">
        <v>391</v>
      </c>
      <c r="B459" s="437">
        <v>2.5279999999610974</v>
      </c>
      <c r="C459" s="437">
        <v>2.0119999999893623</v>
      </c>
      <c r="D459" s="437">
        <v>0.246000000000173</v>
      </c>
      <c r="E459" s="437">
        <f>SUM(B459:D459)</f>
        <v>4.7859999999506329</v>
      </c>
      <c r="F459" s="437"/>
      <c r="G459" s="437">
        <v>2.0129999999765271</v>
      </c>
      <c r="H459" s="437">
        <v>1.6489999999847595</v>
      </c>
      <c r="I459" s="437">
        <v>0.48500000000327631</v>
      </c>
      <c r="J459" s="437">
        <f>SUM(G459:I459)</f>
        <v>4.1469999999645628</v>
      </c>
      <c r="K459" s="437"/>
      <c r="L459" s="437">
        <v>3.9570000000193786</v>
      </c>
      <c r="M459" s="437">
        <v>1.1280000000079058</v>
      </c>
      <c r="N459" s="437">
        <v>0.90100000002925507</v>
      </c>
      <c r="O459" s="437">
        <f>SUM(L459:N459)</f>
        <v>5.9860000000565385</v>
      </c>
      <c r="P459" s="437"/>
      <c r="Q459" s="437">
        <v>4.0180000000130498</v>
      </c>
      <c r="R459" s="437">
        <v>1.1770000000046419</v>
      </c>
      <c r="S459" s="437">
        <v>0.93100000002849126</v>
      </c>
      <c r="T459" s="437">
        <f>SUM(Q459:S459)</f>
        <v>6.1260000000461829</v>
      </c>
      <c r="U459" s="437"/>
      <c r="V459" s="437">
        <v>4.0470000000129129</v>
      </c>
      <c r="W459" s="437">
        <v>1.1970000000012968</v>
      </c>
      <c r="X459" s="437">
        <v>0.9310000000216726</v>
      </c>
      <c r="Y459" s="437">
        <f>SUM(V459:X459)</f>
        <v>6.1750000000358822</v>
      </c>
    </row>
    <row r="460" spans="1:25" x14ac:dyDescent="0.2">
      <c r="A460" s="382" t="s">
        <v>390</v>
      </c>
      <c r="B460" s="438">
        <v>6.8040000000101353</v>
      </c>
      <c r="C460" s="438">
        <v>1.4660000000025717</v>
      </c>
      <c r="D460" s="438">
        <v>0.44499999999713474</v>
      </c>
      <c r="E460" s="438">
        <f t="shared" ref="E460:E461" si="1223">SUM(B460:D460)</f>
        <v>8.7150000000098427</v>
      </c>
      <c r="F460" s="438"/>
      <c r="G460" s="438">
        <v>6.1529999999339378</v>
      </c>
      <c r="H460" s="438">
        <v>1.4799999999813986</v>
      </c>
      <c r="I460" s="438">
        <v>2.0559999999939436</v>
      </c>
      <c r="J460" s="438">
        <f t="shared" ref="J460:J461" si="1224">SUM(G460:I460)</f>
        <v>9.6889999999092797</v>
      </c>
      <c r="K460" s="438"/>
      <c r="L460" s="438">
        <v>9.8310000000250515</v>
      </c>
      <c r="M460" s="438">
        <v>1.1910000000022298</v>
      </c>
      <c r="N460" s="438">
        <v>1.6629999999741971</v>
      </c>
      <c r="O460" s="438">
        <f t="shared" ref="O460:O461" si="1225">SUM(L460:N460)</f>
        <v>12.685000000001478</v>
      </c>
      <c r="P460" s="438"/>
      <c r="Q460" s="438">
        <v>10.444999999922306</v>
      </c>
      <c r="R460" s="438">
        <v>1.2529999999894172</v>
      </c>
      <c r="S460" s="438">
        <v>1.6289999999834859</v>
      </c>
      <c r="T460" s="438">
        <f t="shared" ref="T460:T461" si="1226">SUM(Q460:S460)</f>
        <v>13.326999999895209</v>
      </c>
      <c r="U460" s="438"/>
      <c r="V460" s="438">
        <v>10.97199999991393</v>
      </c>
      <c r="W460" s="438">
        <v>1.2909999999867789</v>
      </c>
      <c r="X460" s="438">
        <v>1.5559999999921219</v>
      </c>
      <c r="Y460" s="438">
        <f t="shared" ref="Y460:Y461" si="1227">SUM(V460:X460)</f>
        <v>13.818999999892831</v>
      </c>
    </row>
    <row r="461" spans="1:25" x14ac:dyDescent="0.2">
      <c r="A461" s="382" t="s">
        <v>389</v>
      </c>
      <c r="B461" s="438">
        <f>SUM(B459:B460)</f>
        <v>9.3319999999712326</v>
      </c>
      <c r="C461" s="438">
        <f t="shared" ref="C461" si="1228">SUM(C459:C460)</f>
        <v>3.4779999999919342</v>
      </c>
      <c r="D461" s="438">
        <f t="shared" ref="D461" si="1229">SUM(D459:D460)</f>
        <v>0.69099999999730777</v>
      </c>
      <c r="E461" s="438">
        <f t="shared" si="1223"/>
        <v>13.500999999960476</v>
      </c>
      <c r="F461" s="438"/>
      <c r="G461" s="438">
        <f>SUM(G459:G460)</f>
        <v>8.1659999999104649</v>
      </c>
      <c r="H461" s="438">
        <f t="shared" ref="H461" si="1230">SUM(H459:H460)</f>
        <v>3.1289999999661582</v>
      </c>
      <c r="I461" s="438">
        <f t="shared" ref="I461" si="1231">SUM(I459:I460)</f>
        <v>2.5409999999972199</v>
      </c>
      <c r="J461" s="438">
        <f t="shared" si="1224"/>
        <v>13.835999999873843</v>
      </c>
      <c r="K461" s="438"/>
      <c r="L461" s="438">
        <f>SUM(L459:L460)</f>
        <v>13.78800000004443</v>
      </c>
      <c r="M461" s="438">
        <f t="shared" ref="M461" si="1232">SUM(M459:M460)</f>
        <v>2.3190000000101358</v>
      </c>
      <c r="N461" s="438">
        <f t="shared" ref="N461" si="1233">SUM(N459:N460)</f>
        <v>2.5640000000034524</v>
      </c>
      <c r="O461" s="438">
        <f t="shared" si="1225"/>
        <v>18.671000000058019</v>
      </c>
      <c r="P461" s="438"/>
      <c r="Q461" s="438">
        <f>SUM(Q459:Q460)</f>
        <v>14.462999999935356</v>
      </c>
      <c r="R461" s="438">
        <f t="shared" ref="R461" si="1234">SUM(R459:R460)</f>
        <v>2.4299999999940591</v>
      </c>
      <c r="S461" s="438">
        <f t="shared" ref="S461" si="1235">SUM(S459:S460)</f>
        <v>2.5600000000119771</v>
      </c>
      <c r="T461" s="438">
        <f t="shared" si="1226"/>
        <v>19.452999999941394</v>
      </c>
      <c r="U461" s="438"/>
      <c r="V461" s="438">
        <f>SUM(V459:V460)</f>
        <v>15.018999999926843</v>
      </c>
      <c r="W461" s="438">
        <f t="shared" ref="W461" si="1236">SUM(W459:W460)</f>
        <v>2.4879999999880757</v>
      </c>
      <c r="X461" s="438">
        <f t="shared" ref="X461" si="1237">SUM(X459:X460)</f>
        <v>2.4870000000137944</v>
      </c>
      <c r="Y461" s="438">
        <f t="shared" si="1227"/>
        <v>19.993999999928711</v>
      </c>
    </row>
    <row r="462" spans="1:25" x14ac:dyDescent="0.2">
      <c r="B462" s="380"/>
      <c r="C462" s="460"/>
      <c r="D462" s="460"/>
      <c r="E462" s="460"/>
      <c r="F462" s="460"/>
      <c r="G462" s="460"/>
      <c r="H462" s="460"/>
      <c r="I462" s="460"/>
      <c r="J462" s="460"/>
      <c r="K462" s="460"/>
      <c r="L462" s="460"/>
      <c r="M462" s="460"/>
      <c r="N462" s="460"/>
      <c r="O462" s="460"/>
      <c r="P462" s="460"/>
      <c r="Q462" s="460"/>
      <c r="R462" s="460"/>
      <c r="S462" s="460"/>
      <c r="T462" s="460"/>
      <c r="U462" s="460"/>
      <c r="V462" s="460"/>
      <c r="W462" s="460"/>
      <c r="X462" s="460"/>
      <c r="Y462" s="460"/>
    </row>
    <row r="463" spans="1:25" x14ac:dyDescent="0.2">
      <c r="A463" s="383" t="s">
        <v>395</v>
      </c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</row>
    <row r="464" spans="1:25" x14ac:dyDescent="0.2">
      <c r="A464" s="377" t="s">
        <v>391</v>
      </c>
      <c r="B464" s="437">
        <f>SUM(B434,B439,B444,B449,B454,B459)</f>
        <v>18.756999999742305</v>
      </c>
      <c r="C464" s="437">
        <f t="shared" ref="C464:D465" si="1238">SUM(C434,C439,C444,C449,C454,C459)</f>
        <v>14.854999999937741</v>
      </c>
      <c r="D464" s="437">
        <f t="shared" si="1238"/>
        <v>1.2900000000088598</v>
      </c>
      <c r="E464" s="437">
        <f>SUM(B464:D464)</f>
        <v>34.901999999688904</v>
      </c>
      <c r="F464" s="437"/>
      <c r="G464" s="437">
        <f>SUM(G434,G439,G444,G449,G454,G459)</f>
        <v>13.349999999847325</v>
      </c>
      <c r="H464" s="437">
        <f t="shared" ref="H464:I464" si="1239">SUM(H434,H439,H444,H449,H454,H459)</f>
        <v>19.798999999853855</v>
      </c>
      <c r="I464" s="437">
        <f t="shared" si="1239"/>
        <v>2.622000000023522</v>
      </c>
      <c r="J464" s="437">
        <f>SUM(G464:I464)</f>
        <v>35.770999999724701</v>
      </c>
      <c r="K464" s="437"/>
      <c r="L464" s="437">
        <f>SUM(L434,L439,L444,L449,L454,L459)</f>
        <v>18.996000000071266</v>
      </c>
      <c r="M464" s="437">
        <f t="shared" ref="M464:N464" si="1240">SUM(M434,M439,M444,M449,M454,M459)</f>
        <v>12.16000000008567</v>
      </c>
      <c r="N464" s="437">
        <f t="shared" si="1240"/>
        <v>3.7610000000888237</v>
      </c>
      <c r="O464" s="437">
        <f>SUM(L464:N464)</f>
        <v>34.917000000245757</v>
      </c>
      <c r="P464" s="437"/>
      <c r="Q464" s="437">
        <f>SUM(Q434,Q439,Q444,Q449,Q454,Q459)</f>
        <v>19.285000000037844</v>
      </c>
      <c r="R464" s="437">
        <f t="shared" ref="R464:S464" si="1241">SUM(R434,R439,R444,R449,R454,R459)</f>
        <v>12.689000000058234</v>
      </c>
      <c r="S464" s="437">
        <f t="shared" si="1241"/>
        <v>3.8840000000851793</v>
      </c>
      <c r="T464" s="437">
        <f>SUM(Q464:S464)</f>
        <v>35.858000000181256</v>
      </c>
      <c r="U464" s="437"/>
      <c r="V464" s="437">
        <f>SUM(V434,V439,V444,V449,V454,V459)</f>
        <v>19.42700000004098</v>
      </c>
      <c r="W464" s="437">
        <f t="shared" ref="W464:X464" si="1242">SUM(W434,W439,W444,W449,W454,W459)</f>
        <v>12.911000000043575</v>
      </c>
      <c r="X464" s="437">
        <f t="shared" si="1242"/>
        <v>3.8840000000631152</v>
      </c>
      <c r="Y464" s="437">
        <f>SUM(V464:X464)</f>
        <v>36.222000000147673</v>
      </c>
    </row>
    <row r="465" spans="1:25" x14ac:dyDescent="0.2">
      <c r="A465" s="377" t="s">
        <v>390</v>
      </c>
      <c r="B465" s="437">
        <f>SUM(B435,B440,B445,B450,B455,B460)</f>
        <v>34.446000000044833</v>
      </c>
      <c r="C465" s="437">
        <f t="shared" si="1238"/>
        <v>7.8550000000116373</v>
      </c>
      <c r="D465" s="437">
        <f t="shared" si="1238"/>
        <v>2.8489999999745859</v>
      </c>
      <c r="E465" s="437">
        <f t="shared" ref="E465:E466" si="1243">SUM(B465:D465)</f>
        <v>45.150000000031056</v>
      </c>
      <c r="F465" s="437"/>
      <c r="G465" s="437">
        <f>SUM(G435,G440,G445,G450,G455,G460)</f>
        <v>27.989999999726116</v>
      </c>
      <c r="H465" s="437">
        <f t="shared" ref="H465:I465" si="1244">SUM(H435,H440,H445,H450,H455,H460)</f>
        <v>11.30199999986946</v>
      </c>
      <c r="I465" s="437">
        <f t="shared" si="1244"/>
        <v>13.39899999997831</v>
      </c>
      <c r="J465" s="437">
        <f t="shared" ref="J465:J466" si="1245">SUM(G465:I465)</f>
        <v>52.690999999573883</v>
      </c>
      <c r="K465" s="437"/>
      <c r="L465" s="437">
        <f>SUM(L435,L440,L445,L450,L455,L460)</f>
        <v>34.882000000066846</v>
      </c>
      <c r="M465" s="437">
        <f t="shared" ref="M465:N465" si="1246">SUM(M435,M440,M445,M450,M455,M460)</f>
        <v>8.5170000000139865</v>
      </c>
      <c r="N465" s="437">
        <f t="shared" si="1246"/>
        <v>8.4859999998743856</v>
      </c>
      <c r="O465" s="437">
        <f t="shared" ref="O465:O466" si="1247">SUM(L465:N465)</f>
        <v>51.88499999995522</v>
      </c>
      <c r="P465" s="437"/>
      <c r="Q465" s="437">
        <f>SUM(Q435,Q440,Q445,Q450,Q455,Q460)</f>
        <v>37.059999999754581</v>
      </c>
      <c r="R465" s="437">
        <f t="shared" ref="R465:S465" si="1248">SUM(R435,R440,R445,R450,R455,R460)</f>
        <v>8.9539999999279747</v>
      </c>
      <c r="S465" s="437">
        <f t="shared" si="1248"/>
        <v>8.3129999999123889</v>
      </c>
      <c r="T465" s="437">
        <f t="shared" ref="T465:T466" si="1249">SUM(Q465:S465)</f>
        <v>54.326999999594946</v>
      </c>
      <c r="U465" s="437"/>
      <c r="V465" s="437">
        <f>SUM(V435,V440,V445,V450,V455,V460)</f>
        <v>38.928999999734799</v>
      </c>
      <c r="W465" s="437">
        <f t="shared" ref="W465:X465" si="1250">SUM(W435,W440,W445,W450,W455,W460)</f>
        <v>9.2259999999089377</v>
      </c>
      <c r="X465" s="437">
        <f t="shared" si="1250"/>
        <v>7.938999999956577</v>
      </c>
      <c r="Y465" s="437">
        <f t="shared" ref="Y465:Y466" si="1251">SUM(V465:X465)</f>
        <v>56.093999999600314</v>
      </c>
    </row>
    <row r="466" spans="1:25" x14ac:dyDescent="0.2">
      <c r="A466" s="381" t="s">
        <v>389</v>
      </c>
      <c r="B466" s="439">
        <f>SUM(B464:B465)</f>
        <v>53.202999999787139</v>
      </c>
      <c r="C466" s="439">
        <f t="shared" ref="C466" si="1252">SUM(C464:C465)</f>
        <v>22.709999999949378</v>
      </c>
      <c r="D466" s="439">
        <f t="shared" ref="D466" si="1253">SUM(D464:D465)</f>
        <v>4.1389999999834455</v>
      </c>
      <c r="E466" s="439">
        <f t="shared" si="1243"/>
        <v>80.051999999719953</v>
      </c>
      <c r="F466" s="439"/>
      <c r="G466" s="439">
        <f>SUM(G464:G465)</f>
        <v>41.339999999573443</v>
      </c>
      <c r="H466" s="439">
        <f t="shared" ref="H466" si="1254">SUM(H464:H465)</f>
        <v>31.100999999723314</v>
      </c>
      <c r="I466" s="439">
        <f t="shared" ref="I466" si="1255">SUM(I464:I465)</f>
        <v>16.02100000000183</v>
      </c>
      <c r="J466" s="439">
        <f t="shared" si="1245"/>
        <v>88.461999999298598</v>
      </c>
      <c r="K466" s="439"/>
      <c r="L466" s="439">
        <f>SUM(L464:L465)</f>
        <v>53.878000000138115</v>
      </c>
      <c r="M466" s="439">
        <f t="shared" ref="M466" si="1256">SUM(M464:M465)</f>
        <v>20.677000000099657</v>
      </c>
      <c r="N466" s="439">
        <f t="shared" ref="N466" si="1257">SUM(N464:N465)</f>
        <v>12.24699999996321</v>
      </c>
      <c r="O466" s="439">
        <f t="shared" si="1247"/>
        <v>86.802000000200977</v>
      </c>
      <c r="P466" s="439"/>
      <c r="Q466" s="439">
        <f>SUM(Q464:Q465)</f>
        <v>56.344999999792421</v>
      </c>
      <c r="R466" s="439">
        <f t="shared" ref="R466" si="1258">SUM(R464:R465)</f>
        <v>21.642999999986209</v>
      </c>
      <c r="S466" s="439">
        <f t="shared" ref="S466" si="1259">SUM(S464:S465)</f>
        <v>12.196999999997569</v>
      </c>
      <c r="T466" s="439">
        <f t="shared" si="1249"/>
        <v>90.184999999776196</v>
      </c>
      <c r="U466" s="439"/>
      <c r="V466" s="439">
        <f>SUM(V464:V465)</f>
        <v>58.355999999775776</v>
      </c>
      <c r="W466" s="439">
        <f t="shared" ref="W466" si="1260">SUM(W464:W465)</f>
        <v>22.136999999952515</v>
      </c>
      <c r="X466" s="439">
        <f t="shared" ref="X466" si="1261">SUM(X464:X465)</f>
        <v>11.823000000019693</v>
      </c>
      <c r="Y466" s="439">
        <f t="shared" si="1251"/>
        <v>92.315999999747973</v>
      </c>
    </row>
    <row r="467" spans="1:25" x14ac:dyDescent="0.2">
      <c r="C467" s="453"/>
    </row>
    <row r="468" spans="1:25" x14ac:dyDescent="0.2">
      <c r="A468" s="383"/>
    </row>
    <row r="469" spans="1:25" x14ac:dyDescent="0.2">
      <c r="C469" s="453"/>
    </row>
    <row r="470" spans="1:25" ht="15" x14ac:dyDescent="0.25">
      <c r="A470" s="385" t="str">
        <f>"Industry 18 : "&amp; name!B21</f>
        <v>Industry 18 : Public admin. and defence</v>
      </c>
      <c r="B470" s="516">
        <f>$B$5</f>
        <v>2007</v>
      </c>
      <c r="C470" s="516"/>
      <c r="D470" s="516"/>
      <c r="E470" s="516"/>
      <c r="F470" s="461"/>
      <c r="G470" s="516">
        <f>$G$5</f>
        <v>2012</v>
      </c>
      <c r="H470" s="516"/>
      <c r="I470" s="516"/>
      <c r="J470" s="516"/>
      <c r="K470" s="461"/>
      <c r="L470" s="516">
        <f>$L$5</f>
        <v>2017</v>
      </c>
      <c r="M470" s="516"/>
      <c r="N470" s="516"/>
      <c r="O470" s="516"/>
      <c r="P470" s="459"/>
      <c r="Q470" s="516">
        <f>$Q$5</f>
        <v>2022</v>
      </c>
      <c r="R470" s="516"/>
      <c r="S470" s="516"/>
      <c r="T470" s="516"/>
      <c r="U470" s="461"/>
      <c r="V470" s="516">
        <f>$V$5</f>
        <v>2027</v>
      </c>
      <c r="W470" s="516"/>
      <c r="X470" s="516"/>
      <c r="Y470" s="516"/>
    </row>
    <row r="471" spans="1:25" x14ac:dyDescent="0.2">
      <c r="A471" s="381"/>
      <c r="B471" s="388" t="str">
        <f>$B$6</f>
        <v>FT</v>
      </c>
      <c r="C471" s="388" t="str">
        <f>$C$6</f>
        <v>PT</v>
      </c>
      <c r="D471" s="388" t="str">
        <f>$D$6</f>
        <v>SE</v>
      </c>
      <c r="E471" s="388" t="str">
        <f>$E$6</f>
        <v>Total</v>
      </c>
      <c r="F471" s="388"/>
      <c r="G471" s="388" t="str">
        <f>$B$6</f>
        <v>FT</v>
      </c>
      <c r="H471" s="388" t="str">
        <f>$C$6</f>
        <v>PT</v>
      </c>
      <c r="I471" s="388" t="str">
        <f>$D$6</f>
        <v>SE</v>
      </c>
      <c r="J471" s="388" t="str">
        <f>$E$6</f>
        <v>Total</v>
      </c>
      <c r="K471" s="388"/>
      <c r="L471" s="388" t="str">
        <f>$L$6</f>
        <v>FT</v>
      </c>
      <c r="M471" s="388" t="str">
        <f>$M$6</f>
        <v>PT</v>
      </c>
      <c r="N471" s="388" t="str">
        <f>$N$6</f>
        <v>SE</v>
      </c>
      <c r="O471" s="388" t="str">
        <f>$O$6</f>
        <v>Total</v>
      </c>
      <c r="P471" s="388"/>
      <c r="Q471" s="388" t="str">
        <f>$L$6</f>
        <v>FT</v>
      </c>
      <c r="R471" s="388" t="str">
        <f>$M$6</f>
        <v>PT</v>
      </c>
      <c r="S471" s="388" t="str">
        <f>$N$6</f>
        <v>SE</v>
      </c>
      <c r="T471" s="388" t="str">
        <f>$O$6</f>
        <v>Total</v>
      </c>
      <c r="U471" s="388"/>
      <c r="V471" s="388" t="str">
        <f>$V$6</f>
        <v>FT</v>
      </c>
      <c r="W471" s="388" t="str">
        <f>$W$6</f>
        <v>PT</v>
      </c>
      <c r="X471" s="388" t="str">
        <f>$X$6</f>
        <v>SE</v>
      </c>
      <c r="Y471" s="388" t="str">
        <f>$Y$6</f>
        <v>Total</v>
      </c>
    </row>
    <row r="472" spans="1:25" x14ac:dyDescent="0.2">
      <c r="A472" s="384"/>
      <c r="B472" s="380"/>
      <c r="C472" s="460"/>
      <c r="D472" s="460"/>
      <c r="E472" s="460"/>
      <c r="F472" s="460"/>
      <c r="G472" s="460"/>
      <c r="H472" s="460"/>
      <c r="I472" s="460"/>
      <c r="J472" s="460"/>
      <c r="K472" s="460"/>
      <c r="L472" s="460"/>
      <c r="M472" s="460"/>
      <c r="N472" s="460"/>
      <c r="O472" s="460"/>
      <c r="P472" s="460"/>
      <c r="Q472" s="460"/>
      <c r="R472" s="460"/>
      <c r="S472" s="460"/>
      <c r="T472" s="460"/>
      <c r="U472" s="460"/>
      <c r="V472" s="460"/>
      <c r="W472" s="460"/>
      <c r="X472" s="460"/>
      <c r="Y472" s="460"/>
    </row>
    <row r="473" spans="1:25" x14ac:dyDescent="0.2">
      <c r="A473" s="378" t="str">
        <f>name!A67</f>
        <v>Public administration and defence</v>
      </c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</row>
    <row r="474" spans="1:25" x14ac:dyDescent="0.2">
      <c r="A474" s="382" t="s">
        <v>391</v>
      </c>
      <c r="B474" s="437">
        <v>34.638000000486926</v>
      </c>
      <c r="C474" s="437">
        <v>16.395999999880161</v>
      </c>
      <c r="D474" s="437">
        <v>0.896000000018919</v>
      </c>
      <c r="E474" s="437">
        <f>SUM(B474:D474)</f>
        <v>51.930000000386002</v>
      </c>
      <c r="F474" s="437"/>
      <c r="G474" s="437">
        <v>25.711000000207545</v>
      </c>
      <c r="H474" s="437">
        <v>23.680999999851199</v>
      </c>
      <c r="I474" s="437">
        <v>1.0000000000206257E-3</v>
      </c>
      <c r="J474" s="437">
        <f>SUM(G474:I474)</f>
        <v>49.393000000058763</v>
      </c>
      <c r="K474" s="437"/>
      <c r="L474" s="437">
        <v>24.583999999816982</v>
      </c>
      <c r="M474" s="437">
        <v>24.101999999681038</v>
      </c>
      <c r="N474" s="437">
        <v>0</v>
      </c>
      <c r="O474" s="437">
        <f>SUM(L474:N474)</f>
        <v>48.685999999498023</v>
      </c>
      <c r="P474" s="437"/>
      <c r="Q474" s="437">
        <v>24.111999999898281</v>
      </c>
      <c r="R474" s="437">
        <v>25.404999999787133</v>
      </c>
      <c r="S474" s="437">
        <v>0</v>
      </c>
      <c r="T474" s="437">
        <f>SUM(Q474:S474)</f>
        <v>49.51699999968541</v>
      </c>
      <c r="U474" s="437"/>
      <c r="V474" s="437">
        <v>23.884999999945205</v>
      </c>
      <c r="W474" s="437">
        <v>26.743999999789615</v>
      </c>
      <c r="X474" s="437">
        <v>0</v>
      </c>
      <c r="Y474" s="437">
        <f>SUM(V474:X474)</f>
        <v>50.628999999734816</v>
      </c>
    </row>
    <row r="475" spans="1:25" x14ac:dyDescent="0.2">
      <c r="A475" s="382" t="s">
        <v>390</v>
      </c>
      <c r="B475" s="438">
        <v>38.273999999877034</v>
      </c>
      <c r="C475" s="438">
        <v>4.5530000000261506</v>
      </c>
      <c r="D475" s="438">
        <v>0.94199999996353467</v>
      </c>
      <c r="E475" s="438">
        <f t="shared" ref="E475:E476" si="1262">SUM(B475:D475)</f>
        <v>43.768999999866722</v>
      </c>
      <c r="F475" s="438"/>
      <c r="G475" s="438">
        <v>28.871000000361946</v>
      </c>
      <c r="H475" s="438">
        <v>5.10500000010087</v>
      </c>
      <c r="I475" s="438">
        <v>1.110000000024056</v>
      </c>
      <c r="J475" s="438">
        <f t="shared" ref="J475:J476" si="1263">SUM(G475:I475)</f>
        <v>35.086000000486877</v>
      </c>
      <c r="K475" s="438"/>
      <c r="L475" s="438">
        <v>28.34099999989396</v>
      </c>
      <c r="M475" s="438">
        <v>5.158999999996114</v>
      </c>
      <c r="N475" s="438">
        <v>1.38399999996298</v>
      </c>
      <c r="O475" s="438">
        <f t="shared" ref="O475:O476" si="1264">SUM(L475:N475)</f>
        <v>34.883999999853053</v>
      </c>
      <c r="P475" s="438"/>
      <c r="Q475" s="438">
        <v>26.307000000277373</v>
      </c>
      <c r="R475" s="438">
        <v>5.4950000000719488</v>
      </c>
      <c r="S475" s="438">
        <v>1.4289999999880463</v>
      </c>
      <c r="T475" s="438">
        <f t="shared" ref="T475:T476" si="1265">SUM(Q475:S475)</f>
        <v>33.231000000337367</v>
      </c>
      <c r="U475" s="438"/>
      <c r="V475" s="438">
        <v>24.718000000338215</v>
      </c>
      <c r="W475" s="438">
        <v>5.8350000000838831</v>
      </c>
      <c r="X475" s="438">
        <v>1.4839999999956344</v>
      </c>
      <c r="Y475" s="438">
        <f t="shared" ref="Y475:Y476" si="1266">SUM(V475:X475)</f>
        <v>32.037000000417734</v>
      </c>
    </row>
    <row r="476" spans="1:25" x14ac:dyDescent="0.2">
      <c r="A476" s="381" t="s">
        <v>389</v>
      </c>
      <c r="B476" s="439">
        <f>SUM(B474:B475)</f>
        <v>72.91200000036396</v>
      </c>
      <c r="C476" s="439">
        <f t="shared" ref="C476" si="1267">SUM(C474:C475)</f>
        <v>20.948999999906313</v>
      </c>
      <c r="D476" s="439">
        <f t="shared" ref="D476" si="1268">SUM(D474:D475)</f>
        <v>1.8379999999824537</v>
      </c>
      <c r="E476" s="439">
        <f t="shared" si="1262"/>
        <v>95.699000000252738</v>
      </c>
      <c r="F476" s="439"/>
      <c r="G476" s="439">
        <f>SUM(G474:G475)</f>
        <v>54.582000000569494</v>
      </c>
      <c r="H476" s="439">
        <f t="shared" ref="H476" si="1269">SUM(H474:H475)</f>
        <v>28.785999999952068</v>
      </c>
      <c r="I476" s="439">
        <f t="shared" ref="I476" si="1270">SUM(I474:I475)</f>
        <v>1.1110000000240765</v>
      </c>
      <c r="J476" s="439">
        <f t="shared" si="1263"/>
        <v>84.479000000545639</v>
      </c>
      <c r="K476" s="439"/>
      <c r="L476" s="439">
        <f>SUM(L474:L475)</f>
        <v>52.924999999710941</v>
      </c>
      <c r="M476" s="439">
        <f t="shared" ref="M476" si="1271">SUM(M474:M475)</f>
        <v>29.260999999677153</v>
      </c>
      <c r="N476" s="439">
        <f t="shared" ref="N476" si="1272">SUM(N474:N475)</f>
        <v>1.38399999996298</v>
      </c>
      <c r="O476" s="439">
        <f t="shared" si="1264"/>
        <v>83.569999999351069</v>
      </c>
      <c r="P476" s="439"/>
      <c r="Q476" s="439">
        <f>SUM(Q474:Q475)</f>
        <v>50.419000000175657</v>
      </c>
      <c r="R476" s="439">
        <f t="shared" ref="R476" si="1273">SUM(R474:R475)</f>
        <v>30.899999999859084</v>
      </c>
      <c r="S476" s="439">
        <f t="shared" ref="S476" si="1274">SUM(S474:S475)</f>
        <v>1.4289999999880463</v>
      </c>
      <c r="T476" s="439">
        <f t="shared" si="1265"/>
        <v>82.748000000022799</v>
      </c>
      <c r="U476" s="439"/>
      <c r="V476" s="439">
        <f>SUM(V474:V475)</f>
        <v>48.603000000283416</v>
      </c>
      <c r="W476" s="439">
        <f t="shared" ref="W476" si="1275">SUM(W474:W475)</f>
        <v>32.578999999873496</v>
      </c>
      <c r="X476" s="439">
        <f t="shared" ref="X476" si="1276">SUM(X474:X475)</f>
        <v>1.4839999999956344</v>
      </c>
      <c r="Y476" s="439">
        <f t="shared" si="1266"/>
        <v>82.666000000152536</v>
      </c>
    </row>
    <row r="480" spans="1:25" ht="15" x14ac:dyDescent="0.25">
      <c r="A480" s="385" t="str">
        <f>"Industry 19 : "&amp; name!B22</f>
        <v>Industry 19 : Education</v>
      </c>
      <c r="B480" s="516">
        <f>$B$5</f>
        <v>2007</v>
      </c>
      <c r="C480" s="516"/>
      <c r="D480" s="516"/>
      <c r="E480" s="516"/>
      <c r="F480" s="461"/>
      <c r="G480" s="516">
        <f>$G$5</f>
        <v>2012</v>
      </c>
      <c r="H480" s="516"/>
      <c r="I480" s="516"/>
      <c r="J480" s="516"/>
      <c r="K480" s="461"/>
      <c r="L480" s="516">
        <f>$L$5</f>
        <v>2017</v>
      </c>
      <c r="M480" s="516"/>
      <c r="N480" s="516"/>
      <c r="O480" s="516"/>
      <c r="P480" s="459"/>
      <c r="Q480" s="516">
        <f>$Q$5</f>
        <v>2022</v>
      </c>
      <c r="R480" s="516"/>
      <c r="S480" s="516"/>
      <c r="T480" s="516"/>
      <c r="U480" s="461"/>
      <c r="V480" s="516">
        <f>$V$5</f>
        <v>2027</v>
      </c>
      <c r="W480" s="516"/>
      <c r="X480" s="516"/>
      <c r="Y480" s="516"/>
    </row>
    <row r="481" spans="1:25" x14ac:dyDescent="0.2">
      <c r="A481" s="381"/>
      <c r="B481" s="388" t="str">
        <f>$B$6</f>
        <v>FT</v>
      </c>
      <c r="C481" s="388" t="str">
        <f>$C$6</f>
        <v>PT</v>
      </c>
      <c r="D481" s="388" t="str">
        <f>$D$6</f>
        <v>SE</v>
      </c>
      <c r="E481" s="388" t="str">
        <f>$E$6</f>
        <v>Total</v>
      </c>
      <c r="F481" s="388"/>
      <c r="G481" s="388" t="str">
        <f>$B$6</f>
        <v>FT</v>
      </c>
      <c r="H481" s="388" t="str">
        <f>$C$6</f>
        <v>PT</v>
      </c>
      <c r="I481" s="388" t="str">
        <f>$D$6</f>
        <v>SE</v>
      </c>
      <c r="J481" s="388" t="str">
        <f>$E$6</f>
        <v>Total</v>
      </c>
      <c r="K481" s="388"/>
      <c r="L481" s="388" t="str">
        <f>$L$6</f>
        <v>FT</v>
      </c>
      <c r="M481" s="388" t="str">
        <f>$M$6</f>
        <v>PT</v>
      </c>
      <c r="N481" s="388" t="str">
        <f>$N$6</f>
        <v>SE</v>
      </c>
      <c r="O481" s="388" t="str">
        <f>$O$6</f>
        <v>Total</v>
      </c>
      <c r="P481" s="388"/>
      <c r="Q481" s="388" t="str">
        <f>$L$6</f>
        <v>FT</v>
      </c>
      <c r="R481" s="388" t="str">
        <f>$M$6</f>
        <v>PT</v>
      </c>
      <c r="S481" s="388" t="str">
        <f>$N$6</f>
        <v>SE</v>
      </c>
      <c r="T481" s="388" t="str">
        <f>$O$6</f>
        <v>Total</v>
      </c>
      <c r="U481" s="388"/>
      <c r="V481" s="388" t="str">
        <f>$V$6</f>
        <v>FT</v>
      </c>
      <c r="W481" s="388" t="str">
        <f>$W$6</f>
        <v>PT</v>
      </c>
      <c r="X481" s="388" t="str">
        <f>$X$6</f>
        <v>SE</v>
      </c>
      <c r="Y481" s="388" t="str">
        <f>$Y$6</f>
        <v>Total</v>
      </c>
    </row>
    <row r="482" spans="1:25" x14ac:dyDescent="0.2">
      <c r="B482" s="380"/>
      <c r="C482" s="460"/>
      <c r="D482" s="460"/>
      <c r="E482" s="460"/>
      <c r="F482" s="460"/>
      <c r="G482" s="460"/>
      <c r="H482" s="460"/>
      <c r="I482" s="460"/>
      <c r="J482" s="460"/>
      <c r="K482" s="460"/>
      <c r="L482" s="460"/>
      <c r="M482" s="460"/>
      <c r="N482" s="460"/>
      <c r="O482" s="460"/>
      <c r="P482" s="460"/>
      <c r="Q482" s="460"/>
      <c r="R482" s="460"/>
      <c r="S482" s="460"/>
      <c r="T482" s="460"/>
      <c r="U482" s="460"/>
      <c r="V482" s="460"/>
      <c r="W482" s="460"/>
      <c r="X482" s="460"/>
      <c r="Y482" s="460"/>
    </row>
    <row r="483" spans="1:25" x14ac:dyDescent="0.2">
      <c r="A483" s="378" t="str">
        <f>name!A68</f>
        <v xml:space="preserve">Education </v>
      </c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</row>
    <row r="484" spans="1:25" x14ac:dyDescent="0.2">
      <c r="A484" s="382" t="s">
        <v>391</v>
      </c>
      <c r="B484" s="437">
        <v>40.433000003693941</v>
      </c>
      <c r="C484" s="437">
        <v>45.210999999358918</v>
      </c>
      <c r="D484" s="437">
        <v>2.3730000000502507</v>
      </c>
      <c r="E484" s="437">
        <f>SUM(B484:D484)</f>
        <v>88.017000003103121</v>
      </c>
      <c r="F484" s="437"/>
      <c r="G484" s="437">
        <v>40.121000003042099</v>
      </c>
      <c r="H484" s="437">
        <v>49.421999998968502</v>
      </c>
      <c r="I484" s="437">
        <v>6.0190000001384343</v>
      </c>
      <c r="J484" s="437">
        <f>SUM(G484:I484)</f>
        <v>95.562000002149034</v>
      </c>
      <c r="K484" s="437"/>
      <c r="L484" s="437">
        <v>38.960000000453633</v>
      </c>
      <c r="M484" s="437">
        <v>46.535999996931594</v>
      </c>
      <c r="N484" s="437">
        <v>7.7159999998395703</v>
      </c>
      <c r="O484" s="437">
        <f>SUM(L484:N484)</f>
        <v>93.211999997224794</v>
      </c>
      <c r="P484" s="437"/>
      <c r="Q484" s="437">
        <v>37.456000001242693</v>
      </c>
      <c r="R484" s="437">
        <v>46.894999997480028</v>
      </c>
      <c r="S484" s="437">
        <v>6.8039999998839953</v>
      </c>
      <c r="T484" s="437">
        <f>SUM(Q484:S484)</f>
        <v>91.154999998606726</v>
      </c>
      <c r="U484" s="437"/>
      <c r="V484" s="437">
        <v>37.636000000895407</v>
      </c>
      <c r="W484" s="437">
        <v>49.016999997332782</v>
      </c>
      <c r="X484" s="437">
        <v>6.3109999999376045</v>
      </c>
      <c r="Y484" s="437">
        <f>SUM(V484:X484)</f>
        <v>92.963999998165789</v>
      </c>
    </row>
    <row r="485" spans="1:25" x14ac:dyDescent="0.2">
      <c r="A485" s="382" t="s">
        <v>390</v>
      </c>
      <c r="B485" s="438">
        <v>20.608000000460489</v>
      </c>
      <c r="C485" s="438">
        <v>10.228000000334855</v>
      </c>
      <c r="D485" s="438">
        <v>2.6009999999678284</v>
      </c>
      <c r="E485" s="438">
        <f t="shared" ref="E485" si="1277">SUM(B485:D485)</f>
        <v>33.43700000076317</v>
      </c>
      <c r="F485" s="438"/>
      <c r="G485" s="438">
        <v>28.614000002738056</v>
      </c>
      <c r="H485" s="438">
        <v>11.587000001069159</v>
      </c>
      <c r="I485" s="438">
        <v>4.2470000001982147</v>
      </c>
      <c r="J485" s="438">
        <f t="shared" ref="J485:J486" si="1278">SUM(G485:I485)</f>
        <v>44.448000004005429</v>
      </c>
      <c r="K485" s="438"/>
      <c r="L485" s="438">
        <v>32.146000001081418</v>
      </c>
      <c r="M485" s="438">
        <v>11.126000000255027</v>
      </c>
      <c r="N485" s="438">
        <v>2.9590000000819328</v>
      </c>
      <c r="O485" s="438">
        <f t="shared" ref="O485:O486" si="1279">SUM(L485:N485)</f>
        <v>46.23100000141838</v>
      </c>
      <c r="P485" s="438"/>
      <c r="Q485" s="438">
        <v>29.033000002360463</v>
      </c>
      <c r="R485" s="438">
        <v>11.992000000948048</v>
      </c>
      <c r="S485" s="438">
        <v>2.9989999999697643</v>
      </c>
      <c r="T485" s="438">
        <f t="shared" ref="T485:T486" si="1280">SUM(Q485:S485)</f>
        <v>44.024000003278275</v>
      </c>
      <c r="U485" s="438"/>
      <c r="V485" s="438">
        <v>27.502000002139404</v>
      </c>
      <c r="W485" s="438">
        <v>13.20800000122099</v>
      </c>
      <c r="X485" s="438">
        <v>3.1489999999422889</v>
      </c>
      <c r="Y485" s="438">
        <f t="shared" ref="Y485:Y486" si="1281">SUM(V485:X485)</f>
        <v>43.859000003302683</v>
      </c>
    </row>
    <row r="486" spans="1:25" x14ac:dyDescent="0.2">
      <c r="A486" s="381" t="s">
        <v>389</v>
      </c>
      <c r="B486" s="439">
        <f>SUM(B484:B485)</f>
        <v>61.041000004154427</v>
      </c>
      <c r="C486" s="439">
        <f t="shared" ref="C486" si="1282">SUM(C484:C485)</f>
        <v>55.438999999693777</v>
      </c>
      <c r="D486" s="439">
        <f t="shared" ref="D486" si="1283">SUM(D484:D485)</f>
        <v>4.9740000000180791</v>
      </c>
      <c r="E486" s="439">
        <f>SUM(B486:D486)</f>
        <v>121.45400000386628</v>
      </c>
      <c r="F486" s="439"/>
      <c r="G486" s="439">
        <f>SUM(G484:G485)</f>
        <v>68.735000005780151</v>
      </c>
      <c r="H486" s="439">
        <f t="shared" ref="H486" si="1284">SUM(H484:H485)</f>
        <v>61.009000000037659</v>
      </c>
      <c r="I486" s="439">
        <f t="shared" ref="I486" si="1285">SUM(I484:I485)</f>
        <v>10.26600000033665</v>
      </c>
      <c r="J486" s="439">
        <f t="shared" si="1278"/>
        <v>140.01000000615446</v>
      </c>
      <c r="K486" s="439"/>
      <c r="L486" s="439">
        <f>SUM(L484:L485)</f>
        <v>71.106000001535051</v>
      </c>
      <c r="M486" s="439">
        <f t="shared" ref="M486" si="1286">SUM(M484:M485)</f>
        <v>57.661999997186619</v>
      </c>
      <c r="N486" s="439">
        <f t="shared" ref="N486" si="1287">SUM(N484:N485)</f>
        <v>10.674999999921504</v>
      </c>
      <c r="O486" s="439">
        <f t="shared" si="1279"/>
        <v>139.44299999864319</v>
      </c>
      <c r="P486" s="439"/>
      <c r="Q486" s="439">
        <f>SUM(Q484:Q485)</f>
        <v>66.489000003603152</v>
      </c>
      <c r="R486" s="439">
        <f t="shared" ref="R486" si="1288">SUM(R484:R485)</f>
        <v>58.886999998428074</v>
      </c>
      <c r="S486" s="439">
        <f t="shared" ref="S486" si="1289">SUM(S484:S485)</f>
        <v>9.8029999998537605</v>
      </c>
      <c r="T486" s="439">
        <f t="shared" si="1280"/>
        <v>135.17900000188499</v>
      </c>
      <c r="U486" s="439"/>
      <c r="V486" s="439">
        <f>SUM(V484:V485)</f>
        <v>65.138000003034819</v>
      </c>
      <c r="W486" s="439">
        <f t="shared" ref="W486" si="1290">SUM(W484:W485)</f>
        <v>62.22499999855377</v>
      </c>
      <c r="X486" s="439">
        <f t="shared" ref="X486" si="1291">SUM(X484:X485)</f>
        <v>9.4599999998798943</v>
      </c>
      <c r="Y486" s="439">
        <f t="shared" si="1281"/>
        <v>136.82300000146847</v>
      </c>
    </row>
    <row r="490" spans="1:25" ht="15" x14ac:dyDescent="0.25">
      <c r="A490" s="385" t="str">
        <f>"Industry 20 : "&amp; name!B23</f>
        <v>Industry 20 : Health and social work</v>
      </c>
      <c r="B490" s="516">
        <f>$B$5</f>
        <v>2007</v>
      </c>
      <c r="C490" s="516"/>
      <c r="D490" s="516"/>
      <c r="E490" s="516"/>
      <c r="F490" s="461"/>
      <c r="G490" s="516">
        <f>$G$5</f>
        <v>2012</v>
      </c>
      <c r="H490" s="516"/>
      <c r="I490" s="516"/>
      <c r="J490" s="516"/>
      <c r="K490" s="461"/>
      <c r="L490" s="516">
        <f>$L$5</f>
        <v>2017</v>
      </c>
      <c r="M490" s="516"/>
      <c r="N490" s="516"/>
      <c r="O490" s="516"/>
      <c r="P490" s="459"/>
      <c r="Q490" s="516">
        <f>$Q$5</f>
        <v>2022</v>
      </c>
      <c r="R490" s="516"/>
      <c r="S490" s="516"/>
      <c r="T490" s="516"/>
      <c r="U490" s="461"/>
      <c r="V490" s="516">
        <f>$V$5</f>
        <v>2027</v>
      </c>
      <c r="W490" s="516"/>
      <c r="X490" s="516"/>
      <c r="Y490" s="516"/>
    </row>
    <row r="491" spans="1:25" x14ac:dyDescent="0.2">
      <c r="A491" s="381"/>
      <c r="B491" s="388" t="str">
        <f>$B$6</f>
        <v>FT</v>
      </c>
      <c r="C491" s="388" t="str">
        <f>$C$6</f>
        <v>PT</v>
      </c>
      <c r="D491" s="388" t="str">
        <f>$D$6</f>
        <v>SE</v>
      </c>
      <c r="E491" s="388" t="str">
        <f>$E$6</f>
        <v>Total</v>
      </c>
      <c r="F491" s="388"/>
      <c r="G491" s="388" t="str">
        <f>$B$6</f>
        <v>FT</v>
      </c>
      <c r="H491" s="388" t="str">
        <f>$C$6</f>
        <v>PT</v>
      </c>
      <c r="I491" s="388" t="str">
        <f>$D$6</f>
        <v>SE</v>
      </c>
      <c r="J491" s="388" t="str">
        <f>$E$6</f>
        <v>Total</v>
      </c>
      <c r="K491" s="388"/>
      <c r="L491" s="388" t="str">
        <f>$L$6</f>
        <v>FT</v>
      </c>
      <c r="M491" s="388" t="str">
        <f>$M$6</f>
        <v>PT</v>
      </c>
      <c r="N491" s="388" t="str">
        <f>$N$6</f>
        <v>SE</v>
      </c>
      <c r="O491" s="388" t="str">
        <f>$O$6</f>
        <v>Total</v>
      </c>
      <c r="P491" s="388"/>
      <c r="Q491" s="388" t="str">
        <f>$L$6</f>
        <v>FT</v>
      </c>
      <c r="R491" s="388" t="str">
        <f>$M$6</f>
        <v>PT</v>
      </c>
      <c r="S491" s="388" t="str">
        <f>$N$6</f>
        <v>SE</v>
      </c>
      <c r="T491" s="388" t="str">
        <f>$O$6</f>
        <v>Total</v>
      </c>
      <c r="U491" s="388"/>
      <c r="V491" s="388" t="str">
        <f>$V$6</f>
        <v>FT</v>
      </c>
      <c r="W491" s="388" t="str">
        <f>$W$6</f>
        <v>PT</v>
      </c>
      <c r="X491" s="388" t="str">
        <f>$X$6</f>
        <v>SE</v>
      </c>
      <c r="Y491" s="388" t="str">
        <f>$Y$6</f>
        <v>Total</v>
      </c>
    </row>
    <row r="492" spans="1:25" x14ac:dyDescent="0.2">
      <c r="B492" s="380"/>
      <c r="C492" s="460"/>
      <c r="D492" s="460"/>
      <c r="E492" s="460"/>
      <c r="F492" s="460"/>
      <c r="G492" s="460"/>
      <c r="H492" s="460"/>
      <c r="I492" s="460"/>
      <c r="J492" s="460"/>
      <c r="K492" s="460"/>
      <c r="L492" s="460"/>
      <c r="M492" s="460"/>
      <c r="N492" s="460"/>
      <c r="O492" s="460"/>
      <c r="P492" s="460"/>
      <c r="Q492" s="460"/>
      <c r="R492" s="460"/>
      <c r="S492" s="460"/>
      <c r="T492" s="460"/>
      <c r="U492" s="460"/>
      <c r="V492" s="460"/>
      <c r="W492" s="460"/>
      <c r="X492" s="460"/>
      <c r="Y492" s="460"/>
    </row>
    <row r="493" spans="1:25" x14ac:dyDescent="0.2">
      <c r="A493" s="378" t="str">
        <f>name!A69</f>
        <v>Health</v>
      </c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</row>
    <row r="494" spans="1:25" x14ac:dyDescent="0.2">
      <c r="A494" s="382" t="s">
        <v>391</v>
      </c>
      <c r="B494" s="437">
        <v>35.762000000498844</v>
      </c>
      <c r="C494" s="437">
        <v>41.452999999432585</v>
      </c>
      <c r="D494" s="437">
        <v>3.2019999998599968</v>
      </c>
      <c r="E494" s="437">
        <f>SUM(B494:D494)</f>
        <v>80.416999999791415</v>
      </c>
      <c r="F494" s="437"/>
      <c r="G494" s="437">
        <v>41.287000000383145</v>
      </c>
      <c r="H494" s="437">
        <v>34.468999999468366</v>
      </c>
      <c r="I494" s="437">
        <v>4.4519999997636699</v>
      </c>
      <c r="J494" s="437">
        <f>SUM(G494:I494)</f>
        <v>80.207999999615183</v>
      </c>
      <c r="K494" s="437"/>
      <c r="L494" s="437">
        <v>58.101999999482985</v>
      </c>
      <c r="M494" s="437">
        <v>48.873999998941358</v>
      </c>
      <c r="N494" s="437">
        <v>3.3259999997256013</v>
      </c>
      <c r="O494" s="437">
        <f>SUM(L494:N494)</f>
        <v>110.30199999814994</v>
      </c>
      <c r="P494" s="437"/>
      <c r="Q494" s="437">
        <v>61.196999999798351</v>
      </c>
      <c r="R494" s="437">
        <v>51.465999999535583</v>
      </c>
      <c r="S494" s="437">
        <v>3.3179999997245804</v>
      </c>
      <c r="T494" s="437">
        <f>SUM(Q494:S494)</f>
        <v>115.98099999905851</v>
      </c>
      <c r="U494" s="437"/>
      <c r="V494" s="437">
        <v>64.508999999958917</v>
      </c>
      <c r="W494" s="437">
        <v>54.207999999504885</v>
      </c>
      <c r="X494" s="437">
        <v>3.3339999997792513</v>
      </c>
      <c r="Y494" s="437">
        <f>SUM(V494:X494)</f>
        <v>122.05099999924306</v>
      </c>
    </row>
    <row r="495" spans="1:25" x14ac:dyDescent="0.2">
      <c r="A495" s="382" t="s">
        <v>390</v>
      </c>
      <c r="B495" s="438">
        <v>15.720999999853356</v>
      </c>
      <c r="C495" s="438">
        <v>4.7710000000333581</v>
      </c>
      <c r="D495" s="438">
        <v>2.9789999997656031</v>
      </c>
      <c r="E495" s="438">
        <f t="shared" ref="E495:E496" si="1292">SUM(B495:D495)</f>
        <v>23.470999999652317</v>
      </c>
      <c r="F495" s="438"/>
      <c r="G495" s="438">
        <v>22.534000000640404</v>
      </c>
      <c r="H495" s="438">
        <v>4.6320000000499935</v>
      </c>
      <c r="I495" s="438">
        <v>2.2730000000451405</v>
      </c>
      <c r="J495" s="438">
        <f t="shared" ref="J495:J496" si="1293">SUM(G495:I495)</f>
        <v>29.439000000735536</v>
      </c>
      <c r="K495" s="438"/>
      <c r="L495" s="438">
        <v>26.534999999766356</v>
      </c>
      <c r="M495" s="438">
        <v>5.6350000000097022</v>
      </c>
      <c r="N495" s="438">
        <v>3.3739999997933161</v>
      </c>
      <c r="O495" s="438">
        <f t="shared" ref="O495:O496" si="1294">SUM(L495:N495)</f>
        <v>35.54399999956938</v>
      </c>
      <c r="P495" s="438"/>
      <c r="Q495" s="438">
        <v>27.708000000581777</v>
      </c>
      <c r="R495" s="438">
        <v>6.4890000000308738</v>
      </c>
      <c r="S495" s="438">
        <v>3.4189999998714202</v>
      </c>
      <c r="T495" s="438">
        <f t="shared" ref="T495:T496" si="1295">SUM(Q495:S495)</f>
        <v>37.616000000484064</v>
      </c>
      <c r="U495" s="438"/>
      <c r="V495" s="438">
        <v>28.995000000710117</v>
      </c>
      <c r="W495" s="438">
        <v>7.3390000000354618</v>
      </c>
      <c r="X495" s="438">
        <v>3.4839999999357705</v>
      </c>
      <c r="Y495" s="438">
        <f t="shared" ref="Y495:Y496" si="1296">SUM(V495:X495)</f>
        <v>39.818000000681344</v>
      </c>
    </row>
    <row r="496" spans="1:25" x14ac:dyDescent="0.2">
      <c r="A496" s="382" t="s">
        <v>389</v>
      </c>
      <c r="B496" s="438">
        <f>SUM(B494:B495)</f>
        <v>51.483000000352199</v>
      </c>
      <c r="C496" s="438">
        <f t="shared" ref="C496" si="1297">SUM(C494:C495)</f>
        <v>46.223999999465946</v>
      </c>
      <c r="D496" s="438">
        <f t="shared" ref="D496" si="1298">SUM(D494:D495)</f>
        <v>6.1809999996256</v>
      </c>
      <c r="E496" s="438">
        <f t="shared" si="1292"/>
        <v>103.88799999944375</v>
      </c>
      <c r="F496" s="438"/>
      <c r="G496" s="438">
        <f>SUM(G494:G495)</f>
        <v>63.821000001023549</v>
      </c>
      <c r="H496" s="438">
        <f t="shared" ref="H496" si="1299">SUM(H494:H495)</f>
        <v>39.100999999518358</v>
      </c>
      <c r="I496" s="438">
        <f t="shared" ref="I496" si="1300">SUM(I494:I495)</f>
        <v>6.7249999998088104</v>
      </c>
      <c r="J496" s="438">
        <f t="shared" si="1293"/>
        <v>109.64700000035073</v>
      </c>
      <c r="K496" s="438"/>
      <c r="L496" s="438">
        <f>SUM(L494:L495)</f>
        <v>84.63699999924934</v>
      </c>
      <c r="M496" s="438">
        <f t="shared" ref="M496" si="1301">SUM(M494:M495)</f>
        <v>54.508999998951062</v>
      </c>
      <c r="N496" s="438">
        <f t="shared" ref="N496" si="1302">SUM(N494:N495)</f>
        <v>6.6999999995189174</v>
      </c>
      <c r="O496" s="438">
        <f t="shared" si="1294"/>
        <v>145.84599999771933</v>
      </c>
      <c r="P496" s="438"/>
      <c r="Q496" s="438">
        <f>SUM(Q494:Q495)</f>
        <v>88.905000000380127</v>
      </c>
      <c r="R496" s="438">
        <f t="shared" ref="R496" si="1303">SUM(R494:R495)</f>
        <v>57.954999999566454</v>
      </c>
      <c r="S496" s="438">
        <f t="shared" ref="S496" si="1304">SUM(S494:S495)</f>
        <v>6.7369999995960006</v>
      </c>
      <c r="T496" s="438">
        <f t="shared" si="1295"/>
        <v>153.59699999954259</v>
      </c>
      <c r="U496" s="438"/>
      <c r="V496" s="438">
        <f>SUM(V494:V495)</f>
        <v>93.504000000669038</v>
      </c>
      <c r="W496" s="438">
        <f t="shared" ref="W496" si="1305">SUM(W494:W495)</f>
        <v>61.546999999540347</v>
      </c>
      <c r="X496" s="438">
        <f t="shared" ref="X496" si="1306">SUM(X494:X495)</f>
        <v>6.8179999997150222</v>
      </c>
      <c r="Y496" s="438">
        <f t="shared" si="1296"/>
        <v>161.86899999992443</v>
      </c>
    </row>
    <row r="497" spans="1:25" x14ac:dyDescent="0.2">
      <c r="B497" s="380"/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60"/>
    </row>
    <row r="498" spans="1:25" x14ac:dyDescent="0.2">
      <c r="A498" s="378" t="str">
        <f>name!A70</f>
        <v>Residential care</v>
      </c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</row>
    <row r="499" spans="1:25" x14ac:dyDescent="0.2">
      <c r="A499" s="382" t="s">
        <v>391</v>
      </c>
      <c r="B499" s="437">
        <v>14.135000000197193</v>
      </c>
      <c r="C499" s="437">
        <v>12.317999999831379</v>
      </c>
      <c r="D499" s="437">
        <v>1.7229999999246635</v>
      </c>
      <c r="E499" s="437">
        <f>SUM(B499:D499)</f>
        <v>28.175999999953238</v>
      </c>
      <c r="F499" s="437"/>
      <c r="G499" s="437">
        <v>13.428000000124609</v>
      </c>
      <c r="H499" s="437">
        <v>13.317999999794582</v>
      </c>
      <c r="I499" s="437">
        <v>2.178999999884331</v>
      </c>
      <c r="J499" s="437">
        <f>SUM(G499:I499)</f>
        <v>28.924999999803525</v>
      </c>
      <c r="K499" s="437"/>
      <c r="L499" s="437">
        <v>19.208999999829054</v>
      </c>
      <c r="M499" s="437">
        <v>15.654999999660903</v>
      </c>
      <c r="N499" s="437">
        <v>1.4209999998827634</v>
      </c>
      <c r="O499" s="437">
        <f>SUM(L499:N499)</f>
        <v>36.284999999372715</v>
      </c>
      <c r="P499" s="437"/>
      <c r="Q499" s="437">
        <v>19.770999999934851</v>
      </c>
      <c r="R499" s="437">
        <v>16.73199999984903</v>
      </c>
      <c r="S499" s="437">
        <v>1.4309999998812171</v>
      </c>
      <c r="T499" s="437">
        <f>SUM(Q499:S499)</f>
        <v>37.933999999665097</v>
      </c>
      <c r="U499" s="437"/>
      <c r="V499" s="437">
        <v>20.07799999998722</v>
      </c>
      <c r="W499" s="437">
        <v>17.553999999839668</v>
      </c>
      <c r="X499" s="437">
        <v>1.4189999999060474</v>
      </c>
      <c r="Y499" s="437">
        <f>SUM(V499:X499)</f>
        <v>39.050999999732937</v>
      </c>
    </row>
    <row r="500" spans="1:25" x14ac:dyDescent="0.2">
      <c r="A500" s="382" t="s">
        <v>390</v>
      </c>
      <c r="B500" s="438">
        <v>5.6509999999472873</v>
      </c>
      <c r="C500" s="438">
        <v>2.1420000000149759</v>
      </c>
      <c r="D500" s="438">
        <v>0.43399999996585137</v>
      </c>
      <c r="E500" s="438">
        <f t="shared" ref="E500:E501" si="1307">SUM(B500:D500)</f>
        <v>8.2269999999281147</v>
      </c>
      <c r="F500" s="438"/>
      <c r="G500" s="438">
        <v>6.828000000194054</v>
      </c>
      <c r="H500" s="438">
        <v>2.6790000000289158</v>
      </c>
      <c r="I500" s="438">
        <v>0.38200000000758622</v>
      </c>
      <c r="J500" s="438">
        <f t="shared" ref="J500:J501" si="1308">SUM(G500:I500)</f>
        <v>9.8890000002305563</v>
      </c>
      <c r="K500" s="438"/>
      <c r="L500" s="438">
        <v>7.6559999999325861</v>
      </c>
      <c r="M500" s="438">
        <v>2.7690000000047656</v>
      </c>
      <c r="N500" s="438">
        <v>0.6129999999624488</v>
      </c>
      <c r="O500" s="438">
        <f t="shared" ref="O500:O501" si="1309">SUM(L500:N500)</f>
        <v>11.037999999899801</v>
      </c>
      <c r="P500" s="438"/>
      <c r="Q500" s="438">
        <v>7.558000000158696</v>
      </c>
      <c r="R500" s="438">
        <v>3.1100000000147947</v>
      </c>
      <c r="S500" s="438">
        <v>0.63099999997626954</v>
      </c>
      <c r="T500" s="438">
        <f t="shared" ref="T500:T501" si="1310">SUM(Q500:S500)</f>
        <v>11.299000000149761</v>
      </c>
      <c r="U500" s="438"/>
      <c r="V500" s="438">
        <v>7.3720000001805355</v>
      </c>
      <c r="W500" s="438">
        <v>3.3900000000163795</v>
      </c>
      <c r="X500" s="438">
        <v>0.64099999998818247</v>
      </c>
      <c r="Y500" s="438">
        <f t="shared" ref="Y500:Y501" si="1311">SUM(V500:X500)</f>
        <v>11.403000000185097</v>
      </c>
    </row>
    <row r="501" spans="1:25" x14ac:dyDescent="0.2">
      <c r="A501" s="382" t="s">
        <v>389</v>
      </c>
      <c r="B501" s="438">
        <f>SUM(B499:B500)</f>
        <v>19.78600000014448</v>
      </c>
      <c r="C501" s="438">
        <f t="shared" ref="C501" si="1312">SUM(C499:C500)</f>
        <v>14.459999999846355</v>
      </c>
      <c r="D501" s="438">
        <f t="shared" ref="D501" si="1313">SUM(D499:D500)</f>
        <v>2.1569999998905147</v>
      </c>
      <c r="E501" s="438">
        <f t="shared" si="1307"/>
        <v>36.402999999881352</v>
      </c>
      <c r="F501" s="438"/>
      <c r="G501" s="438">
        <f>SUM(G499:G500)</f>
        <v>20.256000000318664</v>
      </c>
      <c r="H501" s="438">
        <f t="shared" ref="H501" si="1314">SUM(H499:H500)</f>
        <v>15.996999999823498</v>
      </c>
      <c r="I501" s="438">
        <f t="shared" ref="I501" si="1315">SUM(I499:I500)</f>
        <v>2.5609999998919171</v>
      </c>
      <c r="J501" s="438">
        <f t="shared" si="1308"/>
        <v>38.814000000034085</v>
      </c>
      <c r="K501" s="438"/>
      <c r="L501" s="438">
        <f>SUM(L499:L500)</f>
        <v>26.86499999976164</v>
      </c>
      <c r="M501" s="438">
        <f t="shared" ref="M501" si="1316">SUM(M499:M500)</f>
        <v>18.423999999665668</v>
      </c>
      <c r="N501" s="438">
        <f t="shared" ref="N501" si="1317">SUM(N499:N500)</f>
        <v>2.0339999998452121</v>
      </c>
      <c r="O501" s="438">
        <f t="shared" si="1309"/>
        <v>47.322999999272518</v>
      </c>
      <c r="P501" s="438"/>
      <c r="Q501" s="438">
        <f>SUM(Q499:Q500)</f>
        <v>27.329000000093547</v>
      </c>
      <c r="R501" s="438">
        <f t="shared" ref="R501" si="1318">SUM(R499:R500)</f>
        <v>19.841999999863823</v>
      </c>
      <c r="S501" s="438">
        <f t="shared" ref="S501" si="1319">SUM(S499:S500)</f>
        <v>2.0619999998574867</v>
      </c>
      <c r="T501" s="438">
        <f t="shared" si="1310"/>
        <v>49.232999999814858</v>
      </c>
      <c r="U501" s="438"/>
      <c r="V501" s="438">
        <f>SUM(V499:V500)</f>
        <v>27.450000000167755</v>
      </c>
      <c r="W501" s="438">
        <f t="shared" ref="W501" si="1320">SUM(W499:W500)</f>
        <v>20.943999999856047</v>
      </c>
      <c r="X501" s="438">
        <f t="shared" ref="X501" si="1321">SUM(X499:X500)</f>
        <v>2.05999999989423</v>
      </c>
      <c r="Y501" s="438">
        <f t="shared" si="1311"/>
        <v>50.453999999918032</v>
      </c>
    </row>
    <row r="502" spans="1:25" x14ac:dyDescent="0.2">
      <c r="B502" s="380"/>
      <c r="C502" s="460"/>
      <c r="D502" s="460"/>
      <c r="E502" s="460"/>
      <c r="F502" s="460"/>
      <c r="G502" s="460"/>
      <c r="H502" s="460"/>
      <c r="I502" s="460"/>
      <c r="J502" s="460"/>
      <c r="K502" s="460"/>
      <c r="L502" s="460"/>
      <c r="M502" s="460"/>
      <c r="N502" s="460"/>
      <c r="O502" s="460"/>
      <c r="P502" s="460"/>
      <c r="Q502" s="460"/>
      <c r="R502" s="460"/>
      <c r="S502" s="460"/>
      <c r="T502" s="460"/>
      <c r="U502" s="460"/>
      <c r="V502" s="460"/>
      <c r="W502" s="460"/>
      <c r="X502" s="460"/>
      <c r="Y502" s="460"/>
    </row>
    <row r="503" spans="1:25" x14ac:dyDescent="0.2">
      <c r="A503" s="378" t="str">
        <f>name!A71</f>
        <v>Social work</v>
      </c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</row>
    <row r="504" spans="1:25" x14ac:dyDescent="0.2">
      <c r="A504" s="377" t="s">
        <v>391</v>
      </c>
      <c r="B504" s="437">
        <v>16.409000000228904</v>
      </c>
      <c r="C504" s="437">
        <v>21.225999999709423</v>
      </c>
      <c r="D504" s="437">
        <v>2.006999999912245</v>
      </c>
      <c r="E504" s="437">
        <f>SUM(B504:D504)</f>
        <v>39.641999999850576</v>
      </c>
      <c r="F504" s="437"/>
      <c r="G504" s="437">
        <v>18.376000000170539</v>
      </c>
      <c r="H504" s="437">
        <v>22.904999999646709</v>
      </c>
      <c r="I504" s="437">
        <v>2.7369999998547083</v>
      </c>
      <c r="J504" s="437">
        <f>SUM(G504:I504)</f>
        <v>44.017999999671957</v>
      </c>
      <c r="K504" s="437"/>
      <c r="L504" s="437">
        <v>24.198999999784672</v>
      </c>
      <c r="M504" s="437">
        <v>24.967999999459174</v>
      </c>
      <c r="N504" s="437">
        <v>1.6509999998637894</v>
      </c>
      <c r="O504" s="437">
        <f>SUM(L504:N504)</f>
        <v>50.817999999107634</v>
      </c>
      <c r="P504" s="437"/>
      <c r="Q504" s="437">
        <v>24.906999999917925</v>
      </c>
      <c r="R504" s="437">
        <v>26.685999999759225</v>
      </c>
      <c r="S504" s="437">
        <v>1.6629999998619578</v>
      </c>
      <c r="T504" s="437">
        <f>SUM(Q504:S504)</f>
        <v>53.255999999539107</v>
      </c>
      <c r="U504" s="437"/>
      <c r="V504" s="437">
        <v>25.293999999983864</v>
      </c>
      <c r="W504" s="437">
        <v>27.996999999744318</v>
      </c>
      <c r="X504" s="437">
        <v>1.6489999998908174</v>
      </c>
      <c r="Y504" s="437">
        <f>SUM(V504:X504)</f>
        <v>54.939999999619005</v>
      </c>
    </row>
    <row r="505" spans="1:25" x14ac:dyDescent="0.2">
      <c r="A505" s="377" t="s">
        <v>390</v>
      </c>
      <c r="B505" s="438">
        <v>4.7639999999555531</v>
      </c>
      <c r="C505" s="438">
        <v>2.510000000017548</v>
      </c>
      <c r="D505" s="438">
        <v>0.44499999996498646</v>
      </c>
      <c r="E505" s="438">
        <f t="shared" ref="E505:E506" si="1322">SUM(B505:D505)</f>
        <v>7.7189999999380881</v>
      </c>
      <c r="F505" s="438"/>
      <c r="G505" s="438">
        <v>6.785000000192837</v>
      </c>
      <c r="H505" s="438">
        <v>3.1340000000338266</v>
      </c>
      <c r="I505" s="438">
        <v>0.42300000000839993</v>
      </c>
      <c r="J505" s="438">
        <f t="shared" ref="J505:J506" si="1323">SUM(G505:I505)</f>
        <v>10.342000000235064</v>
      </c>
      <c r="K505" s="438"/>
      <c r="L505" s="438">
        <v>7.0029999999383321</v>
      </c>
      <c r="M505" s="438">
        <v>3.0030000000051684</v>
      </c>
      <c r="N505" s="438">
        <v>0.62699999996159173</v>
      </c>
      <c r="O505" s="438">
        <f t="shared" ref="O505:O506" si="1324">SUM(L505:N505)</f>
        <v>10.632999999905094</v>
      </c>
      <c r="P505" s="438"/>
      <c r="Q505" s="438">
        <v>6.9140000001451734</v>
      </c>
      <c r="R505" s="438">
        <v>3.3730000000160456</v>
      </c>
      <c r="S505" s="438">
        <v>0.64599999997570501</v>
      </c>
      <c r="T505" s="438">
        <f t="shared" ref="T505:T506" si="1325">SUM(Q505:S505)</f>
        <v>10.933000000136925</v>
      </c>
      <c r="U505" s="438"/>
      <c r="V505" s="438">
        <v>6.7440000001651681</v>
      </c>
      <c r="W505" s="438">
        <v>3.6770000000177663</v>
      </c>
      <c r="X505" s="438">
        <v>0.65599999998790559</v>
      </c>
      <c r="Y505" s="438">
        <f t="shared" ref="Y505:Y506" si="1326">SUM(V505:X505)</f>
        <v>11.077000000170839</v>
      </c>
    </row>
    <row r="506" spans="1:25" x14ac:dyDescent="0.2">
      <c r="A506" s="377" t="s">
        <v>389</v>
      </c>
      <c r="B506" s="438">
        <f>SUM(B504:B505)</f>
        <v>21.173000000184459</v>
      </c>
      <c r="C506" s="438">
        <f t="shared" ref="C506" si="1327">SUM(C504:C505)</f>
        <v>23.735999999726971</v>
      </c>
      <c r="D506" s="438">
        <f t="shared" ref="D506" si="1328">SUM(D504:D505)</f>
        <v>2.4519999998772315</v>
      </c>
      <c r="E506" s="438">
        <f t="shared" si="1322"/>
        <v>47.36099999978866</v>
      </c>
      <c r="F506" s="438"/>
      <c r="G506" s="438">
        <f>SUM(G504:G505)</f>
        <v>25.161000000363376</v>
      </c>
      <c r="H506" s="438">
        <f t="shared" ref="H506" si="1329">SUM(H504:H505)</f>
        <v>26.038999999680534</v>
      </c>
      <c r="I506" s="438">
        <f t="shared" ref="I506" si="1330">SUM(I504:I505)</f>
        <v>3.1599999998631083</v>
      </c>
      <c r="J506" s="438">
        <f t="shared" si="1323"/>
        <v>54.359999999907025</v>
      </c>
      <c r="K506" s="438"/>
      <c r="L506" s="438">
        <f>SUM(L504:L505)</f>
        <v>31.201999999723004</v>
      </c>
      <c r="M506" s="438">
        <f t="shared" ref="M506" si="1331">SUM(M504:M505)</f>
        <v>27.970999999464343</v>
      </c>
      <c r="N506" s="438">
        <f t="shared" ref="N506" si="1332">SUM(N504:N505)</f>
        <v>2.277999999825381</v>
      </c>
      <c r="O506" s="438">
        <f t="shared" si="1324"/>
        <v>61.45099999901273</v>
      </c>
      <c r="P506" s="438"/>
      <c r="Q506" s="438">
        <f>SUM(Q504:Q505)</f>
        <v>31.821000000063098</v>
      </c>
      <c r="R506" s="438">
        <f t="shared" ref="R506" si="1333">SUM(R504:R505)</f>
        <v>30.058999999775271</v>
      </c>
      <c r="S506" s="438">
        <f t="shared" ref="S506" si="1334">SUM(S504:S505)</f>
        <v>2.3089999998376629</v>
      </c>
      <c r="T506" s="438">
        <f t="shared" si="1325"/>
        <v>64.188999999676028</v>
      </c>
      <c r="U506" s="438"/>
      <c r="V506" s="438">
        <f>SUM(V504:V505)</f>
        <v>32.038000000149033</v>
      </c>
      <c r="W506" s="438">
        <f t="shared" ref="W506" si="1335">SUM(W504:W505)</f>
        <v>31.673999999762085</v>
      </c>
      <c r="X506" s="438">
        <f t="shared" ref="X506" si="1336">SUM(X504:X505)</f>
        <v>2.3049999998787229</v>
      </c>
      <c r="Y506" s="438">
        <f t="shared" si="1326"/>
        <v>66.016999999789832</v>
      </c>
    </row>
    <row r="507" spans="1:25" x14ac:dyDescent="0.2">
      <c r="C507" s="453"/>
    </row>
    <row r="508" spans="1:25" x14ac:dyDescent="0.2">
      <c r="A508" s="383" t="s">
        <v>394</v>
      </c>
      <c r="C508" s="453"/>
    </row>
    <row r="509" spans="1:25" x14ac:dyDescent="0.2">
      <c r="A509" s="377" t="s">
        <v>391</v>
      </c>
      <c r="B509" s="437">
        <f>SUM(B494,B499,B504)</f>
        <v>66.306000000924939</v>
      </c>
      <c r="C509" s="437">
        <f t="shared" ref="C509:D509" si="1337">SUM(C494,C499,C504)</f>
        <v>74.996999998973394</v>
      </c>
      <c r="D509" s="437">
        <f t="shared" si="1337"/>
        <v>6.9319999996969051</v>
      </c>
      <c r="E509" s="437">
        <f>SUM(B509:D509)</f>
        <v>148.23499999959523</v>
      </c>
      <c r="F509" s="437"/>
      <c r="G509" s="437">
        <f>SUM(G494,G499,G504)</f>
        <v>73.091000000678292</v>
      </c>
      <c r="H509" s="437">
        <f t="shared" ref="H509:I509" si="1338">SUM(H494,H499,H504)</f>
        <v>70.691999998909651</v>
      </c>
      <c r="I509" s="437">
        <f t="shared" si="1338"/>
        <v>9.3679999995027092</v>
      </c>
      <c r="J509" s="437">
        <f>SUM(G509:I509)</f>
        <v>153.15099999909066</v>
      </c>
      <c r="K509" s="437"/>
      <c r="L509" s="437">
        <f>SUM(L494,L499,L504)</f>
        <v>101.50999999909671</v>
      </c>
      <c r="M509" s="437">
        <f t="shared" ref="M509:N509" si="1339">SUM(M494,M499,M504)</f>
        <v>89.496999998061426</v>
      </c>
      <c r="N509" s="437">
        <f t="shared" si="1339"/>
        <v>6.3979999994721544</v>
      </c>
      <c r="O509" s="437">
        <f>SUM(L509:N509)</f>
        <v>197.40499999663027</v>
      </c>
      <c r="P509" s="437"/>
      <c r="Q509" s="437">
        <f>SUM(Q494,Q499,Q504)</f>
        <v>105.87499999965112</v>
      </c>
      <c r="R509" s="437">
        <f t="shared" ref="R509:S509" si="1340">SUM(R494,R499,R504)</f>
        <v>94.883999999143839</v>
      </c>
      <c r="S509" s="437">
        <f t="shared" si="1340"/>
        <v>6.4119999994677555</v>
      </c>
      <c r="T509" s="437">
        <f>SUM(Q509:S509)</f>
        <v>207.17099999826272</v>
      </c>
      <c r="U509" s="437"/>
      <c r="V509" s="437">
        <f>SUM(V494,V499,V504)</f>
        <v>109.88099999993</v>
      </c>
      <c r="W509" s="437">
        <f t="shared" ref="W509:X509" si="1341">SUM(W494,W499,W504)</f>
        <v>99.758999999088871</v>
      </c>
      <c r="X509" s="437">
        <f t="shared" si="1341"/>
        <v>6.4019999995761161</v>
      </c>
      <c r="Y509" s="437">
        <f>SUM(V509:X509)</f>
        <v>216.04199999859497</v>
      </c>
    </row>
    <row r="510" spans="1:25" x14ac:dyDescent="0.2">
      <c r="A510" s="377" t="s">
        <v>390</v>
      </c>
      <c r="B510" s="437">
        <f>SUM(B495,B500,B505)</f>
        <v>26.135999999756194</v>
      </c>
      <c r="C510" s="437">
        <f t="shared" ref="C510:D510" si="1342">SUM(C495,C500,C505)</f>
        <v>9.4230000000658816</v>
      </c>
      <c r="D510" s="437">
        <f t="shared" si="1342"/>
        <v>3.8579999996964411</v>
      </c>
      <c r="E510" s="437">
        <f t="shared" ref="E510:E511" si="1343">SUM(B510:D510)</f>
        <v>39.416999999518517</v>
      </c>
      <c r="F510" s="437"/>
      <c r="G510" s="437">
        <f>SUM(G495,G500,G505)</f>
        <v>36.147000001027294</v>
      </c>
      <c r="H510" s="437">
        <f t="shared" ref="H510:I510" si="1344">SUM(H495,H500,H505)</f>
        <v>10.445000000112735</v>
      </c>
      <c r="I510" s="437">
        <f t="shared" si="1344"/>
        <v>3.0780000000611265</v>
      </c>
      <c r="J510" s="437">
        <f t="shared" ref="J510:J511" si="1345">SUM(G510:I510)</f>
        <v>49.670000001201153</v>
      </c>
      <c r="K510" s="437"/>
      <c r="L510" s="437">
        <f>SUM(L495,L500,L505)</f>
        <v>41.193999999637278</v>
      </c>
      <c r="M510" s="437">
        <f t="shared" ref="M510:N510" si="1346">SUM(M495,M500,M505)</f>
        <v>11.407000000019636</v>
      </c>
      <c r="N510" s="437">
        <f t="shared" si="1346"/>
        <v>4.6139999997173566</v>
      </c>
      <c r="O510" s="437">
        <f t="shared" ref="O510:O511" si="1347">SUM(L510:N510)</f>
        <v>57.214999999374271</v>
      </c>
      <c r="P510" s="437"/>
      <c r="Q510" s="437">
        <f>SUM(Q495,Q500,Q505)</f>
        <v>42.180000000885649</v>
      </c>
      <c r="R510" s="437">
        <f t="shared" ref="R510:S510" si="1348">SUM(R495,R500,R505)</f>
        <v>12.972000000061714</v>
      </c>
      <c r="S510" s="437">
        <f t="shared" si="1348"/>
        <v>4.6959999998233943</v>
      </c>
      <c r="T510" s="437">
        <f t="shared" ref="T510:T511" si="1349">SUM(Q510:S510)</f>
        <v>59.848000000770753</v>
      </c>
      <c r="U510" s="437"/>
      <c r="V510" s="437">
        <f>SUM(V495,V500,V505)</f>
        <v>43.111000001055821</v>
      </c>
      <c r="W510" s="437">
        <f t="shared" ref="W510:X510" si="1350">SUM(W495,W500,W505)</f>
        <v>14.406000000069607</v>
      </c>
      <c r="X510" s="437">
        <f t="shared" si="1350"/>
        <v>4.7809999999118586</v>
      </c>
      <c r="Y510" s="437">
        <f t="shared" ref="Y510:Y511" si="1351">SUM(V510:X510)</f>
        <v>62.298000001037281</v>
      </c>
    </row>
    <row r="511" spans="1:25" x14ac:dyDescent="0.2">
      <c r="A511" s="381" t="s">
        <v>389</v>
      </c>
      <c r="B511" s="439">
        <f>SUM(B509:B510)</f>
        <v>92.442000000681134</v>
      </c>
      <c r="C511" s="439">
        <f t="shared" ref="C511" si="1352">SUM(C509:C510)</f>
        <v>84.419999999039277</v>
      </c>
      <c r="D511" s="439">
        <f t="shared" ref="D511" si="1353">SUM(D509:D510)</f>
        <v>10.789999999393347</v>
      </c>
      <c r="E511" s="439">
        <f t="shared" si="1343"/>
        <v>187.65199999911377</v>
      </c>
      <c r="F511" s="439"/>
      <c r="G511" s="439">
        <f>SUM(G509:G510)</f>
        <v>109.23800000170559</v>
      </c>
      <c r="H511" s="439">
        <f t="shared" ref="H511" si="1354">SUM(H509:H510)</f>
        <v>81.136999999022379</v>
      </c>
      <c r="I511" s="439">
        <f t="shared" ref="I511" si="1355">SUM(I509:I510)</f>
        <v>12.445999999563835</v>
      </c>
      <c r="J511" s="439">
        <f t="shared" si="1345"/>
        <v>202.8210000002918</v>
      </c>
      <c r="K511" s="439"/>
      <c r="L511" s="439">
        <f>SUM(L509:L510)</f>
        <v>142.70399999873399</v>
      </c>
      <c r="M511" s="439">
        <f t="shared" ref="M511" si="1356">SUM(M509:M510)</f>
        <v>100.90399999808106</v>
      </c>
      <c r="N511" s="439">
        <f t="shared" ref="N511" si="1357">SUM(N509:N510)</f>
        <v>11.011999999189511</v>
      </c>
      <c r="O511" s="439">
        <f t="shared" si="1347"/>
        <v>254.61999999600457</v>
      </c>
      <c r="P511" s="439"/>
      <c r="Q511" s="439">
        <f>SUM(Q509:Q510)</f>
        <v>148.05500000053678</v>
      </c>
      <c r="R511" s="439">
        <f t="shared" ref="R511" si="1358">SUM(R509:R510)</f>
        <v>107.85599999920555</v>
      </c>
      <c r="S511" s="439">
        <f t="shared" ref="S511" si="1359">SUM(S509:S510)</f>
        <v>11.107999999291149</v>
      </c>
      <c r="T511" s="439">
        <f t="shared" si="1349"/>
        <v>267.0189999990335</v>
      </c>
      <c r="U511" s="439"/>
      <c r="V511" s="439">
        <f>SUM(V509:V510)</f>
        <v>152.99200000098583</v>
      </c>
      <c r="W511" s="439">
        <f t="shared" ref="W511" si="1360">SUM(W509:W510)</f>
        <v>114.16499999915848</v>
      </c>
      <c r="X511" s="439">
        <f t="shared" ref="X511" si="1361">SUM(X509:X510)</f>
        <v>11.182999999487976</v>
      </c>
      <c r="Y511" s="439">
        <f t="shared" si="1351"/>
        <v>278.33999999963225</v>
      </c>
    </row>
    <row r="512" spans="1:25" x14ac:dyDescent="0.2">
      <c r="C512" s="453"/>
    </row>
    <row r="513" spans="1:25" x14ac:dyDescent="0.2">
      <c r="A513" s="383"/>
    </row>
    <row r="514" spans="1:25" x14ac:dyDescent="0.2">
      <c r="C514" s="453"/>
    </row>
    <row r="515" spans="1:25" ht="15" x14ac:dyDescent="0.25">
      <c r="A515" s="385" t="str">
        <f>"Industry 21 : "&amp; name!B24</f>
        <v>Industry 21 : Arts and entertainment</v>
      </c>
      <c r="B515" s="516">
        <f>$B$5</f>
        <v>2007</v>
      </c>
      <c r="C515" s="516"/>
      <c r="D515" s="516"/>
      <c r="E515" s="516"/>
      <c r="F515" s="461"/>
      <c r="G515" s="516">
        <f>$G$5</f>
        <v>2012</v>
      </c>
      <c r="H515" s="516"/>
      <c r="I515" s="516"/>
      <c r="J515" s="516"/>
      <c r="K515" s="461"/>
      <c r="L515" s="516">
        <f>$L$5</f>
        <v>2017</v>
      </c>
      <c r="M515" s="516"/>
      <c r="N515" s="516"/>
      <c r="O515" s="516"/>
      <c r="P515" s="459"/>
      <c r="Q515" s="516">
        <f>$Q$5</f>
        <v>2022</v>
      </c>
      <c r="R515" s="516"/>
      <c r="S515" s="516"/>
      <c r="T515" s="516"/>
      <c r="U515" s="461"/>
      <c r="V515" s="516">
        <f>$V$5</f>
        <v>2027</v>
      </c>
      <c r="W515" s="516"/>
      <c r="X515" s="516"/>
      <c r="Y515" s="516"/>
    </row>
    <row r="516" spans="1:25" x14ac:dyDescent="0.2">
      <c r="A516" s="381"/>
      <c r="B516" s="388" t="str">
        <f>$B$6</f>
        <v>FT</v>
      </c>
      <c r="C516" s="388" t="str">
        <f>$C$6</f>
        <v>PT</v>
      </c>
      <c r="D516" s="388" t="str">
        <f>$D$6</f>
        <v>SE</v>
      </c>
      <c r="E516" s="388" t="str">
        <f>$E$6</f>
        <v>Total</v>
      </c>
      <c r="F516" s="388"/>
      <c r="G516" s="388" t="str">
        <f>$B$6</f>
        <v>FT</v>
      </c>
      <c r="H516" s="388" t="str">
        <f>$C$6</f>
        <v>PT</v>
      </c>
      <c r="I516" s="388" t="str">
        <f>$D$6</f>
        <v>SE</v>
      </c>
      <c r="J516" s="388" t="str">
        <f>$E$6</f>
        <v>Total</v>
      </c>
      <c r="K516" s="388"/>
      <c r="L516" s="388" t="str">
        <f>$L$6</f>
        <v>FT</v>
      </c>
      <c r="M516" s="388" t="str">
        <f>$M$6</f>
        <v>PT</v>
      </c>
      <c r="N516" s="388" t="str">
        <f>$N$6</f>
        <v>SE</v>
      </c>
      <c r="O516" s="388" t="str">
        <f>$O$6</f>
        <v>Total</v>
      </c>
      <c r="P516" s="388"/>
      <c r="Q516" s="388" t="str">
        <f>$L$6</f>
        <v>FT</v>
      </c>
      <c r="R516" s="388" t="str">
        <f>$M$6</f>
        <v>PT</v>
      </c>
      <c r="S516" s="388" t="str">
        <f>$N$6</f>
        <v>SE</v>
      </c>
      <c r="T516" s="388" t="str">
        <f>$O$6</f>
        <v>Total</v>
      </c>
      <c r="U516" s="388"/>
      <c r="V516" s="388" t="str">
        <f>$V$6</f>
        <v>FT</v>
      </c>
      <c r="W516" s="388" t="str">
        <f>$W$6</f>
        <v>PT</v>
      </c>
      <c r="X516" s="388" t="str">
        <f>$X$6</f>
        <v>SE</v>
      </c>
      <c r="Y516" s="388" t="str">
        <f>$Y$6</f>
        <v>Total</v>
      </c>
    </row>
    <row r="517" spans="1:25" x14ac:dyDescent="0.2">
      <c r="A517" s="384"/>
      <c r="B517" s="380"/>
      <c r="C517" s="460"/>
      <c r="D517" s="460"/>
      <c r="E517" s="460"/>
      <c r="F517" s="460"/>
      <c r="G517" s="460"/>
      <c r="H517" s="460"/>
      <c r="I517" s="460"/>
      <c r="J517" s="460"/>
      <c r="K517" s="460"/>
      <c r="L517" s="460"/>
      <c r="M517" s="460"/>
      <c r="N517" s="460"/>
      <c r="O517" s="460"/>
      <c r="P517" s="460"/>
      <c r="Q517" s="460"/>
      <c r="R517" s="460"/>
      <c r="S517" s="460"/>
      <c r="T517" s="460"/>
      <c r="U517" s="460"/>
      <c r="V517" s="460"/>
      <c r="W517" s="460"/>
      <c r="X517" s="460"/>
      <c r="Y517" s="460"/>
    </row>
    <row r="518" spans="1:25" x14ac:dyDescent="0.2">
      <c r="A518" s="378" t="str">
        <f>name!A72</f>
        <v>Arts and entertainment</v>
      </c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</row>
    <row r="519" spans="1:25" x14ac:dyDescent="0.2">
      <c r="A519" s="382" t="s">
        <v>391</v>
      </c>
      <c r="B519" s="437">
        <v>0.6680000000055405</v>
      </c>
      <c r="C519" s="437">
        <v>0.34499999999820252</v>
      </c>
      <c r="D519" s="437">
        <v>0.29300000000659876</v>
      </c>
      <c r="E519" s="437">
        <f>SUM(B519:D519)</f>
        <v>1.306000000010342</v>
      </c>
      <c r="F519" s="437"/>
      <c r="G519" s="437">
        <v>0.62000000000018796</v>
      </c>
      <c r="H519" s="437">
        <v>0.67399999999687721</v>
      </c>
      <c r="I519" s="437">
        <v>0.45800000001312074</v>
      </c>
      <c r="J519" s="437">
        <f>SUM(G519:I519)</f>
        <v>1.7520000000101859</v>
      </c>
      <c r="K519" s="437"/>
      <c r="L519" s="437">
        <v>1.3949999999828182</v>
      </c>
      <c r="M519" s="437">
        <v>0.97800000001091891</v>
      </c>
      <c r="N519" s="437">
        <v>1.4359999999891098</v>
      </c>
      <c r="O519" s="437">
        <f>SUM(L519:N519)</f>
        <v>3.8089999999828468</v>
      </c>
      <c r="P519" s="437"/>
      <c r="Q519" s="437">
        <v>1.5709999999811293</v>
      </c>
      <c r="R519" s="437">
        <v>1.0650000000117714</v>
      </c>
      <c r="S519" s="437">
        <v>1.7059999999913182</v>
      </c>
      <c r="T519" s="437">
        <f>SUM(Q519:S519)</f>
        <v>4.3419999999842194</v>
      </c>
      <c r="U519" s="437"/>
      <c r="V519" s="437">
        <v>1.6899999999842241</v>
      </c>
      <c r="W519" s="437">
        <v>1.1090000000120772</v>
      </c>
      <c r="X519" s="437">
        <v>1.796999999992245</v>
      </c>
      <c r="Y519" s="437">
        <f>SUM(V519:X519)</f>
        <v>4.5959999999885461</v>
      </c>
    </row>
    <row r="520" spans="1:25" x14ac:dyDescent="0.2">
      <c r="A520" s="382" t="s">
        <v>390</v>
      </c>
      <c r="B520" s="438">
        <v>0.65099999999848301</v>
      </c>
      <c r="C520" s="438">
        <v>0.27700000000065678</v>
      </c>
      <c r="D520" s="438">
        <v>0.37999999998907641</v>
      </c>
      <c r="E520" s="438">
        <f t="shared" ref="E520:E521" si="1362">SUM(B520:D520)</f>
        <v>1.3079999999882161</v>
      </c>
      <c r="F520" s="438"/>
      <c r="G520" s="438">
        <v>0.55499999999974836</v>
      </c>
      <c r="H520" s="438">
        <v>0.21899999999852712</v>
      </c>
      <c r="I520" s="438">
        <v>0.78900000000295067</v>
      </c>
      <c r="J520" s="438">
        <f t="shared" ref="J520:J521" si="1363">SUM(G520:I520)</f>
        <v>1.5630000000012263</v>
      </c>
      <c r="K520" s="438"/>
      <c r="L520" s="438">
        <v>0.79399999999858162</v>
      </c>
      <c r="M520" s="438">
        <v>0.32200000000071194</v>
      </c>
      <c r="N520" s="438">
        <v>1.2579999999666929</v>
      </c>
      <c r="O520" s="438">
        <f t="shared" ref="O520:O521" si="1364">SUM(L520:N520)</f>
        <v>2.3739999999659864</v>
      </c>
      <c r="P520" s="438"/>
      <c r="Q520" s="438">
        <v>0.92699999999873106</v>
      </c>
      <c r="R520" s="438">
        <v>0.36299999999765431</v>
      </c>
      <c r="S520" s="438">
        <v>1.4609999999526033</v>
      </c>
      <c r="T520" s="438">
        <f t="shared" ref="T520:T521" si="1365">SUM(Q520:S520)</f>
        <v>2.7509999999489887</v>
      </c>
      <c r="U520" s="438"/>
      <c r="V520" s="438">
        <v>1.0129999999991255</v>
      </c>
      <c r="W520" s="438">
        <v>0.38599999999646711</v>
      </c>
      <c r="X520" s="438">
        <v>1.5079999999627831</v>
      </c>
      <c r="Y520" s="438">
        <f t="shared" ref="Y520:Y521" si="1366">SUM(V520:X520)</f>
        <v>2.9069999999583755</v>
      </c>
    </row>
    <row r="521" spans="1:25" x14ac:dyDescent="0.2">
      <c r="A521" s="377" t="s">
        <v>389</v>
      </c>
      <c r="B521" s="438">
        <f>SUM(B519:B520)</f>
        <v>1.3190000000040234</v>
      </c>
      <c r="C521" s="438">
        <f t="shared" ref="C521" si="1367">SUM(C519:C520)</f>
        <v>0.62199999999885924</v>
      </c>
      <c r="D521" s="438">
        <f t="shared" ref="D521" si="1368">SUM(D519:D520)</f>
        <v>0.67299999999567517</v>
      </c>
      <c r="E521" s="438">
        <f t="shared" si="1362"/>
        <v>2.6139999999985579</v>
      </c>
      <c r="F521" s="438"/>
      <c r="G521" s="438">
        <f>SUM(G519:G520)</f>
        <v>1.1749999999999363</v>
      </c>
      <c r="H521" s="438">
        <f t="shared" ref="H521" si="1369">SUM(H519:H520)</f>
        <v>0.89299999999540436</v>
      </c>
      <c r="I521" s="438">
        <f t="shared" ref="I521" si="1370">SUM(I519:I520)</f>
        <v>1.2470000000160715</v>
      </c>
      <c r="J521" s="438">
        <f t="shared" si="1363"/>
        <v>3.3150000000114122</v>
      </c>
      <c r="K521" s="438"/>
      <c r="L521" s="438">
        <f>SUM(L519:L520)</f>
        <v>2.1889999999813998</v>
      </c>
      <c r="M521" s="438">
        <f t="shared" ref="M521" si="1371">SUM(M519:M520)</f>
        <v>1.300000000011631</v>
      </c>
      <c r="N521" s="438">
        <f t="shared" ref="N521" si="1372">SUM(N519:N520)</f>
        <v>2.6939999999558024</v>
      </c>
      <c r="O521" s="438">
        <f t="shared" si="1364"/>
        <v>6.1829999999488336</v>
      </c>
      <c r="P521" s="438"/>
      <c r="Q521" s="438">
        <f>SUM(Q519:Q520)</f>
        <v>2.4979999999798603</v>
      </c>
      <c r="R521" s="438">
        <f t="shared" ref="R521" si="1373">SUM(R519:R520)</f>
        <v>1.4280000000094257</v>
      </c>
      <c r="S521" s="438">
        <f t="shared" ref="S521" si="1374">SUM(S519:S520)</f>
        <v>3.1669999999439216</v>
      </c>
      <c r="T521" s="438">
        <f t="shared" si="1365"/>
        <v>7.0929999999332072</v>
      </c>
      <c r="U521" s="438"/>
      <c r="V521" s="438">
        <f>SUM(V519:V520)</f>
        <v>2.7029999999833496</v>
      </c>
      <c r="W521" s="438">
        <f t="shared" ref="W521" si="1375">SUM(W519:W520)</f>
        <v>1.4950000000085444</v>
      </c>
      <c r="X521" s="438">
        <f t="shared" ref="X521" si="1376">SUM(X519:X520)</f>
        <v>3.3049999999550281</v>
      </c>
      <c r="Y521" s="438">
        <f t="shared" si="1366"/>
        <v>7.5029999999469226</v>
      </c>
    </row>
    <row r="522" spans="1:25" x14ac:dyDescent="0.2">
      <c r="B522" s="380"/>
      <c r="C522" s="460"/>
      <c r="D522" s="460"/>
      <c r="E522" s="460"/>
      <c r="F522" s="460"/>
      <c r="G522" s="460"/>
      <c r="H522" s="460"/>
      <c r="I522" s="460"/>
      <c r="J522" s="460"/>
      <c r="K522" s="460"/>
      <c r="L522" s="460"/>
      <c r="M522" s="460"/>
      <c r="N522" s="460"/>
      <c r="O522" s="460"/>
      <c r="P522" s="460"/>
      <c r="Q522" s="460"/>
      <c r="R522" s="460"/>
      <c r="S522" s="460"/>
      <c r="T522" s="460"/>
      <c r="U522" s="460"/>
      <c r="V522" s="460"/>
      <c r="W522" s="460"/>
      <c r="X522" s="460"/>
      <c r="Y522" s="460"/>
    </row>
    <row r="523" spans="1:25" x14ac:dyDescent="0.2">
      <c r="A523" s="378" t="str">
        <f>name!A73</f>
        <v>Libraries, etc</v>
      </c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</row>
    <row r="524" spans="1:25" x14ac:dyDescent="0.2">
      <c r="A524" s="382" t="s">
        <v>391</v>
      </c>
      <c r="B524" s="437">
        <v>1.3710000000113725</v>
      </c>
      <c r="C524" s="437">
        <v>2.1269999999889162</v>
      </c>
      <c r="D524" s="437">
        <v>0.91000000002049586</v>
      </c>
      <c r="E524" s="437">
        <f>SUM(B524:D524)</f>
        <v>4.4080000000207846</v>
      </c>
      <c r="F524" s="437"/>
      <c r="G524" s="437">
        <v>1.0230000000003101</v>
      </c>
      <c r="H524" s="437">
        <v>1.2179999999943576</v>
      </c>
      <c r="I524" s="437">
        <v>0.7070000000202542</v>
      </c>
      <c r="J524" s="437">
        <f>SUM(G524:I524)</f>
        <v>2.9480000000149222</v>
      </c>
      <c r="K524" s="437"/>
      <c r="L524" s="437">
        <v>1.1599999999857111</v>
      </c>
      <c r="M524" s="437">
        <v>0.96800000001080722</v>
      </c>
      <c r="N524" s="437">
        <v>1.2179999999907618</v>
      </c>
      <c r="O524" s="437">
        <f>SUM(L524:N524)</f>
        <v>3.3459999999872805</v>
      </c>
      <c r="P524" s="437"/>
      <c r="Q524" s="437">
        <v>1.3059999999843113</v>
      </c>
      <c r="R524" s="437">
        <v>1.0540000000116501</v>
      </c>
      <c r="S524" s="437">
        <v>1.4469999999926362</v>
      </c>
      <c r="T524" s="437">
        <f>SUM(Q524:S524)</f>
        <v>3.8069999999885975</v>
      </c>
      <c r="U524" s="437"/>
      <c r="V524" s="437">
        <v>1.4049999999868841</v>
      </c>
      <c r="W524" s="437">
        <v>1.0970000000119458</v>
      </c>
      <c r="X524" s="437">
        <v>1.5239999999934217</v>
      </c>
      <c r="Y524" s="437">
        <f>SUM(V524:X524)</f>
        <v>4.0259999999922513</v>
      </c>
    </row>
    <row r="525" spans="1:25" x14ac:dyDescent="0.2">
      <c r="A525" s="382" t="s">
        <v>390</v>
      </c>
      <c r="B525" s="438">
        <v>1.6029999999962645</v>
      </c>
      <c r="C525" s="438">
        <v>0.76400000000181134</v>
      </c>
      <c r="D525" s="438">
        <v>1.0859999999687828</v>
      </c>
      <c r="E525" s="438">
        <f t="shared" ref="E525:E526" si="1377">SUM(B525:D525)</f>
        <v>3.4529999999668588</v>
      </c>
      <c r="F525" s="438"/>
      <c r="G525" s="438">
        <v>1.0999999999995014</v>
      </c>
      <c r="H525" s="438">
        <v>0.1769999999988095</v>
      </c>
      <c r="I525" s="438">
        <v>1.124000000004203</v>
      </c>
      <c r="J525" s="438">
        <f t="shared" ref="J525:J526" si="1378">SUM(G525:I525)</f>
        <v>2.4010000000025138</v>
      </c>
      <c r="K525" s="438"/>
      <c r="L525" s="438">
        <v>0.79299999999858373</v>
      </c>
      <c r="M525" s="438">
        <v>0.14200000000031401</v>
      </c>
      <c r="N525" s="438">
        <v>0.98399999997394627</v>
      </c>
      <c r="O525" s="438">
        <f t="shared" ref="O525:O526" si="1379">SUM(L525:N525)</f>
        <v>1.918999999972844</v>
      </c>
      <c r="P525" s="438"/>
      <c r="Q525" s="438">
        <v>0.92499999999873317</v>
      </c>
      <c r="R525" s="438">
        <v>0.15999999999896614</v>
      </c>
      <c r="S525" s="438">
        <v>1.1429999999629203</v>
      </c>
      <c r="T525" s="438">
        <f t="shared" ref="T525:T526" si="1380">SUM(Q525:S525)</f>
        <v>2.2279999999606197</v>
      </c>
      <c r="U525" s="438"/>
      <c r="V525" s="438">
        <v>1.0109999999991266</v>
      </c>
      <c r="W525" s="438">
        <v>0.16999999999844409</v>
      </c>
      <c r="X525" s="438">
        <v>1.1799999999708783</v>
      </c>
      <c r="Y525" s="438">
        <f t="shared" ref="Y525:Y526" si="1381">SUM(V525:X525)</f>
        <v>2.360999999968449</v>
      </c>
    </row>
    <row r="526" spans="1:25" x14ac:dyDescent="0.2">
      <c r="A526" s="382" t="s">
        <v>389</v>
      </c>
      <c r="B526" s="438">
        <f>SUM(B524:B525)</f>
        <v>2.9740000000076368</v>
      </c>
      <c r="C526" s="438">
        <f t="shared" ref="C526" si="1382">SUM(C524:C525)</f>
        <v>2.8909999999907274</v>
      </c>
      <c r="D526" s="438">
        <f t="shared" ref="D526" si="1383">SUM(D524:D525)</f>
        <v>1.9959999999892788</v>
      </c>
      <c r="E526" s="438">
        <f t="shared" si="1377"/>
        <v>7.8609999999876425</v>
      </c>
      <c r="F526" s="438"/>
      <c r="G526" s="438">
        <f>SUM(G524:G525)</f>
        <v>2.1229999999998115</v>
      </c>
      <c r="H526" s="438">
        <f t="shared" ref="H526" si="1384">SUM(H524:H525)</f>
        <v>1.394999999993167</v>
      </c>
      <c r="I526" s="438">
        <f t="shared" ref="I526" si="1385">SUM(I524:I525)</f>
        <v>1.8310000000244573</v>
      </c>
      <c r="J526" s="438">
        <f t="shared" si="1378"/>
        <v>5.349000000017436</v>
      </c>
      <c r="K526" s="438"/>
      <c r="L526" s="438">
        <f>SUM(L524:L525)</f>
        <v>1.9529999999842949</v>
      </c>
      <c r="M526" s="438">
        <f t="shared" ref="M526" si="1386">SUM(M524:M525)</f>
        <v>1.1100000000111212</v>
      </c>
      <c r="N526" s="438">
        <f t="shared" ref="N526" si="1387">SUM(N524:N525)</f>
        <v>2.2019999999647082</v>
      </c>
      <c r="O526" s="438">
        <f t="shared" si="1379"/>
        <v>5.264999999960124</v>
      </c>
      <c r="P526" s="438"/>
      <c r="Q526" s="438">
        <f>SUM(Q524:Q525)</f>
        <v>2.2309999999830445</v>
      </c>
      <c r="R526" s="438">
        <f t="shared" ref="R526" si="1388">SUM(R524:R525)</f>
        <v>1.2140000000106161</v>
      </c>
      <c r="S526" s="438">
        <f t="shared" ref="S526" si="1389">SUM(S524:S525)</f>
        <v>2.5899999999555563</v>
      </c>
      <c r="T526" s="438">
        <f t="shared" si="1380"/>
        <v>6.0349999999492168</v>
      </c>
      <c r="U526" s="438"/>
      <c r="V526" s="438">
        <f>SUM(V524:V525)</f>
        <v>2.4159999999860107</v>
      </c>
      <c r="W526" s="438">
        <f t="shared" ref="W526" si="1390">SUM(W524:W525)</f>
        <v>1.2670000000103898</v>
      </c>
      <c r="X526" s="438">
        <f t="shared" ref="X526" si="1391">SUM(X524:X525)</f>
        <v>2.7039999999643003</v>
      </c>
      <c r="Y526" s="438">
        <f t="shared" si="1381"/>
        <v>6.3869999999607003</v>
      </c>
    </row>
    <row r="527" spans="1:25" x14ac:dyDescent="0.2">
      <c r="B527" s="380"/>
      <c r="C527" s="460"/>
      <c r="D527" s="460"/>
      <c r="E527" s="460"/>
      <c r="F527" s="460"/>
      <c r="G527" s="460"/>
      <c r="H527" s="460"/>
      <c r="I527" s="460"/>
      <c r="J527" s="460"/>
      <c r="K527" s="460"/>
      <c r="L527" s="460"/>
      <c r="M527" s="460"/>
      <c r="N527" s="460"/>
      <c r="O527" s="460"/>
      <c r="P527" s="460"/>
      <c r="Q527" s="460"/>
      <c r="R527" s="460"/>
      <c r="S527" s="460"/>
      <c r="T527" s="460"/>
      <c r="U527" s="460"/>
      <c r="V527" s="460"/>
      <c r="W527" s="460"/>
      <c r="X527" s="460"/>
      <c r="Y527" s="460"/>
    </row>
    <row r="528" spans="1:25" x14ac:dyDescent="0.2">
      <c r="A528" s="378" t="str">
        <f>name!A74</f>
        <v>Gambling and betting</v>
      </c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</row>
    <row r="529" spans="1:25" x14ac:dyDescent="0.2">
      <c r="A529" s="382" t="s">
        <v>391</v>
      </c>
      <c r="B529" s="437">
        <v>0.91300000000757264</v>
      </c>
      <c r="C529" s="437">
        <v>1.3819999999927981</v>
      </c>
      <c r="D529" s="437">
        <v>0.33800000000761193</v>
      </c>
      <c r="E529" s="437">
        <f>SUM(B529:D529)</f>
        <v>2.6330000000079825</v>
      </c>
      <c r="F529" s="437"/>
      <c r="G529" s="437">
        <v>0.8480000000002581</v>
      </c>
      <c r="H529" s="437">
        <v>1.0859999999949692</v>
      </c>
      <c r="I529" s="437">
        <v>0.3500000000100269</v>
      </c>
      <c r="J529" s="437">
        <f>SUM(G529:I529)</f>
        <v>2.2840000000052543</v>
      </c>
      <c r="K529" s="437"/>
      <c r="L529" s="437">
        <v>1.1009999999864388</v>
      </c>
      <c r="M529" s="437">
        <v>0.51800000000578295</v>
      </c>
      <c r="N529" s="437">
        <v>0.49199999999626787</v>
      </c>
      <c r="O529" s="437">
        <f>SUM(L529:N529)</f>
        <v>2.1109999999884899</v>
      </c>
      <c r="P529" s="437"/>
      <c r="Q529" s="437">
        <v>1.1369999999863414</v>
      </c>
      <c r="R529" s="437">
        <v>0.53500000000591297</v>
      </c>
      <c r="S529" s="437">
        <v>0.53699999999726722</v>
      </c>
      <c r="T529" s="437">
        <f>SUM(Q529:S529)</f>
        <v>2.2089999999895218</v>
      </c>
      <c r="U529" s="437"/>
      <c r="V529" s="437">
        <v>1.1689999999890865</v>
      </c>
      <c r="W529" s="437">
        <v>0.54700000000595694</v>
      </c>
      <c r="X529" s="437">
        <v>0.57199999999753126</v>
      </c>
      <c r="Y529" s="437">
        <f>SUM(V529:X529)</f>
        <v>2.2879999999925746</v>
      </c>
    </row>
    <row r="530" spans="1:25" x14ac:dyDescent="0.2">
      <c r="A530" s="382" t="s">
        <v>390</v>
      </c>
      <c r="B530" s="438">
        <v>1.3839999999967734</v>
      </c>
      <c r="C530" s="438">
        <v>1.2130000000028756</v>
      </c>
      <c r="D530" s="438">
        <v>0.29299999999157761</v>
      </c>
      <c r="E530" s="438">
        <f t="shared" ref="E530:E531" si="1392">SUM(B530:D530)</f>
        <v>2.8899999999912263</v>
      </c>
      <c r="F530" s="438"/>
      <c r="G530" s="438">
        <v>1.6179999999992658</v>
      </c>
      <c r="H530" s="438">
        <v>0.72199999999514386</v>
      </c>
      <c r="I530" s="438">
        <v>0.56200000000210204</v>
      </c>
      <c r="J530" s="438">
        <f t="shared" ref="J530:J531" si="1393">SUM(G530:I530)</f>
        <v>2.9019999999965118</v>
      </c>
      <c r="K530" s="438"/>
      <c r="L530" s="438">
        <v>1.3649999999975617</v>
      </c>
      <c r="M530" s="438">
        <v>0.45800000000101304</v>
      </c>
      <c r="N530" s="438">
        <v>0.45499999998795254</v>
      </c>
      <c r="O530" s="438">
        <f t="shared" ref="O530:O531" si="1394">SUM(L530:N530)</f>
        <v>2.2779999999865272</v>
      </c>
      <c r="P530" s="438"/>
      <c r="Q530" s="438">
        <v>1.4539999999980078</v>
      </c>
      <c r="R530" s="438">
        <v>0.44299999999713757</v>
      </c>
      <c r="S530" s="438">
        <v>0.4479999999854668</v>
      </c>
      <c r="T530" s="438">
        <f t="shared" ref="T530:T531" si="1395">SUM(Q530:S530)</f>
        <v>2.3449999999806121</v>
      </c>
      <c r="U530" s="438"/>
      <c r="V530" s="438">
        <v>1.5319999999986764</v>
      </c>
      <c r="W530" s="438">
        <v>0.42399999999611915</v>
      </c>
      <c r="X530" s="438">
        <v>0.43299999998931343</v>
      </c>
      <c r="Y530" s="438">
        <f t="shared" ref="Y530:Y531" si="1396">SUM(V530:X530)</f>
        <v>2.3889999999841089</v>
      </c>
    </row>
    <row r="531" spans="1:25" x14ac:dyDescent="0.2">
      <c r="A531" s="382" t="s">
        <v>389</v>
      </c>
      <c r="B531" s="438">
        <f>SUM(B529:B530)</f>
        <v>2.297000000004346</v>
      </c>
      <c r="C531" s="438">
        <f t="shared" ref="C531" si="1397">SUM(C529:C530)</f>
        <v>2.5949999999956734</v>
      </c>
      <c r="D531" s="438">
        <f t="shared" ref="D531" si="1398">SUM(D529:D530)</f>
        <v>0.63099999999918954</v>
      </c>
      <c r="E531" s="438">
        <f t="shared" si="1392"/>
        <v>5.5229999999992083</v>
      </c>
      <c r="F531" s="438"/>
      <c r="G531" s="438">
        <f>SUM(G529:G530)</f>
        <v>2.4659999999995241</v>
      </c>
      <c r="H531" s="438">
        <f t="shared" ref="H531" si="1399">SUM(H529:H530)</f>
        <v>1.8079999999901131</v>
      </c>
      <c r="I531" s="438">
        <f t="shared" ref="I531" si="1400">SUM(I529:I530)</f>
        <v>0.91200000001212889</v>
      </c>
      <c r="J531" s="438">
        <f t="shared" si="1393"/>
        <v>5.1860000000017665</v>
      </c>
      <c r="K531" s="438"/>
      <c r="L531" s="438">
        <f>SUM(L529:L530)</f>
        <v>2.4659999999840005</v>
      </c>
      <c r="M531" s="438">
        <f t="shared" ref="M531" si="1401">SUM(M529:M530)</f>
        <v>0.97600000000679599</v>
      </c>
      <c r="N531" s="438">
        <f t="shared" ref="N531" si="1402">SUM(N529:N530)</f>
        <v>0.94699999998422046</v>
      </c>
      <c r="O531" s="438">
        <f t="shared" si="1394"/>
        <v>4.3889999999750167</v>
      </c>
      <c r="P531" s="438"/>
      <c r="Q531" s="438">
        <f>SUM(Q529:Q530)</f>
        <v>2.5909999999843492</v>
      </c>
      <c r="R531" s="438">
        <f t="shared" ref="R531" si="1403">SUM(R529:R530)</f>
        <v>0.97800000000305054</v>
      </c>
      <c r="S531" s="438">
        <f t="shared" ref="S531" si="1404">SUM(S529:S530)</f>
        <v>0.98499999998273402</v>
      </c>
      <c r="T531" s="438">
        <f t="shared" si="1395"/>
        <v>4.5539999999701335</v>
      </c>
      <c r="U531" s="438"/>
      <c r="V531" s="438">
        <f>SUM(V529:V530)</f>
        <v>2.7009999999877632</v>
      </c>
      <c r="W531" s="438">
        <f t="shared" ref="W531" si="1405">SUM(W529:W530)</f>
        <v>0.97100000000207609</v>
      </c>
      <c r="X531" s="438">
        <f t="shared" ref="X531" si="1406">SUM(X529:X530)</f>
        <v>1.0049999999868446</v>
      </c>
      <c r="Y531" s="438">
        <f t="shared" si="1396"/>
        <v>4.676999999976684</v>
      </c>
    </row>
    <row r="532" spans="1:25" x14ac:dyDescent="0.2">
      <c r="B532" s="380"/>
      <c r="C532" s="460"/>
      <c r="D532" s="460"/>
      <c r="E532" s="460"/>
      <c r="F532" s="460"/>
      <c r="G532" s="460"/>
      <c r="H532" s="460"/>
      <c r="I532" s="460"/>
      <c r="J532" s="460"/>
      <c r="K532" s="460"/>
      <c r="L532" s="460"/>
      <c r="M532" s="460"/>
      <c r="N532" s="460"/>
      <c r="O532" s="460"/>
      <c r="P532" s="460"/>
      <c r="Q532" s="460"/>
      <c r="R532" s="460"/>
      <c r="S532" s="460"/>
      <c r="T532" s="460"/>
      <c r="U532" s="460"/>
      <c r="V532" s="460"/>
      <c r="W532" s="460"/>
      <c r="X532" s="460"/>
      <c r="Y532" s="460"/>
    </row>
    <row r="533" spans="1:25" x14ac:dyDescent="0.2">
      <c r="A533" s="378" t="str">
        <f>name!A75</f>
        <v>Sport and recreation</v>
      </c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</row>
    <row r="534" spans="1:25" x14ac:dyDescent="0.2">
      <c r="A534" s="382" t="s">
        <v>391</v>
      </c>
      <c r="B534" s="437">
        <v>3.8350000000264357</v>
      </c>
      <c r="C534" s="437">
        <v>6.0649999999687418</v>
      </c>
      <c r="D534" s="437">
        <v>0.98300000002088206</v>
      </c>
      <c r="E534" s="437">
        <f>SUM(B534:D534)</f>
        <v>10.883000000016059</v>
      </c>
      <c r="F534" s="437"/>
      <c r="G534" s="437">
        <v>3.8519999999987049</v>
      </c>
      <c r="H534" s="437">
        <v>7.6679999999655992</v>
      </c>
      <c r="I534" s="437">
        <v>1.3640000000385417</v>
      </c>
      <c r="J534" s="437">
        <f>SUM(G534:I534)</f>
        <v>12.884000000002846</v>
      </c>
      <c r="K534" s="437"/>
      <c r="L534" s="437">
        <v>4.5489999999449839</v>
      </c>
      <c r="M534" s="437">
        <v>5.9490000000676009</v>
      </c>
      <c r="N534" s="437">
        <v>2.5229999999844024</v>
      </c>
      <c r="O534" s="437">
        <f>SUM(L534:N534)</f>
        <v>13.020999999996988</v>
      </c>
      <c r="P534" s="437"/>
      <c r="Q534" s="437">
        <v>4.6959999999437176</v>
      </c>
      <c r="R534" s="437">
        <v>6.1520000000684147</v>
      </c>
      <c r="S534" s="437">
        <v>2.7539999999885647</v>
      </c>
      <c r="T534" s="437">
        <f>SUM(Q534:S534)</f>
        <v>13.602000000000697</v>
      </c>
      <c r="U534" s="437"/>
      <c r="V534" s="437">
        <v>4.8289999999545907</v>
      </c>
      <c r="W534" s="437">
        <v>6.2910000000683786</v>
      </c>
      <c r="X534" s="437">
        <v>2.9339999999883353</v>
      </c>
      <c r="Y534" s="437">
        <f>SUM(V534:X534)</f>
        <v>14.054000000011305</v>
      </c>
    </row>
    <row r="535" spans="1:25" x14ac:dyDescent="0.2">
      <c r="A535" s="382" t="s">
        <v>390</v>
      </c>
      <c r="B535" s="438">
        <v>5.4779999999881648</v>
      </c>
      <c r="C535" s="438">
        <v>3.2460000000085252</v>
      </c>
      <c r="D535" s="438">
        <v>1.5459999999567917</v>
      </c>
      <c r="E535" s="438">
        <f t="shared" ref="E535:E536" si="1407">SUM(B535:D535)</f>
        <v>10.26999999995348</v>
      </c>
      <c r="F535" s="438"/>
      <c r="G535" s="438">
        <v>6.9239999999952824</v>
      </c>
      <c r="H535" s="438">
        <v>3.106999999979569</v>
      </c>
      <c r="I535" s="438">
        <v>3.9800000000131948</v>
      </c>
      <c r="J535" s="438">
        <f t="shared" ref="J535:J536" si="1408">SUM(G535:I535)</f>
        <v>14.010999999988046</v>
      </c>
      <c r="K535" s="438"/>
      <c r="L535" s="438">
        <v>5.3149999999912172</v>
      </c>
      <c r="M535" s="438">
        <v>3.2120000000084392</v>
      </c>
      <c r="N535" s="438">
        <v>4.2329999998908248</v>
      </c>
      <c r="O535" s="438">
        <f t="shared" ref="O535:O536" si="1409">SUM(L535:N535)</f>
        <v>12.759999999890482</v>
      </c>
      <c r="P535" s="438"/>
      <c r="Q535" s="438">
        <v>5.6619999999918553</v>
      </c>
      <c r="R535" s="438">
        <v>3.1019999999804408</v>
      </c>
      <c r="S535" s="438">
        <v>4.1669999998657934</v>
      </c>
      <c r="T535" s="438">
        <f t="shared" ref="T535:T536" si="1410">SUM(Q535:S535)</f>
        <v>12.93099999983809</v>
      </c>
      <c r="U535" s="438"/>
      <c r="V535" s="438">
        <v>5.9679999999945581</v>
      </c>
      <c r="W535" s="438">
        <v>2.9689999999732293</v>
      </c>
      <c r="X535" s="438">
        <v>4.0349999999006299</v>
      </c>
      <c r="Y535" s="438">
        <f t="shared" ref="Y535:Y536" si="1411">SUM(V535:X535)</f>
        <v>12.971999999868416</v>
      </c>
    </row>
    <row r="536" spans="1:25" x14ac:dyDescent="0.2">
      <c r="A536" s="382" t="s">
        <v>389</v>
      </c>
      <c r="B536" s="438">
        <f>SUM(B534:B535)</f>
        <v>9.3130000000146005</v>
      </c>
      <c r="C536" s="438">
        <f t="shared" ref="C536" si="1412">SUM(C534:C535)</f>
        <v>9.3109999999772661</v>
      </c>
      <c r="D536" s="438">
        <f t="shared" ref="D536" si="1413">SUM(D534:D535)</f>
        <v>2.5289999999776738</v>
      </c>
      <c r="E536" s="438">
        <f t="shared" si="1407"/>
        <v>21.152999999969541</v>
      </c>
      <c r="F536" s="438"/>
      <c r="G536" s="438">
        <f>SUM(G534:G535)</f>
        <v>10.775999999993987</v>
      </c>
      <c r="H536" s="438">
        <f t="shared" ref="H536" si="1414">SUM(H534:H535)</f>
        <v>10.774999999945168</v>
      </c>
      <c r="I536" s="438">
        <f t="shared" ref="I536" si="1415">SUM(I534:I535)</f>
        <v>5.3440000000517367</v>
      </c>
      <c r="J536" s="438">
        <f t="shared" si="1408"/>
        <v>26.89499999999089</v>
      </c>
      <c r="K536" s="438"/>
      <c r="L536" s="438">
        <f>SUM(L534:L535)</f>
        <v>9.8639999999362011</v>
      </c>
      <c r="M536" s="438">
        <f t="shared" ref="M536" si="1416">SUM(M534:M535)</f>
        <v>9.1610000000760401</v>
      </c>
      <c r="N536" s="438">
        <f t="shared" ref="N536" si="1417">SUM(N534:N535)</f>
        <v>6.7559999998752271</v>
      </c>
      <c r="O536" s="438">
        <f t="shared" si="1409"/>
        <v>25.78099999988747</v>
      </c>
      <c r="P536" s="438"/>
      <c r="Q536" s="438">
        <f>SUM(Q534:Q535)</f>
        <v>10.357999999935572</v>
      </c>
      <c r="R536" s="438">
        <f t="shared" ref="R536" si="1418">SUM(R534:R535)</f>
        <v>9.2540000000488547</v>
      </c>
      <c r="S536" s="438">
        <f t="shared" ref="S536" si="1419">SUM(S534:S535)</f>
        <v>6.9209999998543577</v>
      </c>
      <c r="T536" s="438">
        <f t="shared" si="1410"/>
        <v>26.532999999838786</v>
      </c>
      <c r="U536" s="438"/>
      <c r="V536" s="438">
        <f>SUM(V534:V535)</f>
        <v>10.796999999949149</v>
      </c>
      <c r="W536" s="438">
        <f t="shared" ref="W536" si="1420">SUM(W534:W535)</f>
        <v>9.2600000000416074</v>
      </c>
      <c r="X536" s="438">
        <f t="shared" ref="X536" si="1421">SUM(X534:X535)</f>
        <v>6.9689999998889647</v>
      </c>
      <c r="Y536" s="438">
        <f t="shared" si="1411"/>
        <v>27.025999999879723</v>
      </c>
    </row>
    <row r="537" spans="1:25" x14ac:dyDescent="0.2">
      <c r="A537" s="383"/>
    </row>
    <row r="538" spans="1:25" x14ac:dyDescent="0.2">
      <c r="A538" s="383" t="s">
        <v>393</v>
      </c>
    </row>
    <row r="539" spans="1:25" x14ac:dyDescent="0.2">
      <c r="A539" s="377" t="s">
        <v>391</v>
      </c>
      <c r="B539" s="437">
        <f>SUM(B519,B524,B529,B534)</f>
        <v>6.787000000050921</v>
      </c>
      <c r="C539" s="437">
        <f t="shared" ref="C539:D540" si="1422">SUM(C519,C524,C529,C534)</f>
        <v>9.9189999999486584</v>
      </c>
      <c r="D539" s="437">
        <f t="shared" si="1422"/>
        <v>2.5240000000555884</v>
      </c>
      <c r="E539" s="437">
        <f>SUM(B539:D539)</f>
        <v>19.230000000055171</v>
      </c>
      <c r="F539" s="437"/>
      <c r="G539" s="437">
        <f>SUM(G519,G524,G529,G534)</f>
        <v>6.3429999999994617</v>
      </c>
      <c r="H539" s="437">
        <f t="shared" ref="H539:I539" si="1423">SUM(H519,H524,H529,H534)</f>
        <v>10.645999999951803</v>
      </c>
      <c r="I539" s="437">
        <f t="shared" si="1423"/>
        <v>2.8790000000819438</v>
      </c>
      <c r="J539" s="437">
        <f>SUM(G539:I539)</f>
        <v>19.868000000033209</v>
      </c>
      <c r="K539" s="437"/>
      <c r="L539" s="437">
        <f>SUM(L519,L524,L529,L534)</f>
        <v>8.2049999998999521</v>
      </c>
      <c r="M539" s="437">
        <f t="shared" ref="M539:N539" si="1424">SUM(M519,M524,M529,M534)</f>
        <v>8.41300000009511</v>
      </c>
      <c r="N539" s="437">
        <f t="shared" si="1424"/>
        <v>5.6689999999605423</v>
      </c>
      <c r="O539" s="437">
        <f>SUM(L539:N539)</f>
        <v>22.286999999955604</v>
      </c>
      <c r="P539" s="437"/>
      <c r="Q539" s="437">
        <f>SUM(Q519,Q524,Q529,Q534)</f>
        <v>8.7099999998954996</v>
      </c>
      <c r="R539" s="437">
        <f t="shared" ref="R539:S539" si="1425">SUM(R519,R524,R529,R534)</f>
        <v>8.8060000000977503</v>
      </c>
      <c r="S539" s="437">
        <f t="shared" si="1425"/>
        <v>6.4439999999697868</v>
      </c>
      <c r="T539" s="437">
        <f>SUM(Q539:S539)</f>
        <v>23.959999999963035</v>
      </c>
      <c r="U539" s="437"/>
      <c r="V539" s="437">
        <f>SUM(V519,V524,V529,V534)</f>
        <v>9.0929999999147846</v>
      </c>
      <c r="W539" s="437">
        <f t="shared" ref="W539:X539" si="1426">SUM(W519,W524,W529,W534)</f>
        <v>9.0440000000983574</v>
      </c>
      <c r="X539" s="437">
        <f t="shared" si="1426"/>
        <v>6.8269999999715338</v>
      </c>
      <c r="Y539" s="437">
        <f>SUM(V539:X539)</f>
        <v>24.963999999984676</v>
      </c>
    </row>
    <row r="540" spans="1:25" x14ac:dyDescent="0.2">
      <c r="A540" s="377" t="s">
        <v>390</v>
      </c>
      <c r="B540" s="437">
        <f>SUM(B520,B525,B530,B535)</f>
        <v>9.1159999999796852</v>
      </c>
      <c r="C540" s="437">
        <f t="shared" si="1422"/>
        <v>5.5000000000138689</v>
      </c>
      <c r="D540" s="437">
        <f t="shared" si="1422"/>
        <v>3.3049999999062285</v>
      </c>
      <c r="E540" s="437">
        <f t="shared" ref="E540:E541" si="1427">SUM(B540:D540)</f>
        <v>17.920999999899784</v>
      </c>
      <c r="F540" s="437"/>
      <c r="G540" s="437">
        <f>SUM(G520,G525,G530,G535)</f>
        <v>10.196999999993798</v>
      </c>
      <c r="H540" s="437">
        <f t="shared" ref="H540:I540" si="1428">SUM(H520,H525,H530,H535)</f>
        <v>4.2249999999720496</v>
      </c>
      <c r="I540" s="437">
        <f t="shared" si="1428"/>
        <v>6.4550000000224506</v>
      </c>
      <c r="J540" s="437">
        <f t="shared" ref="J540:J541" si="1429">SUM(G540:I540)</f>
        <v>20.8769999999883</v>
      </c>
      <c r="K540" s="437"/>
      <c r="L540" s="437">
        <f>SUM(L520,L525,L530,L535)</f>
        <v>8.2669999999859449</v>
      </c>
      <c r="M540" s="437">
        <f t="shared" ref="M540:N540" si="1430">SUM(M520,M525,M530,M535)</f>
        <v>4.1340000000104782</v>
      </c>
      <c r="N540" s="437">
        <f t="shared" si="1430"/>
        <v>6.9299999998194162</v>
      </c>
      <c r="O540" s="437">
        <f t="shared" ref="O540:O541" si="1431">SUM(L540:N540)</f>
        <v>19.330999999815837</v>
      </c>
      <c r="P540" s="437"/>
      <c r="Q540" s="437">
        <f>SUM(Q520,Q525,Q530,Q535)</f>
        <v>8.9679999999873274</v>
      </c>
      <c r="R540" s="437">
        <f t="shared" ref="R540:S540" si="1432">SUM(R520,R525,R530,R535)</f>
        <v>4.0679999999741989</v>
      </c>
      <c r="S540" s="437">
        <f t="shared" si="1432"/>
        <v>7.2189999997667833</v>
      </c>
      <c r="T540" s="437">
        <f t="shared" ref="T540:T541" si="1433">SUM(Q540:S540)</f>
        <v>20.254999999728309</v>
      </c>
      <c r="U540" s="437"/>
      <c r="V540" s="437">
        <f>SUM(V520,V525,V530,V535)</f>
        <v>9.5239999999914868</v>
      </c>
      <c r="W540" s="437">
        <f t="shared" ref="W540:X540" si="1434">SUM(W520,W525,W530,W535)</f>
        <v>3.9489999999642595</v>
      </c>
      <c r="X540" s="437">
        <f t="shared" si="1434"/>
        <v>7.1559999998236048</v>
      </c>
      <c r="Y540" s="437">
        <f t="shared" ref="Y540:Y541" si="1435">SUM(V540:X540)</f>
        <v>20.628999999779353</v>
      </c>
    </row>
    <row r="541" spans="1:25" x14ac:dyDescent="0.2">
      <c r="A541" s="381" t="s">
        <v>389</v>
      </c>
      <c r="B541" s="439">
        <f>SUM(B539:B540)</f>
        <v>15.903000000030605</v>
      </c>
      <c r="C541" s="439">
        <f t="shared" ref="C541" si="1436">SUM(C539:C540)</f>
        <v>15.418999999962526</v>
      </c>
      <c r="D541" s="439">
        <f t="shared" ref="D541" si="1437">SUM(D539:D540)</f>
        <v>5.8289999999618169</v>
      </c>
      <c r="E541" s="439">
        <f t="shared" si="1427"/>
        <v>37.150999999954948</v>
      </c>
      <c r="F541" s="439"/>
      <c r="G541" s="439">
        <f>SUM(G539:G540)</f>
        <v>16.53999999999326</v>
      </c>
      <c r="H541" s="439">
        <f t="shared" ref="H541" si="1438">SUM(H539:H540)</f>
        <v>14.870999999923853</v>
      </c>
      <c r="I541" s="439">
        <f t="shared" ref="I541" si="1439">SUM(I539:I540)</f>
        <v>9.3340000001043943</v>
      </c>
      <c r="J541" s="439">
        <f t="shared" si="1429"/>
        <v>40.745000000021506</v>
      </c>
      <c r="K541" s="439"/>
      <c r="L541" s="439">
        <f>SUM(L539:L540)</f>
        <v>16.471999999885895</v>
      </c>
      <c r="M541" s="439">
        <f t="shared" ref="M541" si="1440">SUM(M539:M540)</f>
        <v>12.547000000105587</v>
      </c>
      <c r="N541" s="439">
        <f t="shared" ref="N541" si="1441">SUM(N539:N540)</f>
        <v>12.598999999779959</v>
      </c>
      <c r="O541" s="439">
        <f t="shared" si="1431"/>
        <v>41.617999999771442</v>
      </c>
      <c r="P541" s="439"/>
      <c r="Q541" s="439">
        <f>SUM(Q539:Q540)</f>
        <v>17.677999999882829</v>
      </c>
      <c r="R541" s="439">
        <f t="shared" ref="R541" si="1442">SUM(R539:R540)</f>
        <v>12.874000000071948</v>
      </c>
      <c r="S541" s="439">
        <f t="shared" ref="S541" si="1443">SUM(S539:S540)</f>
        <v>13.66299999973657</v>
      </c>
      <c r="T541" s="439">
        <f t="shared" si="1433"/>
        <v>44.214999999691344</v>
      </c>
      <c r="U541" s="439"/>
      <c r="V541" s="439">
        <f>SUM(V539:V540)</f>
        <v>18.61699999990627</v>
      </c>
      <c r="W541" s="439">
        <f t="shared" ref="W541" si="1444">SUM(W539:W540)</f>
        <v>12.993000000062617</v>
      </c>
      <c r="X541" s="439">
        <f t="shared" ref="X541" si="1445">SUM(X539:X540)</f>
        <v>13.982999999795139</v>
      </c>
      <c r="Y541" s="439">
        <f t="shared" si="1435"/>
        <v>45.592999999764025</v>
      </c>
    </row>
    <row r="545" spans="1:25" ht="15" x14ac:dyDescent="0.25">
      <c r="A545" s="385" t="str">
        <f>"Industry 22 : "&amp; name!B25</f>
        <v>Industry 22 : Other services</v>
      </c>
      <c r="B545" s="516">
        <f>$B$5</f>
        <v>2007</v>
      </c>
      <c r="C545" s="516"/>
      <c r="D545" s="516"/>
      <c r="E545" s="516"/>
      <c r="F545" s="461"/>
      <c r="G545" s="516">
        <f>$G$5</f>
        <v>2012</v>
      </c>
      <c r="H545" s="516"/>
      <c r="I545" s="516"/>
      <c r="J545" s="516"/>
      <c r="K545" s="461"/>
      <c r="L545" s="516">
        <f>$L$5</f>
        <v>2017</v>
      </c>
      <c r="M545" s="516"/>
      <c r="N545" s="516"/>
      <c r="O545" s="516"/>
      <c r="P545" s="459"/>
      <c r="Q545" s="516">
        <f>$Q$5</f>
        <v>2022</v>
      </c>
      <c r="R545" s="516"/>
      <c r="S545" s="516"/>
      <c r="T545" s="516"/>
      <c r="U545" s="461"/>
      <c r="V545" s="516">
        <f>$V$5</f>
        <v>2027</v>
      </c>
      <c r="W545" s="516"/>
      <c r="X545" s="516"/>
      <c r="Y545" s="516"/>
    </row>
    <row r="546" spans="1:25" x14ac:dyDescent="0.2">
      <c r="A546" s="381"/>
      <c r="B546" s="388" t="str">
        <f>$B$6</f>
        <v>FT</v>
      </c>
      <c r="C546" s="388" t="str">
        <f>$C$6</f>
        <v>PT</v>
      </c>
      <c r="D546" s="388" t="str">
        <f>$D$6</f>
        <v>SE</v>
      </c>
      <c r="E546" s="388" t="str">
        <f>$E$6</f>
        <v>Total</v>
      </c>
      <c r="F546" s="388"/>
      <c r="G546" s="388" t="str">
        <f>$B$6</f>
        <v>FT</v>
      </c>
      <c r="H546" s="388" t="str">
        <f>$C$6</f>
        <v>PT</v>
      </c>
      <c r="I546" s="388" t="str">
        <f>$D$6</f>
        <v>SE</v>
      </c>
      <c r="J546" s="388" t="str">
        <f>$E$6</f>
        <v>Total</v>
      </c>
      <c r="K546" s="388"/>
      <c r="L546" s="388" t="str">
        <f>$L$6</f>
        <v>FT</v>
      </c>
      <c r="M546" s="388" t="str">
        <f>$M$6</f>
        <v>PT</v>
      </c>
      <c r="N546" s="388" t="str">
        <f>$N$6</f>
        <v>SE</v>
      </c>
      <c r="O546" s="388" t="str">
        <f>$O$6</f>
        <v>Total</v>
      </c>
      <c r="P546" s="388"/>
      <c r="Q546" s="388" t="str">
        <f>$L$6</f>
        <v>FT</v>
      </c>
      <c r="R546" s="388" t="str">
        <f>$M$6</f>
        <v>PT</v>
      </c>
      <c r="S546" s="388" t="str">
        <f>$N$6</f>
        <v>SE</v>
      </c>
      <c r="T546" s="388" t="str">
        <f>$O$6</f>
        <v>Total</v>
      </c>
      <c r="U546" s="388"/>
      <c r="V546" s="388" t="str">
        <f>$V$6</f>
        <v>FT</v>
      </c>
      <c r="W546" s="388" t="str">
        <f>$W$6</f>
        <v>PT</v>
      </c>
      <c r="X546" s="388" t="str">
        <f>$X$6</f>
        <v>SE</v>
      </c>
      <c r="Y546" s="388" t="str">
        <f>$Y$6</f>
        <v>Total</v>
      </c>
    </row>
    <row r="547" spans="1:25" x14ac:dyDescent="0.2">
      <c r="B547" s="380"/>
      <c r="C547" s="460"/>
      <c r="D547" s="460"/>
      <c r="E547" s="460"/>
      <c r="F547" s="460"/>
      <c r="G547" s="460"/>
      <c r="H547" s="460"/>
      <c r="I547" s="460"/>
      <c r="J547" s="460"/>
      <c r="K547" s="460"/>
      <c r="L547" s="460"/>
      <c r="M547" s="460"/>
      <c r="N547" s="460"/>
      <c r="O547" s="460"/>
      <c r="P547" s="460"/>
      <c r="Q547" s="460"/>
      <c r="R547" s="460"/>
      <c r="S547" s="460"/>
      <c r="T547" s="460"/>
      <c r="U547" s="460"/>
      <c r="V547" s="460"/>
      <c r="W547" s="460"/>
      <c r="X547" s="460"/>
      <c r="Y547" s="460"/>
    </row>
    <row r="548" spans="1:25" x14ac:dyDescent="0.2">
      <c r="A548" s="378" t="str">
        <f>name!A76</f>
        <v>Membership organisations</v>
      </c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</row>
    <row r="549" spans="1:25" x14ac:dyDescent="0.2">
      <c r="A549" s="382" t="s">
        <v>391</v>
      </c>
      <c r="B549" s="437">
        <v>4.1370000000629972</v>
      </c>
      <c r="C549" s="437">
        <v>5.840999999937468</v>
      </c>
      <c r="D549" s="437">
        <v>3.0300000000251952</v>
      </c>
      <c r="E549" s="437">
        <f>SUM(B549:D549)</f>
        <v>13.00800000002566</v>
      </c>
      <c r="F549" s="437"/>
      <c r="G549" s="437">
        <v>4.5560000000229453</v>
      </c>
      <c r="H549" s="437">
        <v>4.6399999999705734</v>
      </c>
      <c r="I549" s="437">
        <v>3.9360000000709872</v>
      </c>
      <c r="J549" s="437">
        <f>SUM(G549:I549)</f>
        <v>13.132000000064505</v>
      </c>
      <c r="K549" s="437"/>
      <c r="L549" s="437">
        <v>3.9339999999423103</v>
      </c>
      <c r="M549" s="437">
        <v>2.9050000000043288</v>
      </c>
      <c r="N549" s="437">
        <v>5.2389999999671941</v>
      </c>
      <c r="O549" s="437">
        <f>SUM(L549:N549)</f>
        <v>12.077999999913832</v>
      </c>
      <c r="P549" s="437"/>
      <c r="Q549" s="437">
        <v>3.978999999950843</v>
      </c>
      <c r="R549" s="437">
        <v>2.960000000010913</v>
      </c>
      <c r="S549" s="437">
        <v>5.3669999999580105</v>
      </c>
      <c r="T549" s="437">
        <f>SUM(Q549:S549)</f>
        <v>12.305999999919766</v>
      </c>
      <c r="U549" s="437"/>
      <c r="V549" s="437">
        <v>3.9249999999625262</v>
      </c>
      <c r="W549" s="437">
        <v>2.95100000001452</v>
      </c>
      <c r="X549" s="437">
        <v>5.3039999999649989</v>
      </c>
      <c r="Y549" s="437">
        <f>SUM(V549:X549)</f>
        <v>12.179999999942044</v>
      </c>
    </row>
    <row r="550" spans="1:25" x14ac:dyDescent="0.2">
      <c r="A550" s="382" t="s">
        <v>390</v>
      </c>
      <c r="B550" s="438">
        <v>2.2639999999898328</v>
      </c>
      <c r="C550" s="438">
        <v>2.3240000000190744</v>
      </c>
      <c r="D550" s="438">
        <v>1.4769999999671883</v>
      </c>
      <c r="E550" s="438">
        <f t="shared" ref="E550:E551" si="1446">SUM(B550:D550)</f>
        <v>6.064999999976096</v>
      </c>
      <c r="F550" s="438"/>
      <c r="G550" s="438">
        <v>2.8810000000451894</v>
      </c>
      <c r="H550" s="438">
        <v>1.3050000000095545</v>
      </c>
      <c r="I550" s="438">
        <v>2.964000000011882</v>
      </c>
      <c r="J550" s="438">
        <f t="shared" ref="J550:J551" si="1447">SUM(G550:I550)</f>
        <v>7.1500000000666262</v>
      </c>
      <c r="K550" s="438"/>
      <c r="L550" s="438">
        <v>1.3559999999844794</v>
      </c>
      <c r="M550" s="438">
        <v>0.30800000000243205</v>
      </c>
      <c r="N550" s="438">
        <v>2.4569999999659013</v>
      </c>
      <c r="O550" s="438">
        <f t="shared" ref="O550:O551" si="1448">SUM(L550:N550)</f>
        <v>4.1209999999528133</v>
      </c>
      <c r="P550" s="438"/>
      <c r="Q550" s="438">
        <v>1.5030000000156276</v>
      </c>
      <c r="R550" s="438">
        <v>0.31000000000110728</v>
      </c>
      <c r="S550" s="438">
        <v>2.413999999964084</v>
      </c>
      <c r="T550" s="438">
        <f t="shared" ref="T550:T551" si="1449">SUM(Q550:S550)</f>
        <v>4.2269999999808192</v>
      </c>
      <c r="U550" s="438"/>
      <c r="V550" s="438">
        <v>1.6180000000198504</v>
      </c>
      <c r="W550" s="438">
        <v>0.30800000000031696</v>
      </c>
      <c r="X550" s="438">
        <v>2.3259999999765979</v>
      </c>
      <c r="Y550" s="438">
        <f t="shared" ref="Y550:Y551" si="1450">SUM(V550:X550)</f>
        <v>4.251999999996765</v>
      </c>
    </row>
    <row r="551" spans="1:25" x14ac:dyDescent="0.2">
      <c r="A551" s="382" t="s">
        <v>389</v>
      </c>
      <c r="B551" s="438">
        <f>SUM(B549:B550)</f>
        <v>6.4010000000528304</v>
      </c>
      <c r="C551" s="438">
        <f t="shared" ref="C551" si="1451">SUM(C549:C550)</f>
        <v>8.1649999999565424</v>
      </c>
      <c r="D551" s="438">
        <f t="shared" ref="D551" si="1452">SUM(D549:D550)</f>
        <v>4.5069999999923835</v>
      </c>
      <c r="E551" s="438">
        <f t="shared" si="1446"/>
        <v>19.073000000001755</v>
      </c>
      <c r="F551" s="438"/>
      <c r="G551" s="438">
        <f>SUM(G549:G550)</f>
        <v>7.4370000000681351</v>
      </c>
      <c r="H551" s="438">
        <f t="shared" ref="H551" si="1453">SUM(H549:H550)</f>
        <v>5.9449999999801282</v>
      </c>
      <c r="I551" s="438">
        <f t="shared" ref="I551" si="1454">SUM(I549:I550)</f>
        <v>6.9000000000828692</v>
      </c>
      <c r="J551" s="438">
        <f t="shared" si="1447"/>
        <v>20.282000000131134</v>
      </c>
      <c r="K551" s="438"/>
      <c r="L551" s="438">
        <f>SUM(L549:L550)</f>
        <v>5.2899999999267902</v>
      </c>
      <c r="M551" s="438">
        <f t="shared" ref="M551" si="1455">SUM(M549:M550)</f>
        <v>3.2130000000067609</v>
      </c>
      <c r="N551" s="438">
        <f t="shared" ref="N551" si="1456">SUM(N549:N550)</f>
        <v>7.695999999933095</v>
      </c>
      <c r="O551" s="438">
        <f t="shared" si="1448"/>
        <v>16.198999999866643</v>
      </c>
      <c r="P551" s="438"/>
      <c r="Q551" s="438">
        <f>SUM(Q549:Q550)</f>
        <v>5.4819999999664706</v>
      </c>
      <c r="R551" s="438">
        <f t="shared" ref="R551" si="1457">SUM(R549:R550)</f>
        <v>3.2700000000120202</v>
      </c>
      <c r="S551" s="438">
        <f t="shared" ref="S551" si="1458">SUM(S549:S550)</f>
        <v>7.7809999999220949</v>
      </c>
      <c r="T551" s="438">
        <f t="shared" si="1449"/>
        <v>16.532999999900586</v>
      </c>
      <c r="U551" s="438"/>
      <c r="V551" s="438">
        <f>SUM(V549:V550)</f>
        <v>5.5429999999823769</v>
      </c>
      <c r="W551" s="438">
        <f t="shared" ref="W551" si="1459">SUM(W549:W550)</f>
        <v>3.2590000000148369</v>
      </c>
      <c r="X551" s="438">
        <f t="shared" ref="X551" si="1460">SUM(X549:X550)</f>
        <v>7.6299999999415968</v>
      </c>
      <c r="Y551" s="438">
        <f t="shared" si="1450"/>
        <v>16.43199999993881</v>
      </c>
    </row>
    <row r="552" spans="1:25" x14ac:dyDescent="0.2">
      <c r="B552" s="380"/>
      <c r="C552" s="460"/>
      <c r="D552" s="460"/>
      <c r="E552" s="460"/>
      <c r="F552" s="460"/>
      <c r="G552" s="460"/>
      <c r="H552" s="460"/>
      <c r="I552" s="460"/>
      <c r="J552" s="460"/>
      <c r="K552" s="460"/>
      <c r="L552" s="460"/>
      <c r="M552" s="460"/>
      <c r="N552" s="460"/>
      <c r="O552" s="460"/>
      <c r="P552" s="460"/>
      <c r="Q552" s="460"/>
      <c r="R552" s="460"/>
      <c r="S552" s="460"/>
      <c r="T552" s="460"/>
      <c r="U552" s="460"/>
      <c r="V552" s="460"/>
      <c r="W552" s="460"/>
      <c r="X552" s="460"/>
      <c r="Y552" s="460"/>
    </row>
    <row r="553" spans="1:25" x14ac:dyDescent="0.2">
      <c r="A553" s="378" t="str">
        <f>name!A77</f>
        <v>Repair of goods</v>
      </c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</row>
    <row r="554" spans="1:25" x14ac:dyDescent="0.2">
      <c r="A554" s="382" t="s">
        <v>391</v>
      </c>
      <c r="B554" s="437">
        <v>0.44499999999382128</v>
      </c>
      <c r="C554" s="437">
        <v>0.66600000001320281</v>
      </c>
      <c r="D554" s="437">
        <v>0.13800000000184579</v>
      </c>
      <c r="E554" s="437">
        <f>SUM(B554:D554)</f>
        <v>1.2490000000088699</v>
      </c>
      <c r="F554" s="437"/>
      <c r="G554" s="437">
        <v>0.38699999999448154</v>
      </c>
      <c r="H554" s="437">
        <v>9.3000000002432012E-2</v>
      </c>
      <c r="I554" s="437">
        <v>0.10300000000165779</v>
      </c>
      <c r="J554" s="437">
        <f>SUM(G554:I554)</f>
        <v>0.58299999999857133</v>
      </c>
      <c r="K554" s="437"/>
      <c r="L554" s="437">
        <v>0.66399999999316994</v>
      </c>
      <c r="M554" s="437">
        <v>1.3000000000882741E-2</v>
      </c>
      <c r="N554" s="437">
        <v>0.26000000000304746</v>
      </c>
      <c r="O554" s="437">
        <f>SUM(L554:N554)</f>
        <v>0.93699999999710015</v>
      </c>
      <c r="P554" s="437"/>
      <c r="Q554" s="437">
        <v>0.67199999999044135</v>
      </c>
      <c r="R554" s="437">
        <v>1.4000000000638224E-2</v>
      </c>
      <c r="S554" s="437">
        <v>0.26600000000332824</v>
      </c>
      <c r="T554" s="437">
        <f>SUM(Q554:S554)</f>
        <v>0.95199999999440776</v>
      </c>
      <c r="U554" s="437"/>
      <c r="V554" s="437">
        <v>0.66299999999224002</v>
      </c>
      <c r="W554" s="437">
        <v>1.4000000000610436E-2</v>
      </c>
      <c r="X554" s="437">
        <v>0.26300000000346663</v>
      </c>
      <c r="Y554" s="437">
        <f>SUM(V554:X554)</f>
        <v>0.93999999999631711</v>
      </c>
    </row>
    <row r="555" spans="1:25" x14ac:dyDescent="0.2">
      <c r="A555" s="382" t="s">
        <v>390</v>
      </c>
      <c r="B555" s="438">
        <v>0.38499999999834411</v>
      </c>
      <c r="C555" s="438">
        <v>0.14399999999863533</v>
      </c>
      <c r="D555" s="438">
        <v>0.32299999999616841</v>
      </c>
      <c r="E555" s="438">
        <f t="shared" ref="E555:E556" si="1461">SUM(B555:D555)</f>
        <v>0.85199999999314779</v>
      </c>
      <c r="F555" s="438"/>
      <c r="G555" s="438">
        <v>0.38600000000113149</v>
      </c>
      <c r="H555" s="438">
        <v>1.3999999999710522E-2</v>
      </c>
      <c r="I555" s="438">
        <v>0.37099999999839867</v>
      </c>
      <c r="J555" s="438">
        <f t="shared" ref="J555:J556" si="1462">SUM(G555:I555)</f>
        <v>0.77099999999924074</v>
      </c>
      <c r="K555" s="438"/>
      <c r="L555" s="438">
        <v>0.36199999999659754</v>
      </c>
      <c r="M555" s="438">
        <v>1.0000000000003743E-3</v>
      </c>
      <c r="N555" s="438">
        <v>0.58199999999382179</v>
      </c>
      <c r="O555" s="438">
        <f t="shared" ref="O555:O556" si="1463">SUM(L555:N555)</f>
        <v>0.94499999999041973</v>
      </c>
      <c r="P555" s="438"/>
      <c r="Q555" s="438">
        <v>0.40100000000139779</v>
      </c>
      <c r="R555" s="438">
        <v>9.9999999998488776E-4</v>
      </c>
      <c r="S555" s="438">
        <v>0.57199999999331341</v>
      </c>
      <c r="T555" s="438">
        <f t="shared" ref="T555:T556" si="1464">SUM(Q555:S555)</f>
        <v>0.97399999999469611</v>
      </c>
      <c r="U555" s="438"/>
      <c r="V555" s="438">
        <v>0.43200000000265348</v>
      </c>
      <c r="W555" s="438">
        <v>9.9999999998153996E-4</v>
      </c>
      <c r="X555" s="438">
        <v>0.55099999999569782</v>
      </c>
      <c r="Y555" s="438">
        <f t="shared" ref="Y555:Y556" si="1465">SUM(V555:X555)</f>
        <v>0.98399999999833287</v>
      </c>
    </row>
    <row r="556" spans="1:25" x14ac:dyDescent="0.2">
      <c r="A556" s="382" t="s">
        <v>389</v>
      </c>
      <c r="B556" s="438">
        <f>SUM(B554:B555)</f>
        <v>0.82999999999216545</v>
      </c>
      <c r="C556" s="438">
        <f t="shared" ref="C556" si="1466">SUM(C554:C555)</f>
        <v>0.81000000001183814</v>
      </c>
      <c r="D556" s="438">
        <f t="shared" ref="D556" si="1467">SUM(D554:D555)</f>
        <v>0.46099999999801422</v>
      </c>
      <c r="E556" s="438">
        <f t="shared" si="1461"/>
        <v>2.1010000000020179</v>
      </c>
      <c r="F556" s="438"/>
      <c r="G556" s="438">
        <f>SUM(G554:G555)</f>
        <v>0.77299999999561297</v>
      </c>
      <c r="H556" s="438">
        <f t="shared" ref="H556" si="1468">SUM(H554:H555)</f>
        <v>0.10700000000214253</v>
      </c>
      <c r="I556" s="438">
        <f t="shared" ref="I556" si="1469">SUM(I554:I555)</f>
        <v>0.47400000000005649</v>
      </c>
      <c r="J556" s="438">
        <f t="shared" si="1462"/>
        <v>1.3539999999978121</v>
      </c>
      <c r="K556" s="438"/>
      <c r="L556" s="438">
        <f>SUM(L554:L555)</f>
        <v>1.0259999999897675</v>
      </c>
      <c r="M556" s="438">
        <f t="shared" ref="M556" si="1470">SUM(M554:M555)</f>
        <v>1.4000000000883115E-2</v>
      </c>
      <c r="N556" s="438">
        <f t="shared" ref="N556" si="1471">SUM(N554:N555)</f>
        <v>0.84199999999686925</v>
      </c>
      <c r="O556" s="438">
        <f t="shared" si="1463"/>
        <v>1.8819999999875199</v>
      </c>
      <c r="P556" s="438"/>
      <c r="Q556" s="438">
        <f>SUM(Q554:Q555)</f>
        <v>1.0729999999918391</v>
      </c>
      <c r="R556" s="438">
        <f t="shared" ref="R556" si="1472">SUM(R554:R555)</f>
        <v>1.5000000000623112E-2</v>
      </c>
      <c r="S556" s="438">
        <f t="shared" ref="S556" si="1473">SUM(S554:S555)</f>
        <v>0.83799999999664165</v>
      </c>
      <c r="T556" s="438">
        <f t="shared" si="1464"/>
        <v>1.925999999989104</v>
      </c>
      <c r="U556" s="438"/>
      <c r="V556" s="438">
        <f>SUM(V554:V555)</f>
        <v>1.0949999999948936</v>
      </c>
      <c r="W556" s="438">
        <f t="shared" ref="W556" si="1474">SUM(W554:W555)</f>
        <v>1.5000000000591976E-2</v>
      </c>
      <c r="X556" s="438">
        <f t="shared" ref="X556" si="1475">SUM(X554:X555)</f>
        <v>0.8139999999991645</v>
      </c>
      <c r="Y556" s="438">
        <f t="shared" si="1465"/>
        <v>1.92399999999465</v>
      </c>
    </row>
    <row r="557" spans="1:25" x14ac:dyDescent="0.2">
      <c r="B557" s="380"/>
      <c r="C557" s="460"/>
      <c r="D557" s="460"/>
      <c r="E557" s="460"/>
      <c r="F557" s="460"/>
      <c r="G557" s="460"/>
      <c r="H557" s="460"/>
      <c r="I557" s="460"/>
      <c r="J557" s="460"/>
      <c r="K557" s="460"/>
      <c r="L557" s="460"/>
      <c r="M557" s="460"/>
      <c r="N557" s="460"/>
      <c r="O557" s="460"/>
      <c r="P557" s="460"/>
      <c r="Q557" s="460"/>
      <c r="R557" s="460"/>
      <c r="S557" s="460"/>
      <c r="T557" s="460"/>
      <c r="U557" s="460"/>
      <c r="V557" s="460"/>
      <c r="W557" s="460"/>
      <c r="X557" s="460"/>
      <c r="Y557" s="460"/>
    </row>
    <row r="558" spans="1:25" x14ac:dyDescent="0.2">
      <c r="A558" s="378" t="str">
        <f>name!A78</f>
        <v>Other personal service</v>
      </c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</row>
    <row r="559" spans="1:25" x14ac:dyDescent="0.2">
      <c r="A559" s="382" t="s">
        <v>391</v>
      </c>
      <c r="B559" s="437">
        <v>2.1629999999667615</v>
      </c>
      <c r="C559" s="437">
        <v>2.4419999999786599</v>
      </c>
      <c r="D559" s="437">
        <v>3.0330000000181663</v>
      </c>
      <c r="E559" s="437">
        <f>SUM(B559:D559)</f>
        <v>7.6379999999635881</v>
      </c>
      <c r="F559" s="437"/>
      <c r="G559" s="437">
        <v>1.8549999999692255</v>
      </c>
      <c r="H559" s="437">
        <v>2.2749999999886978</v>
      </c>
      <c r="I559" s="437">
        <v>3.6200000000653936</v>
      </c>
      <c r="J559" s="437">
        <f>SUM(G559:I559)</f>
        <v>7.7500000000233165</v>
      </c>
      <c r="K559" s="437"/>
      <c r="L559" s="437">
        <v>3.0180000000080218</v>
      </c>
      <c r="M559" s="437">
        <v>3.4150000000797953</v>
      </c>
      <c r="N559" s="437">
        <v>10.108000000238503</v>
      </c>
      <c r="O559" s="437">
        <f>SUM(L559:N559)</f>
        <v>16.541000000326321</v>
      </c>
      <c r="P559" s="437"/>
      <c r="Q559" s="437">
        <v>3.0519999999928515</v>
      </c>
      <c r="R559" s="437">
        <v>3.4790000000629977</v>
      </c>
      <c r="S559" s="437">
        <v>10.356000000212219</v>
      </c>
      <c r="T559" s="437">
        <f>SUM(Q559:S559)</f>
        <v>16.887000000268067</v>
      </c>
      <c r="U559" s="437"/>
      <c r="V559" s="437">
        <v>3.0109999999933845</v>
      </c>
      <c r="W559" s="437">
        <v>3.469000000057652</v>
      </c>
      <c r="X559" s="437">
        <v>10.233000000149312</v>
      </c>
      <c r="Y559" s="437">
        <f>SUM(V559:X559)</f>
        <v>16.713000000200349</v>
      </c>
    </row>
    <row r="560" spans="1:25" x14ac:dyDescent="0.2">
      <c r="A560" s="382" t="s">
        <v>390</v>
      </c>
      <c r="B560" s="438">
        <v>4.8380000000139374</v>
      </c>
      <c r="C560" s="438">
        <v>1.8720000000147095</v>
      </c>
      <c r="D560" s="438">
        <v>1.36599999998403</v>
      </c>
      <c r="E560" s="438">
        <f t="shared" ref="E560:E561" si="1476">SUM(B560:D560)</f>
        <v>8.0760000000126766</v>
      </c>
      <c r="F560" s="438"/>
      <c r="G560" s="438">
        <v>4.7949999999674375</v>
      </c>
      <c r="H560" s="438">
        <v>1.2329999999970995</v>
      </c>
      <c r="I560" s="438">
        <v>2.5179999999767819</v>
      </c>
      <c r="J560" s="438">
        <f t="shared" ref="J560:J561" si="1477">SUM(G560:I560)</f>
        <v>8.5459999999413192</v>
      </c>
      <c r="K560" s="438"/>
      <c r="L560" s="438">
        <v>4.2510000000058232</v>
      </c>
      <c r="M560" s="438">
        <v>0.69800000000425488</v>
      </c>
      <c r="N560" s="438">
        <v>4.3779999999610908</v>
      </c>
      <c r="O560" s="438">
        <f t="shared" ref="O560:O561" si="1478">SUM(L560:N560)</f>
        <v>9.3269999999711679</v>
      </c>
      <c r="P560" s="438"/>
      <c r="Q560" s="438">
        <v>4.7109999999807233</v>
      </c>
      <c r="R560" s="438">
        <v>0.70200000000010421</v>
      </c>
      <c r="S560" s="438">
        <v>4.300999999886165</v>
      </c>
      <c r="T560" s="438">
        <f t="shared" ref="T560:T561" si="1479">SUM(Q560:S560)</f>
        <v>9.7139999998669921</v>
      </c>
      <c r="U560" s="438"/>
      <c r="V560" s="438">
        <v>5.072999999975818</v>
      </c>
      <c r="W560" s="438">
        <v>0.69699999999977413</v>
      </c>
      <c r="X560" s="438">
        <v>4.14499999990523</v>
      </c>
      <c r="Y560" s="438">
        <f t="shared" ref="Y560:Y561" si="1480">SUM(V560:X560)</f>
        <v>9.9149999998808234</v>
      </c>
    </row>
    <row r="561" spans="1:25" x14ac:dyDescent="0.2">
      <c r="A561" s="382" t="s">
        <v>389</v>
      </c>
      <c r="B561" s="438">
        <f>SUM(B559:B560)</f>
        <v>7.0009999999806993</v>
      </c>
      <c r="C561" s="438">
        <f t="shared" ref="C561" si="1481">SUM(C559:C560)</f>
        <v>4.3139999999933689</v>
      </c>
      <c r="D561" s="438">
        <f t="shared" ref="D561" si="1482">SUM(D559:D560)</f>
        <v>4.3990000000021965</v>
      </c>
      <c r="E561" s="438">
        <f t="shared" si="1476"/>
        <v>15.713999999976265</v>
      </c>
      <c r="F561" s="438"/>
      <c r="G561" s="438">
        <f>SUM(G559:G560)</f>
        <v>6.6499999999366626</v>
      </c>
      <c r="H561" s="438">
        <f t="shared" ref="H561" si="1483">SUM(H559:H560)</f>
        <v>3.5079999999857971</v>
      </c>
      <c r="I561" s="438">
        <f t="shared" ref="I561" si="1484">SUM(I559:I560)</f>
        <v>6.1380000000421759</v>
      </c>
      <c r="J561" s="438">
        <f t="shared" si="1477"/>
        <v>16.295999999964636</v>
      </c>
      <c r="K561" s="438"/>
      <c r="L561" s="438">
        <f>SUM(L559:L560)</f>
        <v>7.2690000000138451</v>
      </c>
      <c r="M561" s="438">
        <f t="shared" ref="M561" si="1485">SUM(M559:M560)</f>
        <v>4.1130000000840505</v>
      </c>
      <c r="N561" s="438">
        <f t="shared" ref="N561" si="1486">SUM(N559:N560)</f>
        <v>14.486000000199594</v>
      </c>
      <c r="O561" s="438">
        <f t="shared" si="1478"/>
        <v>25.868000000297492</v>
      </c>
      <c r="P561" s="438"/>
      <c r="Q561" s="438">
        <f>SUM(Q559:Q560)</f>
        <v>7.7629999999735748</v>
      </c>
      <c r="R561" s="438">
        <f t="shared" ref="R561" si="1487">SUM(R559:R560)</f>
        <v>4.1810000000631016</v>
      </c>
      <c r="S561" s="438">
        <f t="shared" ref="S561" si="1488">SUM(S559:S560)</f>
        <v>14.657000000098385</v>
      </c>
      <c r="T561" s="438">
        <f t="shared" si="1479"/>
        <v>26.601000000135063</v>
      </c>
      <c r="U561" s="438"/>
      <c r="V561" s="438">
        <f>SUM(V559:V560)</f>
        <v>8.0839999999692029</v>
      </c>
      <c r="W561" s="438">
        <f t="shared" ref="W561" si="1489">SUM(W559:W560)</f>
        <v>4.1660000000574264</v>
      </c>
      <c r="X561" s="438">
        <f t="shared" ref="X561" si="1490">SUM(X559:X560)</f>
        <v>14.378000000054541</v>
      </c>
      <c r="Y561" s="438">
        <f t="shared" si="1480"/>
        <v>26.628000000081173</v>
      </c>
    </row>
    <row r="562" spans="1:25" x14ac:dyDescent="0.2">
      <c r="A562" s="383"/>
      <c r="C562" s="453"/>
    </row>
    <row r="563" spans="1:25" x14ac:dyDescent="0.2">
      <c r="A563" s="383" t="s">
        <v>392</v>
      </c>
      <c r="C563" s="453"/>
    </row>
    <row r="564" spans="1:25" x14ac:dyDescent="0.2">
      <c r="A564" s="377" t="s">
        <v>391</v>
      </c>
      <c r="B564" s="437">
        <f>SUM(B549,B554,B559)</f>
        <v>6.7450000000235804</v>
      </c>
      <c r="C564" s="437">
        <f t="shared" ref="C564:D564" si="1491">SUM(C549,C554,C559)</f>
        <v>8.948999999929331</v>
      </c>
      <c r="D564" s="437">
        <f t="shared" si="1491"/>
        <v>6.201000000045207</v>
      </c>
      <c r="E564" s="437">
        <f>SUM(B564:D564)</f>
        <v>21.89499999999812</v>
      </c>
      <c r="F564" s="437"/>
      <c r="G564" s="437">
        <f>SUM(G549,G554,G559)</f>
        <v>6.7979999999866525</v>
      </c>
      <c r="H564" s="437">
        <f t="shared" ref="H564:I564" si="1492">SUM(H549,H554,H559)</f>
        <v>7.0079999999617026</v>
      </c>
      <c r="I564" s="437">
        <f t="shared" si="1492"/>
        <v>7.6590000001380378</v>
      </c>
      <c r="J564" s="437">
        <f>SUM(G564:I564)</f>
        <v>21.465000000086391</v>
      </c>
      <c r="K564" s="437"/>
      <c r="L564" s="437">
        <f>SUM(L549,L554,L559)</f>
        <v>7.6159999999435017</v>
      </c>
      <c r="M564" s="437">
        <f t="shared" ref="M564" si="1493">SUM(M549,M554,M559)</f>
        <v>6.3330000000850069</v>
      </c>
      <c r="N564" s="437">
        <f>SUM(N549,N554,N559)</f>
        <v>15.607000000208744</v>
      </c>
      <c r="O564" s="437">
        <f>SUM(L564:N564)</f>
        <v>29.556000000237255</v>
      </c>
      <c r="P564" s="437"/>
      <c r="Q564" s="437">
        <f>SUM(Q549,Q554,Q559)</f>
        <v>7.7029999999341356</v>
      </c>
      <c r="R564" s="437">
        <f t="shared" ref="R564:S564" si="1494">SUM(R549,R554,R559)</f>
        <v>6.4530000000745495</v>
      </c>
      <c r="S564" s="437">
        <f t="shared" si="1494"/>
        <v>15.989000000173558</v>
      </c>
      <c r="T564" s="437">
        <f>SUM(Q564:S564)</f>
        <v>30.145000000182243</v>
      </c>
      <c r="U564" s="437"/>
      <c r="V564" s="437">
        <f>SUM(V549,V554,V559)</f>
        <v>7.5989999999481501</v>
      </c>
      <c r="W564" s="437">
        <f t="shared" ref="W564:X564" si="1495">SUM(W549,W554,W559)</f>
        <v>6.4340000000727819</v>
      </c>
      <c r="X564" s="437">
        <f t="shared" si="1495"/>
        <v>15.800000000117777</v>
      </c>
      <c r="Y564" s="437">
        <f>SUM(V564:X564)</f>
        <v>29.833000000138711</v>
      </c>
    </row>
    <row r="565" spans="1:25" x14ac:dyDescent="0.2">
      <c r="A565" s="377" t="s">
        <v>390</v>
      </c>
      <c r="B565" s="437">
        <f>SUM(B550,B555,B560)</f>
        <v>7.487000000002114</v>
      </c>
      <c r="C565" s="437">
        <f t="shared" ref="C565:D565" si="1496">SUM(C550,C555,C560)</f>
        <v>4.3400000000324193</v>
      </c>
      <c r="D565" s="437">
        <f t="shared" si="1496"/>
        <v>3.1659999999473865</v>
      </c>
      <c r="E565" s="437">
        <f t="shared" ref="E565:E566" si="1497">SUM(B565:D565)</f>
        <v>14.992999999981921</v>
      </c>
      <c r="F565" s="437"/>
      <c r="G565" s="437">
        <f>SUM(G550,G555,G560)</f>
        <v>8.062000000013759</v>
      </c>
      <c r="H565" s="437">
        <f t="shared" ref="H565:I565" si="1498">SUM(H550,H555,H560)</f>
        <v>2.5520000000063643</v>
      </c>
      <c r="I565" s="437">
        <f t="shared" si="1498"/>
        <v>5.8529999999870626</v>
      </c>
      <c r="J565" s="437">
        <f t="shared" ref="J565:J566" si="1499">SUM(G565:I565)</f>
        <v>16.467000000007186</v>
      </c>
      <c r="K565" s="437"/>
      <c r="L565" s="437">
        <f>SUM(L550,L555,L560)</f>
        <v>5.9689999999869006</v>
      </c>
      <c r="M565" s="437">
        <f t="shared" ref="M565:N565" si="1500">SUM(M550,M555,M560)</f>
        <v>1.0070000000066872</v>
      </c>
      <c r="N565" s="437">
        <f t="shared" si="1500"/>
        <v>7.4169999999208134</v>
      </c>
      <c r="O565" s="437">
        <f t="shared" ref="O565:O566" si="1501">SUM(L565:N565)</f>
        <v>14.392999999914402</v>
      </c>
      <c r="P565" s="437"/>
      <c r="Q565" s="437">
        <f>SUM(Q550,Q555,Q560)</f>
        <v>6.6149999999977487</v>
      </c>
      <c r="R565" s="437">
        <f t="shared" ref="R565:S565" si="1502">SUM(R550,R555,R560)</f>
        <v>1.0130000000011963</v>
      </c>
      <c r="S565" s="437">
        <f t="shared" si="1502"/>
        <v>7.2869999998435624</v>
      </c>
      <c r="T565" s="437">
        <f t="shared" ref="T565:T566" si="1503">SUM(Q565:S565)</f>
        <v>14.914999999842507</v>
      </c>
      <c r="U565" s="437"/>
      <c r="V565" s="437">
        <f>SUM(V550,V555,V560)</f>
        <v>7.1229999999983225</v>
      </c>
      <c r="W565" s="437">
        <f t="shared" ref="W565:X565" si="1504">SUM(W550,W555,W560)</f>
        <v>1.0060000000000726</v>
      </c>
      <c r="X565" s="437">
        <f t="shared" si="1504"/>
        <v>7.0219999998775258</v>
      </c>
      <c r="Y565" s="437">
        <f t="shared" ref="Y565:Y566" si="1505">SUM(V565:X565)</f>
        <v>15.150999999875921</v>
      </c>
    </row>
    <row r="566" spans="1:25" x14ac:dyDescent="0.2">
      <c r="A566" s="381" t="s">
        <v>389</v>
      </c>
      <c r="B566" s="439">
        <f>SUM(B564:B565)</f>
        <v>14.232000000025694</v>
      </c>
      <c r="C566" s="439">
        <f t="shared" ref="C566" si="1506">SUM(C564:C565)</f>
        <v>13.288999999961749</v>
      </c>
      <c r="D566" s="439">
        <f t="shared" ref="D566" si="1507">SUM(D564:D565)</f>
        <v>9.3669999999925935</v>
      </c>
      <c r="E566" s="439">
        <f t="shared" si="1497"/>
        <v>36.887999999980039</v>
      </c>
      <c r="F566" s="439"/>
      <c r="G566" s="439">
        <f>SUM(G564:G565)</f>
        <v>14.860000000000412</v>
      </c>
      <c r="H566" s="439">
        <f t="shared" ref="H566" si="1508">SUM(H564:H565)</f>
        <v>9.5599999999680669</v>
      </c>
      <c r="I566" s="439">
        <f t="shared" ref="I566" si="1509">SUM(I564:I565)</f>
        <v>13.5120000001251</v>
      </c>
      <c r="J566" s="439">
        <f t="shared" si="1499"/>
        <v>37.932000000093581</v>
      </c>
      <c r="K566" s="439"/>
      <c r="L566" s="439">
        <f>SUM(L564:L565)</f>
        <v>13.584999999930403</v>
      </c>
      <c r="M566" s="439">
        <f t="shared" ref="M566" si="1510">SUM(M564:M565)</f>
        <v>7.3400000000916936</v>
      </c>
      <c r="N566" s="439">
        <f t="shared" ref="N566" si="1511">SUM(N564:N565)</f>
        <v>23.024000000129558</v>
      </c>
      <c r="O566" s="439">
        <f t="shared" si="1501"/>
        <v>43.949000000151656</v>
      </c>
      <c r="P566" s="439"/>
      <c r="Q566" s="439">
        <f>SUM(Q564:Q565)</f>
        <v>14.317999999931885</v>
      </c>
      <c r="R566" s="439">
        <f t="shared" ref="R566" si="1512">SUM(R564:R565)</f>
        <v>7.4660000000757458</v>
      </c>
      <c r="S566" s="439">
        <f t="shared" ref="S566" si="1513">SUM(S564:S565)</f>
        <v>23.27600000001712</v>
      </c>
      <c r="T566" s="439">
        <f t="shared" si="1503"/>
        <v>45.06000000002475</v>
      </c>
      <c r="U566" s="439"/>
      <c r="V566" s="439">
        <f>SUM(V564:V565)</f>
        <v>14.721999999946473</v>
      </c>
      <c r="W566" s="439">
        <f t="shared" ref="W566" si="1514">SUM(W564:W565)</f>
        <v>7.440000000072855</v>
      </c>
      <c r="X566" s="439">
        <f t="shared" ref="X566" si="1515">SUM(X564:X565)</f>
        <v>22.821999999995302</v>
      </c>
      <c r="Y566" s="439">
        <f t="shared" si="1505"/>
        <v>44.984000000014632</v>
      </c>
    </row>
    <row r="578" spans="1:25" x14ac:dyDescent="0.2">
      <c r="A578" s="378"/>
      <c r="B578" s="380"/>
      <c r="C578" s="455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</row>
    <row r="579" spans="1:25" x14ac:dyDescent="0.2">
      <c r="A579" s="377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</row>
    <row r="580" spans="1:25" x14ac:dyDescent="0.2">
      <c r="A580" s="377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</row>
    <row r="581" spans="1:25" x14ac:dyDescent="0.2">
      <c r="A581" s="377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</row>
    <row r="582" spans="1:25" x14ac:dyDescent="0.2">
      <c r="A582" s="377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</row>
    <row r="583" spans="1:25" x14ac:dyDescent="0.2">
      <c r="A583" s="377"/>
      <c r="B583" s="380"/>
      <c r="C583" s="455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</row>
    <row r="584" spans="1:25" x14ac:dyDescent="0.2">
      <c r="A584" s="377"/>
      <c r="B584" s="380"/>
      <c r="C584" s="455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</row>
    <row r="585" spans="1:25" x14ac:dyDescent="0.2">
      <c r="A585" s="377"/>
      <c r="B585" s="380"/>
      <c r="C585" s="455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</row>
    <row r="586" spans="1:25" x14ac:dyDescent="0.2">
      <c r="A586" s="377"/>
      <c r="B586" s="380"/>
      <c r="C586" s="455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</row>
    <row r="587" spans="1:25" x14ac:dyDescent="0.2">
      <c r="A587" s="377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</row>
    <row r="588" spans="1:25" x14ac:dyDescent="0.2">
      <c r="A588" s="379"/>
      <c r="B588" s="380"/>
      <c r="C588" s="455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</row>
    <row r="589" spans="1:25" x14ac:dyDescent="0.2">
      <c r="A589" s="378"/>
      <c r="B589" s="380"/>
      <c r="C589" s="455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</row>
    <row r="590" spans="1:25" x14ac:dyDescent="0.2">
      <c r="A590" s="377"/>
      <c r="B590" s="380"/>
      <c r="C590" s="455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</row>
    <row r="591" spans="1:25" x14ac:dyDescent="0.2">
      <c r="A591" s="377"/>
      <c r="B591" s="380"/>
      <c r="C591" s="455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</row>
    <row r="592" spans="1:25" x14ac:dyDescent="0.2">
      <c r="A592" s="377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</row>
    <row r="593" spans="1:25" x14ac:dyDescent="0.2">
      <c r="A593" s="378"/>
      <c r="B593" s="380"/>
      <c r="C593" s="455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</row>
    <row r="594" spans="1:25" x14ac:dyDescent="0.2">
      <c r="A594" s="377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</row>
    <row r="595" spans="1:25" x14ac:dyDescent="0.2">
      <c r="A595" s="377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</row>
    <row r="596" spans="1:25" x14ac:dyDescent="0.2">
      <c r="A596" s="377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</row>
    <row r="597" spans="1:25" x14ac:dyDescent="0.2">
      <c r="A597" s="377"/>
      <c r="B597" s="380"/>
      <c r="C597" s="455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</row>
    <row r="598" spans="1:25" x14ac:dyDescent="0.2">
      <c r="A598" s="378"/>
      <c r="B598" s="380"/>
      <c r="C598" s="455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</row>
    <row r="599" spans="1:25" x14ac:dyDescent="0.2">
      <c r="A599" s="377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</row>
    <row r="600" spans="1:25" x14ac:dyDescent="0.2">
      <c r="A600" s="377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</row>
    <row r="601" spans="1:25" x14ac:dyDescent="0.2">
      <c r="A601" s="377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</row>
    <row r="602" spans="1:25" x14ac:dyDescent="0.2">
      <c r="A602" s="377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</row>
    <row r="603" spans="1:25" x14ac:dyDescent="0.2">
      <c r="C603" s="453"/>
    </row>
    <row r="604" spans="1:25" x14ac:dyDescent="0.2">
      <c r="C604" s="453"/>
    </row>
    <row r="605" spans="1:25" x14ac:dyDescent="0.2">
      <c r="C605" s="453"/>
    </row>
    <row r="606" spans="1:25" x14ac:dyDescent="0.2">
      <c r="C606" s="453"/>
    </row>
    <row r="607" spans="1:25" x14ac:dyDescent="0.2">
      <c r="A607" s="383"/>
    </row>
    <row r="608" spans="1:25" x14ac:dyDescent="0.2">
      <c r="C608" s="453"/>
    </row>
    <row r="609" spans="1:3" x14ac:dyDescent="0.2">
      <c r="C609" s="453"/>
    </row>
    <row r="610" spans="1:3" x14ac:dyDescent="0.2">
      <c r="A610" s="383"/>
    </row>
    <row r="611" spans="1:3" x14ac:dyDescent="0.2">
      <c r="C611" s="453"/>
    </row>
    <row r="612" spans="1:3" x14ac:dyDescent="0.2">
      <c r="C612" s="453"/>
    </row>
    <row r="613" spans="1:3" x14ac:dyDescent="0.2">
      <c r="C613" s="453"/>
    </row>
    <row r="638" spans="1:3" x14ac:dyDescent="0.2">
      <c r="A638" s="383"/>
    </row>
    <row r="639" spans="1:3" x14ac:dyDescent="0.2">
      <c r="C639" s="453"/>
    </row>
    <row r="640" spans="1:3" x14ac:dyDescent="0.2">
      <c r="C640" s="453"/>
    </row>
    <row r="641" spans="1:3" x14ac:dyDescent="0.2">
      <c r="C641" s="453"/>
    </row>
    <row r="643" spans="1:3" x14ac:dyDescent="0.2">
      <c r="A643" s="383"/>
    </row>
    <row r="644" spans="1:3" x14ac:dyDescent="0.2">
      <c r="C644" s="453"/>
    </row>
    <row r="645" spans="1:3" x14ac:dyDescent="0.2">
      <c r="C645" s="453"/>
    </row>
    <row r="646" spans="1:3" x14ac:dyDescent="0.2">
      <c r="C646" s="453"/>
    </row>
    <row r="647" spans="1:3" x14ac:dyDescent="0.2">
      <c r="C647" s="453"/>
    </row>
    <row r="648" spans="1:3" x14ac:dyDescent="0.2">
      <c r="A648" s="383"/>
    </row>
    <row r="649" spans="1:3" x14ac:dyDescent="0.2">
      <c r="C649" s="453"/>
    </row>
    <row r="650" spans="1:3" x14ac:dyDescent="0.2">
      <c r="C650" s="453"/>
    </row>
    <row r="651" spans="1:3" x14ac:dyDescent="0.2">
      <c r="C651" s="453"/>
    </row>
    <row r="652" spans="1:3" x14ac:dyDescent="0.2">
      <c r="A652" s="384"/>
    </row>
    <row r="653" spans="1:3" x14ac:dyDescent="0.2">
      <c r="A653" s="383"/>
    </row>
    <row r="654" spans="1:3" x14ac:dyDescent="0.2">
      <c r="C654" s="453"/>
    </row>
    <row r="655" spans="1:3" x14ac:dyDescent="0.2">
      <c r="C655" s="453"/>
    </row>
    <row r="656" spans="1:3" x14ac:dyDescent="0.2">
      <c r="C656" s="453"/>
    </row>
    <row r="658" spans="1:3" x14ac:dyDescent="0.2">
      <c r="A658" s="383"/>
    </row>
    <row r="659" spans="1:3" x14ac:dyDescent="0.2">
      <c r="C659" s="453"/>
    </row>
    <row r="660" spans="1:3" x14ac:dyDescent="0.2">
      <c r="C660" s="453"/>
    </row>
    <row r="661" spans="1:3" x14ac:dyDescent="0.2">
      <c r="C661" s="453"/>
    </row>
    <row r="662" spans="1:3" x14ac:dyDescent="0.2">
      <c r="C662" s="453"/>
    </row>
    <row r="663" spans="1:3" x14ac:dyDescent="0.2">
      <c r="A663" s="383"/>
    </row>
    <row r="664" spans="1:3" x14ac:dyDescent="0.2">
      <c r="C664" s="453"/>
    </row>
    <row r="665" spans="1:3" x14ac:dyDescent="0.2">
      <c r="C665" s="453"/>
    </row>
    <row r="666" spans="1:3" x14ac:dyDescent="0.2">
      <c r="A666" s="383"/>
    </row>
    <row r="667" spans="1:3" x14ac:dyDescent="0.2">
      <c r="C667" s="453"/>
    </row>
    <row r="668" spans="1:3" x14ac:dyDescent="0.2">
      <c r="C668" s="453"/>
    </row>
    <row r="669" spans="1:3" x14ac:dyDescent="0.2">
      <c r="C669" s="453"/>
    </row>
    <row r="670" spans="1:3" x14ac:dyDescent="0.2">
      <c r="C670" s="453"/>
    </row>
    <row r="671" spans="1:3" x14ac:dyDescent="0.2">
      <c r="C671" s="453"/>
    </row>
    <row r="672" spans="1:3" x14ac:dyDescent="0.2">
      <c r="C672" s="453"/>
    </row>
    <row r="673" spans="1:3" x14ac:dyDescent="0.2">
      <c r="A673" s="383"/>
      <c r="C673" s="453"/>
    </row>
    <row r="674" spans="1:3" x14ac:dyDescent="0.2">
      <c r="C674" s="453"/>
    </row>
    <row r="675" spans="1:3" x14ac:dyDescent="0.2">
      <c r="C675" s="453"/>
    </row>
    <row r="676" spans="1:3" x14ac:dyDescent="0.2">
      <c r="C676" s="453"/>
    </row>
    <row r="677" spans="1:3" x14ac:dyDescent="0.2">
      <c r="A677" s="384"/>
    </row>
    <row r="678" spans="1:3" x14ac:dyDescent="0.2">
      <c r="A678" s="383"/>
    </row>
    <row r="679" spans="1:3" x14ac:dyDescent="0.2">
      <c r="C679" s="453"/>
    </row>
    <row r="680" spans="1:3" x14ac:dyDescent="0.2">
      <c r="C680" s="453"/>
    </row>
    <row r="681" spans="1:3" x14ac:dyDescent="0.2">
      <c r="C681" s="453"/>
    </row>
    <row r="683" spans="1:3" x14ac:dyDescent="0.2">
      <c r="A683" s="383"/>
    </row>
    <row r="684" spans="1:3" x14ac:dyDescent="0.2">
      <c r="C684" s="453"/>
    </row>
    <row r="685" spans="1:3" x14ac:dyDescent="0.2">
      <c r="C685" s="453"/>
    </row>
    <row r="686" spans="1:3" x14ac:dyDescent="0.2">
      <c r="C686" s="453"/>
    </row>
    <row r="687" spans="1:3" x14ac:dyDescent="0.2">
      <c r="A687" s="384"/>
    </row>
    <row r="688" spans="1:3" x14ac:dyDescent="0.2">
      <c r="A688" s="383"/>
    </row>
    <row r="689" spans="1:3" x14ac:dyDescent="0.2">
      <c r="C689" s="453"/>
    </row>
    <row r="690" spans="1:3" x14ac:dyDescent="0.2">
      <c r="C690" s="453"/>
    </row>
    <row r="691" spans="1:3" x14ac:dyDescent="0.2">
      <c r="C691" s="453"/>
    </row>
    <row r="693" spans="1:3" x14ac:dyDescent="0.2">
      <c r="A693" s="383"/>
    </row>
    <row r="694" spans="1:3" x14ac:dyDescent="0.2">
      <c r="A694" s="383"/>
    </row>
    <row r="695" spans="1:3" x14ac:dyDescent="0.2">
      <c r="C695" s="453"/>
    </row>
    <row r="696" spans="1:3" x14ac:dyDescent="0.2">
      <c r="C696" s="453"/>
    </row>
    <row r="697" spans="1:3" x14ac:dyDescent="0.2">
      <c r="C697" s="453"/>
    </row>
    <row r="699" spans="1:3" x14ac:dyDescent="0.2">
      <c r="A699" s="383"/>
    </row>
    <row r="700" spans="1:3" x14ac:dyDescent="0.2">
      <c r="C700" s="453"/>
    </row>
    <row r="701" spans="1:3" x14ac:dyDescent="0.2">
      <c r="C701" s="453"/>
    </row>
    <row r="702" spans="1:3" x14ac:dyDescent="0.2">
      <c r="C702" s="453"/>
    </row>
    <row r="703" spans="1:3" x14ac:dyDescent="0.2">
      <c r="C703" s="453"/>
    </row>
    <row r="704" spans="1:3" x14ac:dyDescent="0.2">
      <c r="A704" s="383"/>
    </row>
    <row r="705" spans="1:3" x14ac:dyDescent="0.2">
      <c r="C705" s="453"/>
    </row>
    <row r="706" spans="1:3" x14ac:dyDescent="0.2">
      <c r="C706" s="453"/>
    </row>
    <row r="707" spans="1:3" x14ac:dyDescent="0.2">
      <c r="C707" s="453"/>
    </row>
    <row r="708" spans="1:3" x14ac:dyDescent="0.2">
      <c r="A708" s="384"/>
    </row>
    <row r="709" spans="1:3" x14ac:dyDescent="0.2">
      <c r="A709" s="383"/>
    </row>
    <row r="710" spans="1:3" x14ac:dyDescent="0.2">
      <c r="C710" s="453"/>
    </row>
    <row r="711" spans="1:3" x14ac:dyDescent="0.2">
      <c r="C711" s="453"/>
    </row>
    <row r="712" spans="1:3" x14ac:dyDescent="0.2">
      <c r="C712" s="453"/>
    </row>
    <row r="714" spans="1:3" x14ac:dyDescent="0.2">
      <c r="A714" s="383"/>
    </row>
    <row r="715" spans="1:3" x14ac:dyDescent="0.2">
      <c r="C715" s="453"/>
    </row>
    <row r="716" spans="1:3" x14ac:dyDescent="0.2">
      <c r="C716" s="453"/>
    </row>
    <row r="717" spans="1:3" x14ac:dyDescent="0.2">
      <c r="C717" s="453"/>
    </row>
    <row r="718" spans="1:3" x14ac:dyDescent="0.2">
      <c r="C718" s="453"/>
    </row>
    <row r="719" spans="1:3" x14ac:dyDescent="0.2">
      <c r="A719" s="383"/>
    </row>
    <row r="720" spans="1:3" x14ac:dyDescent="0.2">
      <c r="C720" s="453"/>
    </row>
    <row r="721" spans="1:3" x14ac:dyDescent="0.2">
      <c r="C721" s="453"/>
    </row>
    <row r="722" spans="1:3" x14ac:dyDescent="0.2">
      <c r="A722" s="383"/>
    </row>
    <row r="723" spans="1:3" x14ac:dyDescent="0.2">
      <c r="C723" s="453"/>
    </row>
    <row r="724" spans="1:3" x14ac:dyDescent="0.2">
      <c r="C724" s="453"/>
    </row>
    <row r="725" spans="1:3" x14ac:dyDescent="0.2">
      <c r="C725" s="453"/>
    </row>
    <row r="726" spans="1:3" x14ac:dyDescent="0.2">
      <c r="C726" s="453"/>
    </row>
    <row r="728" spans="1:3" x14ac:dyDescent="0.2">
      <c r="A728" s="383"/>
    </row>
    <row r="729" spans="1:3" x14ac:dyDescent="0.2">
      <c r="C729" s="453"/>
    </row>
    <row r="730" spans="1:3" x14ac:dyDescent="0.2">
      <c r="C730" s="453"/>
    </row>
    <row r="731" spans="1:3" x14ac:dyDescent="0.2">
      <c r="C731" s="453"/>
    </row>
    <row r="732" spans="1:3" x14ac:dyDescent="0.2">
      <c r="A732" s="384"/>
    </row>
    <row r="733" spans="1:3" x14ac:dyDescent="0.2">
      <c r="A733" s="383"/>
    </row>
    <row r="734" spans="1:3" x14ac:dyDescent="0.2">
      <c r="C734" s="453"/>
    </row>
    <row r="735" spans="1:3" x14ac:dyDescent="0.2">
      <c r="C735" s="453"/>
    </row>
    <row r="736" spans="1:3" x14ac:dyDescent="0.2">
      <c r="C736" s="453"/>
    </row>
    <row r="738" spans="1:3" x14ac:dyDescent="0.2">
      <c r="A738" s="383"/>
    </row>
    <row r="739" spans="1:3" x14ac:dyDescent="0.2">
      <c r="C739" s="453"/>
    </row>
    <row r="740" spans="1:3" x14ac:dyDescent="0.2">
      <c r="C740" s="453"/>
    </row>
    <row r="741" spans="1:3" x14ac:dyDescent="0.2">
      <c r="C741" s="453"/>
    </row>
    <row r="743" spans="1:3" x14ac:dyDescent="0.2">
      <c r="A743" s="383"/>
    </row>
    <row r="744" spans="1:3" x14ac:dyDescent="0.2">
      <c r="C744" s="453"/>
    </row>
    <row r="745" spans="1:3" x14ac:dyDescent="0.2">
      <c r="C745" s="453"/>
    </row>
    <row r="746" spans="1:3" x14ac:dyDescent="0.2">
      <c r="C746" s="453"/>
    </row>
    <row r="747" spans="1:3" x14ac:dyDescent="0.2">
      <c r="C747" s="453"/>
    </row>
    <row r="748" spans="1:3" x14ac:dyDescent="0.2">
      <c r="A748" s="383"/>
    </row>
    <row r="749" spans="1:3" x14ac:dyDescent="0.2">
      <c r="C749" s="453"/>
    </row>
    <row r="750" spans="1:3" x14ac:dyDescent="0.2">
      <c r="A750" s="383"/>
    </row>
    <row r="751" spans="1:3" x14ac:dyDescent="0.2">
      <c r="C751" s="453"/>
    </row>
    <row r="752" spans="1:3" x14ac:dyDescent="0.2">
      <c r="C752" s="453"/>
    </row>
    <row r="753" spans="1:3" x14ac:dyDescent="0.2">
      <c r="C753" s="453"/>
    </row>
    <row r="755" spans="1:3" x14ac:dyDescent="0.2">
      <c r="A755" s="383"/>
    </row>
    <row r="756" spans="1:3" x14ac:dyDescent="0.2">
      <c r="C756" s="453"/>
    </row>
    <row r="757" spans="1:3" x14ac:dyDescent="0.2">
      <c r="C757" s="453"/>
    </row>
    <row r="758" spans="1:3" x14ac:dyDescent="0.2">
      <c r="C758" s="453"/>
    </row>
    <row r="759" spans="1:3" x14ac:dyDescent="0.2">
      <c r="C759" s="453"/>
    </row>
    <row r="760" spans="1:3" x14ac:dyDescent="0.2">
      <c r="A760" s="383"/>
    </row>
    <row r="761" spans="1:3" x14ac:dyDescent="0.2">
      <c r="C761" s="453"/>
    </row>
    <row r="762" spans="1:3" x14ac:dyDescent="0.2">
      <c r="C762" s="453"/>
    </row>
    <row r="763" spans="1:3" x14ac:dyDescent="0.2">
      <c r="C763" s="453"/>
    </row>
    <row r="764" spans="1:3" x14ac:dyDescent="0.2">
      <c r="A764" s="384"/>
    </row>
    <row r="765" spans="1:3" x14ac:dyDescent="0.2">
      <c r="A765" s="383"/>
    </row>
    <row r="766" spans="1:3" x14ac:dyDescent="0.2">
      <c r="C766" s="453"/>
    </row>
    <row r="767" spans="1:3" x14ac:dyDescent="0.2">
      <c r="C767" s="453"/>
    </row>
    <row r="768" spans="1:3" x14ac:dyDescent="0.2">
      <c r="C768" s="453"/>
    </row>
    <row r="770" spans="1:3" x14ac:dyDescent="0.2">
      <c r="A770" s="383"/>
    </row>
    <row r="771" spans="1:3" x14ac:dyDescent="0.2">
      <c r="C771" s="453"/>
    </row>
    <row r="772" spans="1:3" x14ac:dyDescent="0.2">
      <c r="C772" s="453"/>
    </row>
    <row r="773" spans="1:3" x14ac:dyDescent="0.2">
      <c r="C773" s="453"/>
    </row>
    <row r="774" spans="1:3" x14ac:dyDescent="0.2">
      <c r="C774" s="453"/>
    </row>
    <row r="775" spans="1:3" x14ac:dyDescent="0.2">
      <c r="A775" s="383"/>
    </row>
    <row r="776" spans="1:3" x14ac:dyDescent="0.2">
      <c r="C776" s="453"/>
    </row>
    <row r="777" spans="1:3" x14ac:dyDescent="0.2">
      <c r="C777" s="453"/>
    </row>
    <row r="778" spans="1:3" x14ac:dyDescent="0.2">
      <c r="A778" s="383"/>
    </row>
    <row r="779" spans="1:3" x14ac:dyDescent="0.2">
      <c r="C779" s="453"/>
    </row>
    <row r="780" spans="1:3" x14ac:dyDescent="0.2">
      <c r="C780" s="453"/>
    </row>
    <row r="781" spans="1:3" x14ac:dyDescent="0.2">
      <c r="C781" s="453"/>
    </row>
    <row r="782" spans="1:3" x14ac:dyDescent="0.2">
      <c r="C782" s="453"/>
    </row>
    <row r="783" spans="1:3" x14ac:dyDescent="0.2">
      <c r="C783" s="453"/>
    </row>
    <row r="784" spans="1:3" x14ac:dyDescent="0.2">
      <c r="C784" s="453"/>
    </row>
    <row r="785" spans="1:3" x14ac:dyDescent="0.2">
      <c r="A785" s="383"/>
      <c r="C785" s="453"/>
    </row>
    <row r="786" spans="1:3" x14ac:dyDescent="0.2">
      <c r="C786" s="453"/>
    </row>
    <row r="787" spans="1:3" x14ac:dyDescent="0.2">
      <c r="C787" s="453"/>
    </row>
    <row r="788" spans="1:3" x14ac:dyDescent="0.2">
      <c r="C788" s="453"/>
    </row>
    <row r="789" spans="1:3" x14ac:dyDescent="0.2">
      <c r="A789" s="384"/>
    </row>
    <row r="790" spans="1:3" x14ac:dyDescent="0.2">
      <c r="A790" s="383"/>
    </row>
    <row r="791" spans="1:3" x14ac:dyDescent="0.2">
      <c r="C791" s="453"/>
    </row>
    <row r="792" spans="1:3" x14ac:dyDescent="0.2">
      <c r="C792" s="453"/>
    </row>
    <row r="793" spans="1:3" x14ac:dyDescent="0.2">
      <c r="C793" s="453"/>
    </row>
    <row r="795" spans="1:3" x14ac:dyDescent="0.2">
      <c r="A795" s="383"/>
    </row>
    <row r="796" spans="1:3" x14ac:dyDescent="0.2">
      <c r="C796" s="453"/>
    </row>
    <row r="797" spans="1:3" x14ac:dyDescent="0.2">
      <c r="C797" s="453"/>
    </row>
    <row r="798" spans="1:3" x14ac:dyDescent="0.2">
      <c r="C798" s="453"/>
    </row>
    <row r="799" spans="1:3" x14ac:dyDescent="0.2">
      <c r="A799" s="384"/>
    </row>
    <row r="800" spans="1:3" x14ac:dyDescent="0.2">
      <c r="A800" s="383"/>
    </row>
    <row r="801" spans="1:3" x14ac:dyDescent="0.2">
      <c r="C801" s="453"/>
    </row>
    <row r="802" spans="1:3" x14ac:dyDescent="0.2">
      <c r="C802" s="453"/>
    </row>
    <row r="803" spans="1:3" x14ac:dyDescent="0.2">
      <c r="C803" s="453"/>
    </row>
    <row r="805" spans="1:3" x14ac:dyDescent="0.2">
      <c r="A805" s="383"/>
    </row>
    <row r="806" spans="1:3" x14ac:dyDescent="0.2">
      <c r="A806" s="383"/>
    </row>
    <row r="807" spans="1:3" x14ac:dyDescent="0.2">
      <c r="C807" s="453"/>
    </row>
    <row r="808" spans="1:3" x14ac:dyDescent="0.2">
      <c r="C808" s="453"/>
    </row>
    <row r="809" spans="1:3" x14ac:dyDescent="0.2">
      <c r="C809" s="453"/>
    </row>
    <row r="811" spans="1:3" x14ac:dyDescent="0.2">
      <c r="A811" s="383"/>
    </row>
    <row r="812" spans="1:3" x14ac:dyDescent="0.2">
      <c r="C812" s="453"/>
    </row>
    <row r="813" spans="1:3" x14ac:dyDescent="0.2">
      <c r="C813" s="453"/>
    </row>
    <row r="814" spans="1:3" x14ac:dyDescent="0.2">
      <c r="C814" s="453"/>
    </row>
    <row r="815" spans="1:3" x14ac:dyDescent="0.2">
      <c r="C815" s="453"/>
    </row>
    <row r="816" spans="1:3" x14ac:dyDescent="0.2">
      <c r="A816" s="383"/>
    </row>
    <row r="817" spans="1:3" x14ac:dyDescent="0.2">
      <c r="C817" s="453"/>
    </row>
    <row r="818" spans="1:3" x14ac:dyDescent="0.2">
      <c r="C818" s="453"/>
    </row>
    <row r="819" spans="1:3" x14ac:dyDescent="0.2">
      <c r="C819" s="453"/>
    </row>
    <row r="820" spans="1:3" x14ac:dyDescent="0.2">
      <c r="A820" s="384"/>
    </row>
    <row r="821" spans="1:3" x14ac:dyDescent="0.2">
      <c r="A821" s="383"/>
    </row>
    <row r="822" spans="1:3" x14ac:dyDescent="0.2">
      <c r="C822" s="453"/>
    </row>
    <row r="823" spans="1:3" x14ac:dyDescent="0.2">
      <c r="C823" s="453"/>
    </row>
    <row r="824" spans="1:3" x14ac:dyDescent="0.2">
      <c r="C824" s="453"/>
    </row>
    <row r="826" spans="1:3" x14ac:dyDescent="0.2">
      <c r="A826" s="383"/>
    </row>
    <row r="827" spans="1:3" x14ac:dyDescent="0.2">
      <c r="C827" s="453"/>
    </row>
    <row r="828" spans="1:3" x14ac:dyDescent="0.2">
      <c r="C828" s="453"/>
    </row>
    <row r="829" spans="1:3" x14ac:dyDescent="0.2">
      <c r="C829" s="453"/>
    </row>
    <row r="830" spans="1:3" x14ac:dyDescent="0.2">
      <c r="C830" s="453"/>
    </row>
    <row r="831" spans="1:3" x14ac:dyDescent="0.2">
      <c r="A831" s="383"/>
    </row>
    <row r="832" spans="1:3" x14ac:dyDescent="0.2">
      <c r="C832" s="453"/>
    </row>
    <row r="833" spans="1:25" x14ac:dyDescent="0.2">
      <c r="C833" s="453"/>
    </row>
    <row r="834" spans="1:25" x14ac:dyDescent="0.2">
      <c r="A834" s="383"/>
    </row>
    <row r="835" spans="1:25" x14ac:dyDescent="0.2">
      <c r="C835" s="453"/>
    </row>
    <row r="836" spans="1:25" x14ac:dyDescent="0.2">
      <c r="C836" s="453"/>
    </row>
    <row r="837" spans="1:25" x14ac:dyDescent="0.2">
      <c r="C837" s="453"/>
    </row>
    <row r="838" spans="1:25" x14ac:dyDescent="0.2">
      <c r="A838" s="383"/>
    </row>
    <row r="839" spans="1:25" x14ac:dyDescent="0.2">
      <c r="C839" s="453"/>
    </row>
    <row r="840" spans="1:25" x14ac:dyDescent="0.2">
      <c r="C840" s="453"/>
    </row>
    <row r="841" spans="1:25" x14ac:dyDescent="0.2">
      <c r="A841" s="381"/>
      <c r="B841" s="456"/>
      <c r="C841" s="456"/>
      <c r="D841" s="456"/>
      <c r="E841" s="456"/>
      <c r="F841" s="456"/>
      <c r="G841" s="456"/>
      <c r="H841" s="456"/>
      <c r="I841" s="456"/>
      <c r="J841" s="456"/>
      <c r="K841" s="456"/>
      <c r="L841" s="456"/>
      <c r="M841" s="456"/>
      <c r="N841" s="456"/>
      <c r="O841" s="456"/>
      <c r="P841" s="456"/>
      <c r="Q841" s="456"/>
      <c r="R841" s="456"/>
      <c r="S841" s="456"/>
      <c r="T841" s="456"/>
      <c r="U841" s="456"/>
      <c r="V841" s="456"/>
      <c r="W841" s="456"/>
      <c r="X841" s="456"/>
      <c r="Y841" s="456"/>
    </row>
    <row r="842" spans="1:25" x14ac:dyDescent="0.2">
      <c r="A842" s="384"/>
    </row>
    <row r="843" spans="1:25" x14ac:dyDescent="0.2">
      <c r="A843" s="383"/>
    </row>
    <row r="844" spans="1:25" x14ac:dyDescent="0.2">
      <c r="C844" s="453"/>
    </row>
    <row r="845" spans="1:25" x14ac:dyDescent="0.2">
      <c r="C845" s="453"/>
    </row>
    <row r="846" spans="1:25" x14ac:dyDescent="0.2">
      <c r="A846" s="381"/>
      <c r="B846" s="456"/>
      <c r="C846" s="456"/>
      <c r="D846" s="456"/>
      <c r="E846" s="456"/>
      <c r="F846" s="456"/>
      <c r="G846" s="456"/>
      <c r="H846" s="456"/>
      <c r="I846" s="456"/>
      <c r="J846" s="456"/>
      <c r="K846" s="456"/>
      <c r="L846" s="456"/>
      <c r="M846" s="456"/>
      <c r="N846" s="456"/>
      <c r="O846" s="456"/>
      <c r="P846" s="456"/>
      <c r="Q846" s="456"/>
      <c r="R846" s="456"/>
      <c r="S846" s="456"/>
      <c r="T846" s="456"/>
      <c r="U846" s="456"/>
      <c r="V846" s="456"/>
      <c r="W846" s="456"/>
      <c r="X846" s="456"/>
      <c r="Y846" s="456"/>
    </row>
    <row r="847" spans="1:25" x14ac:dyDescent="0.2">
      <c r="A847" s="384"/>
    </row>
    <row r="848" spans="1:25" x14ac:dyDescent="0.2">
      <c r="A848" s="383"/>
    </row>
    <row r="849" spans="1:3" x14ac:dyDescent="0.2">
      <c r="C849" s="453"/>
    </row>
    <row r="850" spans="1:3" x14ac:dyDescent="0.2">
      <c r="C850" s="453"/>
    </row>
    <row r="851" spans="1:3" x14ac:dyDescent="0.2">
      <c r="C851" s="453"/>
    </row>
    <row r="853" spans="1:3" x14ac:dyDescent="0.2">
      <c r="A853" s="383"/>
    </row>
    <row r="854" spans="1:3" x14ac:dyDescent="0.2">
      <c r="C854" s="453"/>
    </row>
    <row r="855" spans="1:3" x14ac:dyDescent="0.2">
      <c r="C855" s="453"/>
    </row>
    <row r="856" spans="1:3" x14ac:dyDescent="0.2">
      <c r="C856" s="453"/>
    </row>
    <row r="857" spans="1:3" x14ac:dyDescent="0.2">
      <c r="C857" s="453"/>
    </row>
    <row r="858" spans="1:3" x14ac:dyDescent="0.2">
      <c r="A858" s="383"/>
    </row>
    <row r="859" spans="1:3" x14ac:dyDescent="0.2">
      <c r="C859" s="453"/>
    </row>
    <row r="860" spans="1:3" x14ac:dyDescent="0.2">
      <c r="C860" s="453"/>
    </row>
    <row r="861" spans="1:3" x14ac:dyDescent="0.2">
      <c r="C861" s="453"/>
    </row>
    <row r="862" spans="1:3" x14ac:dyDescent="0.2">
      <c r="A862" s="383"/>
    </row>
    <row r="863" spans="1:3" x14ac:dyDescent="0.2">
      <c r="C863" s="453"/>
    </row>
    <row r="864" spans="1:3" x14ac:dyDescent="0.2">
      <c r="C864" s="453"/>
    </row>
    <row r="865" spans="1:3" x14ac:dyDescent="0.2">
      <c r="C865" s="453"/>
    </row>
    <row r="867" spans="1:3" x14ac:dyDescent="0.2">
      <c r="A867" s="383"/>
    </row>
    <row r="868" spans="1:3" x14ac:dyDescent="0.2">
      <c r="C868" s="453"/>
    </row>
    <row r="869" spans="1:3" x14ac:dyDescent="0.2">
      <c r="C869" s="453"/>
    </row>
    <row r="870" spans="1:3" x14ac:dyDescent="0.2">
      <c r="C870" s="453"/>
    </row>
    <row r="871" spans="1:3" x14ac:dyDescent="0.2">
      <c r="C871" s="453"/>
    </row>
    <row r="872" spans="1:3" x14ac:dyDescent="0.2">
      <c r="A872" s="383"/>
    </row>
    <row r="873" spans="1:3" x14ac:dyDescent="0.2">
      <c r="C873" s="453"/>
    </row>
    <row r="874" spans="1:3" x14ac:dyDescent="0.2">
      <c r="C874" s="453"/>
    </row>
    <row r="875" spans="1:3" x14ac:dyDescent="0.2">
      <c r="C875" s="453"/>
    </row>
    <row r="876" spans="1:3" x14ac:dyDescent="0.2">
      <c r="A876" s="384"/>
    </row>
    <row r="877" spans="1:3" x14ac:dyDescent="0.2">
      <c r="A877" s="383"/>
    </row>
    <row r="878" spans="1:3" x14ac:dyDescent="0.2">
      <c r="C878" s="453"/>
    </row>
    <row r="879" spans="1:3" x14ac:dyDescent="0.2">
      <c r="C879" s="453"/>
    </row>
    <row r="880" spans="1:3" x14ac:dyDescent="0.2">
      <c r="C880" s="453"/>
    </row>
    <row r="882" spans="1:3" x14ac:dyDescent="0.2">
      <c r="A882" s="383"/>
    </row>
    <row r="883" spans="1:3" x14ac:dyDescent="0.2">
      <c r="C883" s="453"/>
    </row>
    <row r="884" spans="1:3" x14ac:dyDescent="0.2">
      <c r="C884" s="453"/>
    </row>
    <row r="885" spans="1:3" x14ac:dyDescent="0.2">
      <c r="C885" s="453"/>
    </row>
    <row r="886" spans="1:3" x14ac:dyDescent="0.2">
      <c r="C886" s="453"/>
    </row>
    <row r="887" spans="1:3" x14ac:dyDescent="0.2">
      <c r="A887" s="383"/>
    </row>
    <row r="888" spans="1:3" x14ac:dyDescent="0.2">
      <c r="C888" s="453"/>
    </row>
    <row r="889" spans="1:3" x14ac:dyDescent="0.2">
      <c r="C889" s="453"/>
    </row>
    <row r="890" spans="1:3" x14ac:dyDescent="0.2">
      <c r="A890" s="383"/>
    </row>
    <row r="891" spans="1:3" x14ac:dyDescent="0.2">
      <c r="C891" s="453"/>
    </row>
    <row r="892" spans="1:3" x14ac:dyDescent="0.2">
      <c r="C892" s="453"/>
    </row>
    <row r="893" spans="1:3" x14ac:dyDescent="0.2">
      <c r="C893" s="453"/>
    </row>
    <row r="894" spans="1:3" x14ac:dyDescent="0.2">
      <c r="C894" s="453"/>
    </row>
    <row r="895" spans="1:3" x14ac:dyDescent="0.2">
      <c r="C895" s="453"/>
    </row>
    <row r="896" spans="1:3" x14ac:dyDescent="0.2">
      <c r="C896" s="453"/>
    </row>
    <row r="897" spans="1:3" x14ac:dyDescent="0.2">
      <c r="A897" s="383"/>
      <c r="C897" s="453"/>
    </row>
    <row r="898" spans="1:3" x14ac:dyDescent="0.2">
      <c r="C898" s="453"/>
    </row>
    <row r="899" spans="1:3" x14ac:dyDescent="0.2">
      <c r="C899" s="453"/>
    </row>
    <row r="900" spans="1:3" x14ac:dyDescent="0.2">
      <c r="C900" s="453"/>
    </row>
    <row r="901" spans="1:3" x14ac:dyDescent="0.2">
      <c r="A901" s="384"/>
    </row>
    <row r="902" spans="1:3" x14ac:dyDescent="0.2">
      <c r="A902" s="383"/>
    </row>
    <row r="903" spans="1:3" x14ac:dyDescent="0.2">
      <c r="C903" s="453"/>
    </row>
    <row r="904" spans="1:3" x14ac:dyDescent="0.2">
      <c r="C904" s="453"/>
    </row>
    <row r="905" spans="1:3" x14ac:dyDescent="0.2">
      <c r="C905" s="453"/>
    </row>
    <row r="907" spans="1:3" x14ac:dyDescent="0.2">
      <c r="A907" s="383"/>
    </row>
    <row r="908" spans="1:3" x14ac:dyDescent="0.2">
      <c r="C908" s="453"/>
    </row>
    <row r="909" spans="1:3" x14ac:dyDescent="0.2">
      <c r="C909" s="453"/>
    </row>
    <row r="910" spans="1:3" x14ac:dyDescent="0.2">
      <c r="C910" s="453"/>
    </row>
    <row r="911" spans="1:3" x14ac:dyDescent="0.2">
      <c r="A911" s="384"/>
    </row>
    <row r="912" spans="1:3" x14ac:dyDescent="0.2">
      <c r="A912" s="383"/>
    </row>
    <row r="913" spans="1:3" x14ac:dyDescent="0.2">
      <c r="C913" s="453"/>
    </row>
    <row r="914" spans="1:3" x14ac:dyDescent="0.2">
      <c r="C914" s="453"/>
    </row>
    <row r="915" spans="1:3" x14ac:dyDescent="0.2">
      <c r="C915" s="453"/>
    </row>
    <row r="917" spans="1:3" x14ac:dyDescent="0.2">
      <c r="A917" s="383"/>
    </row>
    <row r="918" spans="1:3" x14ac:dyDescent="0.2">
      <c r="A918" s="383"/>
    </row>
    <row r="919" spans="1:3" x14ac:dyDescent="0.2">
      <c r="C919" s="453"/>
    </row>
    <row r="920" spans="1:3" x14ac:dyDescent="0.2">
      <c r="C920" s="453"/>
    </row>
    <row r="921" spans="1:3" x14ac:dyDescent="0.2">
      <c r="C921" s="453"/>
    </row>
    <row r="923" spans="1:3" x14ac:dyDescent="0.2">
      <c r="A923" s="383"/>
    </row>
    <row r="924" spans="1:3" x14ac:dyDescent="0.2">
      <c r="C924" s="453"/>
    </row>
    <row r="925" spans="1:3" x14ac:dyDescent="0.2">
      <c r="C925" s="453"/>
    </row>
    <row r="926" spans="1:3" x14ac:dyDescent="0.2">
      <c r="C926" s="453"/>
    </row>
    <row r="927" spans="1:3" x14ac:dyDescent="0.2">
      <c r="C927" s="453"/>
    </row>
    <row r="928" spans="1:3" x14ac:dyDescent="0.2">
      <c r="A928" s="383"/>
    </row>
    <row r="929" spans="1:3" x14ac:dyDescent="0.2">
      <c r="C929" s="453"/>
    </row>
    <row r="930" spans="1:3" x14ac:dyDescent="0.2">
      <c r="C930" s="453"/>
    </row>
    <row r="931" spans="1:3" x14ac:dyDescent="0.2">
      <c r="C931" s="453"/>
    </row>
    <row r="932" spans="1:3" x14ac:dyDescent="0.2">
      <c r="A932" s="384"/>
    </row>
    <row r="933" spans="1:3" x14ac:dyDescent="0.2">
      <c r="A933" s="383"/>
    </row>
    <row r="934" spans="1:3" x14ac:dyDescent="0.2">
      <c r="C934" s="453"/>
    </row>
    <row r="935" spans="1:3" x14ac:dyDescent="0.2">
      <c r="C935" s="453"/>
    </row>
    <row r="936" spans="1:3" x14ac:dyDescent="0.2">
      <c r="C936" s="453"/>
    </row>
    <row r="938" spans="1:3" x14ac:dyDescent="0.2">
      <c r="A938" s="383"/>
    </row>
    <row r="939" spans="1:3" x14ac:dyDescent="0.2">
      <c r="C939" s="453"/>
    </row>
    <row r="940" spans="1:3" x14ac:dyDescent="0.2">
      <c r="C940" s="453"/>
    </row>
    <row r="941" spans="1:3" x14ac:dyDescent="0.2">
      <c r="C941" s="453"/>
    </row>
    <row r="942" spans="1:3" x14ac:dyDescent="0.2">
      <c r="C942" s="453"/>
    </row>
    <row r="943" spans="1:3" x14ac:dyDescent="0.2">
      <c r="A943" s="383"/>
    </row>
    <row r="944" spans="1:3" x14ac:dyDescent="0.2">
      <c r="C944" s="453"/>
    </row>
    <row r="945" spans="1:3" x14ac:dyDescent="0.2">
      <c r="C945" s="453"/>
    </row>
    <row r="946" spans="1:3" x14ac:dyDescent="0.2">
      <c r="A946" s="383"/>
    </row>
    <row r="947" spans="1:3" x14ac:dyDescent="0.2">
      <c r="C947" s="453"/>
    </row>
    <row r="948" spans="1:3" x14ac:dyDescent="0.2">
      <c r="C948" s="453"/>
    </row>
    <row r="949" spans="1:3" x14ac:dyDescent="0.2">
      <c r="C949" s="453"/>
    </row>
    <row r="950" spans="1:3" x14ac:dyDescent="0.2">
      <c r="C950" s="453"/>
    </row>
    <row r="952" spans="1:3" x14ac:dyDescent="0.2">
      <c r="A952" s="383"/>
    </row>
    <row r="953" spans="1:3" x14ac:dyDescent="0.2">
      <c r="C953" s="453"/>
    </row>
    <row r="954" spans="1:3" x14ac:dyDescent="0.2">
      <c r="C954" s="453"/>
    </row>
    <row r="955" spans="1:3" x14ac:dyDescent="0.2">
      <c r="C955" s="453"/>
    </row>
    <row r="956" spans="1:3" x14ac:dyDescent="0.2">
      <c r="A956" s="384"/>
    </row>
    <row r="957" spans="1:3" x14ac:dyDescent="0.2">
      <c r="A957" s="383"/>
    </row>
    <row r="958" spans="1:3" x14ac:dyDescent="0.2">
      <c r="C958" s="453"/>
    </row>
    <row r="959" spans="1:3" x14ac:dyDescent="0.2">
      <c r="C959" s="453"/>
    </row>
    <row r="960" spans="1:3" x14ac:dyDescent="0.2">
      <c r="C960" s="453"/>
    </row>
    <row r="962" spans="1:3" x14ac:dyDescent="0.2">
      <c r="A962" s="383"/>
    </row>
    <row r="963" spans="1:3" x14ac:dyDescent="0.2">
      <c r="C963" s="453"/>
    </row>
    <row r="964" spans="1:3" x14ac:dyDescent="0.2">
      <c r="C964" s="453"/>
    </row>
    <row r="965" spans="1:3" x14ac:dyDescent="0.2">
      <c r="C965" s="453"/>
    </row>
    <row r="967" spans="1:3" x14ac:dyDescent="0.2">
      <c r="A967" s="383"/>
    </row>
    <row r="968" spans="1:3" x14ac:dyDescent="0.2">
      <c r="C968" s="453"/>
    </row>
    <row r="969" spans="1:3" x14ac:dyDescent="0.2">
      <c r="C969" s="453"/>
    </row>
    <row r="970" spans="1:3" x14ac:dyDescent="0.2">
      <c r="C970" s="453"/>
    </row>
    <row r="971" spans="1:3" x14ac:dyDescent="0.2">
      <c r="C971" s="453"/>
    </row>
    <row r="972" spans="1:3" x14ac:dyDescent="0.2">
      <c r="A972" s="383"/>
    </row>
    <row r="973" spans="1:3" x14ac:dyDescent="0.2">
      <c r="C973" s="453"/>
    </row>
    <row r="974" spans="1:3" x14ac:dyDescent="0.2">
      <c r="A974" s="383"/>
    </row>
    <row r="975" spans="1:3" x14ac:dyDescent="0.2">
      <c r="C975" s="453"/>
    </row>
    <row r="976" spans="1:3" x14ac:dyDescent="0.2">
      <c r="C976" s="453"/>
    </row>
    <row r="977" spans="1:3" x14ac:dyDescent="0.2">
      <c r="C977" s="453"/>
    </row>
    <row r="979" spans="1:3" x14ac:dyDescent="0.2">
      <c r="A979" s="383"/>
    </row>
    <row r="980" spans="1:3" x14ac:dyDescent="0.2">
      <c r="C980" s="453"/>
    </row>
    <row r="981" spans="1:3" x14ac:dyDescent="0.2">
      <c r="C981" s="453"/>
    </row>
    <row r="982" spans="1:3" x14ac:dyDescent="0.2">
      <c r="C982" s="453"/>
    </row>
    <row r="983" spans="1:3" x14ac:dyDescent="0.2">
      <c r="C983" s="453"/>
    </row>
    <row r="984" spans="1:3" x14ac:dyDescent="0.2">
      <c r="A984" s="383"/>
    </row>
    <row r="985" spans="1:3" x14ac:dyDescent="0.2">
      <c r="C985" s="453"/>
    </row>
    <row r="986" spans="1:3" x14ac:dyDescent="0.2">
      <c r="C986" s="453"/>
    </row>
    <row r="987" spans="1:3" x14ac:dyDescent="0.2">
      <c r="C987" s="453"/>
    </row>
    <row r="988" spans="1:3" x14ac:dyDescent="0.2">
      <c r="A988" s="384"/>
    </row>
    <row r="989" spans="1:3" x14ac:dyDescent="0.2">
      <c r="A989" s="383"/>
    </row>
    <row r="990" spans="1:3" x14ac:dyDescent="0.2">
      <c r="C990" s="453"/>
    </row>
    <row r="991" spans="1:3" x14ac:dyDescent="0.2">
      <c r="C991" s="453"/>
    </row>
    <row r="992" spans="1:3" x14ac:dyDescent="0.2">
      <c r="C992" s="453"/>
    </row>
    <row r="994" spans="1:3" x14ac:dyDescent="0.2">
      <c r="A994" s="383"/>
    </row>
    <row r="995" spans="1:3" x14ac:dyDescent="0.2">
      <c r="C995" s="453"/>
    </row>
    <row r="996" spans="1:3" x14ac:dyDescent="0.2">
      <c r="C996" s="453"/>
    </row>
    <row r="997" spans="1:3" x14ac:dyDescent="0.2">
      <c r="C997" s="453"/>
    </row>
    <row r="998" spans="1:3" x14ac:dyDescent="0.2">
      <c r="C998" s="453"/>
    </row>
    <row r="999" spans="1:3" x14ac:dyDescent="0.2">
      <c r="A999" s="383"/>
    </row>
    <row r="1000" spans="1:3" x14ac:dyDescent="0.2">
      <c r="C1000" s="453"/>
    </row>
    <row r="1001" spans="1:3" x14ac:dyDescent="0.2">
      <c r="C1001" s="453"/>
    </row>
    <row r="1002" spans="1:3" x14ac:dyDescent="0.2">
      <c r="A1002" s="383"/>
    </row>
    <row r="1003" spans="1:3" x14ac:dyDescent="0.2">
      <c r="C1003" s="453"/>
    </row>
    <row r="1004" spans="1:3" x14ac:dyDescent="0.2">
      <c r="C1004" s="453"/>
    </row>
    <row r="1005" spans="1:3" x14ac:dyDescent="0.2">
      <c r="C1005" s="453"/>
    </row>
    <row r="1006" spans="1:3" x14ac:dyDescent="0.2">
      <c r="C1006" s="453"/>
    </row>
    <row r="1007" spans="1:3" x14ac:dyDescent="0.2">
      <c r="C1007" s="453"/>
    </row>
    <row r="1008" spans="1:3" x14ac:dyDescent="0.2">
      <c r="C1008" s="453"/>
    </row>
    <row r="1009" spans="1:3" x14ac:dyDescent="0.2">
      <c r="A1009" s="383"/>
      <c r="C1009" s="453"/>
    </row>
    <row r="1010" spans="1:3" x14ac:dyDescent="0.2">
      <c r="C1010" s="453"/>
    </row>
    <row r="1011" spans="1:3" x14ac:dyDescent="0.2">
      <c r="C1011" s="453"/>
    </row>
    <row r="1012" spans="1:3" x14ac:dyDescent="0.2">
      <c r="C1012" s="453"/>
    </row>
    <row r="1013" spans="1:3" x14ac:dyDescent="0.2">
      <c r="A1013" s="384"/>
    </row>
    <row r="1014" spans="1:3" x14ac:dyDescent="0.2">
      <c r="A1014" s="383"/>
    </row>
    <row r="1015" spans="1:3" x14ac:dyDescent="0.2">
      <c r="C1015" s="453"/>
    </row>
    <row r="1016" spans="1:3" x14ac:dyDescent="0.2">
      <c r="C1016" s="453"/>
    </row>
    <row r="1017" spans="1:3" x14ac:dyDescent="0.2">
      <c r="C1017" s="453"/>
    </row>
    <row r="1019" spans="1:3" x14ac:dyDescent="0.2">
      <c r="A1019" s="383"/>
    </row>
    <row r="1020" spans="1:3" x14ac:dyDescent="0.2">
      <c r="C1020" s="453"/>
    </row>
    <row r="1021" spans="1:3" x14ac:dyDescent="0.2">
      <c r="C1021" s="453"/>
    </row>
    <row r="1022" spans="1:3" x14ac:dyDescent="0.2">
      <c r="C1022" s="453"/>
    </row>
    <row r="1023" spans="1:3" x14ac:dyDescent="0.2">
      <c r="A1023" s="384"/>
    </row>
    <row r="1024" spans="1:3" x14ac:dyDescent="0.2">
      <c r="A1024" s="383"/>
    </row>
    <row r="1025" spans="1:3" x14ac:dyDescent="0.2">
      <c r="C1025" s="453"/>
    </row>
    <row r="1026" spans="1:3" x14ac:dyDescent="0.2">
      <c r="C1026" s="453"/>
    </row>
    <row r="1027" spans="1:3" x14ac:dyDescent="0.2">
      <c r="C1027" s="453"/>
    </row>
    <row r="1029" spans="1:3" x14ac:dyDescent="0.2">
      <c r="A1029" s="383"/>
    </row>
    <row r="1030" spans="1:3" x14ac:dyDescent="0.2">
      <c r="A1030" s="383"/>
    </row>
    <row r="1031" spans="1:3" x14ac:dyDescent="0.2">
      <c r="C1031" s="453"/>
    </row>
    <row r="1032" spans="1:3" x14ac:dyDescent="0.2">
      <c r="C1032" s="453"/>
    </row>
    <row r="1033" spans="1:3" x14ac:dyDescent="0.2">
      <c r="C1033" s="453"/>
    </row>
    <row r="1035" spans="1:3" x14ac:dyDescent="0.2">
      <c r="A1035" s="383"/>
    </row>
    <row r="1036" spans="1:3" x14ac:dyDescent="0.2">
      <c r="C1036" s="453"/>
    </row>
    <row r="1037" spans="1:3" x14ac:dyDescent="0.2">
      <c r="C1037" s="453"/>
    </row>
    <row r="1038" spans="1:3" x14ac:dyDescent="0.2">
      <c r="C1038" s="453"/>
    </row>
    <row r="1039" spans="1:3" x14ac:dyDescent="0.2">
      <c r="C1039" s="453"/>
    </row>
    <row r="1040" spans="1:3" x14ac:dyDescent="0.2">
      <c r="A1040" s="383"/>
    </row>
    <row r="1041" spans="1:3" x14ac:dyDescent="0.2">
      <c r="C1041" s="453"/>
    </row>
    <row r="1042" spans="1:3" x14ac:dyDescent="0.2">
      <c r="C1042" s="453"/>
    </row>
    <row r="1043" spans="1:3" x14ac:dyDescent="0.2">
      <c r="C1043" s="453"/>
    </row>
    <row r="1044" spans="1:3" x14ac:dyDescent="0.2">
      <c r="A1044" s="384"/>
    </row>
    <row r="1045" spans="1:3" x14ac:dyDescent="0.2">
      <c r="A1045" s="383"/>
    </row>
    <row r="1046" spans="1:3" x14ac:dyDescent="0.2">
      <c r="C1046" s="453"/>
    </row>
    <row r="1047" spans="1:3" x14ac:dyDescent="0.2">
      <c r="C1047" s="453"/>
    </row>
    <row r="1048" spans="1:3" x14ac:dyDescent="0.2">
      <c r="C1048" s="453"/>
    </row>
    <row r="1050" spans="1:3" x14ac:dyDescent="0.2">
      <c r="A1050" s="383"/>
    </row>
    <row r="1051" spans="1:3" x14ac:dyDescent="0.2">
      <c r="C1051" s="453"/>
    </row>
    <row r="1052" spans="1:3" x14ac:dyDescent="0.2">
      <c r="C1052" s="453"/>
    </row>
    <row r="1053" spans="1:3" x14ac:dyDescent="0.2">
      <c r="C1053" s="453"/>
    </row>
    <row r="1054" spans="1:3" x14ac:dyDescent="0.2">
      <c r="C1054" s="453"/>
    </row>
    <row r="1055" spans="1:3" x14ac:dyDescent="0.2">
      <c r="A1055" s="383"/>
    </row>
    <row r="1056" spans="1:3" x14ac:dyDescent="0.2">
      <c r="C1056" s="453"/>
    </row>
    <row r="1057" spans="1:3" x14ac:dyDescent="0.2">
      <c r="C1057" s="453"/>
    </row>
    <row r="1058" spans="1:3" x14ac:dyDescent="0.2">
      <c r="A1058" s="383"/>
    </row>
    <row r="1059" spans="1:3" x14ac:dyDescent="0.2">
      <c r="C1059" s="453"/>
    </row>
    <row r="1060" spans="1:3" x14ac:dyDescent="0.2">
      <c r="C1060" s="453"/>
    </row>
    <row r="1061" spans="1:3" x14ac:dyDescent="0.2">
      <c r="C1061" s="453"/>
    </row>
  </sheetData>
  <mergeCells count="110">
    <mergeCell ref="B5:E5"/>
    <mergeCell ref="L5:O5"/>
    <mergeCell ref="V5:Y5"/>
    <mergeCell ref="B170:E170"/>
    <mergeCell ref="L170:O170"/>
    <mergeCell ref="V170:Y170"/>
    <mergeCell ref="B45:E45"/>
    <mergeCell ref="L45:O45"/>
    <mergeCell ref="V45:Y45"/>
    <mergeCell ref="B15:E15"/>
    <mergeCell ref="G5:J5"/>
    <mergeCell ref="Q5:T5"/>
    <mergeCell ref="G25:J25"/>
    <mergeCell ref="Q25:T25"/>
    <mergeCell ref="G45:J45"/>
    <mergeCell ref="Q45:T45"/>
    <mergeCell ref="B195:E195"/>
    <mergeCell ref="L195:O195"/>
    <mergeCell ref="V195:Y195"/>
    <mergeCell ref="L15:O15"/>
    <mergeCell ref="V15:Y15"/>
    <mergeCell ref="B25:E25"/>
    <mergeCell ref="L25:O25"/>
    <mergeCell ref="V25:Y25"/>
    <mergeCell ref="B70:E70"/>
    <mergeCell ref="L70:O70"/>
    <mergeCell ref="V70:Y70"/>
    <mergeCell ref="B160:E160"/>
    <mergeCell ref="L160:O160"/>
    <mergeCell ref="V160:Y160"/>
    <mergeCell ref="G15:J15"/>
    <mergeCell ref="Q15:T15"/>
    <mergeCell ref="G195:J195"/>
    <mergeCell ref="Q195:T195"/>
    <mergeCell ref="G70:J70"/>
    <mergeCell ref="Q70:T70"/>
    <mergeCell ref="G160:J160"/>
    <mergeCell ref="Q160:T160"/>
    <mergeCell ref="G170:J170"/>
    <mergeCell ref="Q170:T170"/>
    <mergeCell ref="G375:J375"/>
    <mergeCell ref="Q375:T375"/>
    <mergeCell ref="G385:J385"/>
    <mergeCell ref="Q385:T385"/>
    <mergeCell ref="G430:J430"/>
    <mergeCell ref="Q430:T430"/>
    <mergeCell ref="V280:Y280"/>
    <mergeCell ref="B300:E300"/>
    <mergeCell ref="B220:E220"/>
    <mergeCell ref="L220:O220"/>
    <mergeCell ref="V220:Y220"/>
    <mergeCell ref="B245:E245"/>
    <mergeCell ref="L245:O245"/>
    <mergeCell ref="V245:Y245"/>
    <mergeCell ref="B280:E280"/>
    <mergeCell ref="L280:O280"/>
    <mergeCell ref="G280:J280"/>
    <mergeCell ref="Q280:T280"/>
    <mergeCell ref="G220:J220"/>
    <mergeCell ref="Q220:T220"/>
    <mergeCell ref="G245:J245"/>
    <mergeCell ref="Q245:T245"/>
    <mergeCell ref="B545:E545"/>
    <mergeCell ref="B350:E350"/>
    <mergeCell ref="L350:O350"/>
    <mergeCell ref="V350:Y350"/>
    <mergeCell ref="L300:O300"/>
    <mergeCell ref="V300:Y300"/>
    <mergeCell ref="B325:E325"/>
    <mergeCell ref="L325:O325"/>
    <mergeCell ref="V325:Y325"/>
    <mergeCell ref="G300:J300"/>
    <mergeCell ref="Q300:T300"/>
    <mergeCell ref="G325:J325"/>
    <mergeCell ref="Q325:T325"/>
    <mergeCell ref="G350:J350"/>
    <mergeCell ref="Q350:T350"/>
    <mergeCell ref="V385:Y385"/>
    <mergeCell ref="B375:E375"/>
    <mergeCell ref="L375:O375"/>
    <mergeCell ref="V375:Y375"/>
    <mergeCell ref="B430:E430"/>
    <mergeCell ref="L430:O430"/>
    <mergeCell ref="V430:Y430"/>
    <mergeCell ref="B385:E385"/>
    <mergeCell ref="L385:O385"/>
    <mergeCell ref="L545:O545"/>
    <mergeCell ref="V545:Y545"/>
    <mergeCell ref="B470:E470"/>
    <mergeCell ref="L470:O470"/>
    <mergeCell ref="V470:Y470"/>
    <mergeCell ref="B515:E515"/>
    <mergeCell ref="L515:O515"/>
    <mergeCell ref="V515:Y515"/>
    <mergeCell ref="B480:E480"/>
    <mergeCell ref="L480:O480"/>
    <mergeCell ref="V480:Y480"/>
    <mergeCell ref="B490:E490"/>
    <mergeCell ref="L490:O490"/>
    <mergeCell ref="V490:Y490"/>
    <mergeCell ref="G470:J470"/>
    <mergeCell ref="G515:J515"/>
    <mergeCell ref="Q515:T515"/>
    <mergeCell ref="Q490:T490"/>
    <mergeCell ref="G545:J545"/>
    <mergeCell ref="Q545:T545"/>
    <mergeCell ref="Q470:T470"/>
    <mergeCell ref="G480:J480"/>
    <mergeCell ref="Q480:T480"/>
    <mergeCell ref="G490:J490"/>
  </mergeCells>
  <pageMargins left="0.7" right="0.7" top="0.75" bottom="0.75" header="0.3" footer="0.3"/>
  <pageSetup paperSize="9" scale="75" fitToWidth="0" fitToHeight="0" orientation="landscape" r:id="rId1"/>
  <rowBreaks count="14" manualBreakCount="14">
    <brk id="44" max="24" man="1"/>
    <brk id="69" max="24" man="1"/>
    <brk id="117" max="24" man="1"/>
    <brk id="156" max="24" man="1"/>
    <brk id="194" max="24" man="1"/>
    <brk id="241" max="24" man="1"/>
    <brk id="279" max="24" man="1"/>
    <brk id="324" max="24" man="1"/>
    <brk id="374" max="24" man="1"/>
    <brk id="426" max="24" man="1"/>
    <brk id="469" max="24" man="1"/>
    <brk id="514" max="24" man="1"/>
    <brk id="566" max="24" man="1"/>
    <brk id="671" max="24" man="1"/>
  </rowBreaks>
  <colBreaks count="1" manualBreakCount="1">
    <brk id="25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43"/>
  <sheetViews>
    <sheetView zoomScale="75" zoomScaleNormal="75" workbookViewId="0"/>
  </sheetViews>
  <sheetFormatPr defaultRowHeight="12.75" x14ac:dyDescent="0.2"/>
  <cols>
    <col min="1" max="1" width="11" style="104" bestFit="1" customWidth="1"/>
    <col min="2" max="9" width="9.140625" style="104"/>
    <col min="10" max="10" width="17.5703125" style="104" customWidth="1"/>
    <col min="11" max="11" width="8.28515625" style="104" customWidth="1"/>
    <col min="12" max="12" width="28.140625" customWidth="1"/>
    <col min="13" max="14" width="10.140625" customWidth="1"/>
  </cols>
  <sheetData>
    <row r="1" spans="1:16" ht="15.75" x14ac:dyDescent="0.25">
      <c r="A1" s="103" t="str">
        <f>CONCATENATE("Industry Figure 1  Growth in Employment by Industry Group (SIC 2007), ",M6," and ",N6)</f>
        <v>Industry Figure 1  Growth in Employment by Industry Group (SIC 2007), 2007-2017 and 2017-2027</v>
      </c>
    </row>
    <row r="3" spans="1:16" x14ac:dyDescent="0.2">
      <c r="L3" s="56" t="s">
        <v>497</v>
      </c>
    </row>
    <row r="5" spans="1:16" x14ac:dyDescent="0.2">
      <c r="L5" s="34" t="s">
        <v>464</v>
      </c>
    </row>
    <row r="6" spans="1:16" x14ac:dyDescent="0.2">
      <c r="L6" s="15"/>
      <c r="M6" s="19" t="str">
        <f>'Ind T4'!B87</f>
        <v>2007-2017</v>
      </c>
      <c r="N6" s="19" t="str">
        <f>'Ind T4'!C87</f>
        <v>2017-2027</v>
      </c>
      <c r="O6" s="19"/>
      <c r="P6" s="19"/>
    </row>
    <row r="7" spans="1:16" x14ac:dyDescent="0.2">
      <c r="L7" s="1" t="str">
        <f>'Ind T4'!A83</f>
        <v>All industries</v>
      </c>
      <c r="M7" s="286">
        <f>'Ind T4'!B122</f>
        <v>0.82593264427839319</v>
      </c>
      <c r="N7" s="286">
        <f>'Ind T4'!C122</f>
        <v>0.25470250340746681</v>
      </c>
    </row>
    <row r="8" spans="1:16" x14ac:dyDescent="0.2">
      <c r="L8" s="15"/>
      <c r="M8" s="286"/>
      <c r="N8" s="286"/>
    </row>
    <row r="9" spans="1:16" x14ac:dyDescent="0.2">
      <c r="L9" s="15" t="str">
        <f>'Ind T4'!A81</f>
        <v>Health and social work</v>
      </c>
      <c r="M9" s="286">
        <f>'Ind T4'!B120</f>
        <v>3.0988762533424419</v>
      </c>
      <c r="N9" s="286">
        <f>'Ind T4'!C120</f>
        <v>0.8946901425981979</v>
      </c>
    </row>
    <row r="10" spans="1:16" x14ac:dyDescent="0.2">
      <c r="L10" s="15" t="str">
        <f>'Ind T4'!A80</f>
        <v>Education</v>
      </c>
      <c r="M10" s="286">
        <f>'Ind T4'!B119</f>
        <v>1.3907859330511529</v>
      </c>
      <c r="N10" s="286">
        <f>'Ind T4'!C119</f>
        <v>-0.18949818382655303</v>
      </c>
    </row>
    <row r="11" spans="1:16" x14ac:dyDescent="0.2">
      <c r="L11" s="15" t="str">
        <f>'Ind T4'!A79</f>
        <v>Public admin. and defence</v>
      </c>
      <c r="M11" s="286">
        <f>'Ind T4'!B118</f>
        <v>-1.3460905205606166</v>
      </c>
      <c r="N11" s="286">
        <f>'Ind T4'!C118</f>
        <v>-0.10870298600861306</v>
      </c>
    </row>
    <row r="12" spans="1:16" x14ac:dyDescent="0.2">
      <c r="L12" s="1" t="str">
        <f>CONCATENATE("[",'Ind T4'!A78,"]")</f>
        <v>[Non-marketed services]</v>
      </c>
      <c r="M12" s="286">
        <f>'Ind T4'!B117</f>
        <v>1.6681323644970325</v>
      </c>
      <c r="N12" s="286">
        <f>'Ind T4'!C117</f>
        <v>0.41499863842566764</v>
      </c>
    </row>
    <row r="13" spans="1:16" x14ac:dyDescent="0.2">
      <c r="L13" s="15"/>
      <c r="M13" s="286"/>
      <c r="N13" s="286"/>
    </row>
    <row r="14" spans="1:16" x14ac:dyDescent="0.2">
      <c r="L14" s="15" t="str">
        <f>'Ind T4'!A76</f>
        <v>Other services</v>
      </c>
      <c r="M14" s="106">
        <f>'Ind T4'!B115</f>
        <v>1.766863330910029</v>
      </c>
      <c r="N14" s="106">
        <f>'Ind T4'!C115</f>
        <v>0.23304112212112482</v>
      </c>
    </row>
    <row r="15" spans="1:16" x14ac:dyDescent="0.2">
      <c r="L15" s="15" t="str">
        <f>'Ind T4'!A75</f>
        <v>Arts and entertainment</v>
      </c>
      <c r="M15" s="106">
        <f>'Ind T4'!B114</f>
        <v>1.1418911399436293</v>
      </c>
      <c r="N15" s="106">
        <f>'Ind T4'!C114</f>
        <v>0.91638765471566686</v>
      </c>
    </row>
    <row r="16" spans="1:16" x14ac:dyDescent="0.2">
      <c r="L16" s="15" t="str">
        <f>'Ind T4'!A74</f>
        <v>Support services</v>
      </c>
      <c r="M16" s="106">
        <f>'Ind T4'!B113</f>
        <v>0.81281796708414511</v>
      </c>
      <c r="N16" s="106">
        <f>'Ind T4'!C113</f>
        <v>0.61777854253628472</v>
      </c>
    </row>
    <row r="17" spans="12:14" x14ac:dyDescent="0.2">
      <c r="L17" s="15" t="str">
        <f>'Ind T4'!A73</f>
        <v>Professional services</v>
      </c>
      <c r="M17" s="106">
        <f>'Ind T4'!B112</f>
        <v>0.25769966366862018</v>
      </c>
      <c r="N17" s="106">
        <f>'Ind T4'!C112</f>
        <v>0.70651871677238631</v>
      </c>
    </row>
    <row r="18" spans="12:14" x14ac:dyDescent="0.2">
      <c r="L18" s="15" t="str">
        <f>'Ind T4'!A72</f>
        <v>Real estate</v>
      </c>
      <c r="M18" s="106">
        <f>'Ind T4'!B111</f>
        <v>5.1906432045870643</v>
      </c>
      <c r="N18" s="106">
        <f>'Ind T4'!C111</f>
        <v>0.8338668858585585</v>
      </c>
    </row>
    <row r="19" spans="12:14" x14ac:dyDescent="0.2">
      <c r="L19" s="286" t="str">
        <f>'Ind T4'!A71</f>
        <v>Finance and insurance</v>
      </c>
      <c r="M19" s="286">
        <f>'Ind T4'!B110</f>
        <v>-1.3966763190042641</v>
      </c>
      <c r="N19" s="286">
        <f>'Ind T4'!C110</f>
        <v>0.94169514715478631</v>
      </c>
    </row>
    <row r="20" spans="12:14" x14ac:dyDescent="0.2">
      <c r="L20" s="286" t="str">
        <f>'Ind T4'!A70</f>
        <v>Information technology</v>
      </c>
      <c r="M20" s="286">
        <f>'Ind T4'!B109</f>
        <v>3.2591971434865474</v>
      </c>
      <c r="N20" s="286">
        <f>'Ind T4'!C109</f>
        <v>0.40596276089932548</v>
      </c>
    </row>
    <row r="21" spans="12:14" x14ac:dyDescent="0.2">
      <c r="L21" s="286" t="str">
        <f>'Ind T4'!A69</f>
        <v>Media</v>
      </c>
      <c r="M21" s="286">
        <f>'Ind T4'!B108</f>
        <v>-2.9379851449360728</v>
      </c>
      <c r="N21" s="286">
        <f>'Ind T4'!C108</f>
        <v>0.14915535506434541</v>
      </c>
    </row>
    <row r="22" spans="12:14" x14ac:dyDescent="0.2">
      <c r="L22" s="1" t="str">
        <f>CONCATENATE("[",'Ind T4'!A68,"]")</f>
        <v>[Business and other services]</v>
      </c>
      <c r="M22" s="286">
        <f>'Ind T4'!B107</f>
        <v>0.9066176783572466</v>
      </c>
      <c r="N22" s="286">
        <f>'Ind T4'!C107</f>
        <v>0.64072979589373524</v>
      </c>
    </row>
    <row r="23" spans="12:14" x14ac:dyDescent="0.2">
      <c r="L23" s="15"/>
      <c r="M23" s="286"/>
      <c r="N23" s="286"/>
    </row>
    <row r="24" spans="12:14" x14ac:dyDescent="0.2">
      <c r="L24" s="15" t="str">
        <f>'Ind T4'!A66</f>
        <v>Accommodation and food</v>
      </c>
      <c r="M24" s="286">
        <f>'Ind T4'!B105</f>
        <v>3.6903970196577429</v>
      </c>
      <c r="N24" s="286">
        <f>'Ind T4'!C105</f>
        <v>0.41679792688689155</v>
      </c>
    </row>
    <row r="25" spans="12:14" x14ac:dyDescent="0.2">
      <c r="L25" s="15" t="str">
        <f>'Ind T4'!A65</f>
        <v>Transport and storage</v>
      </c>
      <c r="M25" s="286">
        <f>'Ind T4'!B104</f>
        <v>-1.9216063434280062</v>
      </c>
      <c r="N25" s="286">
        <f>'Ind T4'!C104</f>
        <v>-0.10059759038657523</v>
      </c>
    </row>
    <row r="26" spans="12:14" x14ac:dyDescent="0.2">
      <c r="L26" s="15" t="str">
        <f>'Ind T4'!A64</f>
        <v>Wholesale and retail trade</v>
      </c>
      <c r="M26" s="286">
        <f>'Ind T4'!B103</f>
        <v>-0.52525108011537425</v>
      </c>
      <c r="N26" s="286">
        <f>'Ind T4'!C103</f>
        <v>9.4458822663456843E-2</v>
      </c>
    </row>
    <row r="27" spans="12:14" x14ac:dyDescent="0.2">
      <c r="L27" s="1" t="str">
        <f>CONCATENATE("[",'Ind T4'!A63,"]")</f>
        <v>[Trade, accomod. and transport]</v>
      </c>
      <c r="M27" s="286">
        <f>'Ind T4'!B102</f>
        <v>0.60834045974265116</v>
      </c>
      <c r="N27" s="286">
        <f>'Ind T4'!C102</f>
        <v>0.19215683790405613</v>
      </c>
    </row>
    <row r="28" spans="12:14" x14ac:dyDescent="0.2">
      <c r="L28" s="15"/>
      <c r="M28" s="286"/>
      <c r="N28" s="286"/>
    </row>
    <row r="29" spans="12:14" x14ac:dyDescent="0.2">
      <c r="L29" s="1" t="str">
        <f>CONCATENATE("[",'Ind T4'!A61,"]")</f>
        <v>[Construction]</v>
      </c>
      <c r="M29" s="286">
        <f>'Ind T4'!B100</f>
        <v>-0.66045998983590426</v>
      </c>
      <c r="N29" s="286">
        <f>'Ind T4'!C100</f>
        <v>9.3911802122881305E-2</v>
      </c>
    </row>
    <row r="30" spans="12:14" x14ac:dyDescent="0.2">
      <c r="L30" s="15"/>
      <c r="M30" s="286"/>
      <c r="N30" s="286"/>
    </row>
    <row r="31" spans="12:14" x14ac:dyDescent="0.2">
      <c r="L31" s="15" t="str">
        <f>'Ind T4'!A59</f>
        <v>Rest of manufacturing</v>
      </c>
      <c r="M31" s="286">
        <f>'Ind T4'!B98</f>
        <v>-1.1650293127010047</v>
      </c>
      <c r="N31" s="286">
        <f>'Ind T4'!C98</f>
        <v>-0.91053944986086988</v>
      </c>
    </row>
    <row r="32" spans="12:14" x14ac:dyDescent="0.2">
      <c r="L32" s="15" t="str">
        <f>'Ind T4'!A58</f>
        <v>Engineering</v>
      </c>
      <c r="M32" s="286">
        <f>'Ind T4'!B97</f>
        <v>-3.8180474647720231</v>
      </c>
      <c r="N32" s="286">
        <f>'Ind T4'!C97</f>
        <v>-0.49413998603901055</v>
      </c>
    </row>
    <row r="33" spans="12:14" x14ac:dyDescent="0.2">
      <c r="L33" s="15" t="str">
        <f>'Ind T4'!A57</f>
        <v>Food drink and tobacco</v>
      </c>
      <c r="M33" s="286">
        <f>'Ind T4'!B96</f>
        <v>-1.6625847907383973</v>
      </c>
      <c r="N33" s="286">
        <f>'Ind T4'!C96</f>
        <v>-1.0921235169110366</v>
      </c>
    </row>
    <row r="34" spans="12:14" x14ac:dyDescent="0.2">
      <c r="L34" s="1" t="str">
        <f>CONCATENATE("[",'Ind T4'!A56,"]")</f>
        <v>[Manufacturing]</v>
      </c>
      <c r="M34" s="286">
        <f>'Ind T4'!B95</f>
        <v>-1.5797525278207991</v>
      </c>
      <c r="N34" s="286">
        <f>'Ind T4'!C95</f>
        <v>-0.88670041954280743</v>
      </c>
    </row>
    <row r="35" spans="12:14" x14ac:dyDescent="0.2">
      <c r="L35" s="15"/>
      <c r="M35" s="286"/>
      <c r="N35" s="286"/>
    </row>
    <row r="36" spans="12:14" x14ac:dyDescent="0.2">
      <c r="L36" s="15" t="str">
        <f>'Ind T4'!A54</f>
        <v>Water and sewerage</v>
      </c>
      <c r="M36" s="286">
        <f>'Ind T4'!B93</f>
        <v>2.3013924287680565</v>
      </c>
      <c r="N36" s="286">
        <f>'Ind T4'!C93</f>
        <v>1.3878789786186951</v>
      </c>
    </row>
    <row r="37" spans="12:14" x14ac:dyDescent="0.2">
      <c r="L37" s="15" t="str">
        <f>'Ind T4'!A53</f>
        <v>Electricity and gas</v>
      </c>
      <c r="M37" s="286">
        <f>'Ind T4'!B92</f>
        <v>5.3718803082824618</v>
      </c>
      <c r="N37" s="286">
        <f>'Ind T4'!C92</f>
        <v>-0.22912000484592854</v>
      </c>
    </row>
    <row r="38" spans="12:14" x14ac:dyDescent="0.2">
      <c r="L38" s="15" t="str">
        <f>'Ind T4'!A52</f>
        <v>Mining and quarrying</v>
      </c>
      <c r="M38" s="286">
        <f>'Ind T4'!B91</f>
        <v>5.2822772817520125</v>
      </c>
      <c r="N38" s="286">
        <f>'Ind T4'!C91</f>
        <v>-2.0428219945939574</v>
      </c>
    </row>
    <row r="39" spans="12:14" x14ac:dyDescent="0.2">
      <c r="L39" s="55" t="str">
        <f>'Ind T4'!A51</f>
        <v>Agriculture</v>
      </c>
      <c r="M39" s="286">
        <f>'Ind T4'!B90</f>
        <v>4.8882670519198035</v>
      </c>
      <c r="N39" s="286">
        <f>'Ind T4'!C90</f>
        <v>3.0882641103624486E-2</v>
      </c>
    </row>
    <row r="40" spans="12:14" x14ac:dyDescent="0.2">
      <c r="L40" s="1" t="str">
        <f>CONCATENATE("[",'Ind T4'!A50,"]")</f>
        <v>[Primary sector and utilities]</v>
      </c>
      <c r="M40" s="286">
        <f>'Ind T4'!B89</f>
        <v>4.539781998099679</v>
      </c>
      <c r="N40" s="286">
        <f>'Ind T4'!C89</f>
        <v>0.14288242996218781</v>
      </c>
    </row>
    <row r="43" spans="12:14" x14ac:dyDescent="0.2">
      <c r="L43" t="str">
        <f>REPT(" ",11)</f>
        <v xml:space="preserve">           </v>
      </c>
    </row>
  </sheetData>
  <phoneticPr fontId="5" type="noConversion"/>
  <conditionalFormatting sqref="L6 L8 L13 O18:P18 L23 L28 O25:P25 L30 O23:P23 O13:P13 O8:P8 O6:P6">
    <cfRule type="cellIs" dxfId="12" priority="2" stopIfTrue="1" operator="equal">
      <formula>0</formula>
    </cfRule>
  </conditionalFormatting>
  <conditionalFormatting sqref="M6:N6 M8:N8 M13:N13 M23:N23 M28:N28 M30:N30">
    <cfRule type="cellIs" dxfId="11" priority="1" stopIfTrue="1" operator="equal">
      <formula>0</formula>
    </cfRule>
  </conditionalFormatting>
  <pageMargins left="0.55118110236220474" right="0.55118110236220474" top="0.98425196850393704" bottom="0.98425196850393704" header="0.51181102362204722" footer="0.51181102362204722"/>
  <pageSetup paperSize="9" scale="9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R268"/>
  <sheetViews>
    <sheetView zoomScale="75" zoomScaleNormal="75" workbookViewId="0"/>
  </sheetViews>
  <sheetFormatPr defaultRowHeight="12.75" x14ac:dyDescent="0.2"/>
  <cols>
    <col min="1" max="1" width="17" style="104" customWidth="1"/>
    <col min="2" max="11" width="9.140625" style="104"/>
    <col min="12" max="12" width="25.5703125" customWidth="1"/>
    <col min="13" max="33" width="5.7109375" customWidth="1"/>
    <col min="34" max="35" width="2.42578125" customWidth="1"/>
    <col min="36" max="37" width="6.28515625" customWidth="1"/>
    <col min="38" max="38" width="30.85546875" customWidth="1"/>
    <col min="39" max="40" width="7.5703125" customWidth="1"/>
    <col min="41" max="41" width="6.85546875" customWidth="1"/>
    <col min="42" max="42" width="7.140625" customWidth="1"/>
    <col min="43" max="43" width="7.5703125" customWidth="1"/>
    <col min="44" max="44" width="7.140625" customWidth="1"/>
    <col min="45" max="47" width="7.5703125" customWidth="1"/>
    <col min="48" max="48" width="7.140625" customWidth="1"/>
    <col min="49" max="52" width="7.5703125" customWidth="1"/>
    <col min="53" max="53" width="6.85546875" customWidth="1"/>
    <col min="54" max="57" width="7.5703125" customWidth="1"/>
    <col min="58" max="58" width="7.140625" customWidth="1"/>
    <col min="59" max="59" width="7.5703125" customWidth="1"/>
    <col min="60" max="60" width="6.5703125" customWidth="1"/>
    <col min="61" max="63" width="7.5703125" customWidth="1"/>
    <col min="64" max="64" width="2.42578125" customWidth="1"/>
    <col min="65" max="65" width="6.28515625" customWidth="1"/>
    <col min="66" max="66" width="19.42578125" customWidth="1"/>
  </cols>
  <sheetData>
    <row r="1" spans="1:96" ht="15.75" x14ac:dyDescent="0.25">
      <c r="A1" s="103" t="str">
        <f>CONCATENATE("Industry Figure 2  Employment by Industry (SIC 2007), ",$M$2,"-",$O$2)</f>
        <v>Industry Figure 2  Employment by Industry (SIC 2007), 2007-2027</v>
      </c>
      <c r="L1" s="56"/>
    </row>
    <row r="2" spans="1:96" x14ac:dyDescent="0.2">
      <c r="L2" s="19" t="s">
        <v>28</v>
      </c>
      <c r="M2" s="59">
        <f>M4</f>
        <v>2007</v>
      </c>
      <c r="N2" s="58" t="s">
        <v>27</v>
      </c>
      <c r="O2" s="59">
        <f>MAX(Q4:BQ4)</f>
        <v>2027</v>
      </c>
    </row>
    <row r="3" spans="1:96" x14ac:dyDescent="0.2">
      <c r="L3" s="19"/>
      <c r="M3" s="19"/>
      <c r="N3" s="58"/>
      <c r="O3" s="19"/>
    </row>
    <row r="4" spans="1:96" x14ac:dyDescent="0.2">
      <c r="L4" s="15"/>
      <c r="M4" s="59">
        <v>2007</v>
      </c>
      <c r="N4" s="59">
        <v>2008</v>
      </c>
      <c r="O4" s="59">
        <v>2009</v>
      </c>
      <c r="P4" s="59">
        <v>2010</v>
      </c>
      <c r="Q4" s="59">
        <v>2011</v>
      </c>
      <c r="R4" s="59">
        <v>2012</v>
      </c>
      <c r="S4" s="59">
        <v>2013</v>
      </c>
      <c r="T4" s="59">
        <v>2014</v>
      </c>
      <c r="U4" s="59">
        <v>2015</v>
      </c>
      <c r="V4" s="59">
        <v>2016</v>
      </c>
      <c r="W4" s="59">
        <v>2017</v>
      </c>
      <c r="X4" s="59">
        <v>2018</v>
      </c>
      <c r="Y4" s="59">
        <v>2019</v>
      </c>
      <c r="Z4" s="59">
        <v>2020</v>
      </c>
      <c r="AA4" s="59">
        <v>2021</v>
      </c>
      <c r="AB4" s="59">
        <v>2022</v>
      </c>
      <c r="AC4" s="59">
        <v>2023</v>
      </c>
      <c r="AD4" s="59">
        <v>2024</v>
      </c>
      <c r="AE4" s="59">
        <v>2025</v>
      </c>
      <c r="AF4" s="59">
        <v>2026</v>
      </c>
      <c r="AG4" s="59">
        <v>2027</v>
      </c>
      <c r="AH4" s="59"/>
      <c r="AI4" s="59"/>
      <c r="AJ4" s="59"/>
      <c r="AK4" s="59"/>
      <c r="AL4" s="59"/>
      <c r="AM4" s="59">
        <f t="shared" ref="AM4" si="0">BP4</f>
        <v>0</v>
      </c>
      <c r="AN4" s="12"/>
      <c r="AO4" s="12"/>
      <c r="AP4" s="12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12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</row>
    <row r="5" spans="1:96" x14ac:dyDescent="0.2">
      <c r="L5" s="21" t="str">
        <f>'Ind T4'!A7</f>
        <v>Primary sector and utilities</v>
      </c>
      <c r="M5" s="13">
        <f>SUM(M6:M9)</f>
        <v>52.324999999974622</v>
      </c>
      <c r="N5" s="13">
        <f t="shared" ref="N5:AG5" si="1">SUM(N6:N9)</f>
        <v>52.018000000270085</v>
      </c>
      <c r="O5" s="13">
        <f t="shared" si="1"/>
        <v>57.636000000471256</v>
      </c>
      <c r="P5" s="13">
        <f t="shared" si="1"/>
        <v>49.886999999539036</v>
      </c>
      <c r="Q5" s="13">
        <f t="shared" si="1"/>
        <v>54.904999999627414</v>
      </c>
      <c r="R5" s="13">
        <f t="shared" si="1"/>
        <v>58.374999999603311</v>
      </c>
      <c r="S5" s="13">
        <f t="shared" si="1"/>
        <v>51.45699999999546</v>
      </c>
      <c r="T5" s="13">
        <f t="shared" si="1"/>
        <v>55.819999999490562</v>
      </c>
      <c r="U5" s="13">
        <f t="shared" si="1"/>
        <v>69.474999999537815</v>
      </c>
      <c r="V5" s="13">
        <f t="shared" si="1"/>
        <v>57.315999999832215</v>
      </c>
      <c r="W5" s="13">
        <f t="shared" si="1"/>
        <v>81.569000000387007</v>
      </c>
      <c r="X5" s="13">
        <f t="shared" si="1"/>
        <v>81.296999999939999</v>
      </c>
      <c r="Y5" s="13">
        <f t="shared" si="1"/>
        <v>81.54199999987145</v>
      </c>
      <c r="Z5" s="13">
        <f t="shared" si="1"/>
        <v>81.798000000533747</v>
      </c>
      <c r="AA5" s="13">
        <f t="shared" si="1"/>
        <v>81.913999999946753</v>
      </c>
      <c r="AB5" s="13">
        <f t="shared" si="1"/>
        <v>82.016000000124336</v>
      </c>
      <c r="AC5" s="13">
        <f t="shared" si="1"/>
        <v>82.186000000099042</v>
      </c>
      <c r="AD5" s="13">
        <f t="shared" si="1"/>
        <v>82.343000000294239</v>
      </c>
      <c r="AE5" s="13">
        <f t="shared" si="1"/>
        <v>82.4770000000415</v>
      </c>
      <c r="AF5" s="13">
        <f t="shared" si="1"/>
        <v>82.607000000144836</v>
      </c>
      <c r="AG5" s="13">
        <f t="shared" si="1"/>
        <v>82.742000000101328</v>
      </c>
      <c r="AH5" s="13"/>
      <c r="AI5" s="13"/>
      <c r="AJ5" s="13"/>
      <c r="AK5" s="246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286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</row>
    <row r="6" spans="1:96" x14ac:dyDescent="0.2">
      <c r="L6" s="247" t="str">
        <f>'Ind T4'!A8</f>
        <v>Agriculture</v>
      </c>
      <c r="M6" s="13">
        <v>37.118000000003256</v>
      </c>
      <c r="N6" s="13">
        <v>36.880000000310559</v>
      </c>
      <c r="O6" s="13">
        <v>41.61700000049246</v>
      </c>
      <c r="P6" s="13">
        <v>31.347999999656327</v>
      </c>
      <c r="Q6" s="13">
        <v>35.455999999765297</v>
      </c>
      <c r="R6" s="13">
        <v>35.296999999794295</v>
      </c>
      <c r="S6" s="13">
        <v>28.765000000079787</v>
      </c>
      <c r="T6" s="13">
        <v>35.126999999669735</v>
      </c>
      <c r="U6" s="13">
        <v>42.727999999759056</v>
      </c>
      <c r="V6" s="13">
        <v>34.374000000028154</v>
      </c>
      <c r="W6" s="13">
        <v>59.821000000532997</v>
      </c>
      <c r="X6" s="13">
        <v>59.634000000115847</v>
      </c>
      <c r="Y6" s="13">
        <v>59.51900000007867</v>
      </c>
      <c r="Z6" s="13">
        <v>59.57000000065397</v>
      </c>
      <c r="AA6" s="13">
        <v>59.626000000156331</v>
      </c>
      <c r="AB6" s="13">
        <v>59.688000000333112</v>
      </c>
      <c r="AC6" s="13">
        <v>59.771000000346447</v>
      </c>
      <c r="AD6" s="13">
        <v>59.846000000521599</v>
      </c>
      <c r="AE6" s="13">
        <v>59.908000000335768</v>
      </c>
      <c r="AF6" s="13">
        <v>59.956000000390553</v>
      </c>
      <c r="AG6" s="13">
        <v>60.006000000325777</v>
      </c>
      <c r="AH6" s="13"/>
      <c r="AI6" s="13"/>
      <c r="AJ6" s="13"/>
      <c r="AK6" s="246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286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</row>
    <row r="7" spans="1:96" x14ac:dyDescent="0.2">
      <c r="L7" s="247" t="str">
        <f>'Ind T4'!A9</f>
        <v>Mining and quarrying</v>
      </c>
      <c r="M7" s="13">
        <v>1.6279999999962358</v>
      </c>
      <c r="N7" s="13">
        <v>1.96099999999255</v>
      </c>
      <c r="O7" s="13">
        <v>1.956999999999492</v>
      </c>
      <c r="P7" s="13">
        <v>1.6429999999957143</v>
      </c>
      <c r="Q7" s="13">
        <v>1.9789999999983645</v>
      </c>
      <c r="R7" s="13">
        <v>3.007999999987867</v>
      </c>
      <c r="S7" s="13">
        <v>3.0559999999955099</v>
      </c>
      <c r="T7" s="13">
        <v>2.0239999999991891</v>
      </c>
      <c r="U7" s="13">
        <v>1.6539999999963646</v>
      </c>
      <c r="V7" s="13">
        <v>2.2149999999949364</v>
      </c>
      <c r="W7" s="13">
        <v>2.7239999999940552</v>
      </c>
      <c r="X7" s="13">
        <v>2.6899999999924988</v>
      </c>
      <c r="Y7" s="13">
        <v>2.7039999999911966</v>
      </c>
      <c r="Z7" s="13">
        <v>2.7389999999985712</v>
      </c>
      <c r="AA7" s="13">
        <v>2.641999999988176</v>
      </c>
      <c r="AB7" s="13">
        <v>2.5589999999895552</v>
      </c>
      <c r="AC7" s="13">
        <v>2.4819999999883806</v>
      </c>
      <c r="AD7" s="13">
        <v>2.4079999999887383</v>
      </c>
      <c r="AE7" s="13">
        <v>2.339999999985138</v>
      </c>
      <c r="AF7" s="13">
        <v>2.2759999999884681</v>
      </c>
      <c r="AG7" s="13">
        <v>2.2159999999892799</v>
      </c>
      <c r="AH7" s="13"/>
      <c r="AI7" s="13"/>
      <c r="AJ7" s="13"/>
      <c r="AK7" s="246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286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</row>
    <row r="8" spans="1:96" x14ac:dyDescent="0.2">
      <c r="L8" s="247" t="str">
        <f>'Ind T4'!A10</f>
        <v>Electricity and gas</v>
      </c>
      <c r="M8" s="13">
        <v>4.5729999999731454</v>
      </c>
      <c r="N8" s="13">
        <v>4.5589999999683517</v>
      </c>
      <c r="O8" s="13">
        <v>5.4519999999573452</v>
      </c>
      <c r="P8" s="13">
        <v>6.818999999985687</v>
      </c>
      <c r="Q8" s="13">
        <v>7.2819999999869944</v>
      </c>
      <c r="R8" s="13">
        <v>7.6879999999825621</v>
      </c>
      <c r="S8" s="13">
        <v>7.3249999999629072</v>
      </c>
      <c r="T8" s="13">
        <v>7.7559999999832661</v>
      </c>
      <c r="U8" s="13">
        <v>10.87400000001186</v>
      </c>
      <c r="V8" s="13">
        <v>9.0730000000026809</v>
      </c>
      <c r="W8" s="13">
        <v>7.7169999999830905</v>
      </c>
      <c r="X8" s="13">
        <v>7.6649999999959091</v>
      </c>
      <c r="Y8" s="13">
        <v>7.6320000000093602</v>
      </c>
      <c r="Z8" s="13">
        <v>7.6199999999878321</v>
      </c>
      <c r="AA8" s="13">
        <v>7.5930000000145901</v>
      </c>
      <c r="AB8" s="13">
        <v>7.5720000000105081</v>
      </c>
      <c r="AC8" s="13">
        <v>7.5610000000102966</v>
      </c>
      <c r="AD8" s="13">
        <v>7.557000000010194</v>
      </c>
      <c r="AE8" s="13">
        <v>7.5530000000240545</v>
      </c>
      <c r="AF8" s="13">
        <v>7.5480000000058247</v>
      </c>
      <c r="AG8" s="13">
        <v>7.5420000000170146</v>
      </c>
      <c r="AH8" s="13"/>
      <c r="AI8" s="13"/>
      <c r="AJ8" s="13"/>
      <c r="AK8" s="246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286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</row>
    <row r="9" spans="1:96" s="286" customFormat="1" x14ac:dyDescent="0.2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247" t="str">
        <f>'Ind T4'!A11</f>
        <v>Water and sewerage</v>
      </c>
      <c r="M9" s="13">
        <v>9.0060000000019933</v>
      </c>
      <c r="N9" s="13">
        <v>8.6179999999986237</v>
      </c>
      <c r="O9" s="13">
        <v>8.6100000000219605</v>
      </c>
      <c r="P9" s="13">
        <v>10.076999999901311</v>
      </c>
      <c r="Q9" s="13">
        <v>10.187999999876761</v>
      </c>
      <c r="R9" s="13">
        <v>12.381999999838591</v>
      </c>
      <c r="S9" s="13">
        <v>12.310999999957254</v>
      </c>
      <c r="T9" s="13">
        <v>10.91299999983837</v>
      </c>
      <c r="U9" s="13">
        <v>14.218999999770526</v>
      </c>
      <c r="V9" s="13">
        <v>11.653999999806441</v>
      </c>
      <c r="W9" s="13">
        <v>11.306999999876865</v>
      </c>
      <c r="X9" s="13">
        <v>11.307999999835737</v>
      </c>
      <c r="Y9" s="13">
        <v>11.686999999792217</v>
      </c>
      <c r="Z9" s="13">
        <v>11.868999999893381</v>
      </c>
      <c r="AA9" s="13">
        <v>12.052999999787655</v>
      </c>
      <c r="AB9" s="13">
        <v>12.19699999979116</v>
      </c>
      <c r="AC9" s="13">
        <v>12.371999999753909</v>
      </c>
      <c r="AD9" s="13">
        <v>12.531999999773701</v>
      </c>
      <c r="AE9" s="13">
        <v>12.67599999969655</v>
      </c>
      <c r="AF9" s="13">
        <v>12.826999999759998</v>
      </c>
      <c r="AG9" s="13">
        <v>12.977999999769249</v>
      </c>
      <c r="AH9" s="13"/>
      <c r="AI9" s="13"/>
      <c r="AJ9" s="13"/>
      <c r="AK9" s="246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</row>
    <row r="10" spans="1:96" x14ac:dyDescent="0.2">
      <c r="L10" s="60"/>
      <c r="M10" s="286"/>
      <c r="N10" s="286"/>
      <c r="O10" s="286"/>
      <c r="P10" s="286"/>
      <c r="AK10" s="246"/>
      <c r="AP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286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</row>
    <row r="11" spans="1:96" x14ac:dyDescent="0.2">
      <c r="L11" s="21" t="str">
        <f>'Ind T4'!A13</f>
        <v>Manufacturing</v>
      </c>
      <c r="M11" s="13">
        <f t="shared" ref="M11:P11" si="2">SUM(M12:M14)</f>
        <v>172.16099999939223</v>
      </c>
      <c r="N11" s="13">
        <f t="shared" si="2"/>
        <v>167.24399999980912</v>
      </c>
      <c r="O11" s="13">
        <f t="shared" si="2"/>
        <v>150.00999999995122</v>
      </c>
      <c r="P11" s="13">
        <f t="shared" si="2"/>
        <v>132.83199999800422</v>
      </c>
      <c r="Q11" s="13">
        <f>SUM(Q12:Q14)</f>
        <v>142.20699999814002</v>
      </c>
      <c r="R11" s="13">
        <f t="shared" ref="R11" si="3">SUM(R12:R14)</f>
        <v>142.28299999790551</v>
      </c>
      <c r="S11" s="13">
        <f t="shared" ref="S11" si="4">SUM(S12:S14)</f>
        <v>144.82099999989916</v>
      </c>
      <c r="T11" s="13">
        <f t="shared" ref="T11" si="5">SUM(T12:T14)</f>
        <v>158.71599999736583</v>
      </c>
      <c r="U11" s="13">
        <f t="shared" ref="U11" si="6">SUM(U12:U14)</f>
        <v>158.64999999812102</v>
      </c>
      <c r="V11" s="13">
        <f t="shared" ref="V11" si="7">SUM(V12:V14)</f>
        <v>159.53499999878895</v>
      </c>
      <c r="W11" s="13">
        <f t="shared" ref="W11" si="8">SUM(W12:W14)</f>
        <v>146.81800000036867</v>
      </c>
      <c r="X11" s="13">
        <f t="shared" ref="X11" si="9">SUM(X12:X14)</f>
        <v>145.34099999892939</v>
      </c>
      <c r="Y11" s="13">
        <f t="shared" ref="Y11" si="10">SUM(Y12:Y14)</f>
        <v>143.90499999884014</v>
      </c>
      <c r="Z11" s="13">
        <f t="shared" ref="Z11" si="11">SUM(Z12:Z14)</f>
        <v>144.45400000060093</v>
      </c>
      <c r="AA11" s="13">
        <f t="shared" ref="AA11" si="12">SUM(AA12:AA14)</f>
        <v>142.29099999875262</v>
      </c>
      <c r="AB11" s="13">
        <f t="shared" ref="AB11" si="13">SUM(AB12:AB14)</f>
        <v>140.71099999892368</v>
      </c>
      <c r="AC11" s="13">
        <f t="shared" ref="AC11" si="14">SUM(AC12:AC14)</f>
        <v>139.22799999894059</v>
      </c>
      <c r="AD11" s="13">
        <f>SUM(AD12:AD14)</f>
        <v>137.97799999911396</v>
      </c>
      <c r="AE11" s="13">
        <f t="shared" ref="AE11" si="15">SUM(AE12:AE14)</f>
        <v>136.6829999985741</v>
      </c>
      <c r="AF11" s="13">
        <f t="shared" ref="AF11" si="16">SUM(AF12:AF14)</f>
        <v>135.50099999871165</v>
      </c>
      <c r="AG11" s="13">
        <f t="shared" ref="AG11" si="17">SUM(AG12:AG14)</f>
        <v>134.30699999879783</v>
      </c>
      <c r="AH11" s="13"/>
      <c r="AI11" s="13"/>
      <c r="AJ11" s="13"/>
      <c r="AK11" s="246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286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</row>
    <row r="12" spans="1:96" x14ac:dyDescent="0.2">
      <c r="L12" s="247" t="str">
        <f>'Ind T4'!A14</f>
        <v>Food drink and tobacco</v>
      </c>
      <c r="M12" s="13">
        <v>23.866999999866046</v>
      </c>
      <c r="N12" s="13">
        <v>23.813999999995655</v>
      </c>
      <c r="O12" s="13">
        <v>22.782000000001023</v>
      </c>
      <c r="P12" s="13">
        <v>20.259999999595994</v>
      </c>
      <c r="Q12" s="13">
        <v>19.713999999652085</v>
      </c>
      <c r="R12" s="13">
        <v>22.471999999568489</v>
      </c>
      <c r="S12" s="13">
        <v>22.770999999990511</v>
      </c>
      <c r="T12" s="13">
        <v>22.684999999472797</v>
      </c>
      <c r="U12" s="13">
        <v>25.616999999658152</v>
      </c>
      <c r="V12" s="13">
        <v>21.601999999820343</v>
      </c>
      <c r="W12" s="13">
        <v>20.183000000104787</v>
      </c>
      <c r="X12" s="13">
        <v>19.391999999849762</v>
      </c>
      <c r="Y12" s="13">
        <v>19.34799999984638</v>
      </c>
      <c r="Z12" s="13">
        <v>19.532000000128079</v>
      </c>
      <c r="AA12" s="13">
        <v>19.271999999826075</v>
      </c>
      <c r="AB12" s="13">
        <v>19.041999999850926</v>
      </c>
      <c r="AC12" s="13">
        <v>18.834999999859345</v>
      </c>
      <c r="AD12" s="13">
        <v>18.646999999887502</v>
      </c>
      <c r="AE12" s="13">
        <v>18.455999999808604</v>
      </c>
      <c r="AF12" s="13">
        <v>18.268999999814906</v>
      </c>
      <c r="AG12" s="13">
        <v>18.083999999831093</v>
      </c>
      <c r="AH12" s="13"/>
      <c r="AI12" s="13"/>
      <c r="AJ12" s="13"/>
      <c r="AK12" s="246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286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</row>
    <row r="13" spans="1:96" x14ac:dyDescent="0.2">
      <c r="L13" s="247" t="str">
        <f>'Ind T4'!A15</f>
        <v>Engineering</v>
      </c>
      <c r="M13" s="13">
        <v>24.827999999803499</v>
      </c>
      <c r="N13" s="13">
        <v>21.601999999991698</v>
      </c>
      <c r="O13" s="13">
        <v>20.023999999885923</v>
      </c>
      <c r="P13" s="13">
        <v>16.554999999768341</v>
      </c>
      <c r="Q13" s="13">
        <v>20.10599999977488</v>
      </c>
      <c r="R13" s="13">
        <v>17.482999999787033</v>
      </c>
      <c r="S13" s="13">
        <v>19.113999999919418</v>
      </c>
      <c r="T13" s="13">
        <v>24.317999999686705</v>
      </c>
      <c r="U13" s="13">
        <v>18.005999999910607</v>
      </c>
      <c r="V13" s="13">
        <v>17.883999999944347</v>
      </c>
      <c r="W13" s="13">
        <v>16.822000000038976</v>
      </c>
      <c r="X13" s="13">
        <v>17.747999999928712</v>
      </c>
      <c r="Y13" s="13">
        <v>17.713999999947337</v>
      </c>
      <c r="Z13" s="13">
        <v>17.664000000048684</v>
      </c>
      <c r="AA13" s="13">
        <v>17.358999999933598</v>
      </c>
      <c r="AB13" s="13">
        <v>17.10699999993539</v>
      </c>
      <c r="AC13" s="13">
        <v>16.878999999941648</v>
      </c>
      <c r="AD13" s="13">
        <v>16.660999999957276</v>
      </c>
      <c r="AE13" s="13">
        <v>16.451999999932028</v>
      </c>
      <c r="AF13" s="13">
        <v>16.225999999915281</v>
      </c>
      <c r="AG13" s="13">
        <v>16.008999999931156</v>
      </c>
      <c r="AH13" s="13"/>
      <c r="AI13" s="13"/>
      <c r="AJ13" s="13"/>
      <c r="AK13" s="246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286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</row>
    <row r="14" spans="1:96" x14ac:dyDescent="0.2">
      <c r="L14" s="247" t="str">
        <f>'Ind T4'!A16</f>
        <v>Rest of manufacturing</v>
      </c>
      <c r="M14" s="13">
        <v>123.4659999997227</v>
      </c>
      <c r="N14" s="13">
        <v>121.82799999982177</v>
      </c>
      <c r="O14" s="13">
        <v>107.20400000006426</v>
      </c>
      <c r="P14" s="13">
        <v>96.016999998639875</v>
      </c>
      <c r="Q14" s="13">
        <v>102.38699999871307</v>
      </c>
      <c r="R14" s="13">
        <v>102.32799999854998</v>
      </c>
      <c r="S14" s="13">
        <v>102.93599999998924</v>
      </c>
      <c r="T14" s="13">
        <v>111.71299999820634</v>
      </c>
      <c r="U14" s="13">
        <v>115.02699999855227</v>
      </c>
      <c r="V14" s="13">
        <v>120.04899999902426</v>
      </c>
      <c r="W14" s="13">
        <v>109.8130000002249</v>
      </c>
      <c r="X14" s="13">
        <v>108.20099999915092</v>
      </c>
      <c r="Y14" s="13">
        <v>106.84299999904644</v>
      </c>
      <c r="Z14" s="13">
        <v>107.25800000042416</v>
      </c>
      <c r="AA14" s="13">
        <v>105.65999999899296</v>
      </c>
      <c r="AB14" s="13">
        <v>104.56199999913738</v>
      </c>
      <c r="AC14" s="13">
        <v>103.5139999991396</v>
      </c>
      <c r="AD14" s="13">
        <v>102.66999999926918</v>
      </c>
      <c r="AE14" s="13">
        <v>101.77499999883347</v>
      </c>
      <c r="AF14" s="13">
        <v>101.00599999898147</v>
      </c>
      <c r="AG14" s="13">
        <v>100.21399999903559</v>
      </c>
      <c r="AH14" s="13"/>
      <c r="AI14" s="13"/>
      <c r="AJ14" s="13"/>
      <c r="AK14" s="246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286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</row>
    <row r="15" spans="1:96" x14ac:dyDescent="0.2">
      <c r="L15" s="60"/>
      <c r="M15" s="286"/>
      <c r="N15" s="286"/>
      <c r="O15" s="286"/>
      <c r="P15" s="286"/>
      <c r="AK15" s="246"/>
      <c r="AP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286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</row>
    <row r="16" spans="1:96" x14ac:dyDescent="0.2">
      <c r="L16" s="21" t="str">
        <f>'Ind T4'!A18</f>
        <v>Construction</v>
      </c>
      <c r="M16" s="13">
        <v>114.4310000013799</v>
      </c>
      <c r="N16" s="13">
        <v>97.246999999689649</v>
      </c>
      <c r="O16" s="13">
        <v>110.63500000021129</v>
      </c>
      <c r="P16" s="13">
        <v>101.10099999855892</v>
      </c>
      <c r="Q16" s="13">
        <v>97.704999998558776</v>
      </c>
      <c r="R16" s="13">
        <v>85.689999998545687</v>
      </c>
      <c r="S16" s="13">
        <v>85.78600000031436</v>
      </c>
      <c r="T16" s="13">
        <v>103.85899999846478</v>
      </c>
      <c r="U16" s="13">
        <v>92.423999999566433</v>
      </c>
      <c r="V16" s="13">
        <v>102.53899999935958</v>
      </c>
      <c r="W16" s="13">
        <v>107.09400000055047</v>
      </c>
      <c r="X16" s="13">
        <v>106.38299999963802</v>
      </c>
      <c r="Y16" s="13">
        <v>106.88699999975593</v>
      </c>
      <c r="Z16" s="13">
        <v>107.21000000178981</v>
      </c>
      <c r="AA16" s="13">
        <v>107.26800000036928</v>
      </c>
      <c r="AB16" s="13">
        <v>107.3900000006698</v>
      </c>
      <c r="AC16" s="13">
        <v>107.5580000004738</v>
      </c>
      <c r="AD16" s="13">
        <v>107.70300000105374</v>
      </c>
      <c r="AE16" s="13">
        <v>107.82700000005377</v>
      </c>
      <c r="AF16" s="13">
        <v>108.04900000075175</v>
      </c>
      <c r="AG16" s="13">
        <v>108.10400000028811</v>
      </c>
      <c r="AH16" s="13"/>
      <c r="AI16" s="13"/>
      <c r="AJ16" s="13"/>
      <c r="AK16" s="246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286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</row>
    <row r="17" spans="1:96" x14ac:dyDescent="0.2">
      <c r="L17" s="60"/>
      <c r="M17" s="286"/>
      <c r="N17" s="286"/>
      <c r="O17" s="286"/>
      <c r="P17" s="286"/>
      <c r="AK17" s="246"/>
      <c r="AP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286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</row>
    <row r="18" spans="1:96" x14ac:dyDescent="0.2">
      <c r="L18" s="21" t="str">
        <f>'Ind T4'!A20</f>
        <v>Trade, accomod. and transport</v>
      </c>
      <c r="M18" s="13">
        <f t="shared" ref="M18:P18" si="18">SUM(M19:M21)</f>
        <v>358.10299999951656</v>
      </c>
      <c r="N18" s="13">
        <f t="shared" si="18"/>
        <v>373.61600000437295</v>
      </c>
      <c r="O18" s="13">
        <f t="shared" si="18"/>
        <v>351.87600000206589</v>
      </c>
      <c r="P18" s="13">
        <f t="shared" si="18"/>
        <v>361.65999999649114</v>
      </c>
      <c r="Q18" s="13">
        <f>SUM(Q19:Q21)</f>
        <v>347.04599999950972</v>
      </c>
      <c r="R18" s="13">
        <f t="shared" ref="R18" si="19">SUM(R19:R21)</f>
        <v>345.20099999769513</v>
      </c>
      <c r="S18" s="13">
        <f t="shared" ref="S18" si="20">SUM(S19:S21)</f>
        <v>346.27100000261754</v>
      </c>
      <c r="T18" s="13">
        <f t="shared" ref="T18" si="21">SUM(T19:T21)</f>
        <v>334.5729999971623</v>
      </c>
      <c r="U18" s="13">
        <f t="shared" ref="U18" si="22">SUM(U19:U21)</f>
        <v>360.7580000012681</v>
      </c>
      <c r="V18" s="13">
        <f t="shared" ref="V18" si="23">SUM(V19:V21)</f>
        <v>373.69400000328073</v>
      </c>
      <c r="W18" s="13">
        <f t="shared" ref="W18" si="24">SUM(W19:W21)</f>
        <v>380.49400000702138</v>
      </c>
      <c r="X18" s="13">
        <f t="shared" ref="X18" si="25">SUM(X19:X21)</f>
        <v>378.7330000020869</v>
      </c>
      <c r="Y18" s="13">
        <f t="shared" ref="Y18" si="26">SUM(Y19:Y21)</f>
        <v>378.90600000350469</v>
      </c>
      <c r="Z18" s="13">
        <f t="shared" ref="Z18" si="27">SUM(Z19:Z21)</f>
        <v>379.39300000599633</v>
      </c>
      <c r="AA18" s="13">
        <f t="shared" ref="AA18" si="28">SUM(AA19:AA21)</f>
        <v>380.03100000217347</v>
      </c>
      <c r="AB18" s="13">
        <f t="shared" ref="AB18" si="29">SUM(AB19:AB21)</f>
        <v>381.17300000228767</v>
      </c>
      <c r="AC18" s="13">
        <f t="shared" ref="AC18" si="30">SUM(AC19:AC21)</f>
        <v>382.53900000323648</v>
      </c>
      <c r="AD18" s="13">
        <f>SUM(AD19:AD21)</f>
        <v>383.79900000344298</v>
      </c>
      <c r="AE18" s="13">
        <f t="shared" ref="AE18" si="31">SUM(AE19:AE21)</f>
        <v>385.21300000387868</v>
      </c>
      <c r="AF18" s="13">
        <f t="shared" ref="AF18" si="32">SUM(AF19:AF21)</f>
        <v>386.64600000165581</v>
      </c>
      <c r="AG18" s="13">
        <f t="shared" ref="AG18" si="33">SUM(AG19:AG21)</f>
        <v>387.86900000181913</v>
      </c>
      <c r="AH18" s="13"/>
      <c r="AI18" s="13"/>
      <c r="AJ18" s="13"/>
      <c r="AK18" s="246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286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</row>
    <row r="19" spans="1:96" x14ac:dyDescent="0.2">
      <c r="L19" s="247" t="str">
        <f>'Ind T4'!A21</f>
        <v>Wholesale and retail trade</v>
      </c>
      <c r="M19" s="13">
        <v>212.9010000000618</v>
      </c>
      <c r="N19" s="13">
        <v>220.11000000281945</v>
      </c>
      <c r="O19" s="13">
        <v>208.7880000015212</v>
      </c>
      <c r="P19" s="13">
        <v>211.20799999823069</v>
      </c>
      <c r="Q19" s="13">
        <v>204.13300000019859</v>
      </c>
      <c r="R19" s="13">
        <v>200.64199999911983</v>
      </c>
      <c r="S19" s="13">
        <v>207.19800000201926</v>
      </c>
      <c r="T19" s="13">
        <v>192.91799999859131</v>
      </c>
      <c r="U19" s="13">
        <v>204.64500000140964</v>
      </c>
      <c r="V19" s="13">
        <v>204.04400000241165</v>
      </c>
      <c r="W19" s="13">
        <v>201.97900000434544</v>
      </c>
      <c r="X19" s="13">
        <v>201.80800000153559</v>
      </c>
      <c r="Y19" s="13">
        <v>202.03900000237243</v>
      </c>
      <c r="Z19" s="13">
        <v>202.40200000380113</v>
      </c>
      <c r="AA19" s="13">
        <v>202.28600000157576</v>
      </c>
      <c r="AB19" s="13">
        <v>202.46000000162195</v>
      </c>
      <c r="AC19" s="13">
        <v>202.72400000225088</v>
      </c>
      <c r="AD19" s="13">
        <v>203.01200000229031</v>
      </c>
      <c r="AE19" s="13">
        <v>203.31000000257359</v>
      </c>
      <c r="AF19" s="13">
        <v>203.58300000126567</v>
      </c>
      <c r="AG19" s="13">
        <v>203.89500000126876</v>
      </c>
      <c r="AH19" s="13"/>
      <c r="AI19" s="13"/>
      <c r="AJ19" s="13"/>
      <c r="AK19" s="246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286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</row>
    <row r="20" spans="1:96" x14ac:dyDescent="0.2">
      <c r="L20" s="247" t="str">
        <f>'Ind T4'!A22</f>
        <v>Transport and storage</v>
      </c>
      <c r="M20" s="13">
        <v>49.102000000026393</v>
      </c>
      <c r="N20" s="13">
        <v>53.409000000698335</v>
      </c>
      <c r="O20" s="13">
        <v>53.083000001063525</v>
      </c>
      <c r="P20" s="13">
        <v>49.542999999775013</v>
      </c>
      <c r="Q20" s="13">
        <v>55.802999999860901</v>
      </c>
      <c r="R20" s="13">
        <v>44.79399999970483</v>
      </c>
      <c r="S20" s="13">
        <v>44.929000000552584</v>
      </c>
      <c r="T20" s="13">
        <v>52.948999999808422</v>
      </c>
      <c r="U20" s="13">
        <v>54.078999999409646</v>
      </c>
      <c r="V20" s="13">
        <v>45.154999999981065</v>
      </c>
      <c r="W20" s="13">
        <v>40.442000000595684</v>
      </c>
      <c r="X20" s="13">
        <v>39.553000000062752</v>
      </c>
      <c r="Y20" s="13">
        <v>39.492000000000452</v>
      </c>
      <c r="Z20" s="13">
        <v>39.431000000435148</v>
      </c>
      <c r="AA20" s="13">
        <v>39.464999999800277</v>
      </c>
      <c r="AB20" s="13">
        <v>39.508999999785857</v>
      </c>
      <c r="AC20" s="13">
        <v>39.581999999766396</v>
      </c>
      <c r="AD20" s="13">
        <v>39.689999999801991</v>
      </c>
      <c r="AE20" s="13">
        <v>39.800999999618995</v>
      </c>
      <c r="AF20" s="13">
        <v>39.91599999962726</v>
      </c>
      <c r="AG20" s="13">
        <v>40.036999999636869</v>
      </c>
      <c r="AH20" s="13"/>
      <c r="AI20" s="13"/>
      <c r="AJ20" s="13"/>
      <c r="AK20" s="246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286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</row>
    <row r="21" spans="1:96" x14ac:dyDescent="0.2">
      <c r="L21" s="247" t="str">
        <f>'Ind T4'!A23</f>
        <v>Accommodation and food</v>
      </c>
      <c r="M21" s="13">
        <v>96.099999999428334</v>
      </c>
      <c r="N21" s="13">
        <v>100.09700000085519</v>
      </c>
      <c r="O21" s="13">
        <v>90.004999999481171</v>
      </c>
      <c r="P21" s="13">
        <v>100.90899999848544</v>
      </c>
      <c r="Q21" s="13">
        <v>87.109999999450253</v>
      </c>
      <c r="R21" s="13">
        <v>99.764999998870479</v>
      </c>
      <c r="S21" s="13">
        <v>94.144000000045693</v>
      </c>
      <c r="T21" s="13">
        <v>88.705999998762564</v>
      </c>
      <c r="U21" s="13">
        <v>102.03400000044883</v>
      </c>
      <c r="V21" s="13">
        <v>124.49500000088804</v>
      </c>
      <c r="W21" s="13">
        <v>138.07300000208028</v>
      </c>
      <c r="X21" s="13">
        <v>137.37200000048855</v>
      </c>
      <c r="Y21" s="13">
        <v>137.37500000113178</v>
      </c>
      <c r="Z21" s="13">
        <v>137.56000000176005</v>
      </c>
      <c r="AA21" s="13">
        <v>138.28000000079743</v>
      </c>
      <c r="AB21" s="13">
        <v>139.20400000087986</v>
      </c>
      <c r="AC21" s="13">
        <v>140.23300000121921</v>
      </c>
      <c r="AD21" s="13">
        <v>141.09700000135072</v>
      </c>
      <c r="AE21" s="13">
        <v>142.10200000168609</v>
      </c>
      <c r="AF21" s="13">
        <v>143.14700000076286</v>
      </c>
      <c r="AG21" s="13">
        <v>143.93700000091351</v>
      </c>
      <c r="AH21" s="13"/>
      <c r="AI21" s="13"/>
      <c r="AJ21" s="13"/>
      <c r="AK21" s="246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286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</row>
    <row r="22" spans="1:96" x14ac:dyDescent="0.2">
      <c r="L22" s="60"/>
      <c r="M22" s="286"/>
      <c r="N22" s="286"/>
      <c r="O22" s="286"/>
      <c r="P22" s="286"/>
      <c r="AK22" s="246"/>
      <c r="AP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</row>
    <row r="23" spans="1:96" x14ac:dyDescent="0.2">
      <c r="L23" s="21" t="str">
        <f>'Ind T4'!A25</f>
        <v>Business and other services</v>
      </c>
      <c r="M23" s="13">
        <f>SUM(M24:M31)</f>
        <v>307.14199999844817</v>
      </c>
      <c r="N23" s="13">
        <f t="shared" ref="N23:AG23" si="34">SUM(N24:N31)</f>
        <v>296.1709999988588</v>
      </c>
      <c r="O23" s="13">
        <f t="shared" si="34"/>
        <v>290.6719999979772</v>
      </c>
      <c r="P23" s="13">
        <f t="shared" si="34"/>
        <v>301.14400000050443</v>
      </c>
      <c r="Q23" s="13">
        <f t="shared" si="34"/>
        <v>296.28400000031922</v>
      </c>
      <c r="R23" s="13">
        <f t="shared" si="34"/>
        <v>299.01900000024375</v>
      </c>
      <c r="S23" s="13">
        <f t="shared" si="34"/>
        <v>306.25799999883571</v>
      </c>
      <c r="T23" s="13">
        <f t="shared" si="34"/>
        <v>333.20000000038897</v>
      </c>
      <c r="U23" s="13">
        <f t="shared" si="34"/>
        <v>314.29400000049952</v>
      </c>
      <c r="V23" s="13">
        <f t="shared" si="34"/>
        <v>336.00999999964631</v>
      </c>
      <c r="W23" s="13">
        <f t="shared" si="34"/>
        <v>336.15199999851626</v>
      </c>
      <c r="X23" s="13">
        <f t="shared" si="34"/>
        <v>342.40599999948648</v>
      </c>
      <c r="Y23" s="13">
        <f t="shared" si="34"/>
        <v>344.91199999935901</v>
      </c>
      <c r="Z23" s="13">
        <f t="shared" si="34"/>
        <v>347.01699999801775</v>
      </c>
      <c r="AA23" s="13">
        <f t="shared" si="34"/>
        <v>348.55499999946915</v>
      </c>
      <c r="AB23" s="13">
        <f t="shared" si="34"/>
        <v>350.05099999922072</v>
      </c>
      <c r="AC23" s="13">
        <f t="shared" si="34"/>
        <v>351.64599999923792</v>
      </c>
      <c r="AD23" s="13">
        <f t="shared" si="34"/>
        <v>353.33899999888894</v>
      </c>
      <c r="AE23" s="13">
        <f t="shared" si="34"/>
        <v>355.06399999948786</v>
      </c>
      <c r="AF23" s="13">
        <f t="shared" si="34"/>
        <v>356.68599999947315</v>
      </c>
      <c r="AG23" s="13">
        <f t="shared" si="34"/>
        <v>358.32199999962603</v>
      </c>
      <c r="AH23" s="13"/>
      <c r="AI23" s="13"/>
      <c r="AJ23" s="13"/>
      <c r="AK23" s="246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</row>
    <row r="24" spans="1:96" x14ac:dyDescent="0.2">
      <c r="L24" s="247" t="str">
        <f>'Ind T4'!A26</f>
        <v>Media</v>
      </c>
      <c r="M24" s="13">
        <v>11.754999999961091</v>
      </c>
      <c r="N24" s="13">
        <v>10.333999999955813</v>
      </c>
      <c r="O24" s="13">
        <v>7.5059999999698563</v>
      </c>
      <c r="P24" s="13">
        <v>9.3330000000171793</v>
      </c>
      <c r="Q24" s="13">
        <v>9.5320000000146941</v>
      </c>
      <c r="R24" s="13">
        <v>6.8449999999778317</v>
      </c>
      <c r="S24" s="13">
        <v>8.4150000000312755</v>
      </c>
      <c r="T24" s="13">
        <v>11.06200000004967</v>
      </c>
      <c r="U24" s="13">
        <v>9.3259999999784089</v>
      </c>
      <c r="V24" s="13">
        <v>8.0509999999734205</v>
      </c>
      <c r="W24" s="13">
        <v>8.7239999999658</v>
      </c>
      <c r="X24" s="13">
        <v>8.5829999999621922</v>
      </c>
      <c r="Y24" s="13">
        <v>8.5899999999634691</v>
      </c>
      <c r="Z24" s="13">
        <v>8.5619999999578038</v>
      </c>
      <c r="AA24" s="13">
        <v>8.6039999999604966</v>
      </c>
      <c r="AB24" s="13">
        <v>8.6489999999559277</v>
      </c>
      <c r="AC24" s="13">
        <v>8.6909999999620595</v>
      </c>
      <c r="AD24" s="13">
        <v>8.7359999999530977</v>
      </c>
      <c r="AE24" s="13">
        <v>8.7749999999633861</v>
      </c>
      <c r="AF24" s="13">
        <v>8.8149999999540594</v>
      </c>
      <c r="AG24" s="13">
        <v>8.8549999999627378</v>
      </c>
      <c r="AH24" s="13"/>
      <c r="AI24" s="13"/>
      <c r="AJ24" s="13"/>
      <c r="AK24" s="246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</row>
    <row r="25" spans="1:96" x14ac:dyDescent="0.2">
      <c r="L25" s="247" t="str">
        <f>'Ind T4'!A27</f>
        <v>Information technology</v>
      </c>
      <c r="M25" s="13">
        <v>21.024999999846443</v>
      </c>
      <c r="N25" s="13">
        <v>20.481999999820498</v>
      </c>
      <c r="O25" s="13">
        <v>20.893999999650323</v>
      </c>
      <c r="P25" s="13">
        <v>17.983000000197894</v>
      </c>
      <c r="Q25" s="13">
        <v>17.92000000014848</v>
      </c>
      <c r="R25" s="13">
        <v>20.421000000217287</v>
      </c>
      <c r="S25" s="13">
        <v>16.779999999853743</v>
      </c>
      <c r="T25" s="13">
        <v>21.803000000275215</v>
      </c>
      <c r="U25" s="13">
        <v>20.186000000225292</v>
      </c>
      <c r="V25" s="13">
        <v>22.877000000101692</v>
      </c>
      <c r="W25" s="13">
        <v>28.974999999652741</v>
      </c>
      <c r="X25" s="13">
        <v>29.196000000118897</v>
      </c>
      <c r="Y25" s="13">
        <v>29.316000000201523</v>
      </c>
      <c r="Z25" s="13">
        <v>29.278999999592401</v>
      </c>
      <c r="AA25" s="13">
        <v>29.393000000245181</v>
      </c>
      <c r="AB25" s="13">
        <v>29.542000000157678</v>
      </c>
      <c r="AC25" s="13">
        <v>29.728000000147283</v>
      </c>
      <c r="AD25" s="13">
        <v>29.887000000084992</v>
      </c>
      <c r="AE25" s="13">
        <v>30.003000000313996</v>
      </c>
      <c r="AF25" s="13">
        <v>30.083000000197469</v>
      </c>
      <c r="AG25" s="13">
        <v>30.173000000246176</v>
      </c>
      <c r="AH25" s="13"/>
      <c r="AI25" s="13"/>
      <c r="AJ25" s="13"/>
      <c r="AK25" s="246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</row>
    <row r="26" spans="1:96" x14ac:dyDescent="0.2">
      <c r="L26" s="247" t="str">
        <f>'Ind T4'!A28</f>
        <v>Finance and insurance</v>
      </c>
      <c r="M26" s="13">
        <v>37.085999999674023</v>
      </c>
      <c r="N26" s="13">
        <v>34.494999999813842</v>
      </c>
      <c r="O26" s="13">
        <v>33.546999999555176</v>
      </c>
      <c r="P26" s="13">
        <v>28.408999999998525</v>
      </c>
      <c r="Q26" s="13">
        <v>29.41099999999512</v>
      </c>
      <c r="R26" s="13">
        <v>31.358000000035776</v>
      </c>
      <c r="S26" s="13">
        <v>31.547999999731019</v>
      </c>
      <c r="T26" s="13">
        <v>30.344000000096433</v>
      </c>
      <c r="U26" s="13">
        <v>30.788000000123532</v>
      </c>
      <c r="V26" s="13">
        <v>33.474000000016169</v>
      </c>
      <c r="W26" s="13">
        <v>32.219999999786531</v>
      </c>
      <c r="X26" s="13">
        <v>32.496999999909242</v>
      </c>
      <c r="Y26" s="13">
        <v>32.956999999949957</v>
      </c>
      <c r="Z26" s="13">
        <v>33.510999999697333</v>
      </c>
      <c r="AA26" s="13">
        <v>33.779999999955848</v>
      </c>
      <c r="AB26" s="13">
        <v>34.034999999877677</v>
      </c>
      <c r="AC26" s="13">
        <v>34.291999999881568</v>
      </c>
      <c r="AD26" s="13">
        <v>34.560999999826585</v>
      </c>
      <c r="AE26" s="13">
        <v>34.82899999992231</v>
      </c>
      <c r="AF26" s="13">
        <v>35.099999999894003</v>
      </c>
      <c r="AG26" s="13">
        <v>35.385999999912187</v>
      </c>
      <c r="AH26" s="13"/>
      <c r="AI26" s="13"/>
      <c r="AJ26" s="13"/>
      <c r="AK26" s="246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</row>
    <row r="27" spans="1:96" s="286" customFormat="1" x14ac:dyDescent="0.2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247" t="str">
        <f>'Ind T4'!A29</f>
        <v>Real estate</v>
      </c>
      <c r="M27" s="13">
        <v>13.451999999970582</v>
      </c>
      <c r="N27" s="13">
        <v>12.666999999967091</v>
      </c>
      <c r="O27" s="13">
        <v>14.204999999899103</v>
      </c>
      <c r="P27" s="13">
        <v>13.01999999998004</v>
      </c>
      <c r="Q27" s="13">
        <v>16.385999999970096</v>
      </c>
      <c r="R27" s="13">
        <v>17.004999999951604</v>
      </c>
      <c r="S27" s="13">
        <v>18.045999999921758</v>
      </c>
      <c r="T27" s="13">
        <v>23.128999999926446</v>
      </c>
      <c r="U27" s="13">
        <v>20.806000000051064</v>
      </c>
      <c r="V27" s="13">
        <v>20.846000000024084</v>
      </c>
      <c r="W27" s="13">
        <v>22.313000000007275</v>
      </c>
      <c r="X27" s="13">
        <v>22.537000000009279</v>
      </c>
      <c r="Y27" s="13">
        <v>22.709000000043197</v>
      </c>
      <c r="Z27" s="13">
        <v>22.901000000013298</v>
      </c>
      <c r="AA27" s="13">
        <v>23.062000000062511</v>
      </c>
      <c r="AB27" s="13">
        <v>23.22400000005284</v>
      </c>
      <c r="AC27" s="13">
        <v>23.401000000063835</v>
      </c>
      <c r="AD27" s="13">
        <v>23.593000000073527</v>
      </c>
      <c r="AE27" s="13">
        <v>23.796000000094175</v>
      </c>
      <c r="AF27" s="13">
        <v>24.014000000055507</v>
      </c>
      <c r="AG27" s="13">
        <v>24.245000000057065</v>
      </c>
      <c r="AH27" s="13"/>
      <c r="AI27" s="13"/>
      <c r="AJ27" s="13"/>
      <c r="AK27" s="246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</row>
    <row r="28" spans="1:96" s="286" customFormat="1" x14ac:dyDescent="0.2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247" t="str">
        <f>'Ind T4'!A30</f>
        <v>Professional services</v>
      </c>
      <c r="M28" s="13">
        <v>69.732999999341118</v>
      </c>
      <c r="N28" s="13">
        <v>65.054999999193882</v>
      </c>
      <c r="O28" s="13">
        <v>64.000999999133768</v>
      </c>
      <c r="P28" s="13">
        <v>71.309000000854823</v>
      </c>
      <c r="Q28" s="13">
        <v>61.148000000660993</v>
      </c>
      <c r="R28" s="13">
        <v>56.251000000647593</v>
      </c>
      <c r="S28" s="13">
        <v>72.38999999931805</v>
      </c>
      <c r="T28" s="13">
        <v>65.93200000074998</v>
      </c>
      <c r="U28" s="13">
        <v>69.572000000294878</v>
      </c>
      <c r="V28" s="13">
        <v>74.434999999684592</v>
      </c>
      <c r="W28" s="13">
        <v>71.550999998979776</v>
      </c>
      <c r="X28" s="13">
        <v>72.932999999793154</v>
      </c>
      <c r="Y28" s="13">
        <v>73.465999999729448</v>
      </c>
      <c r="Z28" s="13">
        <v>74.222999998826623</v>
      </c>
      <c r="AA28" s="13">
        <v>74.735999999862045</v>
      </c>
      <c r="AB28" s="13">
        <v>75.140999999684226</v>
      </c>
      <c r="AC28" s="13">
        <v>75.515999999646041</v>
      </c>
      <c r="AD28" s="13">
        <v>75.846999999455704</v>
      </c>
      <c r="AE28" s="13">
        <v>76.181999999780686</v>
      </c>
      <c r="AF28" s="13">
        <v>76.478999999890604</v>
      </c>
      <c r="AG28" s="13">
        <v>76.769999999921225</v>
      </c>
      <c r="AH28" s="13"/>
      <c r="AI28" s="13"/>
      <c r="AJ28" s="13"/>
      <c r="AK28" s="246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</row>
    <row r="29" spans="1:96" s="286" customFormat="1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247" t="str">
        <f>'Ind T4'!A31</f>
        <v>Support services</v>
      </c>
      <c r="M29" s="13">
        <v>80.051999999719968</v>
      </c>
      <c r="N29" s="13">
        <v>84.986000000079898</v>
      </c>
      <c r="O29" s="13">
        <v>80.23799999979046</v>
      </c>
      <c r="P29" s="13">
        <v>85.158999999187827</v>
      </c>
      <c r="Q29" s="13">
        <v>83.732999999325727</v>
      </c>
      <c r="R29" s="13">
        <v>88.461999999298598</v>
      </c>
      <c r="S29" s="13">
        <v>75.67999999989614</v>
      </c>
      <c r="T29" s="13">
        <v>97.392999999139775</v>
      </c>
      <c r="U29" s="13">
        <v>88.465999999787471</v>
      </c>
      <c r="V29" s="13">
        <v>91.37699999999424</v>
      </c>
      <c r="W29" s="13">
        <v>86.802000000201033</v>
      </c>
      <c r="X29" s="13">
        <v>88.898999999758118</v>
      </c>
      <c r="Y29" s="13">
        <v>89.322999999796139</v>
      </c>
      <c r="Z29" s="13">
        <v>89.639000000176168</v>
      </c>
      <c r="AA29" s="13">
        <v>89.864999999729591</v>
      </c>
      <c r="AB29" s="13">
        <v>90.184999999776267</v>
      </c>
      <c r="AC29" s="13">
        <v>90.573999999818838</v>
      </c>
      <c r="AD29" s="13">
        <v>90.995999999859578</v>
      </c>
      <c r="AE29" s="13">
        <v>91.436999999781719</v>
      </c>
      <c r="AF29" s="13">
        <v>91.874999999698545</v>
      </c>
      <c r="AG29" s="13">
        <v>92.315999999748001</v>
      </c>
      <c r="AH29" s="13"/>
      <c r="AI29" s="13"/>
      <c r="AJ29" s="13"/>
      <c r="AK29" s="246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</row>
    <row r="30" spans="1:96" s="286" customFormat="1" x14ac:dyDescent="0.2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247" t="str">
        <f>'Ind T4'!A32</f>
        <v>Arts and entertainment</v>
      </c>
      <c r="M30" s="13">
        <v>37.150999999954934</v>
      </c>
      <c r="N30" s="13">
        <v>37.689999999950331</v>
      </c>
      <c r="O30" s="13">
        <v>35.795000000007697</v>
      </c>
      <c r="P30" s="13">
        <v>38.213000000132553</v>
      </c>
      <c r="Q30" s="13">
        <v>39.756000000087312</v>
      </c>
      <c r="R30" s="13">
        <v>40.745000000021477</v>
      </c>
      <c r="S30" s="13">
        <v>45.285999999948594</v>
      </c>
      <c r="T30" s="13">
        <v>35.369000000002934</v>
      </c>
      <c r="U30" s="13">
        <v>43.328999999915119</v>
      </c>
      <c r="V30" s="13">
        <v>43.94899999984937</v>
      </c>
      <c r="W30" s="13">
        <v>41.617999999771435</v>
      </c>
      <c r="X30" s="13">
        <v>43.227999999807636</v>
      </c>
      <c r="Y30" s="13">
        <v>43.718999999680221</v>
      </c>
      <c r="Z30" s="13">
        <v>43.848999999691273</v>
      </c>
      <c r="AA30" s="13">
        <v>44.051999999671423</v>
      </c>
      <c r="AB30" s="13">
        <v>44.214999999691386</v>
      </c>
      <c r="AC30" s="13">
        <v>44.418999999714856</v>
      </c>
      <c r="AD30" s="13">
        <v>44.702999999640745</v>
      </c>
      <c r="AE30" s="13">
        <v>45.033999999676688</v>
      </c>
      <c r="AF30" s="13">
        <v>45.325999999742095</v>
      </c>
      <c r="AG30" s="13">
        <v>45.592999999764025</v>
      </c>
      <c r="AH30" s="13"/>
      <c r="AI30" s="13"/>
      <c r="AJ30" s="13"/>
      <c r="AK30" s="246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</row>
    <row r="31" spans="1:96" s="286" customFormat="1" x14ac:dyDescent="0.2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247" t="str">
        <f>'Ind T4'!A33</f>
        <v>Other services</v>
      </c>
      <c r="M31" s="13">
        <v>36.887999999980018</v>
      </c>
      <c r="N31" s="13">
        <v>30.46200000007747</v>
      </c>
      <c r="O31" s="13">
        <v>34.485999999970836</v>
      </c>
      <c r="P31" s="13">
        <v>37.718000000135603</v>
      </c>
      <c r="Q31" s="13">
        <v>38.39800000011676</v>
      </c>
      <c r="R31" s="13">
        <v>37.932000000093566</v>
      </c>
      <c r="S31" s="13">
        <v>38.113000000135102</v>
      </c>
      <c r="T31" s="13">
        <v>48.168000000148517</v>
      </c>
      <c r="U31" s="13">
        <v>31.82100000012375</v>
      </c>
      <c r="V31" s="13">
        <v>41.001000000002747</v>
      </c>
      <c r="W31" s="13">
        <v>43.949000000151678</v>
      </c>
      <c r="X31" s="13">
        <v>44.533000000127899</v>
      </c>
      <c r="Y31" s="13">
        <v>44.831999999995041</v>
      </c>
      <c r="Z31" s="13">
        <v>45.05300000006288</v>
      </c>
      <c r="AA31" s="13">
        <v>45.062999999982097</v>
      </c>
      <c r="AB31" s="13">
        <v>45.06000000002475</v>
      </c>
      <c r="AC31" s="13">
        <v>45.025000000003431</v>
      </c>
      <c r="AD31" s="13">
        <v>45.015999999994747</v>
      </c>
      <c r="AE31" s="13">
        <v>45.007999999954919</v>
      </c>
      <c r="AF31" s="13">
        <v>44.994000000040906</v>
      </c>
      <c r="AG31" s="13">
        <v>44.984000000014653</v>
      </c>
      <c r="AH31" s="13"/>
      <c r="AI31" s="13"/>
      <c r="AJ31" s="13"/>
      <c r="AK31" s="246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</row>
    <row r="32" spans="1:96" x14ac:dyDescent="0.2">
      <c r="L32" s="15"/>
      <c r="M32" s="286"/>
      <c r="N32" s="286"/>
      <c r="O32" s="286"/>
      <c r="P32" s="286"/>
      <c r="AK32" s="246"/>
      <c r="AP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</row>
    <row r="33" spans="1:72" x14ac:dyDescent="0.2">
      <c r="L33" s="21" t="str">
        <f>'Ind T4'!A35</f>
        <v>Non-marketed services</v>
      </c>
      <c r="M33" s="13">
        <f>SUM(M34:M36)</f>
        <v>404.80500000323286</v>
      </c>
      <c r="N33" s="13">
        <f t="shared" ref="N33:P33" si="35">SUM(N34:N36)</f>
        <v>415.89199999870505</v>
      </c>
      <c r="O33" s="13">
        <f t="shared" si="35"/>
        <v>425.80000000073534</v>
      </c>
      <c r="P33" s="13">
        <f t="shared" si="35"/>
        <v>414.2830000079889</v>
      </c>
      <c r="Q33" s="13">
        <f>SUM(Q34:Q36)</f>
        <v>427.31500000484982</v>
      </c>
      <c r="R33" s="13">
        <f t="shared" ref="R33" si="36">SUM(R34:R36)</f>
        <v>427.31000000699174</v>
      </c>
      <c r="S33" s="13">
        <f t="shared" ref="S33" si="37">SUM(S34:S36)</f>
        <v>435.26399999836559</v>
      </c>
      <c r="T33" s="13">
        <f t="shared" ref="T33" si="38">SUM(T34:T36)</f>
        <v>441.26800000713354</v>
      </c>
      <c r="U33" s="13">
        <f t="shared" ref="U33" si="39">SUM(U34:U36)</f>
        <v>445.06800000124781</v>
      </c>
      <c r="V33" s="13">
        <f t="shared" ref="V33" si="40">SUM(V34:V36)</f>
        <v>443.1389999993886</v>
      </c>
      <c r="W33" s="13">
        <f t="shared" ref="W33" si="41">SUM(W34:W36)</f>
        <v>477.63299999399919</v>
      </c>
      <c r="X33" s="13">
        <f t="shared" ref="X33" si="42">SUM(X34:X36)</f>
        <v>478.56500000144712</v>
      </c>
      <c r="Y33" s="13">
        <f t="shared" ref="Y33" si="43">SUM(Y34:Y36)</f>
        <v>479.82200000004724</v>
      </c>
      <c r="Z33" s="13">
        <f t="shared" ref="Z33" si="44">SUM(Z34:Z36)</f>
        <v>481.49999999449795</v>
      </c>
      <c r="AA33" s="13">
        <f t="shared" ref="AA33" si="45">SUM(AA34:AA36)</f>
        <v>483.11400000098257</v>
      </c>
      <c r="AB33" s="13">
        <f t="shared" ref="AB33" si="46">SUM(AB34:AB36)</f>
        <v>484.94600000094147</v>
      </c>
      <c r="AC33" s="13">
        <f t="shared" ref="AC33" si="47">SUM(AC34:AC36)</f>
        <v>487.46899999997373</v>
      </c>
      <c r="AD33" s="13">
        <f t="shared" ref="AD33" si="48">SUM(AD34:AD36)</f>
        <v>490.10199999951578</v>
      </c>
      <c r="AE33" s="13">
        <f t="shared" ref="AE33" si="49">SUM(AE34:AE36)</f>
        <v>492.75999999983236</v>
      </c>
      <c r="AF33" s="13">
        <f t="shared" ref="AF33" si="50">SUM(AF34:AF36)</f>
        <v>495.27100000146203</v>
      </c>
      <c r="AG33" s="13">
        <f t="shared" ref="AG33" si="51">SUM(AG34:AG36)</f>
        <v>497.82900000125358</v>
      </c>
      <c r="AH33" s="13"/>
      <c r="AI33" s="13"/>
      <c r="AJ33" s="13"/>
      <c r="AK33" s="246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</row>
    <row r="34" spans="1:72" x14ac:dyDescent="0.2">
      <c r="L34" s="247" t="str">
        <f>'Ind T4'!A36</f>
        <v>Public admin. and defence</v>
      </c>
      <c r="M34" s="13">
        <v>95.69900000025271</v>
      </c>
      <c r="N34" s="13">
        <v>93.185999999666052</v>
      </c>
      <c r="O34" s="13">
        <v>88.150999999765332</v>
      </c>
      <c r="P34" s="13">
        <v>88.217000000773069</v>
      </c>
      <c r="Q34" s="13">
        <v>83.05100000042026</v>
      </c>
      <c r="R34" s="13">
        <v>84.479000000545554</v>
      </c>
      <c r="S34" s="13">
        <v>91.141999999707167</v>
      </c>
      <c r="T34" s="13">
        <v>86.503000000837318</v>
      </c>
      <c r="U34" s="13">
        <v>84.3830000001266</v>
      </c>
      <c r="V34" s="13">
        <v>84.242999999867934</v>
      </c>
      <c r="W34" s="13">
        <v>83.569999999351111</v>
      </c>
      <c r="X34" s="13">
        <v>83.298000000030825</v>
      </c>
      <c r="Y34" s="13">
        <v>83.247999999918079</v>
      </c>
      <c r="Z34" s="13">
        <v>83.107999999380453</v>
      </c>
      <c r="AA34" s="13">
        <v>82.927000000052857</v>
      </c>
      <c r="AB34" s="13">
        <v>82.748000000022728</v>
      </c>
      <c r="AC34" s="13">
        <v>82.749999999963379</v>
      </c>
      <c r="AD34" s="13">
        <v>82.733999999880837</v>
      </c>
      <c r="AE34" s="13">
        <v>82.715000000004352</v>
      </c>
      <c r="AF34" s="13">
        <v>82.694000000179486</v>
      </c>
      <c r="AG34" s="13">
        <v>82.666000000152565</v>
      </c>
      <c r="AH34" s="13"/>
      <c r="AI34" s="13"/>
      <c r="AJ34" s="13"/>
      <c r="AK34" s="246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</row>
    <row r="35" spans="1:72" x14ac:dyDescent="0.2">
      <c r="L35" s="247" t="str">
        <f>'Ind T4'!A37</f>
        <v>Education</v>
      </c>
      <c r="M35" s="13">
        <v>121.45400000386623</v>
      </c>
      <c r="N35" s="13">
        <v>129.48700000154099</v>
      </c>
      <c r="O35" s="13">
        <v>139.59600000276095</v>
      </c>
      <c r="P35" s="13">
        <v>137.69200000660098</v>
      </c>
      <c r="Q35" s="13">
        <v>135.09200000505157</v>
      </c>
      <c r="R35" s="13">
        <v>140.01000000615451</v>
      </c>
      <c r="S35" s="13">
        <v>133.23400000114648</v>
      </c>
      <c r="T35" s="13">
        <v>140.8770000063023</v>
      </c>
      <c r="U35" s="13">
        <v>137.05500000299483</v>
      </c>
      <c r="V35" s="13">
        <v>137.76300000170858</v>
      </c>
      <c r="W35" s="13">
        <v>139.44299999864344</v>
      </c>
      <c r="X35" s="13">
        <v>137.72400000291074</v>
      </c>
      <c r="Y35" s="13">
        <v>136.59000000164536</v>
      </c>
      <c r="Z35" s="13">
        <v>135.64499999852026</v>
      </c>
      <c r="AA35" s="13">
        <v>135.32500000177779</v>
      </c>
      <c r="AB35" s="13">
        <v>135.1790000018849</v>
      </c>
      <c r="AC35" s="13">
        <v>135.42200000118402</v>
      </c>
      <c r="AD35" s="13">
        <v>135.80800000085026</v>
      </c>
      <c r="AE35" s="13">
        <v>136.2780000005688</v>
      </c>
      <c r="AF35" s="13">
        <v>136.53300000201014</v>
      </c>
      <c r="AG35" s="13">
        <v>136.8230000014685</v>
      </c>
      <c r="AH35" s="13"/>
      <c r="AI35" s="13"/>
      <c r="AJ35" s="13"/>
      <c r="AK35" s="246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</row>
    <row r="36" spans="1:72" x14ac:dyDescent="0.2">
      <c r="L36" s="247" t="str">
        <f>'Ind T4'!A38</f>
        <v>Health and social work</v>
      </c>
      <c r="M36" s="13">
        <v>187.65199999911388</v>
      </c>
      <c r="N36" s="13">
        <v>193.218999997498</v>
      </c>
      <c r="O36" s="13">
        <v>198.05299999820906</v>
      </c>
      <c r="P36" s="13">
        <v>188.37400000061487</v>
      </c>
      <c r="Q36" s="13">
        <v>209.17199999937802</v>
      </c>
      <c r="R36" s="13">
        <v>202.82100000029169</v>
      </c>
      <c r="S36" s="13">
        <v>210.88799999751194</v>
      </c>
      <c r="T36" s="13">
        <v>213.88799999999392</v>
      </c>
      <c r="U36" s="13">
        <v>223.62999999812635</v>
      </c>
      <c r="V36" s="13">
        <v>221.13299999781211</v>
      </c>
      <c r="W36" s="13">
        <v>254.61999999600462</v>
      </c>
      <c r="X36" s="13">
        <v>257.54299999850554</v>
      </c>
      <c r="Y36" s="13">
        <v>259.9839999984838</v>
      </c>
      <c r="Z36" s="13">
        <v>262.74699999659725</v>
      </c>
      <c r="AA36" s="13">
        <v>264.86199999915192</v>
      </c>
      <c r="AB36" s="13">
        <v>267.01899999903384</v>
      </c>
      <c r="AC36" s="13">
        <v>269.29699999882632</v>
      </c>
      <c r="AD36" s="13">
        <v>271.55999999878469</v>
      </c>
      <c r="AE36" s="13">
        <v>273.76699999925921</v>
      </c>
      <c r="AF36" s="13">
        <v>276.04399999927239</v>
      </c>
      <c r="AG36" s="13">
        <v>278.33999999963254</v>
      </c>
      <c r="AH36" s="13"/>
      <c r="AI36" s="13"/>
      <c r="AJ36" s="13"/>
      <c r="AK36" s="246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</row>
    <row r="37" spans="1:72" x14ac:dyDescent="0.2">
      <c r="L37" s="55"/>
      <c r="M37" s="286"/>
      <c r="N37" s="286"/>
      <c r="O37" s="286"/>
      <c r="P37" s="286"/>
      <c r="AH37" s="13"/>
      <c r="AI37" s="13"/>
      <c r="AJ37" s="13"/>
      <c r="AK37" s="246"/>
      <c r="AL37" s="13"/>
      <c r="AM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</row>
    <row r="38" spans="1:72" x14ac:dyDescent="0.2">
      <c r="L38" s="21" t="str">
        <f>'Ind T4'!A40</f>
        <v>All industries</v>
      </c>
      <c r="M38" s="13">
        <f>SUM(M5,M11,M16,M18,M23,M33)</f>
        <v>1408.9670000019444</v>
      </c>
      <c r="N38" s="13">
        <f t="shared" ref="N38:P38" si="52">SUM(N5,N11,N16,N18,N23,N33)</f>
        <v>1402.1880000017059</v>
      </c>
      <c r="O38" s="13">
        <f t="shared" si="52"/>
        <v>1386.6290000014121</v>
      </c>
      <c r="P38" s="13">
        <f t="shared" si="52"/>
        <v>1360.9070000010865</v>
      </c>
      <c r="Q38" s="13">
        <f>SUM(Q5,Q11,Q16,Q18,Q23,Q33)</f>
        <v>1365.462000001005</v>
      </c>
      <c r="R38" s="13">
        <f t="shared" ref="R38:AG38" si="53">SUM(R5,R11,R16,R18,R23,R33)</f>
        <v>1357.8780000009851</v>
      </c>
      <c r="S38" s="13">
        <f t="shared" si="53"/>
        <v>1369.8570000000277</v>
      </c>
      <c r="T38" s="13">
        <f t="shared" si="53"/>
        <v>1427.4360000000061</v>
      </c>
      <c r="U38" s="13">
        <f t="shared" si="53"/>
        <v>1440.6690000002409</v>
      </c>
      <c r="V38" s="13">
        <f t="shared" si="53"/>
        <v>1472.2330000002962</v>
      </c>
      <c r="W38" s="13">
        <f t="shared" si="53"/>
        <v>1529.7600000008429</v>
      </c>
      <c r="X38" s="13">
        <f t="shared" si="53"/>
        <v>1532.7250000015279</v>
      </c>
      <c r="Y38" s="13">
        <f t="shared" si="53"/>
        <v>1535.9740000013785</v>
      </c>
      <c r="Z38" s="13">
        <f t="shared" si="53"/>
        <v>1541.3720000014366</v>
      </c>
      <c r="AA38" s="13">
        <f t="shared" si="53"/>
        <v>1543.1730000016937</v>
      </c>
      <c r="AB38" s="13">
        <f t="shared" si="53"/>
        <v>1546.2870000021676</v>
      </c>
      <c r="AC38" s="13">
        <f t="shared" si="53"/>
        <v>1550.6260000019615</v>
      </c>
      <c r="AD38" s="13">
        <f>SUM(AD5,AD11,AD16,AD18,AD23,AD33)</f>
        <v>1555.2640000023096</v>
      </c>
      <c r="AE38" s="13">
        <f t="shared" si="53"/>
        <v>1560.0240000018682</v>
      </c>
      <c r="AF38" s="13">
        <f t="shared" si="53"/>
        <v>1564.7600000021991</v>
      </c>
      <c r="AG38" s="13">
        <f t="shared" si="53"/>
        <v>1569.1730000018861</v>
      </c>
      <c r="AH38" s="13"/>
      <c r="AI38" s="13"/>
      <c r="AJ38" s="13"/>
      <c r="AK38" s="246"/>
      <c r="AL38" s="13"/>
      <c r="AM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</row>
    <row r="39" spans="1:72" x14ac:dyDescent="0.2">
      <c r="AD39" s="13"/>
      <c r="AE39" s="13"/>
      <c r="AF39" s="13"/>
      <c r="AG39" s="13"/>
      <c r="AH39" s="13"/>
      <c r="AI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</row>
    <row r="40" spans="1:72" x14ac:dyDescent="0.2">
      <c r="AD40" s="13"/>
      <c r="AE40" s="13"/>
      <c r="AF40" s="13"/>
      <c r="AG40" s="13"/>
      <c r="AH40" s="13"/>
      <c r="AI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</row>
    <row r="41" spans="1:72" x14ac:dyDescent="0.2">
      <c r="L41" t="str">
        <f>REPT(" ",11)</f>
        <v xml:space="preserve">           </v>
      </c>
      <c r="AF41" s="13"/>
      <c r="AG41" s="13"/>
      <c r="AH41" s="13"/>
      <c r="AI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</row>
    <row r="42" spans="1:72" x14ac:dyDescent="0.2"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</row>
    <row r="43" spans="1:72" x14ac:dyDescent="0.2"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</row>
    <row r="44" spans="1:72" x14ac:dyDescent="0.2"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</row>
    <row r="45" spans="1:72" x14ac:dyDescent="0.2"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</row>
    <row r="46" spans="1:72" x14ac:dyDescent="0.2"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</row>
    <row r="47" spans="1:72" ht="15.75" x14ac:dyDescent="0.25">
      <c r="A47" s="103" t="str">
        <f>CONCATENATE("Industry Figure 2.1  Change in Employment in ",$L$5,", ",$M$2,"-",$O$2)</f>
        <v>Industry Figure 2.1  Change in Employment in Primary sector and utilities, 2007-2027</v>
      </c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</row>
    <row r="48" spans="1:72" x14ac:dyDescent="0.2"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</row>
    <row r="49" spans="38:68" x14ac:dyDescent="0.2"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</row>
    <row r="50" spans="38:68" x14ac:dyDescent="0.2"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</row>
    <row r="51" spans="38:68" x14ac:dyDescent="0.2"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</row>
    <row r="52" spans="38:68" x14ac:dyDescent="0.2"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</row>
    <row r="53" spans="38:68" x14ac:dyDescent="0.2"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</row>
    <row r="54" spans="38:68" x14ac:dyDescent="0.2"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</row>
    <row r="55" spans="38:68" x14ac:dyDescent="0.2"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</row>
    <row r="56" spans="38:68" x14ac:dyDescent="0.2"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</row>
    <row r="57" spans="38:68" x14ac:dyDescent="0.2"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</row>
    <row r="58" spans="38:68" x14ac:dyDescent="0.2"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</row>
    <row r="59" spans="38:68" x14ac:dyDescent="0.2"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</row>
    <row r="60" spans="38:68" x14ac:dyDescent="0.2"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</row>
    <row r="61" spans="38:68" x14ac:dyDescent="0.2"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</row>
    <row r="62" spans="38:68" x14ac:dyDescent="0.2"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</row>
    <row r="63" spans="38:68" x14ac:dyDescent="0.2"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</row>
    <row r="64" spans="38:68" x14ac:dyDescent="0.2"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</row>
    <row r="65" spans="1:68" x14ac:dyDescent="0.2"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</row>
    <row r="66" spans="1:68" x14ac:dyDescent="0.2"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</row>
    <row r="67" spans="1:68" x14ac:dyDescent="0.2"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</row>
    <row r="68" spans="1:68" x14ac:dyDescent="0.2"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</row>
    <row r="69" spans="1:68" x14ac:dyDescent="0.2"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</row>
    <row r="70" spans="1:68" x14ac:dyDescent="0.2"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</row>
    <row r="71" spans="1:68" x14ac:dyDescent="0.2"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</row>
    <row r="72" spans="1:68" x14ac:dyDescent="0.2"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</row>
    <row r="73" spans="1:68" x14ac:dyDescent="0.2"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</row>
    <row r="74" spans="1:68" x14ac:dyDescent="0.2"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</row>
    <row r="75" spans="1:68" x14ac:dyDescent="0.2"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</row>
    <row r="76" spans="1:68" x14ac:dyDescent="0.2"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</row>
    <row r="77" spans="1:68" ht="15.75" x14ac:dyDescent="0.25">
      <c r="A77" s="103" t="str">
        <f>CONCATENATE("Industry Figure 2.2  Change in Employment in ",$L$11,", ",$M$2,"-",$O$2)</f>
        <v>Industry Figure 2.2  Change in Employment in Manufacturing, 2007-2027</v>
      </c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</row>
    <row r="78" spans="1:68" x14ac:dyDescent="0.2"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</row>
    <row r="79" spans="1:68" x14ac:dyDescent="0.2">
      <c r="AL79" s="13"/>
    </row>
    <row r="107" spans="1:1" ht="15.75" x14ac:dyDescent="0.25">
      <c r="A107" s="103" t="str">
        <f>CONCATENATE("Industry Figure 2.3  Change in Employment in ",$L$16,", ",$M$2,"-",$O$2)</f>
        <v>Industry Figure 2.3  Change in Employment in Construction, 2007-2027</v>
      </c>
    </row>
    <row r="137" spans="1:1" ht="15.75" x14ac:dyDescent="0.25">
      <c r="A137" s="103" t="str">
        <f>CONCATENATE("Industry Figure 2.4  Change in Employment in ",$L$18,", ",$M$2,"-",$O$2)</f>
        <v>Industry Figure 2.4  Change in Employment in Trade, accomod. and transport, 2007-2027</v>
      </c>
    </row>
    <row r="167" spans="1:1" ht="15.75" x14ac:dyDescent="0.25">
      <c r="A167" s="103" t="str">
        <f>CONCATENATE("Industry Figure 2.5  Change in Employment in ",$L$23,", ",$M$2,"- ",$O$2)</f>
        <v>Industry Figure 2.5  Change in Employment in Business and other services, 2007- 2027</v>
      </c>
    </row>
    <row r="197" spans="1:1" ht="15.75" x14ac:dyDescent="0.25">
      <c r="A197" s="103" t="str">
        <f>CONCATENATE("Industry Figure 2.6  Change in Employment in ",$L$33,", ",$M$2,"-",$O$2)</f>
        <v>Industry Figure 2.6  Change in Employment in Non-marketed services, 2007-2027</v>
      </c>
    </row>
    <row r="227" spans="1:15" ht="15.75" x14ac:dyDescent="0.25">
      <c r="A227" s="103" t="str">
        <f>CONCATENATE("Industry Figure 2.7  Employment trends by broad sector (SIC 2007), shares in %, ",$M$230,"-",$O$230)</f>
        <v>Industry Figure 2.7  Employment trends by broad sector (SIC 2007), shares in %, 2007-2027</v>
      </c>
      <c r="L227" s="56" t="s">
        <v>487</v>
      </c>
    </row>
    <row r="228" spans="1:15" x14ac:dyDescent="0.2">
      <c r="L228" s="34" t="s">
        <v>467</v>
      </c>
    </row>
    <row r="230" spans="1:15" x14ac:dyDescent="0.2">
      <c r="M230" s="12">
        <f>'Ind T1'!B19</f>
        <v>2007</v>
      </c>
      <c r="N230" s="12">
        <f>'Ind T1'!D19</f>
        <v>2017</v>
      </c>
      <c r="O230" s="12">
        <f>'Ind T1'!F19</f>
        <v>2027</v>
      </c>
    </row>
    <row r="231" spans="1:15" x14ac:dyDescent="0.2">
      <c r="L231" t="str">
        <f>L33</f>
        <v>Non-marketed services</v>
      </c>
      <c r="M231" s="49">
        <f>'Ind T1'!B25</f>
        <v>28.730623215637713</v>
      </c>
      <c r="N231" s="49">
        <f>'Ind T1'!D25</f>
        <v>31.222740821680254</v>
      </c>
      <c r="O231" s="49">
        <f>'Ind T1'!F25</f>
        <v>31.72556499510603</v>
      </c>
    </row>
    <row r="232" spans="1:15" x14ac:dyDescent="0.2">
      <c r="L232" t="str">
        <f>L23</f>
        <v>Business and other services</v>
      </c>
      <c r="M232" s="49">
        <f>'Ind T1'!B24</f>
        <v>21.799091107032623</v>
      </c>
      <c r="N232" s="49">
        <f>'Ind T1'!D24</f>
        <v>21.974165882120793</v>
      </c>
      <c r="O232" s="49">
        <f>'Ind T1'!F24</f>
        <v>22.835085742566012</v>
      </c>
    </row>
    <row r="233" spans="1:15" x14ac:dyDescent="0.2">
      <c r="L233" t="str">
        <f>L18</f>
        <v>Trade, accomod. and transport</v>
      </c>
      <c r="M233" s="49">
        <f>'Ind T1'!B23</f>
        <v>25.415996258182226</v>
      </c>
      <c r="N233" s="49">
        <f>'Ind T1'!D23</f>
        <v>24.87279050353073</v>
      </c>
      <c r="O233" s="49">
        <f>'Ind T1'!F23</f>
        <v>24.718052120534377</v>
      </c>
    </row>
    <row r="234" spans="1:15" x14ac:dyDescent="0.2">
      <c r="L234" t="str">
        <f>L16</f>
        <v>Construction</v>
      </c>
      <c r="M234" s="49">
        <f>'Ind T1'!B22</f>
        <v>8.121623856429709</v>
      </c>
      <c r="N234" s="49">
        <f>'Ind T1'!D22</f>
        <v>7.000705993129082</v>
      </c>
      <c r="O234" s="49">
        <f>'Ind T1'!F22</f>
        <v>6.8892340105366445</v>
      </c>
    </row>
    <row r="235" spans="1:15" x14ac:dyDescent="0.2">
      <c r="L235" t="str">
        <f>L11</f>
        <v>Manufacturing</v>
      </c>
      <c r="M235" s="49">
        <f>'Ind T1'!B21</f>
        <v>12.218951898742461</v>
      </c>
      <c r="N235" s="49">
        <f>'Ind T1'!D21</f>
        <v>9.5974531952912709</v>
      </c>
      <c r="O235" s="49">
        <f>'Ind T1'!F21</f>
        <v>8.5590945038333164</v>
      </c>
    </row>
    <row r="236" spans="1:15" x14ac:dyDescent="0.2">
      <c r="L236" t="str">
        <f>L5</f>
        <v>Primary sector and utilities</v>
      </c>
      <c r="M236" s="49">
        <f>'Ind T1'!B20</f>
        <v>3.7137136639752684</v>
      </c>
      <c r="N236" s="49">
        <f>'Ind T1'!D20</f>
        <v>5.3321436042478592</v>
      </c>
      <c r="O236" s="49">
        <f>'Ind T1'!F20</f>
        <v>5.2729686274236096</v>
      </c>
    </row>
    <row r="257" spans="1:16" ht="15.75" x14ac:dyDescent="0.25">
      <c r="A257" s="103" t="str">
        <f>CONCATENATE("Industry Figure 2.8  Employment trends by broad sector (SIC 2007), change in thousands, ",$M$230,"-",$O$230)</f>
        <v>Industry Figure 2.8  Employment trends by broad sector (SIC 2007), change in thousands, 2007-2027</v>
      </c>
      <c r="L257" s="56" t="s">
        <v>488</v>
      </c>
    </row>
    <row r="258" spans="1:16" x14ac:dyDescent="0.2">
      <c r="L258" s="34" t="s">
        <v>466</v>
      </c>
      <c r="M258" s="12"/>
      <c r="N258" s="12"/>
      <c r="O258" s="12"/>
    </row>
    <row r="259" spans="1:16" x14ac:dyDescent="0.2">
      <c r="P259" s="12"/>
    </row>
    <row r="260" spans="1:16" x14ac:dyDescent="0.2">
      <c r="N260" s="12" t="str">
        <f>'Ind T1'!R4</f>
        <v>2007-2017</v>
      </c>
      <c r="O260" s="12" t="str">
        <f>'Ind T1'!F44</f>
        <v>2017-2027</v>
      </c>
      <c r="P260" s="13"/>
    </row>
    <row r="261" spans="1:16" x14ac:dyDescent="0.2">
      <c r="L261" t="str">
        <f t="shared" ref="L261:L266" si="54">L231</f>
        <v>Non-marketed services</v>
      </c>
      <c r="N261" s="13">
        <f>'Ind T1'!D12-'Ind T1'!B12</f>
        <v>72.827999990766273</v>
      </c>
      <c r="O261" s="13">
        <f>'Ind T1'!F50</f>
        <v>20.19600000725444</v>
      </c>
      <c r="P261" s="13"/>
    </row>
    <row r="262" spans="1:16" x14ac:dyDescent="0.2">
      <c r="L262" t="str">
        <f t="shared" si="54"/>
        <v>Business and other services</v>
      </c>
      <c r="N262" s="13">
        <f>'Ind T1'!D11-'Ind T1'!B11</f>
        <v>29.010000000068146</v>
      </c>
      <c r="O262" s="13">
        <f>'Ind T1'!F49</f>
        <v>22.170000001109713</v>
      </c>
      <c r="P262" s="13"/>
    </row>
    <row r="263" spans="1:16" x14ac:dyDescent="0.2">
      <c r="L263" t="str">
        <f t="shared" si="54"/>
        <v>Trade, accomod. and transport</v>
      </c>
      <c r="N263" s="13">
        <f>'Ind T1'!D10-'Ind T1'!B10</f>
        <v>22.391000007504829</v>
      </c>
      <c r="O263" s="13">
        <f>'Ind T1'!F48</f>
        <v>7.3749999947977471</v>
      </c>
      <c r="P263" s="13"/>
    </row>
    <row r="264" spans="1:16" x14ac:dyDescent="0.2">
      <c r="L264" t="str">
        <f t="shared" si="54"/>
        <v>Construction</v>
      </c>
      <c r="N264" s="13">
        <f>'Ind T1'!D9-'Ind T1'!B9</f>
        <v>-7.337000000829434</v>
      </c>
      <c r="O264" s="13">
        <f>'Ind T1'!F47</f>
        <v>1.0099999997376443</v>
      </c>
      <c r="P264" s="13"/>
    </row>
    <row r="265" spans="1:16" x14ac:dyDescent="0.2">
      <c r="L265" t="str">
        <f t="shared" si="54"/>
        <v>Manufacturing</v>
      </c>
      <c r="N265" s="13">
        <f>'Ind T1'!D8-'Ind T1'!B8</f>
        <v>-25.34299999902359</v>
      </c>
      <c r="O265" s="13">
        <f>'Ind T1'!F46</f>
        <v>-12.511000001570864</v>
      </c>
      <c r="P265" s="13"/>
    </row>
    <row r="266" spans="1:16" x14ac:dyDescent="0.2">
      <c r="L266" t="str">
        <f t="shared" si="54"/>
        <v>Primary sector and utilities</v>
      </c>
      <c r="N266" s="13">
        <f>'Ind T1'!D7-'Ind T1'!B7</f>
        <v>29.244000000412385</v>
      </c>
      <c r="O266" s="13">
        <f>'Ind T1'!F45</f>
        <v>1.172999999714321</v>
      </c>
    </row>
    <row r="268" spans="1:16" x14ac:dyDescent="0.2">
      <c r="L268" t="str">
        <f>L38</f>
        <v>All industries</v>
      </c>
      <c r="N268" s="13">
        <f>'Ind T1'!D14-'Ind T1'!B14</f>
        <v>120.79299999889872</v>
      </c>
      <c r="O268" s="13">
        <f>SUM(O261:O266)</f>
        <v>39.413000001043002</v>
      </c>
    </row>
  </sheetData>
  <phoneticPr fontId="5" type="noConversion"/>
  <conditionalFormatting sqref="L4:AM4 L22:AM22 L17:AM17">
    <cfRule type="cellIs" dxfId="10" priority="3" stopIfTrue="1" operator="equal">
      <formula>0</formula>
    </cfRule>
  </conditionalFormatting>
  <conditionalFormatting sqref="AQ4:BP4">
    <cfRule type="cellIs" dxfId="9" priority="2" stopIfTrue="1" operator="equal">
      <formula>0</formula>
    </cfRule>
  </conditionalFormatting>
  <conditionalFormatting sqref="BS4:CR4">
    <cfRule type="cellIs" dxfId="8" priority="1" stopIfTrue="1" operator="equal">
      <formula>0</formula>
    </cfRule>
  </conditionalFormatting>
  <pageMargins left="0.55118110236220474" right="0.55118110236220474" top="0.98425196850393704" bottom="0.98425196850393704" header="0.51181102362204722" footer="0.51181102362204722"/>
  <pageSetup paperSize="9" scale="90" orientation="portrait" r:id="rId1"/>
  <headerFooter alignWithMargins="0"/>
  <rowBreaks count="4" manualBreakCount="4">
    <brk id="46" max="9" man="1"/>
    <brk id="106" max="9" man="1"/>
    <brk id="166" max="9" man="1"/>
    <brk id="226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1295"/>
  <sheetViews>
    <sheetView showGridLines="0" zoomScale="85" zoomScaleNormal="85" workbookViewId="0"/>
  </sheetViews>
  <sheetFormatPr defaultRowHeight="12.75" x14ac:dyDescent="0.2"/>
  <cols>
    <col min="1" max="1" width="33.140625" bestFit="1" customWidth="1"/>
    <col min="2" max="12" width="7.28515625" customWidth="1"/>
    <col min="257" max="257" width="33.140625" bestFit="1" customWidth="1"/>
    <col min="258" max="260" width="7.140625" customWidth="1"/>
    <col min="261" max="261" width="5" customWidth="1"/>
    <col min="262" max="264" width="7.140625" customWidth="1"/>
    <col min="265" max="265" width="5" customWidth="1"/>
    <col min="266" max="268" width="7.140625" customWidth="1"/>
    <col min="513" max="513" width="33.140625" bestFit="1" customWidth="1"/>
    <col min="514" max="516" width="7.140625" customWidth="1"/>
    <col min="517" max="517" width="5" customWidth="1"/>
    <col min="518" max="520" width="7.140625" customWidth="1"/>
    <col min="521" max="521" width="5" customWidth="1"/>
    <col min="522" max="524" width="7.140625" customWidth="1"/>
    <col min="769" max="769" width="33.140625" bestFit="1" customWidth="1"/>
    <col min="770" max="772" width="7.140625" customWidth="1"/>
    <col min="773" max="773" width="5" customWidth="1"/>
    <col min="774" max="776" width="7.140625" customWidth="1"/>
    <col min="777" max="777" width="5" customWidth="1"/>
    <col min="778" max="780" width="7.140625" customWidth="1"/>
    <col min="1025" max="1025" width="33.140625" bestFit="1" customWidth="1"/>
    <col min="1026" max="1028" width="7.140625" customWidth="1"/>
    <col min="1029" max="1029" width="5" customWidth="1"/>
    <col min="1030" max="1032" width="7.140625" customWidth="1"/>
    <col min="1033" max="1033" width="5" customWidth="1"/>
    <col min="1034" max="1036" width="7.140625" customWidth="1"/>
    <col min="1281" max="1281" width="33.140625" bestFit="1" customWidth="1"/>
    <col min="1282" max="1284" width="7.140625" customWidth="1"/>
    <col min="1285" max="1285" width="5" customWidth="1"/>
    <col min="1286" max="1288" width="7.140625" customWidth="1"/>
    <col min="1289" max="1289" width="5" customWidth="1"/>
    <col min="1290" max="1292" width="7.140625" customWidth="1"/>
    <col min="1537" max="1537" width="33.140625" bestFit="1" customWidth="1"/>
    <col min="1538" max="1540" width="7.140625" customWidth="1"/>
    <col min="1541" max="1541" width="5" customWidth="1"/>
    <col min="1542" max="1544" width="7.140625" customWidth="1"/>
    <col min="1545" max="1545" width="5" customWidth="1"/>
    <col min="1546" max="1548" width="7.140625" customWidth="1"/>
    <col min="1793" max="1793" width="33.140625" bestFit="1" customWidth="1"/>
    <col min="1794" max="1796" width="7.140625" customWidth="1"/>
    <col min="1797" max="1797" width="5" customWidth="1"/>
    <col min="1798" max="1800" width="7.140625" customWidth="1"/>
    <col min="1801" max="1801" width="5" customWidth="1"/>
    <col min="1802" max="1804" width="7.140625" customWidth="1"/>
    <col min="2049" max="2049" width="33.140625" bestFit="1" customWidth="1"/>
    <col min="2050" max="2052" width="7.140625" customWidth="1"/>
    <col min="2053" max="2053" width="5" customWidth="1"/>
    <col min="2054" max="2056" width="7.140625" customWidth="1"/>
    <col min="2057" max="2057" width="5" customWidth="1"/>
    <col min="2058" max="2060" width="7.140625" customWidth="1"/>
    <col min="2305" max="2305" width="33.140625" bestFit="1" customWidth="1"/>
    <col min="2306" max="2308" width="7.140625" customWidth="1"/>
    <col min="2309" max="2309" width="5" customWidth="1"/>
    <col min="2310" max="2312" width="7.140625" customWidth="1"/>
    <col min="2313" max="2313" width="5" customWidth="1"/>
    <col min="2314" max="2316" width="7.140625" customWidth="1"/>
    <col min="2561" max="2561" width="33.140625" bestFit="1" customWidth="1"/>
    <col min="2562" max="2564" width="7.140625" customWidth="1"/>
    <col min="2565" max="2565" width="5" customWidth="1"/>
    <col min="2566" max="2568" width="7.140625" customWidth="1"/>
    <col min="2569" max="2569" width="5" customWidth="1"/>
    <col min="2570" max="2572" width="7.140625" customWidth="1"/>
    <col min="2817" max="2817" width="33.140625" bestFit="1" customWidth="1"/>
    <col min="2818" max="2820" width="7.140625" customWidth="1"/>
    <col min="2821" max="2821" width="5" customWidth="1"/>
    <col min="2822" max="2824" width="7.140625" customWidth="1"/>
    <col min="2825" max="2825" width="5" customWidth="1"/>
    <col min="2826" max="2828" width="7.140625" customWidth="1"/>
    <col min="3073" max="3073" width="33.140625" bestFit="1" customWidth="1"/>
    <col min="3074" max="3076" width="7.140625" customWidth="1"/>
    <col min="3077" max="3077" width="5" customWidth="1"/>
    <col min="3078" max="3080" width="7.140625" customWidth="1"/>
    <col min="3081" max="3081" width="5" customWidth="1"/>
    <col min="3082" max="3084" width="7.140625" customWidth="1"/>
    <col min="3329" max="3329" width="33.140625" bestFit="1" customWidth="1"/>
    <col min="3330" max="3332" width="7.140625" customWidth="1"/>
    <col min="3333" max="3333" width="5" customWidth="1"/>
    <col min="3334" max="3336" width="7.140625" customWidth="1"/>
    <col min="3337" max="3337" width="5" customWidth="1"/>
    <col min="3338" max="3340" width="7.140625" customWidth="1"/>
    <col min="3585" max="3585" width="33.140625" bestFit="1" customWidth="1"/>
    <col min="3586" max="3588" width="7.140625" customWidth="1"/>
    <col min="3589" max="3589" width="5" customWidth="1"/>
    <col min="3590" max="3592" width="7.140625" customWidth="1"/>
    <col min="3593" max="3593" width="5" customWidth="1"/>
    <col min="3594" max="3596" width="7.140625" customWidth="1"/>
    <col min="3841" max="3841" width="33.140625" bestFit="1" customWidth="1"/>
    <col min="3842" max="3844" width="7.140625" customWidth="1"/>
    <col min="3845" max="3845" width="5" customWidth="1"/>
    <col min="3846" max="3848" width="7.140625" customWidth="1"/>
    <col min="3849" max="3849" width="5" customWidth="1"/>
    <col min="3850" max="3852" width="7.140625" customWidth="1"/>
    <col min="4097" max="4097" width="33.140625" bestFit="1" customWidth="1"/>
    <col min="4098" max="4100" width="7.140625" customWidth="1"/>
    <col min="4101" max="4101" width="5" customWidth="1"/>
    <col min="4102" max="4104" width="7.140625" customWidth="1"/>
    <col min="4105" max="4105" width="5" customWidth="1"/>
    <col min="4106" max="4108" width="7.140625" customWidth="1"/>
    <col min="4353" max="4353" width="33.140625" bestFit="1" customWidth="1"/>
    <col min="4354" max="4356" width="7.140625" customWidth="1"/>
    <col min="4357" max="4357" width="5" customWidth="1"/>
    <col min="4358" max="4360" width="7.140625" customWidth="1"/>
    <col min="4361" max="4361" width="5" customWidth="1"/>
    <col min="4362" max="4364" width="7.140625" customWidth="1"/>
    <col min="4609" max="4609" width="33.140625" bestFit="1" customWidth="1"/>
    <col min="4610" max="4612" width="7.140625" customWidth="1"/>
    <col min="4613" max="4613" width="5" customWidth="1"/>
    <col min="4614" max="4616" width="7.140625" customWidth="1"/>
    <col min="4617" max="4617" width="5" customWidth="1"/>
    <col min="4618" max="4620" width="7.140625" customWidth="1"/>
    <col min="4865" max="4865" width="33.140625" bestFit="1" customWidth="1"/>
    <col min="4866" max="4868" width="7.140625" customWidth="1"/>
    <col min="4869" max="4869" width="5" customWidth="1"/>
    <col min="4870" max="4872" width="7.140625" customWidth="1"/>
    <col min="4873" max="4873" width="5" customWidth="1"/>
    <col min="4874" max="4876" width="7.140625" customWidth="1"/>
    <col min="5121" max="5121" width="33.140625" bestFit="1" customWidth="1"/>
    <col min="5122" max="5124" width="7.140625" customWidth="1"/>
    <col min="5125" max="5125" width="5" customWidth="1"/>
    <col min="5126" max="5128" width="7.140625" customWidth="1"/>
    <col min="5129" max="5129" width="5" customWidth="1"/>
    <col min="5130" max="5132" width="7.140625" customWidth="1"/>
    <col min="5377" max="5377" width="33.140625" bestFit="1" customWidth="1"/>
    <col min="5378" max="5380" width="7.140625" customWidth="1"/>
    <col min="5381" max="5381" width="5" customWidth="1"/>
    <col min="5382" max="5384" width="7.140625" customWidth="1"/>
    <col min="5385" max="5385" width="5" customWidth="1"/>
    <col min="5386" max="5388" width="7.140625" customWidth="1"/>
    <col min="5633" max="5633" width="33.140625" bestFit="1" customWidth="1"/>
    <col min="5634" max="5636" width="7.140625" customWidth="1"/>
    <col min="5637" max="5637" width="5" customWidth="1"/>
    <col min="5638" max="5640" width="7.140625" customWidth="1"/>
    <col min="5641" max="5641" width="5" customWidth="1"/>
    <col min="5642" max="5644" width="7.140625" customWidth="1"/>
    <col min="5889" max="5889" width="33.140625" bestFit="1" customWidth="1"/>
    <col min="5890" max="5892" width="7.140625" customWidth="1"/>
    <col min="5893" max="5893" width="5" customWidth="1"/>
    <col min="5894" max="5896" width="7.140625" customWidth="1"/>
    <col min="5897" max="5897" width="5" customWidth="1"/>
    <col min="5898" max="5900" width="7.140625" customWidth="1"/>
    <col min="6145" max="6145" width="33.140625" bestFit="1" customWidth="1"/>
    <col min="6146" max="6148" width="7.140625" customWidth="1"/>
    <col min="6149" max="6149" width="5" customWidth="1"/>
    <col min="6150" max="6152" width="7.140625" customWidth="1"/>
    <col min="6153" max="6153" width="5" customWidth="1"/>
    <col min="6154" max="6156" width="7.140625" customWidth="1"/>
    <col min="6401" max="6401" width="33.140625" bestFit="1" customWidth="1"/>
    <col min="6402" max="6404" width="7.140625" customWidth="1"/>
    <col min="6405" max="6405" width="5" customWidth="1"/>
    <col min="6406" max="6408" width="7.140625" customWidth="1"/>
    <col min="6409" max="6409" width="5" customWidth="1"/>
    <col min="6410" max="6412" width="7.140625" customWidth="1"/>
    <col min="6657" max="6657" width="33.140625" bestFit="1" customWidth="1"/>
    <col min="6658" max="6660" width="7.140625" customWidth="1"/>
    <col min="6661" max="6661" width="5" customWidth="1"/>
    <col min="6662" max="6664" width="7.140625" customWidth="1"/>
    <col min="6665" max="6665" width="5" customWidth="1"/>
    <col min="6666" max="6668" width="7.140625" customWidth="1"/>
    <col min="6913" max="6913" width="33.140625" bestFit="1" customWidth="1"/>
    <col min="6914" max="6916" width="7.140625" customWidth="1"/>
    <col min="6917" max="6917" width="5" customWidth="1"/>
    <col min="6918" max="6920" width="7.140625" customWidth="1"/>
    <col min="6921" max="6921" width="5" customWidth="1"/>
    <col min="6922" max="6924" width="7.140625" customWidth="1"/>
    <col min="7169" max="7169" width="33.140625" bestFit="1" customWidth="1"/>
    <col min="7170" max="7172" width="7.140625" customWidth="1"/>
    <col min="7173" max="7173" width="5" customWidth="1"/>
    <col min="7174" max="7176" width="7.140625" customWidth="1"/>
    <col min="7177" max="7177" width="5" customWidth="1"/>
    <col min="7178" max="7180" width="7.140625" customWidth="1"/>
    <col min="7425" max="7425" width="33.140625" bestFit="1" customWidth="1"/>
    <col min="7426" max="7428" width="7.140625" customWidth="1"/>
    <col min="7429" max="7429" width="5" customWidth="1"/>
    <col min="7430" max="7432" width="7.140625" customWidth="1"/>
    <col min="7433" max="7433" width="5" customWidth="1"/>
    <col min="7434" max="7436" width="7.140625" customWidth="1"/>
    <col min="7681" max="7681" width="33.140625" bestFit="1" customWidth="1"/>
    <col min="7682" max="7684" width="7.140625" customWidth="1"/>
    <col min="7685" max="7685" width="5" customWidth="1"/>
    <col min="7686" max="7688" width="7.140625" customWidth="1"/>
    <col min="7689" max="7689" width="5" customWidth="1"/>
    <col min="7690" max="7692" width="7.140625" customWidth="1"/>
    <col min="7937" max="7937" width="33.140625" bestFit="1" customWidth="1"/>
    <col min="7938" max="7940" width="7.140625" customWidth="1"/>
    <col min="7941" max="7941" width="5" customWidth="1"/>
    <col min="7942" max="7944" width="7.140625" customWidth="1"/>
    <col min="7945" max="7945" width="5" customWidth="1"/>
    <col min="7946" max="7948" width="7.140625" customWidth="1"/>
    <col min="8193" max="8193" width="33.140625" bestFit="1" customWidth="1"/>
    <col min="8194" max="8196" width="7.140625" customWidth="1"/>
    <col min="8197" max="8197" width="5" customWidth="1"/>
    <col min="8198" max="8200" width="7.140625" customWidth="1"/>
    <col min="8201" max="8201" width="5" customWidth="1"/>
    <col min="8202" max="8204" width="7.140625" customWidth="1"/>
    <col min="8449" max="8449" width="33.140625" bestFit="1" customWidth="1"/>
    <col min="8450" max="8452" width="7.140625" customWidth="1"/>
    <col min="8453" max="8453" width="5" customWidth="1"/>
    <col min="8454" max="8456" width="7.140625" customWidth="1"/>
    <col min="8457" max="8457" width="5" customWidth="1"/>
    <col min="8458" max="8460" width="7.140625" customWidth="1"/>
    <col min="8705" max="8705" width="33.140625" bestFit="1" customWidth="1"/>
    <col min="8706" max="8708" width="7.140625" customWidth="1"/>
    <col min="8709" max="8709" width="5" customWidth="1"/>
    <col min="8710" max="8712" width="7.140625" customWidth="1"/>
    <col min="8713" max="8713" width="5" customWidth="1"/>
    <col min="8714" max="8716" width="7.140625" customWidth="1"/>
    <col min="8961" max="8961" width="33.140625" bestFit="1" customWidth="1"/>
    <col min="8962" max="8964" width="7.140625" customWidth="1"/>
    <col min="8965" max="8965" width="5" customWidth="1"/>
    <col min="8966" max="8968" width="7.140625" customWidth="1"/>
    <col min="8969" max="8969" width="5" customWidth="1"/>
    <col min="8970" max="8972" width="7.140625" customWidth="1"/>
    <col min="9217" max="9217" width="33.140625" bestFit="1" customWidth="1"/>
    <col min="9218" max="9220" width="7.140625" customWidth="1"/>
    <col min="9221" max="9221" width="5" customWidth="1"/>
    <col min="9222" max="9224" width="7.140625" customWidth="1"/>
    <col min="9225" max="9225" width="5" customWidth="1"/>
    <col min="9226" max="9228" width="7.140625" customWidth="1"/>
    <col min="9473" max="9473" width="33.140625" bestFit="1" customWidth="1"/>
    <col min="9474" max="9476" width="7.140625" customWidth="1"/>
    <col min="9477" max="9477" width="5" customWidth="1"/>
    <col min="9478" max="9480" width="7.140625" customWidth="1"/>
    <col min="9481" max="9481" width="5" customWidth="1"/>
    <col min="9482" max="9484" width="7.140625" customWidth="1"/>
    <col min="9729" max="9729" width="33.140625" bestFit="1" customWidth="1"/>
    <col min="9730" max="9732" width="7.140625" customWidth="1"/>
    <col min="9733" max="9733" width="5" customWidth="1"/>
    <col min="9734" max="9736" width="7.140625" customWidth="1"/>
    <col min="9737" max="9737" width="5" customWidth="1"/>
    <col min="9738" max="9740" width="7.140625" customWidth="1"/>
    <col min="9985" max="9985" width="33.140625" bestFit="1" customWidth="1"/>
    <col min="9986" max="9988" width="7.140625" customWidth="1"/>
    <col min="9989" max="9989" width="5" customWidth="1"/>
    <col min="9990" max="9992" width="7.140625" customWidth="1"/>
    <col min="9993" max="9993" width="5" customWidth="1"/>
    <col min="9994" max="9996" width="7.140625" customWidth="1"/>
    <col min="10241" max="10241" width="33.140625" bestFit="1" customWidth="1"/>
    <col min="10242" max="10244" width="7.140625" customWidth="1"/>
    <col min="10245" max="10245" width="5" customWidth="1"/>
    <col min="10246" max="10248" width="7.140625" customWidth="1"/>
    <col min="10249" max="10249" width="5" customWidth="1"/>
    <col min="10250" max="10252" width="7.140625" customWidth="1"/>
    <col min="10497" max="10497" width="33.140625" bestFit="1" customWidth="1"/>
    <col min="10498" max="10500" width="7.140625" customWidth="1"/>
    <col min="10501" max="10501" width="5" customWidth="1"/>
    <col min="10502" max="10504" width="7.140625" customWidth="1"/>
    <col min="10505" max="10505" width="5" customWidth="1"/>
    <col min="10506" max="10508" width="7.140625" customWidth="1"/>
    <col min="10753" max="10753" width="33.140625" bestFit="1" customWidth="1"/>
    <col min="10754" max="10756" width="7.140625" customWidth="1"/>
    <col min="10757" max="10757" width="5" customWidth="1"/>
    <col min="10758" max="10760" width="7.140625" customWidth="1"/>
    <col min="10761" max="10761" width="5" customWidth="1"/>
    <col min="10762" max="10764" width="7.140625" customWidth="1"/>
    <col min="11009" max="11009" width="33.140625" bestFit="1" customWidth="1"/>
    <col min="11010" max="11012" width="7.140625" customWidth="1"/>
    <col min="11013" max="11013" width="5" customWidth="1"/>
    <col min="11014" max="11016" width="7.140625" customWidth="1"/>
    <col min="11017" max="11017" width="5" customWidth="1"/>
    <col min="11018" max="11020" width="7.140625" customWidth="1"/>
    <col min="11265" max="11265" width="33.140625" bestFit="1" customWidth="1"/>
    <col min="11266" max="11268" width="7.140625" customWidth="1"/>
    <col min="11269" max="11269" width="5" customWidth="1"/>
    <col min="11270" max="11272" width="7.140625" customWidth="1"/>
    <col min="11273" max="11273" width="5" customWidth="1"/>
    <col min="11274" max="11276" width="7.140625" customWidth="1"/>
    <col min="11521" max="11521" width="33.140625" bestFit="1" customWidth="1"/>
    <col min="11522" max="11524" width="7.140625" customWidth="1"/>
    <col min="11525" max="11525" width="5" customWidth="1"/>
    <col min="11526" max="11528" width="7.140625" customWidth="1"/>
    <col min="11529" max="11529" width="5" customWidth="1"/>
    <col min="11530" max="11532" width="7.140625" customWidth="1"/>
    <col min="11777" max="11777" width="33.140625" bestFit="1" customWidth="1"/>
    <col min="11778" max="11780" width="7.140625" customWidth="1"/>
    <col min="11781" max="11781" width="5" customWidth="1"/>
    <col min="11782" max="11784" width="7.140625" customWidth="1"/>
    <col min="11785" max="11785" width="5" customWidth="1"/>
    <col min="11786" max="11788" width="7.140625" customWidth="1"/>
    <col min="12033" max="12033" width="33.140625" bestFit="1" customWidth="1"/>
    <col min="12034" max="12036" width="7.140625" customWidth="1"/>
    <col min="12037" max="12037" width="5" customWidth="1"/>
    <col min="12038" max="12040" width="7.140625" customWidth="1"/>
    <col min="12041" max="12041" width="5" customWidth="1"/>
    <col min="12042" max="12044" width="7.140625" customWidth="1"/>
    <col min="12289" max="12289" width="33.140625" bestFit="1" customWidth="1"/>
    <col min="12290" max="12292" width="7.140625" customWidth="1"/>
    <col min="12293" max="12293" width="5" customWidth="1"/>
    <col min="12294" max="12296" width="7.140625" customWidth="1"/>
    <col min="12297" max="12297" width="5" customWidth="1"/>
    <col min="12298" max="12300" width="7.140625" customWidth="1"/>
    <col min="12545" max="12545" width="33.140625" bestFit="1" customWidth="1"/>
    <col min="12546" max="12548" width="7.140625" customWidth="1"/>
    <col min="12549" max="12549" width="5" customWidth="1"/>
    <col min="12550" max="12552" width="7.140625" customWidth="1"/>
    <col min="12553" max="12553" width="5" customWidth="1"/>
    <col min="12554" max="12556" width="7.140625" customWidth="1"/>
    <col min="12801" max="12801" width="33.140625" bestFit="1" customWidth="1"/>
    <col min="12802" max="12804" width="7.140625" customWidth="1"/>
    <col min="12805" max="12805" width="5" customWidth="1"/>
    <col min="12806" max="12808" width="7.140625" customWidth="1"/>
    <col min="12809" max="12809" width="5" customWidth="1"/>
    <col min="12810" max="12812" width="7.140625" customWidth="1"/>
    <col min="13057" max="13057" width="33.140625" bestFit="1" customWidth="1"/>
    <col min="13058" max="13060" width="7.140625" customWidth="1"/>
    <col min="13061" max="13061" width="5" customWidth="1"/>
    <col min="13062" max="13064" width="7.140625" customWidth="1"/>
    <col min="13065" max="13065" width="5" customWidth="1"/>
    <col min="13066" max="13068" width="7.140625" customWidth="1"/>
    <col min="13313" max="13313" width="33.140625" bestFit="1" customWidth="1"/>
    <col min="13314" max="13316" width="7.140625" customWidth="1"/>
    <col min="13317" max="13317" width="5" customWidth="1"/>
    <col min="13318" max="13320" width="7.140625" customWidth="1"/>
    <col min="13321" max="13321" width="5" customWidth="1"/>
    <col min="13322" max="13324" width="7.140625" customWidth="1"/>
    <col min="13569" max="13569" width="33.140625" bestFit="1" customWidth="1"/>
    <col min="13570" max="13572" width="7.140625" customWidth="1"/>
    <col min="13573" max="13573" width="5" customWidth="1"/>
    <col min="13574" max="13576" width="7.140625" customWidth="1"/>
    <col min="13577" max="13577" width="5" customWidth="1"/>
    <col min="13578" max="13580" width="7.140625" customWidth="1"/>
    <col min="13825" max="13825" width="33.140625" bestFit="1" customWidth="1"/>
    <col min="13826" max="13828" width="7.140625" customWidth="1"/>
    <col min="13829" max="13829" width="5" customWidth="1"/>
    <col min="13830" max="13832" width="7.140625" customWidth="1"/>
    <col min="13833" max="13833" width="5" customWidth="1"/>
    <col min="13834" max="13836" width="7.140625" customWidth="1"/>
    <col min="14081" max="14081" width="33.140625" bestFit="1" customWidth="1"/>
    <col min="14082" max="14084" width="7.140625" customWidth="1"/>
    <col min="14085" max="14085" width="5" customWidth="1"/>
    <col min="14086" max="14088" width="7.140625" customWidth="1"/>
    <col min="14089" max="14089" width="5" customWidth="1"/>
    <col min="14090" max="14092" width="7.140625" customWidth="1"/>
    <col min="14337" max="14337" width="33.140625" bestFit="1" customWidth="1"/>
    <col min="14338" max="14340" width="7.140625" customWidth="1"/>
    <col min="14341" max="14341" width="5" customWidth="1"/>
    <col min="14342" max="14344" width="7.140625" customWidth="1"/>
    <col min="14345" max="14345" width="5" customWidth="1"/>
    <col min="14346" max="14348" width="7.140625" customWidth="1"/>
    <col min="14593" max="14593" width="33.140625" bestFit="1" customWidth="1"/>
    <col min="14594" max="14596" width="7.140625" customWidth="1"/>
    <col min="14597" max="14597" width="5" customWidth="1"/>
    <col min="14598" max="14600" width="7.140625" customWidth="1"/>
    <col min="14601" max="14601" width="5" customWidth="1"/>
    <col min="14602" max="14604" width="7.140625" customWidth="1"/>
    <col min="14849" max="14849" width="33.140625" bestFit="1" customWidth="1"/>
    <col min="14850" max="14852" width="7.140625" customWidth="1"/>
    <col min="14853" max="14853" width="5" customWidth="1"/>
    <col min="14854" max="14856" width="7.140625" customWidth="1"/>
    <col min="14857" max="14857" width="5" customWidth="1"/>
    <col min="14858" max="14860" width="7.140625" customWidth="1"/>
    <col min="15105" max="15105" width="33.140625" bestFit="1" customWidth="1"/>
    <col min="15106" max="15108" width="7.140625" customWidth="1"/>
    <col min="15109" max="15109" width="5" customWidth="1"/>
    <col min="15110" max="15112" width="7.140625" customWidth="1"/>
    <col min="15113" max="15113" width="5" customWidth="1"/>
    <col min="15114" max="15116" width="7.140625" customWidth="1"/>
    <col min="15361" max="15361" width="33.140625" bestFit="1" customWidth="1"/>
    <col min="15362" max="15364" width="7.140625" customWidth="1"/>
    <col min="15365" max="15365" width="5" customWidth="1"/>
    <col min="15366" max="15368" width="7.140625" customWidth="1"/>
    <col min="15369" max="15369" width="5" customWidth="1"/>
    <col min="15370" max="15372" width="7.140625" customWidth="1"/>
    <col min="15617" max="15617" width="33.140625" bestFit="1" customWidth="1"/>
    <col min="15618" max="15620" width="7.140625" customWidth="1"/>
    <col min="15621" max="15621" width="5" customWidth="1"/>
    <col min="15622" max="15624" width="7.140625" customWidth="1"/>
    <col min="15625" max="15625" width="5" customWidth="1"/>
    <col min="15626" max="15628" width="7.140625" customWidth="1"/>
    <col min="15873" max="15873" width="33.140625" bestFit="1" customWidth="1"/>
    <col min="15874" max="15876" width="7.140625" customWidth="1"/>
    <col min="15877" max="15877" width="5" customWidth="1"/>
    <col min="15878" max="15880" width="7.140625" customWidth="1"/>
    <col min="15881" max="15881" width="5" customWidth="1"/>
    <col min="15882" max="15884" width="7.140625" customWidth="1"/>
    <col min="16129" max="16129" width="33.140625" bestFit="1" customWidth="1"/>
    <col min="16130" max="16132" width="7.140625" customWidth="1"/>
    <col min="16133" max="16133" width="5" customWidth="1"/>
    <col min="16134" max="16136" width="7.140625" customWidth="1"/>
    <col min="16137" max="16137" width="5" customWidth="1"/>
    <col min="16138" max="16140" width="7.140625" customWidth="1"/>
  </cols>
  <sheetData>
    <row r="1" spans="1:14" ht="15.75" x14ac:dyDescent="0.25">
      <c r="A1" s="265" t="str">
        <f>CONCATENATE("Industry and Occupation Table 1  Occuptation composition by gender, ",B$6,"-",J$6)</f>
        <v>Industry and Occupation Table 1  Occuptation composition by gender, 2007-2027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61"/>
      <c r="M1" s="347"/>
      <c r="N1" s="347"/>
    </row>
    <row r="2" spans="1:14" x14ac:dyDescent="0.2">
      <c r="A2" s="351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61"/>
      <c r="M2" s="347"/>
      <c r="N2" s="347"/>
    </row>
    <row r="3" spans="1:14" x14ac:dyDescent="0.2">
      <c r="A3" s="351"/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66"/>
      <c r="M3" s="347"/>
      <c r="N3" s="347"/>
    </row>
    <row r="4" spans="1:14" x14ac:dyDescent="0.2">
      <c r="A4" s="351"/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67" t="s">
        <v>35</v>
      </c>
      <c r="M4" s="347"/>
      <c r="N4" s="347"/>
    </row>
    <row r="5" spans="1:14" x14ac:dyDescent="0.2">
      <c r="A5" s="355"/>
      <c r="B5" s="355"/>
      <c r="C5" s="356"/>
      <c r="D5" s="356"/>
      <c r="E5" s="356"/>
      <c r="F5" s="356"/>
      <c r="G5" s="356"/>
      <c r="H5" s="356"/>
      <c r="I5" s="356"/>
      <c r="J5" s="356"/>
      <c r="K5" s="356"/>
      <c r="L5" s="347"/>
      <c r="M5" s="347"/>
      <c r="N5" s="347"/>
    </row>
    <row r="6" spans="1:14" x14ac:dyDescent="0.2">
      <c r="A6" s="354" t="s">
        <v>0</v>
      </c>
      <c r="B6" s="517">
        <v>2007</v>
      </c>
      <c r="C6" s="518"/>
      <c r="D6" s="518"/>
      <c r="E6" s="359"/>
      <c r="F6" s="517">
        <v>2017</v>
      </c>
      <c r="G6" s="517"/>
      <c r="H6" s="517"/>
      <c r="I6" s="359"/>
      <c r="J6" s="517">
        <v>2027</v>
      </c>
      <c r="K6" s="517"/>
      <c r="L6" s="517"/>
      <c r="M6" s="347"/>
      <c r="N6" s="347"/>
    </row>
    <row r="7" spans="1:14" x14ac:dyDescent="0.2">
      <c r="A7" s="368"/>
      <c r="B7" s="358" t="s">
        <v>387</v>
      </c>
      <c r="C7" s="358" t="s">
        <v>388</v>
      </c>
      <c r="D7" s="358" t="s">
        <v>32</v>
      </c>
      <c r="E7" s="358"/>
      <c r="F7" s="358" t="s">
        <v>387</v>
      </c>
      <c r="G7" s="358" t="s">
        <v>388</v>
      </c>
      <c r="H7" s="358" t="s">
        <v>32</v>
      </c>
      <c r="I7" s="358"/>
      <c r="J7" s="358" t="s">
        <v>387</v>
      </c>
      <c r="K7" s="358" t="s">
        <v>388</v>
      </c>
      <c r="L7" s="358" t="s">
        <v>32</v>
      </c>
      <c r="M7" s="347"/>
      <c r="N7" s="347"/>
    </row>
    <row r="8" spans="1:14" s="286" customFormat="1" x14ac:dyDescent="0.2">
      <c r="A8" s="352"/>
      <c r="B8" s="373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47"/>
      <c r="N8" s="347"/>
    </row>
    <row r="9" spans="1:14" x14ac:dyDescent="0.2">
      <c r="A9" s="362" t="str">
        <f>name!E$4</f>
        <v>Managers, directors and senior officials</v>
      </c>
      <c r="B9" s="363">
        <f>SUM(B26,B43,B60,B77,B94,B111,B128,B145,B162,B179,B196,B213,B230,B247,B264,B281,B298,B315,B332,B349,B366,B383,B400,B417,B434,B451,B468,B485,B502,B519,B536,B553,B570,B587,B604,B621,B638,B655,B672,B689,B706,B723,B740,B757,B774,B791,B808,B825,B842,B859,B876,B893,B910,B927,B944,B961,B978,B995,B1012,B1029,B1046,B1063,B1080,B1097,B1114,B1131,B1148,B1165,B1182,B1199,B1216,B1233,B1250,B1267,B1284)</f>
        <v>27.793011183191098</v>
      </c>
      <c r="C9" s="363">
        <f>SUM(C26,C43,C60,C77,C94,C111,C128,C145,C162,C179,C196,C213,C230,C247,C264,C281,C298,C315,C332,C349,C366,C383,C400,C417,C434,C451,C468,C485,C502,C519,C536,C553,C570,C587,C604,C621,C638,C655,C672,C689,C706,C723,C740,C757,C774,C791,C808,C825,C842,C859,C876,C893,C910,C927,C944,C961,C978,C995,C1012,C1029,C1046,C1063,C1080,C1097,C1114,C1131,C1148,C1165,C1182,C1199,C1216,C1233,C1250,C1267,C1284)</f>
        <v>68.572979476305406</v>
      </c>
      <c r="D9" s="363">
        <f>SUM(B9:C9)</f>
        <v>96.365990659496504</v>
      </c>
      <c r="E9" s="364"/>
      <c r="F9" s="363">
        <f>SUM(F26,F43,F60,F77,F94,F111,F128,F145,F162,F179,F196,F213,F230,F247,F264,F281,F298,F315,F332,F349,F366,F383,F400,F417,F434,F451,F468,F485,F502,F519,F536,F553,F570,F587,F604,F621,F638,F655,F672,F689,F706,F723,F740,F757,F774,F791,F808,F825,F842,F859,F876,F893,F910,F927,F944,F961,F978,F995,F1012,F1029,F1046,F1063,F1080,F1097,F1114,F1131,F1148,F1165,F1182,F1199,F1216,F1233,F1250,F1267,F1284)</f>
        <v>44.455511562200812</v>
      </c>
      <c r="G9" s="363">
        <f>SUM(G26,G43,G60,G77,G94,G111,G128,G145,G162,G179,G196,G213,G230,G247,G264,G281,G298,G315,G332,G349,G366,G383,G400,G417,G434,G451,G468,G485,G502,G519,G536,G553,G570,G587,G604,G621,G638,G655,G672,G689,G706,G723,G740,G757,G774,G791,G808,G825,G842,G859,G876,G893,G910,G927,G944,G961,G978,G995,G1012,G1029,G1046,G1063,G1080,G1097,G1114,G1131,G1148,G1165,G1182,G1199,G1216,G1233,G1250,G1267,G1284)</f>
        <v>76.934208876487062</v>
      </c>
      <c r="H9" s="363">
        <f>SUM(F9:G9)</f>
        <v>121.38972043868787</v>
      </c>
      <c r="I9" s="364"/>
      <c r="J9" s="363">
        <f>SUM(J26,J43,J60,J77,J94,J111,J128,J145,J162,J179,J196,J213,J230,J247,J264,J281,J298,J315,J332,J349,J366,J383,J400,J417,J434,J451,J468,J485,J502,J519,J536,J553,J570,J587,J604,J621,J638,J655,J672,J689,J706,J723,J740,J757,J774,J791,J808,J825,J842,J859,J876,J893,J910,J927,J944,J961,J978,J995,J1012,J1029,J1046,J1063,J1080,J1097,J1114,J1131,J1148,J1165,J1182,J1199,J1216,J1233,J1250,J1267,J1284)</f>
        <v>54.749217617091858</v>
      </c>
      <c r="K9" s="363">
        <f>SUM(K26,K43,K60,K77,K94,K111,K128,K145,K162,K179,K196,K213,K230,K247,K264,K281,K298,K315,K332,K349,K366,K383,K400,K417,K434,K451,K468,K485,K502,K519,K536,K553,K570,K587,K604,K621,K638,K655,K672,K689,K706,K723,K740,K757,K774,K791,K808,K825,K842,K859,K876,K893,K910,K927,K944,K961,K978,K995,K1012,K1029,K1046,K1063,K1080,K1097,K1114,K1131,K1148,K1165,K1182,K1199,K1216,K1233,K1250,K1267,K1284)</f>
        <v>81.969337814776637</v>
      </c>
      <c r="L9" s="363">
        <f>SUM(J9:K9)</f>
        <v>136.71855543186848</v>
      </c>
      <c r="M9" s="347"/>
      <c r="N9" s="347"/>
    </row>
    <row r="10" spans="1:14" x14ac:dyDescent="0.2">
      <c r="A10" s="362" t="str">
        <f>name!E$5</f>
        <v>Professional occupations</v>
      </c>
      <c r="B10" s="363">
        <f t="shared" ref="B10:C10" si="0">SUM(B27,B44,B61,B78,B95,B112,B129,B146,B163,B180,B197,B214,B231,B248,B265,B282,B299,B316,B333,B350,B367,B384,B401,B418,B435,B452,B469,B486,B503,B520,B537,B554,B571,B588,B605,B622,B639,B656,B673,B690,B707,B724,B741,B758,B775,B792,B809,B826,B843,B860,B877,B894,B911,B928,B945,B962,B979,B996,B1013,B1030,B1047,B1064,B1081,B1098,B1115,B1132,B1149,B1166,B1183,B1200,B1217,B1234,B1251,B1268,B1285)</f>
        <v>120.25624494249077</v>
      </c>
      <c r="C10" s="363">
        <f t="shared" si="0"/>
        <v>100.82529001524873</v>
      </c>
      <c r="D10" s="363">
        <f t="shared" ref="D10:D17" si="1">SUM(B10:C10)</f>
        <v>221.08153495773951</v>
      </c>
      <c r="E10" s="364"/>
      <c r="F10" s="363">
        <f t="shared" ref="F10:G10" si="2">SUM(F27,F44,F61,F78,F95,F112,F129,F146,F163,F180,F197,F214,F231,F248,F265,F282,F299,F316,F333,F350,F367,F384,F401,F418,F435,F452,F469,F486,F503,F520,F537,F554,F571,F588,F605,F622,F639,F656,F673,F690,F707,F724,F741,F758,F775,F792,F809,F826,F843,F860,F877,F894,F911,F928,F945,F962,F979,F996,F1013,F1030,F1047,F1064,F1081,F1098,F1115,F1132,F1149,F1166,F1183,F1200,F1217,F1234,F1251,F1268,F1285)</f>
        <v>165.84403759261005</v>
      </c>
      <c r="G10" s="363">
        <f t="shared" si="2"/>
        <v>121.08828857013187</v>
      </c>
      <c r="H10" s="363">
        <f t="shared" ref="H10:H17" si="3">SUM(F10:G10)</f>
        <v>286.9323261627419</v>
      </c>
      <c r="I10" s="364"/>
      <c r="J10" s="363">
        <f t="shared" ref="J10:K10" si="4">SUM(J27,J44,J61,J78,J95,J112,J129,J146,J163,J180,J197,J214,J231,J248,J265,J282,J299,J316,J333,J350,J367,J384,J401,J418,J435,J452,J469,J486,J503,J520,J537,J554,J571,J588,J605,J622,J639,J656,J673,J690,J707,J724,J741,J758,J775,J792,J809,J826,J843,J860,J877,J894,J911,J928,J945,J962,J979,J996,J1013,J1030,J1047,J1064,J1081,J1098,J1115,J1132,J1149,J1166,J1183,J1200,J1217,J1234,J1251,J1268,J1285)</f>
        <v>198.03232427360467</v>
      </c>
      <c r="K10" s="363">
        <f t="shared" si="4"/>
        <v>126.73280555236821</v>
      </c>
      <c r="L10" s="363">
        <f t="shared" ref="L10:L17" si="5">SUM(J10:K10)</f>
        <v>324.76512982597285</v>
      </c>
      <c r="M10" s="347"/>
      <c r="N10" s="347"/>
    </row>
    <row r="11" spans="1:14" x14ac:dyDescent="0.2">
      <c r="A11" s="362" t="str">
        <f>name!E$6</f>
        <v>Associate professional and technical</v>
      </c>
      <c r="B11" s="363">
        <f t="shared" ref="B11:C11" si="6">SUM(B28,B45,B62,B79,B96,B113,B130,B147,B164,B181,B198,B215,B232,B249,B266,B283,B300,B317,B334,B351,B368,B385,B402,B419,B436,B453,B470,B487,B504,B521,B538,B555,B572,B589,B606,B623,B640,B657,B674,B691,B708,B725,B742,B759,B776,B793,B810,B827,B844,B861,B878,B895,B912,B929,B946,B963,B980,B997,B1014,B1031,B1048,B1065,B1082,B1099,B1116,B1133,B1150,B1167,B1184,B1201,B1218,B1235,B1252,B1269,B1286)</f>
        <v>59.357393859559082</v>
      </c>
      <c r="C11" s="363">
        <f t="shared" si="6"/>
        <v>86.195400125884049</v>
      </c>
      <c r="D11" s="363">
        <f t="shared" si="1"/>
        <v>145.55279398544315</v>
      </c>
      <c r="E11" s="364"/>
      <c r="F11" s="363">
        <f t="shared" ref="F11:G11" si="7">SUM(F28,F45,F62,F79,F96,F113,F130,F147,F164,F181,F198,F215,F232,F249,F266,F283,F300,F317,F334,F351,F368,F385,F402,F419,F436,F453,F470,F487,F504,F521,F538,F555,F572,F589,F606,F623,F640,F657,F674,F691,F708,F725,F742,F759,F776,F793,F810,F827,F844,F861,F878,F895,F912,F929,F946,F963,F980,F997,F1014,F1031,F1048,F1065,F1082,F1099,F1116,F1133,F1150,F1167,F1184,F1201,F1218,F1235,F1252,F1269,F1286)</f>
        <v>79.590584424710869</v>
      </c>
      <c r="G11" s="363">
        <f t="shared" si="7"/>
        <v>92.481534745262621</v>
      </c>
      <c r="H11" s="363">
        <f t="shared" si="3"/>
        <v>172.07211916997349</v>
      </c>
      <c r="I11" s="364"/>
      <c r="J11" s="363">
        <f t="shared" ref="J11:K11" si="8">SUM(J28,J45,J62,J79,J96,J113,J130,J147,J164,J181,J198,J215,J232,J249,J266,J283,J300,J317,J334,J351,J368,J385,J402,J419,J436,J453,J470,J487,J504,J521,J538,J555,J572,J589,J606,J623,J640,J657,J674,J691,J708,J725,J742,J759,J776,J793,J810,J827,J844,J861,J878,J895,J912,J929,J946,J963,J980,J997,J1014,J1031,J1048,J1065,J1082,J1099,J1116,J1133,J1150,J1167,J1184,J1201,J1218,J1235,J1252,J1269,J1286)</f>
        <v>95.386869691656742</v>
      </c>
      <c r="K11" s="363">
        <f t="shared" si="8"/>
        <v>93.622541843852915</v>
      </c>
      <c r="L11" s="363">
        <f t="shared" si="5"/>
        <v>189.00941153550966</v>
      </c>
      <c r="M11" s="347"/>
      <c r="N11" s="347"/>
    </row>
    <row r="12" spans="1:14" x14ac:dyDescent="0.2">
      <c r="A12" s="362" t="str">
        <f>name!E$7</f>
        <v>Administrative and secretarial</v>
      </c>
      <c r="B12" s="363">
        <f t="shared" ref="B12:C12" si="9">SUM(B29,B46,B63,B80,B97,B114,B131,B148,B165,B182,B199,B216,B233,B250,B267,B284,B301,B318,B335,B352,B369,B386,B403,B420,B437,B454,B471,B488,B505,B522,B539,B556,B573,B590,B607,B624,B641,B658,B675,B692,B709,B726,B743,B760,B777,B794,B811,B828,B845,B862,B879,B896,B913,B930,B947,B964,B981,B998,B1015,B1032,B1049,B1066,B1083,B1100,B1117,B1134,B1151,B1168,B1185,B1202,B1219,B1236,B1253,B1270,B1287)</f>
        <v>127.30260948882091</v>
      </c>
      <c r="C12" s="363">
        <f t="shared" si="9"/>
        <v>40.517245758908892</v>
      </c>
      <c r="D12" s="363">
        <f t="shared" si="1"/>
        <v>167.81985524772981</v>
      </c>
      <c r="E12" s="364"/>
      <c r="F12" s="363">
        <f t="shared" ref="F12:G12" si="10">SUM(F29,F46,F63,F80,F97,F114,F131,F148,F165,F182,F199,F216,F233,F250,F267,F284,F301,F318,F335,F352,F369,F386,F403,F420,F437,F454,F471,F488,F505,F522,F539,F556,F573,F590,F607,F624,F641,F658,F675,F692,F709,F726,F743,F760,F777,F794,F811,F828,F845,F862,F879,F896,F913,F930,F947,F964,F981,F998,F1015,F1032,F1049,F1066,F1083,F1100,F1117,F1134,F1151,F1168,F1185,F1202,F1219,F1236,F1253,F1270,F1287)</f>
        <v>118.58273215984553</v>
      </c>
      <c r="G12" s="363">
        <f t="shared" si="10"/>
        <v>42.048893319059403</v>
      </c>
      <c r="H12" s="363">
        <f t="shared" si="3"/>
        <v>160.63162547890494</v>
      </c>
      <c r="I12" s="364"/>
      <c r="J12" s="363">
        <f t="shared" ref="J12:K12" si="11">SUM(J29,J46,J63,J80,J97,J114,J131,J148,J165,J182,J199,J216,J233,J250,J267,J284,J301,J318,J335,J352,J369,J386,J403,J420,J437,J454,J471,J488,J505,J522,J539,J556,J573,J590,J607,J624,J641,J658,J675,J692,J709,J726,J743,J760,J777,J794,J811,J828,J845,J862,J879,J896,J913,J930,J947,J964,J981,J998,J1015,J1032,J1049,J1066,J1083,J1100,J1117,J1134,J1151,J1168,J1185,J1202,J1219,J1236,J1253,J1270,J1287)</f>
        <v>95.305175224309323</v>
      </c>
      <c r="K12" s="363">
        <f t="shared" si="11"/>
        <v>43.426251387083475</v>
      </c>
      <c r="L12" s="363">
        <f t="shared" si="5"/>
        <v>138.73142661139281</v>
      </c>
      <c r="M12" s="347"/>
      <c r="N12" s="347"/>
    </row>
    <row r="13" spans="1:14" x14ac:dyDescent="0.2">
      <c r="A13" s="362" t="str">
        <f>name!E$8</f>
        <v>Skilled trades occupations</v>
      </c>
      <c r="B13" s="363">
        <f t="shared" ref="B13:C13" si="12">SUM(B30,B47,B64,B81,B98,B115,B132,B149,B166,B183,B200,B217,B234,B251,B268,B285,B302,B319,B336,B353,B370,B387,B404,B421,B438,B455,B472,B489,B506,B523,B540,B557,B574,B591,B608,B625,B642,B659,B676,B693,B710,B727,B744,B761,B778,B795,B812,B829,B846,B863,B880,B897,B914,B931,B948,B965,B982,B999,B1016,B1033,B1050,B1067,B1084,B1101,B1118,B1135,B1152,B1169,B1186,B1203,B1220,B1237,B1254,B1271,B1288)</f>
        <v>19.808032262102049</v>
      </c>
      <c r="C13" s="363">
        <f t="shared" si="12"/>
        <v>172.8095500807708</v>
      </c>
      <c r="D13" s="363">
        <f t="shared" si="1"/>
        <v>192.61758234287285</v>
      </c>
      <c r="E13" s="364"/>
      <c r="F13" s="363">
        <f t="shared" ref="F13:G13" si="13">SUM(F30,F47,F64,F81,F98,F115,F132,F149,F166,F183,F200,F217,F234,F251,F268,F285,F302,F319,F336,F353,F370,F387,F404,F421,F438,F455,F472,F489,F506,F523,F540,F557,F574,F591,F608,F625,F642,F659,F676,F693,F710,F727,F744,F761,F778,F795,F812,F829,F846,F863,F880,F897,F914,F931,F948,F965,F982,F999,F1016,F1033,F1050,F1067,F1084,F1101,F1118,F1135,F1152,F1169,F1186,F1203,F1220,F1237,F1254,F1271,F1288)</f>
        <v>25.389847743170456</v>
      </c>
      <c r="G13" s="363">
        <f t="shared" si="13"/>
        <v>179.27006840202759</v>
      </c>
      <c r="H13" s="363">
        <f t="shared" si="3"/>
        <v>204.65991614519805</v>
      </c>
      <c r="I13" s="364"/>
      <c r="J13" s="363">
        <f t="shared" ref="J13:K13" si="14">SUM(J30,J47,J64,J81,J98,J115,J132,J149,J166,J183,J200,J217,J234,J251,J268,J285,J302,J319,J336,J353,J370,J387,J404,J421,J438,J455,J472,J489,J506,J523,J540,J557,J574,J591,J608,J625,J642,J659,J676,J693,J710,J727,J744,J761,J778,J795,J812,J829,J846,J863,J880,J897,J914,J931,J948,J965,J982,J999,J1016,J1033,J1050,J1067,J1084,J1101,J1118,J1135,J1152,J1169,J1186,J1203,J1220,J1237,J1254,J1271,J1288)</f>
        <v>25.183458666531994</v>
      </c>
      <c r="K13" s="363">
        <f t="shared" si="14"/>
        <v>165.20182527510858</v>
      </c>
      <c r="L13" s="363">
        <f t="shared" si="5"/>
        <v>190.38528394164058</v>
      </c>
      <c r="M13" s="347"/>
      <c r="N13" s="347"/>
    </row>
    <row r="14" spans="1:14" x14ac:dyDescent="0.2">
      <c r="A14" s="362" t="str">
        <f>name!E$9</f>
        <v>Caring, leisure and other service</v>
      </c>
      <c r="B14" s="363">
        <f t="shared" ref="B14:C14" si="15">SUM(B31,B48,B65,B82,B99,B116,B133,B150,B167,B184,B201,B218,B235,B252,B269,B286,B303,B320,B337,B354,B371,B388,B405,B422,B439,B456,B473,B490,B507,B524,B541,B558,B575,B592,B609,B626,B643,B660,B677,B694,B711,B728,B745,B762,B779,B796,B813,B830,B847,B864,B881,B898,B915,B932,B949,B966,B983,B1000,B1017,B1034,B1051,B1068,B1085,B1102,B1119,B1136,B1153,B1170,B1187,B1204,B1221,B1238,B1255,B1272,B1289)</f>
        <v>102.93650631528281</v>
      </c>
      <c r="C14" s="363">
        <f t="shared" si="15"/>
        <v>23.212623920749309</v>
      </c>
      <c r="D14" s="363">
        <f t="shared" si="1"/>
        <v>126.14913023603212</v>
      </c>
      <c r="E14" s="364"/>
      <c r="F14" s="363">
        <f t="shared" ref="F14:G14" si="16">SUM(F31,F48,F65,F82,F99,F116,F133,F150,F167,F184,F201,F218,F235,F252,F269,F286,F303,F320,F337,F354,F371,F388,F405,F422,F439,F456,F473,F490,F507,F524,F541,F558,F575,F592,F609,F626,F643,F660,F677,F694,F711,F728,F745,F762,F779,F796,F813,F830,F847,F864,F881,F898,F915,F932,F949,F966,F983,F1000,F1017,F1034,F1051,F1068,F1085,F1102,F1119,F1136,F1153,F1170,F1187,F1204,F1221,F1238,F1255,F1272,F1289)</f>
        <v>140.86529848702401</v>
      </c>
      <c r="G14" s="363">
        <f t="shared" si="16"/>
        <v>27.250872390928699</v>
      </c>
      <c r="H14" s="363">
        <f t="shared" si="3"/>
        <v>168.1161708779527</v>
      </c>
      <c r="I14" s="364"/>
      <c r="J14" s="363">
        <f t="shared" ref="J14:K14" si="17">SUM(J31,J48,J65,J82,J99,J116,J133,J150,J167,J184,J201,J218,J235,J252,J269,J286,J303,J320,J337,J354,J371,J388,J405,J422,J439,J456,J473,J490,J507,J524,J541,J558,J575,J592,J609,J626,J643,J660,J677,J694,J711,J728,J745,J762,J779,J796,J813,J830,J847,J864,J881,J898,J915,J932,J949,J966,J983,J1000,J1017,J1034,J1051,J1068,J1085,J1102,J1119,J1136,J1153,J1170,J1187,J1204,J1221,J1238,J1255,J1272,J1289)</f>
        <v>157.15124264476381</v>
      </c>
      <c r="K14" s="363">
        <f t="shared" si="17"/>
        <v>31.644011230355286</v>
      </c>
      <c r="L14" s="363">
        <f t="shared" si="5"/>
        <v>188.7952538751191</v>
      </c>
      <c r="M14" s="347"/>
      <c r="N14" s="347"/>
    </row>
    <row r="15" spans="1:14" x14ac:dyDescent="0.2">
      <c r="A15" s="362" t="str">
        <f>name!E$10</f>
        <v>Sales and customer service</v>
      </c>
      <c r="B15" s="363">
        <f t="shared" ref="B15:C15" si="18">SUM(B32,B49,B66,B83,B100,B117,B134,B151,B168,B185,B202,B219,B236,B253,B270,B287,B304,B321,B338,B355,B372,B389,B406,B423,B440,B457,B474,B491,B508,B525,B542,B559,B576,B593,B610,B627,B644,B661,B678,B695,B712,B729,B746,B763,B780,B797,B814,B831,B848,B865,B882,B899,B916,B933,B950,B967,B984,B1001,B1018,B1035,B1052,B1069,B1086,B1103,B1120,B1137,B1154,B1171,B1188,B1205,B1222,B1239,B1256,B1273,B1290)</f>
        <v>89.892273805428118</v>
      </c>
      <c r="C15" s="363">
        <f t="shared" si="18"/>
        <v>41.5110033082399</v>
      </c>
      <c r="D15" s="363">
        <f t="shared" si="1"/>
        <v>131.40327711366803</v>
      </c>
      <c r="E15" s="364"/>
      <c r="F15" s="363">
        <f t="shared" ref="F15:G15" si="19">SUM(F32,F49,F66,F83,F100,F117,F134,F151,F168,F185,F202,F219,F236,F253,F270,F287,F304,F321,F338,F355,F372,F389,F406,F423,F440,F457,F474,F491,F508,F525,F542,F559,F576,F593,F610,F627,F644,F661,F678,F695,F712,F729,F746,F763,F780,F797,F814,F831,F848,F865,F882,F899,F916,F933,F950,F967,F984,F1001,F1018,F1035,F1052,F1069,F1086,F1103,F1120,F1137,F1154,F1171,F1188,F1205,F1222,F1239,F1256,F1273,F1290)</f>
        <v>84.343529117683033</v>
      </c>
      <c r="G15" s="363">
        <f t="shared" si="19"/>
        <v>41.326349900933913</v>
      </c>
      <c r="H15" s="363">
        <f t="shared" si="3"/>
        <v>125.66987901861694</v>
      </c>
      <c r="I15" s="364"/>
      <c r="J15" s="363">
        <f t="shared" ref="J15:K15" si="20">SUM(J32,J49,J66,J83,J100,J117,J134,J151,J168,J185,J202,J219,J236,J253,J270,J287,J304,J321,J338,J355,J372,J389,J406,J423,J440,J457,J474,J491,J508,J525,J542,J559,J576,J593,J610,J627,J644,J661,J678,J695,J712,J729,J746,J763,J780,J797,J814,J831,J848,J865,J882,J899,J916,J933,J950,J967,J984,J1001,J1018,J1035,J1052,J1069,J1086,J1103,J1120,J1137,J1154,J1171,J1188,J1205,J1222,J1239,J1256,J1273,J1290)</f>
        <v>80.879514511624848</v>
      </c>
      <c r="K15" s="363">
        <f t="shared" si="20"/>
        <v>41.269523213393001</v>
      </c>
      <c r="L15" s="363">
        <f t="shared" si="5"/>
        <v>122.14903772501785</v>
      </c>
      <c r="M15" s="347"/>
      <c r="N15" s="347"/>
    </row>
    <row r="16" spans="1:14" x14ac:dyDescent="0.2">
      <c r="A16" s="362" t="str">
        <f>name!E$11</f>
        <v>Process, plant and machine operatives</v>
      </c>
      <c r="B16" s="363">
        <f t="shared" ref="B16:C16" si="21">SUM(B33,B50,B67,B84,B101,B118,B135,B152,B169,B186,B203,B220,B237,B254,B271,B288,B305,B322,B339,B356,B373,B390,B407,B424,B441,B458,B475,B492,B509,B526,B543,B560,B577,B594,B611,B628,B645,B662,B679,B696,B713,B730,B747,B764,B781,B798,B815,B832,B849,B866,B883,B900,B917,B934,B951,B968,B985,B1002,B1019,B1036,B1053,B1070,B1087,B1104,B1121,B1138,B1155,B1172,B1189,B1206,B1223,B1240,B1257,B1274,B1291)</f>
        <v>20.795808317375965</v>
      </c>
      <c r="C16" s="363">
        <f t="shared" si="21"/>
        <v>110.1862637317796</v>
      </c>
      <c r="D16" s="363">
        <f t="shared" si="1"/>
        <v>130.98207204915556</v>
      </c>
      <c r="E16" s="364"/>
      <c r="F16" s="363">
        <f t="shared" ref="F16:G16" si="22">SUM(F33,F50,F67,F84,F101,F118,F135,F152,F169,F186,F203,F220,F237,F254,F271,F288,F305,F322,F339,F356,F373,F390,F407,F424,F441,F458,F475,F492,F509,F526,F543,F560,F577,F594,F611,F628,F645,F662,F679,F696,F713,F730,F747,F764,F781,F798,F815,F832,F849,F866,F883,F900,F917,F934,F951,F968,F985,F1002,F1019,F1036,F1053,F1070,F1087,F1104,F1121,F1138,F1155,F1172,F1189,F1206,F1223,F1240,F1257,F1274,F1291)</f>
        <v>17.816174678376488</v>
      </c>
      <c r="G16" s="363">
        <f t="shared" si="22"/>
        <v>96.009564384213121</v>
      </c>
      <c r="H16" s="363">
        <f t="shared" si="3"/>
        <v>113.82573906258961</v>
      </c>
      <c r="I16" s="364"/>
      <c r="J16" s="363">
        <f t="shared" ref="J16:K16" si="23">SUM(J33,J50,J67,J84,J101,J118,J135,J152,J169,J186,J203,J220,J237,J254,J271,J288,J305,J322,J339,J356,J373,J390,J407,J424,J441,J458,J475,J492,J509,J526,J543,J560,J577,J594,J611,J628,J645,J662,J679,J696,J713,J730,J747,J764,J781,J798,J815,J832,J849,J866,J883,J900,J917,J934,J951,J968,J985,J1002,J1019,J1036,J1053,J1070,J1087,J1104,J1121,J1138,J1155,J1172,J1189,J1206,J1223,J1240,J1257,J1274,J1291)</f>
        <v>13.528966244944559</v>
      </c>
      <c r="K16" s="363">
        <f t="shared" si="23"/>
        <v>89.457916941490353</v>
      </c>
      <c r="L16" s="363">
        <f t="shared" si="5"/>
        <v>102.98688318643491</v>
      </c>
      <c r="M16" s="347"/>
      <c r="N16" s="347"/>
    </row>
    <row r="17" spans="1:14" x14ac:dyDescent="0.2">
      <c r="A17" s="362" t="str">
        <f>name!E$12</f>
        <v>Elementary occupations</v>
      </c>
      <c r="B17" s="363">
        <f t="shared" ref="B17:C17" si="24">SUM(B34,B51,B68,B85,B102,B119,B136,B153,B170,B187,B204,B221,B238,B255,B272,B289,B306,B323,B340,B357,B374,B391,B408,B425,B442,B459,B476,B493,B510,B527,B544,B561,B578,B595,B612,B629,B646,B663,B680,B697,B714,B731,B748,B765,B782,B799,B816,B833,B850,B867,B884,B901,B918,B935,B952,B969,B986,B1003,B1020,B1037,B1054,B1071,B1088,B1105,B1122,B1139,B1156,B1173,B1190,B1207,B1224,B1241,B1258,B1275,B1292)</f>
        <v>102.23111982726782</v>
      </c>
      <c r="C17" s="363">
        <f t="shared" si="24"/>
        <v>94.763643582539075</v>
      </c>
      <c r="D17" s="363">
        <f t="shared" si="1"/>
        <v>196.99476340980689</v>
      </c>
      <c r="E17" s="364"/>
      <c r="F17" s="363">
        <f t="shared" ref="F17:G17" si="25">SUM(F34,F51,F68,F85,F102,F119,F136,F153,F170,F187,F204,F221,F238,F255,F272,F289,F306,F323,F340,F357,F374,F391,F408,F425,F442,F459,F476,F493,F510,F527,F544,F561,F578,F595,F612,F629,F646,F663,F680,F697,F714,F731,F748,F765,F782,F799,F816,F833,F850,F867,F884,F901,F918,F935,F952,F969,F986,F1003,F1020,F1037,F1054,F1071,F1088,F1105,F1122,F1139,F1156,F1173,F1190,F1207,F1224,F1241,F1258,F1275,F1292)</f>
        <v>81.366284235117917</v>
      </c>
      <c r="G17" s="363">
        <f t="shared" si="25"/>
        <v>95.09621941105901</v>
      </c>
      <c r="H17" s="363">
        <f t="shared" si="3"/>
        <v>176.46250364617691</v>
      </c>
      <c r="I17" s="364"/>
      <c r="J17" s="363">
        <f t="shared" ref="J17:K17" si="26">SUM(J34,J51,J68,J85,J102,J119,J136,J153,J170,J187,J204,J221,J238,J255,J272,J289,J306,J323,J340,J357,J374,J391,J408,J425,J442,J459,J476,J493,J510,J527,J544,J561,J578,J595,J612,J629,J646,J663,J680,J697,J714,J731,J748,J765,J782,J799,J816,J833,J850,J867,J884,J901,J918,J935,J952,J969,J986,J1003,J1020,J1037,J1054,J1071,J1088,J1105,J1122,J1139,J1156,J1173,J1190,J1207,J1224,J1241,J1258,J1275,J1292)</f>
        <v>75.509231126310368</v>
      </c>
      <c r="K17" s="363">
        <f t="shared" si="26"/>
        <v>100.12278674261904</v>
      </c>
      <c r="L17" s="363">
        <f t="shared" si="5"/>
        <v>175.63201786892941</v>
      </c>
      <c r="M17" s="347"/>
      <c r="N17" s="347"/>
    </row>
    <row r="18" spans="1:14" x14ac:dyDescent="0.2">
      <c r="A18" s="362"/>
      <c r="B18" s="363"/>
      <c r="C18" s="363"/>
      <c r="D18" s="363"/>
      <c r="E18" s="364"/>
      <c r="F18" s="363"/>
      <c r="G18" s="363"/>
      <c r="H18" s="363"/>
      <c r="I18" s="364"/>
      <c r="J18" s="363"/>
      <c r="K18" s="363"/>
      <c r="L18" s="363"/>
      <c r="M18" s="347"/>
      <c r="N18" s="347"/>
    </row>
    <row r="19" spans="1:14" x14ac:dyDescent="0.2">
      <c r="A19" s="357" t="s">
        <v>32</v>
      </c>
      <c r="B19" s="360">
        <f>SUM(B9:B17)</f>
        <v>670.37300000151868</v>
      </c>
      <c r="C19" s="360">
        <f t="shared" ref="C19:L19" si="27">SUM(C9:C17)</f>
        <v>738.59400000042581</v>
      </c>
      <c r="D19" s="360">
        <f t="shared" si="27"/>
        <v>1408.9670000019444</v>
      </c>
      <c r="E19" s="360"/>
      <c r="F19" s="360">
        <f t="shared" si="27"/>
        <v>758.2540000007391</v>
      </c>
      <c r="G19" s="360">
        <f t="shared" si="27"/>
        <v>771.50600000010331</v>
      </c>
      <c r="H19" s="360">
        <f t="shared" si="27"/>
        <v>1529.7600000008422</v>
      </c>
      <c r="I19" s="360"/>
      <c r="J19" s="360">
        <f t="shared" si="27"/>
        <v>795.7260000008381</v>
      </c>
      <c r="K19" s="360">
        <f t="shared" si="27"/>
        <v>773.44700000104751</v>
      </c>
      <c r="L19" s="360">
        <f t="shared" si="27"/>
        <v>1569.1730000018858</v>
      </c>
      <c r="M19" s="347"/>
      <c r="N19" s="347"/>
    </row>
    <row r="20" spans="1:14" x14ac:dyDescent="0.2">
      <c r="A20" s="348"/>
      <c r="B20" s="349"/>
      <c r="C20" s="349"/>
      <c r="D20" s="349"/>
      <c r="E20" s="349"/>
      <c r="F20" s="349"/>
      <c r="G20" s="349"/>
      <c r="H20" s="349"/>
      <c r="I20" s="349"/>
      <c r="J20" s="349"/>
      <c r="K20" s="349"/>
      <c r="L20" s="350"/>
      <c r="M20" s="351"/>
      <c r="N20" s="347"/>
    </row>
    <row r="21" spans="1:14" x14ac:dyDescent="0.2">
      <c r="A21" s="348"/>
      <c r="B21" s="348"/>
      <c r="C21" s="348"/>
      <c r="D21" s="348"/>
      <c r="E21" s="348"/>
      <c r="F21" s="348"/>
      <c r="G21" s="348"/>
      <c r="H21" s="348"/>
      <c r="I21" s="348"/>
      <c r="J21" s="348"/>
      <c r="K21" s="348"/>
      <c r="L21" s="372" t="s">
        <v>35</v>
      </c>
      <c r="M21" s="347"/>
      <c r="N21" s="347"/>
    </row>
    <row r="22" spans="1:14" x14ac:dyDescent="0.2">
      <c r="A22" s="355"/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47"/>
      <c r="M22" s="347"/>
      <c r="N22" s="347"/>
    </row>
    <row r="23" spans="1:14" x14ac:dyDescent="0.2">
      <c r="A23" s="354" t="str">
        <f>name!A4</f>
        <v>Agriculture, etc</v>
      </c>
      <c r="B23" s="517">
        <f>B$6</f>
        <v>2007</v>
      </c>
      <c r="C23" s="517"/>
      <c r="D23" s="517"/>
      <c r="E23" s="369"/>
      <c r="F23" s="517">
        <f>F$6</f>
        <v>2017</v>
      </c>
      <c r="G23" s="517"/>
      <c r="H23" s="517"/>
      <c r="I23" s="369"/>
      <c r="J23" s="517">
        <f>J$6</f>
        <v>2027</v>
      </c>
      <c r="K23" s="517"/>
      <c r="L23" s="517"/>
      <c r="M23" s="347"/>
      <c r="N23" s="347"/>
    </row>
    <row r="24" spans="1:14" x14ac:dyDescent="0.2">
      <c r="A24" s="370"/>
      <c r="B24" s="371" t="s">
        <v>387</v>
      </c>
      <c r="C24" s="371" t="s">
        <v>388</v>
      </c>
      <c r="D24" s="371" t="s">
        <v>32</v>
      </c>
      <c r="E24" s="371"/>
      <c r="F24" s="371" t="s">
        <v>387</v>
      </c>
      <c r="G24" s="371" t="s">
        <v>388</v>
      </c>
      <c r="H24" s="371" t="s">
        <v>32</v>
      </c>
      <c r="I24" s="371"/>
      <c r="J24" s="371" t="s">
        <v>387</v>
      </c>
      <c r="K24" s="371" t="s">
        <v>388</v>
      </c>
      <c r="L24" s="371" t="s">
        <v>32</v>
      </c>
      <c r="M24" s="347"/>
      <c r="N24" s="347"/>
    </row>
    <row r="25" spans="1:14" s="286" customFormat="1" x14ac:dyDescent="0.2">
      <c r="A25" s="374"/>
      <c r="B25" s="375"/>
      <c r="C25" s="375"/>
      <c r="D25" s="375"/>
      <c r="E25" s="375"/>
      <c r="F25" s="375"/>
      <c r="G25" s="375"/>
      <c r="H25" s="375"/>
      <c r="I25" s="375"/>
      <c r="J25" s="375"/>
      <c r="K25" s="375"/>
      <c r="L25" s="375"/>
      <c r="M25" s="347"/>
      <c r="N25" s="347"/>
    </row>
    <row r="26" spans="1:14" x14ac:dyDescent="0.2">
      <c r="A26" s="362" t="str">
        <f>name!E$4</f>
        <v>Managers, directors and senior officials</v>
      </c>
      <c r="B26" s="440">
        <v>0.99056378132764045</v>
      </c>
      <c r="C26" s="440">
        <v>1.3654219342730531</v>
      </c>
      <c r="D26" s="440">
        <f>SUM(B26:C26)</f>
        <v>2.3559857156006938</v>
      </c>
      <c r="E26" s="441"/>
      <c r="F26" s="440">
        <v>1.8996816209213472</v>
      </c>
      <c r="G26" s="440">
        <v>2.1162833858980501</v>
      </c>
      <c r="H26" s="440">
        <f>SUM(F26:G26)</f>
        <v>4.0159650068193971</v>
      </c>
      <c r="I26" s="441"/>
      <c r="J26" s="440">
        <v>2.3306664608778247</v>
      </c>
      <c r="K26" s="440">
        <v>2.1348610176139777</v>
      </c>
      <c r="L26" s="440">
        <f>SUM(J26:K26)</f>
        <v>4.4655274784918024</v>
      </c>
      <c r="M26" s="347"/>
      <c r="N26" s="347"/>
    </row>
    <row r="27" spans="1:14" x14ac:dyDescent="0.2">
      <c r="A27" s="362" t="str">
        <f>name!E$5</f>
        <v>Professional occupations</v>
      </c>
      <c r="B27" s="440">
        <v>0.2434805559471038</v>
      </c>
      <c r="C27" s="440">
        <v>0.55514492108490554</v>
      </c>
      <c r="D27" s="440">
        <f t="shared" ref="D27:D34" si="28">SUM(B27:C27)</f>
        <v>0.79862547703200937</v>
      </c>
      <c r="E27" s="441"/>
      <c r="F27" s="440">
        <v>0.31520112882428614</v>
      </c>
      <c r="G27" s="440">
        <v>0.72433212921929746</v>
      </c>
      <c r="H27" s="440">
        <f t="shared" ref="H27:H34" si="29">SUM(F27:G27)</f>
        <v>1.0395332580435837</v>
      </c>
      <c r="I27" s="441"/>
      <c r="J27" s="440">
        <v>0.51378915650732138</v>
      </c>
      <c r="K27" s="440">
        <v>0.79775015649648595</v>
      </c>
      <c r="L27" s="440">
        <f t="shared" ref="L27:L34" si="30">SUM(J27:K27)</f>
        <v>1.3115393130038073</v>
      </c>
      <c r="M27" s="347"/>
      <c r="N27" s="347"/>
    </row>
    <row r="28" spans="1:14" x14ac:dyDescent="0.2">
      <c r="A28" s="362" t="str">
        <f>name!E$6</f>
        <v>Associate professional and technical</v>
      </c>
      <c r="B28" s="440">
        <v>0.24928141321637301</v>
      </c>
      <c r="C28" s="440">
        <v>0.47094459214741291</v>
      </c>
      <c r="D28" s="440">
        <f t="shared" si="28"/>
        <v>0.72022600536378589</v>
      </c>
      <c r="E28" s="441"/>
      <c r="F28" s="440">
        <v>0.27341629523590344</v>
      </c>
      <c r="G28" s="440">
        <v>0.90584523116736793</v>
      </c>
      <c r="H28" s="440">
        <f t="shared" si="29"/>
        <v>1.1792615264032713</v>
      </c>
      <c r="I28" s="441"/>
      <c r="J28" s="440">
        <v>0.41505823778869394</v>
      </c>
      <c r="K28" s="440">
        <v>1.0379815602104767</v>
      </c>
      <c r="L28" s="440">
        <f t="shared" si="30"/>
        <v>1.4530397979991707</v>
      </c>
      <c r="M28" s="347"/>
      <c r="N28" s="347"/>
    </row>
    <row r="29" spans="1:14" x14ac:dyDescent="0.2">
      <c r="A29" s="362" t="str">
        <f>name!E$7</f>
        <v>Administrative and secretarial</v>
      </c>
      <c r="B29" s="440">
        <v>0.86304190606369058</v>
      </c>
      <c r="C29" s="440">
        <v>0.28363516747063583</v>
      </c>
      <c r="D29" s="440">
        <f t="shared" si="28"/>
        <v>1.1466770735343264</v>
      </c>
      <c r="E29" s="441"/>
      <c r="F29" s="440">
        <v>0.96091823666412446</v>
      </c>
      <c r="G29" s="440">
        <v>0.40053631910225201</v>
      </c>
      <c r="H29" s="440">
        <f t="shared" si="29"/>
        <v>1.3614545557663764</v>
      </c>
      <c r="I29" s="441"/>
      <c r="J29" s="440">
        <v>0.93227246630720229</v>
      </c>
      <c r="K29" s="440">
        <v>0.45217521808029093</v>
      </c>
      <c r="L29" s="440">
        <f t="shared" si="30"/>
        <v>1.3844476843874931</v>
      </c>
      <c r="M29" s="347"/>
      <c r="N29" s="347"/>
    </row>
    <row r="30" spans="1:14" x14ac:dyDescent="0.2">
      <c r="A30" s="362" t="str">
        <f>name!E$8</f>
        <v>Skilled trades occupations</v>
      </c>
      <c r="B30" s="440">
        <v>4.2402154419471181</v>
      </c>
      <c r="C30" s="440">
        <v>16.881192029488677</v>
      </c>
      <c r="D30" s="440">
        <f t="shared" si="28"/>
        <v>21.121407471435795</v>
      </c>
      <c r="E30" s="441"/>
      <c r="F30" s="440">
        <v>9.3532566405778041</v>
      </c>
      <c r="G30" s="440">
        <v>30.243306518570847</v>
      </c>
      <c r="H30" s="440">
        <f t="shared" si="29"/>
        <v>39.596563159148651</v>
      </c>
      <c r="I30" s="441"/>
      <c r="J30" s="440">
        <v>9.9015403251338618</v>
      </c>
      <c r="K30" s="440">
        <v>28.042974624267963</v>
      </c>
      <c r="L30" s="440">
        <f t="shared" si="30"/>
        <v>37.944514949401821</v>
      </c>
      <c r="M30" s="347"/>
      <c r="N30" s="347"/>
    </row>
    <row r="31" spans="1:14" x14ac:dyDescent="0.2">
      <c r="A31" s="362" t="str">
        <f>name!E$9</f>
        <v>Caring, leisure and other service</v>
      </c>
      <c r="B31" s="440">
        <v>1.7067716848611318</v>
      </c>
      <c r="C31" s="440">
        <v>0.60494134750513928</v>
      </c>
      <c r="D31" s="440">
        <f t="shared" si="28"/>
        <v>2.3117130323662711</v>
      </c>
      <c r="E31" s="441"/>
      <c r="F31" s="440">
        <v>1.2198444321249813</v>
      </c>
      <c r="G31" s="440">
        <v>1.6423464773159979</v>
      </c>
      <c r="H31" s="440">
        <f t="shared" si="29"/>
        <v>2.8621909094409794</v>
      </c>
      <c r="I31" s="441"/>
      <c r="J31" s="440">
        <v>1.6221514074997807</v>
      </c>
      <c r="K31" s="440">
        <v>2.0122236557175817</v>
      </c>
      <c r="L31" s="440">
        <f t="shared" si="30"/>
        <v>3.6343750632173624</v>
      </c>
      <c r="M31" s="347"/>
      <c r="N31" s="347"/>
    </row>
    <row r="32" spans="1:14" x14ac:dyDescent="0.2">
      <c r="A32" s="362" t="str">
        <f>name!E$10</f>
        <v>Sales and customer service</v>
      </c>
      <c r="B32" s="440">
        <v>0.24882026185295086</v>
      </c>
      <c r="C32" s="440">
        <v>0.27259187792041006</v>
      </c>
      <c r="D32" s="440">
        <f t="shared" si="28"/>
        <v>0.52141213977336087</v>
      </c>
      <c r="E32" s="441"/>
      <c r="F32" s="440">
        <v>0.27260325238949618</v>
      </c>
      <c r="G32" s="440">
        <v>0.21480939370235791</v>
      </c>
      <c r="H32" s="440">
        <f t="shared" si="29"/>
        <v>0.48741264609185408</v>
      </c>
      <c r="I32" s="441"/>
      <c r="J32" s="440">
        <v>0.34830060764748133</v>
      </c>
      <c r="K32" s="440">
        <v>0.23148881714304367</v>
      </c>
      <c r="L32" s="440">
        <f t="shared" si="30"/>
        <v>0.57978942479052498</v>
      </c>
      <c r="M32" s="347"/>
      <c r="N32" s="347"/>
    </row>
    <row r="33" spans="1:18" x14ac:dyDescent="0.2">
      <c r="A33" s="362" t="str">
        <f>name!E$11</f>
        <v>Process, plant and machine operatives</v>
      </c>
      <c r="B33" s="440">
        <v>0.12901364816855065</v>
      </c>
      <c r="C33" s="440">
        <v>1.7680155474302259</v>
      </c>
      <c r="D33" s="440">
        <f t="shared" si="28"/>
        <v>1.8970291955987766</v>
      </c>
      <c r="E33" s="441"/>
      <c r="F33" s="440">
        <v>9.4236903639024316E-2</v>
      </c>
      <c r="G33" s="440">
        <v>2.2010157937734416</v>
      </c>
      <c r="H33" s="440">
        <f t="shared" si="29"/>
        <v>2.2952526974124661</v>
      </c>
      <c r="I33" s="441"/>
      <c r="J33" s="440">
        <v>0.15247395436655414</v>
      </c>
      <c r="K33" s="440">
        <v>2.3183417767231651</v>
      </c>
      <c r="L33" s="440">
        <f t="shared" si="30"/>
        <v>2.4708157310897194</v>
      </c>
      <c r="M33" s="347"/>
      <c r="N33" s="347"/>
    </row>
    <row r="34" spans="1:18" x14ac:dyDescent="0.2">
      <c r="A34" s="362" t="str">
        <f>name!E$12</f>
        <v>Elementary occupations</v>
      </c>
      <c r="B34" s="440">
        <v>2.1348113066619252</v>
      </c>
      <c r="C34" s="440">
        <v>4.1101125826363241</v>
      </c>
      <c r="D34" s="440">
        <f t="shared" si="28"/>
        <v>6.2449238892982493</v>
      </c>
      <c r="E34" s="441"/>
      <c r="F34" s="440">
        <v>1.6498414901243896</v>
      </c>
      <c r="G34" s="440">
        <v>5.3335247512819857</v>
      </c>
      <c r="H34" s="440">
        <f t="shared" si="29"/>
        <v>6.9833662414063751</v>
      </c>
      <c r="I34" s="441"/>
      <c r="J34" s="440">
        <v>2.1967473843379701</v>
      </c>
      <c r="K34" s="440">
        <v>4.5652031736061325</v>
      </c>
      <c r="L34" s="440">
        <f t="shared" si="30"/>
        <v>6.7619505579441022</v>
      </c>
      <c r="M34" s="347"/>
      <c r="N34" s="347"/>
    </row>
    <row r="35" spans="1:18" x14ac:dyDescent="0.2">
      <c r="A35" s="362"/>
      <c r="B35" s="440"/>
      <c r="C35" s="440"/>
      <c r="D35" s="440"/>
      <c r="E35" s="441"/>
      <c r="F35" s="440"/>
      <c r="G35" s="440"/>
      <c r="H35" s="440"/>
      <c r="I35" s="441"/>
      <c r="J35" s="440"/>
      <c r="K35" s="440"/>
      <c r="L35" s="440"/>
      <c r="M35" s="347"/>
      <c r="N35" s="451"/>
      <c r="R35" s="452"/>
    </row>
    <row r="36" spans="1:18" x14ac:dyDescent="0.2">
      <c r="A36" s="357" t="s">
        <v>32</v>
      </c>
      <c r="B36" s="450">
        <f>SUM(B26:B34)</f>
        <v>10.806000000046483</v>
      </c>
      <c r="C36" s="450">
        <f t="shared" ref="C36:K36" si="31">SUM(C26:C34)</f>
        <v>26.311999999956782</v>
      </c>
      <c r="D36" s="450">
        <f t="shared" si="31"/>
        <v>37.118000000003263</v>
      </c>
      <c r="E36" s="450"/>
      <c r="F36" s="450">
        <f t="shared" si="31"/>
        <v>16.039000000501357</v>
      </c>
      <c r="G36" s="450">
        <f t="shared" si="31"/>
        <v>43.782000000031601</v>
      </c>
      <c r="H36" s="450">
        <f t="shared" si="31"/>
        <v>59.821000000532948</v>
      </c>
      <c r="I36" s="450"/>
      <c r="J36" s="450">
        <f t="shared" si="31"/>
        <v>18.413000000466692</v>
      </c>
      <c r="K36" s="450">
        <f t="shared" si="31"/>
        <v>41.592999999859117</v>
      </c>
      <c r="L36" s="450">
        <f>SUM(L26:L34)</f>
        <v>60.006000000325812</v>
      </c>
      <c r="M36" s="347"/>
      <c r="N36" s="347"/>
    </row>
    <row r="37" spans="1:18" x14ac:dyDescent="0.2">
      <c r="A37" s="348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53"/>
      <c r="M37" s="347"/>
      <c r="N37" s="347"/>
    </row>
    <row r="38" spans="1:18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72" t="s">
        <v>35</v>
      </c>
      <c r="M38" s="347"/>
      <c r="N38" s="347"/>
    </row>
    <row r="39" spans="1:18" x14ac:dyDescent="0.2">
      <c r="A39" s="355"/>
      <c r="B39" s="365"/>
      <c r="C39" s="365"/>
      <c r="D39" s="365"/>
      <c r="E39" s="365"/>
      <c r="F39" s="365"/>
      <c r="G39" s="365"/>
      <c r="H39" s="365"/>
      <c r="I39" s="365"/>
      <c r="J39" s="365"/>
      <c r="K39" s="365"/>
      <c r="L39" s="347"/>
      <c r="M39" s="347"/>
      <c r="N39" s="347"/>
    </row>
    <row r="40" spans="1:18" x14ac:dyDescent="0.2">
      <c r="A40" s="354" t="str">
        <f>name!A5</f>
        <v>Coal, oil &amp; gas; Mining &amp; related</v>
      </c>
      <c r="B40" s="517">
        <f>B$6</f>
        <v>2007</v>
      </c>
      <c r="C40" s="517"/>
      <c r="D40" s="517"/>
      <c r="E40" s="369"/>
      <c r="F40" s="517">
        <f>F23</f>
        <v>2017</v>
      </c>
      <c r="G40" s="517"/>
      <c r="H40" s="517"/>
      <c r="I40" s="369"/>
      <c r="J40" s="517">
        <f>J23</f>
        <v>2027</v>
      </c>
      <c r="K40" s="517"/>
      <c r="L40" s="517"/>
      <c r="M40" s="347"/>
      <c r="N40" s="347"/>
    </row>
    <row r="41" spans="1:18" x14ac:dyDescent="0.2">
      <c r="A41" s="370"/>
      <c r="B41" s="371" t="s">
        <v>387</v>
      </c>
      <c r="C41" s="371" t="s">
        <v>388</v>
      </c>
      <c r="D41" s="371" t="s">
        <v>32</v>
      </c>
      <c r="E41" s="371"/>
      <c r="F41" s="371" t="s">
        <v>387</v>
      </c>
      <c r="G41" s="371" t="s">
        <v>388</v>
      </c>
      <c r="H41" s="371" t="s">
        <v>32</v>
      </c>
      <c r="I41" s="371"/>
      <c r="J41" s="371" t="s">
        <v>387</v>
      </c>
      <c r="K41" s="371" t="s">
        <v>388</v>
      </c>
      <c r="L41" s="371" t="s">
        <v>32</v>
      </c>
      <c r="M41" s="347"/>
      <c r="N41" s="347"/>
    </row>
    <row r="42" spans="1:18" s="286" customFormat="1" x14ac:dyDescent="0.2">
      <c r="A42" s="374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47"/>
      <c r="N42" s="347"/>
    </row>
    <row r="43" spans="1:18" x14ac:dyDescent="0.2">
      <c r="A43" s="362" t="str">
        <f>name!E$4</f>
        <v>Managers, directors and senior officials</v>
      </c>
      <c r="B43" s="440">
        <v>5.7324515981921047E-3</v>
      </c>
      <c r="C43" s="440">
        <v>0.1364283154892858</v>
      </c>
      <c r="D43" s="440">
        <f>SUM(B43:C43)</f>
        <v>0.14216076708747791</v>
      </c>
      <c r="E43" s="441"/>
      <c r="F43" s="440">
        <v>2.9084664799255519E-2</v>
      </c>
      <c r="G43" s="440">
        <v>0.28457095371569952</v>
      </c>
      <c r="H43" s="440">
        <f>SUM(F43:G43)</f>
        <v>0.31365561851495505</v>
      </c>
      <c r="I43" s="441"/>
      <c r="J43" s="440">
        <v>3.5344758750305148E-2</v>
      </c>
      <c r="K43" s="440">
        <v>0.26399211309014359</v>
      </c>
      <c r="L43" s="440">
        <f>SUM(J43:K43)</f>
        <v>0.29933687184044871</v>
      </c>
      <c r="M43" s="347"/>
      <c r="N43" s="347"/>
    </row>
    <row r="44" spans="1:18" x14ac:dyDescent="0.2">
      <c r="A44" s="362" t="str">
        <f>name!E$5</f>
        <v>Professional occupations</v>
      </c>
      <c r="B44" s="440">
        <v>1.8482019516653396E-2</v>
      </c>
      <c r="C44" s="440">
        <v>0.21723667018696324</v>
      </c>
      <c r="D44" s="440">
        <f t="shared" ref="D44:D51" si="32">SUM(B44:C44)</f>
        <v>0.23571868970361665</v>
      </c>
      <c r="E44" s="441"/>
      <c r="F44" s="440">
        <v>2.4894354389547159E-2</v>
      </c>
      <c r="G44" s="440">
        <v>0.56843428358862624</v>
      </c>
      <c r="H44" s="440">
        <f t="shared" ref="H44:H51" si="33">SUM(F44:G44)</f>
        <v>0.59332863797817337</v>
      </c>
      <c r="I44" s="441"/>
      <c r="J44" s="440">
        <v>4.9407305490010697E-2</v>
      </c>
      <c r="K44" s="440">
        <v>0.46313172256002982</v>
      </c>
      <c r="L44" s="440">
        <f t="shared" ref="L44:L51" si="34">SUM(J44:K44)</f>
        <v>0.51253902805004048</v>
      </c>
      <c r="M44" s="347"/>
      <c r="N44" s="347"/>
    </row>
    <row r="45" spans="1:18" x14ac:dyDescent="0.2">
      <c r="A45" s="362" t="str">
        <f>name!E$6</f>
        <v>Associate professional and technical</v>
      </c>
      <c r="B45" s="440">
        <v>1.7070372319436325E-2</v>
      </c>
      <c r="C45" s="440">
        <v>0.12906317359359895</v>
      </c>
      <c r="D45" s="440">
        <f t="shared" si="32"/>
        <v>0.14613354591303529</v>
      </c>
      <c r="E45" s="441"/>
      <c r="F45" s="440">
        <v>2.8273061421539063E-2</v>
      </c>
      <c r="G45" s="440">
        <v>0.22485940144910985</v>
      </c>
      <c r="H45" s="440">
        <f t="shared" si="33"/>
        <v>0.25313246287064889</v>
      </c>
      <c r="I45" s="441"/>
      <c r="J45" s="440">
        <v>5.1150570656047278E-2</v>
      </c>
      <c r="K45" s="440">
        <v>0.1898744263599054</v>
      </c>
      <c r="L45" s="440">
        <f t="shared" si="34"/>
        <v>0.24102499701595267</v>
      </c>
      <c r="M45" s="347"/>
      <c r="N45" s="347"/>
    </row>
    <row r="46" spans="1:18" x14ac:dyDescent="0.2">
      <c r="A46" s="362" t="str">
        <f>name!E$7</f>
        <v>Administrative and secretarial</v>
      </c>
      <c r="B46" s="440">
        <v>4.3222411094643171E-2</v>
      </c>
      <c r="C46" s="440">
        <v>5.0596898534817143E-2</v>
      </c>
      <c r="D46" s="440">
        <f t="shared" si="32"/>
        <v>9.3819309629460307E-2</v>
      </c>
      <c r="E46" s="441"/>
      <c r="F46" s="440">
        <v>5.0890067189130063E-2</v>
      </c>
      <c r="G46" s="440">
        <v>6.8013679896707785E-2</v>
      </c>
      <c r="H46" s="440">
        <f t="shared" si="33"/>
        <v>0.11890374708583784</v>
      </c>
      <c r="I46" s="441"/>
      <c r="J46" s="440">
        <v>4.2594998227284679E-2</v>
      </c>
      <c r="K46" s="440">
        <v>5.5668258172805275E-2</v>
      </c>
      <c r="L46" s="440">
        <f t="shared" si="34"/>
        <v>9.8263256400089954E-2</v>
      </c>
      <c r="M46" s="347"/>
      <c r="N46" s="347"/>
    </row>
    <row r="47" spans="1:18" x14ac:dyDescent="0.2">
      <c r="A47" s="362" t="str">
        <f>name!E$8</f>
        <v>Skilled trades occupations</v>
      </c>
      <c r="B47" s="440">
        <v>3.9217817575555409E-3</v>
      </c>
      <c r="C47" s="440">
        <v>0.2795053407899859</v>
      </c>
      <c r="D47" s="440">
        <f t="shared" si="32"/>
        <v>0.28342712254754143</v>
      </c>
      <c r="E47" s="441"/>
      <c r="F47" s="440">
        <v>7.3819175782971072E-3</v>
      </c>
      <c r="G47" s="440">
        <v>0.41322874227677631</v>
      </c>
      <c r="H47" s="440">
        <f>SUM(F47:G47)</f>
        <v>0.4206106598550734</v>
      </c>
      <c r="I47" s="441"/>
      <c r="J47" s="440">
        <v>2.8967885206830023E-3</v>
      </c>
      <c r="K47" s="440">
        <v>0.28301869783593353</v>
      </c>
      <c r="L47" s="440">
        <f t="shared" si="34"/>
        <v>0.28591548635661651</v>
      </c>
      <c r="M47" s="347"/>
      <c r="N47" s="347"/>
    </row>
    <row r="48" spans="1:18" x14ac:dyDescent="0.2">
      <c r="A48" s="362" t="str">
        <f>name!E$9</f>
        <v>Caring, leisure and other service</v>
      </c>
      <c r="B48" s="440">
        <v>8.8474781216481314E-3</v>
      </c>
      <c r="C48" s="440">
        <v>2.704151434950881E-2</v>
      </c>
      <c r="D48" s="440">
        <f t="shared" si="32"/>
        <v>3.5888992471156941E-2</v>
      </c>
      <c r="E48" s="441"/>
      <c r="F48" s="440">
        <v>6.7628528281840267E-2</v>
      </c>
      <c r="G48" s="440">
        <v>3.9288827443751256E-2</v>
      </c>
      <c r="H48" s="440">
        <f t="shared" si="33"/>
        <v>0.10691735572559152</v>
      </c>
      <c r="I48" s="441"/>
      <c r="J48" s="440">
        <v>1.1463490488013395E-2</v>
      </c>
      <c r="K48" s="440">
        <v>3.6335861230211923E-2</v>
      </c>
      <c r="L48" s="440">
        <f t="shared" si="34"/>
        <v>4.7799351718225316E-2</v>
      </c>
      <c r="M48" s="347"/>
      <c r="N48" s="347"/>
    </row>
    <row r="49" spans="1:14" x14ac:dyDescent="0.2">
      <c r="A49" s="362" t="str">
        <f>name!E$10</f>
        <v>Sales and customer service</v>
      </c>
      <c r="B49" s="440">
        <v>1.008020467799849E-2</v>
      </c>
      <c r="C49" s="440">
        <v>2.3552359838859126E-2</v>
      </c>
      <c r="D49" s="440">
        <f t="shared" si="32"/>
        <v>3.3632564516857616E-2</v>
      </c>
      <c r="E49" s="441"/>
      <c r="F49" s="440">
        <v>1.4203731451339702E-2</v>
      </c>
      <c r="G49" s="440">
        <v>3.725260926469541E-2</v>
      </c>
      <c r="H49" s="440">
        <f t="shared" si="33"/>
        <v>5.1456340716035109E-2</v>
      </c>
      <c r="I49" s="441"/>
      <c r="J49" s="440">
        <v>1.3774309460428142E-2</v>
      </c>
      <c r="K49" s="440">
        <v>3.1118131180704667E-2</v>
      </c>
      <c r="L49" s="440">
        <f t="shared" si="34"/>
        <v>4.4892440641132805E-2</v>
      </c>
      <c r="M49" s="347"/>
      <c r="N49" s="347"/>
    </row>
    <row r="50" spans="1:14" x14ac:dyDescent="0.2">
      <c r="A50" s="362" t="str">
        <f>name!E$11</f>
        <v>Process, plant and machine operatives</v>
      </c>
      <c r="B50" s="440">
        <v>2.7779791652665772E-3</v>
      </c>
      <c r="C50" s="440">
        <v>0.61359691830189078</v>
      </c>
      <c r="D50" s="440">
        <f t="shared" si="32"/>
        <v>0.61637489746715735</v>
      </c>
      <c r="E50" s="441"/>
      <c r="F50" s="440">
        <v>2.4116277788045208E-3</v>
      </c>
      <c r="G50" s="440">
        <v>0.80656884877097168</v>
      </c>
      <c r="H50" s="440">
        <f t="shared" si="33"/>
        <v>0.80898047654977623</v>
      </c>
      <c r="I50" s="441"/>
      <c r="J50" s="440">
        <v>2.086653603724556E-3</v>
      </c>
      <c r="K50" s="440">
        <v>0.65111191972630755</v>
      </c>
      <c r="L50" s="440">
        <f t="shared" si="34"/>
        <v>0.65319857333003206</v>
      </c>
      <c r="M50" s="347"/>
      <c r="N50" s="347"/>
    </row>
    <row r="51" spans="1:14" x14ac:dyDescent="0.2">
      <c r="A51" s="362" t="str">
        <f>name!E$12</f>
        <v>Elementary occupations</v>
      </c>
      <c r="B51" s="440">
        <v>6.8653017486726186E-3</v>
      </c>
      <c r="C51" s="440">
        <v>3.3978808911260532E-2</v>
      </c>
      <c r="D51" s="440">
        <f t="shared" si="32"/>
        <v>4.0844110659933153E-2</v>
      </c>
      <c r="E51" s="441"/>
      <c r="F51" s="440">
        <v>2.3232047111172428E-2</v>
      </c>
      <c r="G51" s="440">
        <v>3.3782653586788176E-2</v>
      </c>
      <c r="H51" s="440">
        <f t="shared" si="33"/>
        <v>5.7014700697960607E-2</v>
      </c>
      <c r="I51" s="441"/>
      <c r="J51" s="440">
        <v>6.2811248023160755E-3</v>
      </c>
      <c r="K51" s="440">
        <v>2.6748869834424569E-2</v>
      </c>
      <c r="L51" s="440">
        <f t="shared" si="34"/>
        <v>3.3029994636740646E-2</v>
      </c>
      <c r="M51" s="347"/>
      <c r="N51" s="347"/>
    </row>
    <row r="52" spans="1:14" x14ac:dyDescent="0.2">
      <c r="A52" s="362"/>
      <c r="B52" s="440"/>
      <c r="C52" s="440"/>
      <c r="D52" s="440"/>
      <c r="E52" s="441"/>
      <c r="F52" s="440"/>
      <c r="G52" s="440"/>
      <c r="H52" s="440"/>
      <c r="I52" s="441"/>
      <c r="J52" s="440"/>
      <c r="K52" s="440"/>
      <c r="L52" s="440"/>
      <c r="M52" s="347"/>
      <c r="N52" s="347"/>
    </row>
    <row r="53" spans="1:14" x14ac:dyDescent="0.2">
      <c r="A53" s="357" t="s">
        <v>32</v>
      </c>
      <c r="B53" s="450">
        <f>SUM(B43:B51)</f>
        <v>0.11700000000006634</v>
      </c>
      <c r="C53" s="450">
        <f t="shared" ref="C53:L53" si="35">SUM(C43:C51)</f>
        <v>1.5109999999961703</v>
      </c>
      <c r="D53" s="450">
        <f t="shared" si="35"/>
        <v>1.6279999999962365</v>
      </c>
      <c r="E53" s="450"/>
      <c r="F53" s="450">
        <f t="shared" si="35"/>
        <v>0.24800000000092587</v>
      </c>
      <c r="G53" s="450">
        <f t="shared" si="35"/>
        <v>2.4759999999931259</v>
      </c>
      <c r="H53" s="450">
        <f t="shared" si="35"/>
        <v>2.7239999999940521</v>
      </c>
      <c r="I53" s="450"/>
      <c r="J53" s="450">
        <f t="shared" si="35"/>
        <v>0.214999999998813</v>
      </c>
      <c r="K53" s="450">
        <f t="shared" si="35"/>
        <v>2.0009999999904662</v>
      </c>
      <c r="L53" s="450">
        <f t="shared" si="35"/>
        <v>2.215999999989279</v>
      </c>
      <c r="M53" s="347"/>
      <c r="N53" s="347"/>
    </row>
    <row r="54" spans="1:14" x14ac:dyDescent="0.2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53"/>
      <c r="M54" s="347"/>
      <c r="N54" s="347"/>
    </row>
    <row r="55" spans="1:14" x14ac:dyDescent="0.2">
      <c r="A55" s="348"/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72" t="s">
        <v>35</v>
      </c>
      <c r="M55" s="347"/>
      <c r="N55" s="347"/>
    </row>
    <row r="56" spans="1:14" x14ac:dyDescent="0.2">
      <c r="A56" s="355"/>
      <c r="B56" s="365"/>
      <c r="C56" s="365"/>
      <c r="D56" s="365"/>
      <c r="E56" s="365"/>
      <c r="F56" s="365"/>
      <c r="G56" s="365"/>
      <c r="H56" s="365"/>
      <c r="I56" s="365"/>
      <c r="J56" s="365"/>
      <c r="K56" s="365"/>
      <c r="L56" s="347"/>
      <c r="M56" s="347"/>
      <c r="N56" s="347"/>
    </row>
    <row r="57" spans="1:14" x14ac:dyDescent="0.2">
      <c r="A57" s="354" t="str">
        <f>name!A6</f>
        <v>Food products</v>
      </c>
      <c r="B57" s="517">
        <f>B$6</f>
        <v>2007</v>
      </c>
      <c r="C57" s="517"/>
      <c r="D57" s="517"/>
      <c r="E57" s="369"/>
      <c r="F57" s="517">
        <f>F40</f>
        <v>2017</v>
      </c>
      <c r="G57" s="517"/>
      <c r="H57" s="517"/>
      <c r="I57" s="369"/>
      <c r="J57" s="517">
        <f>J40</f>
        <v>2027</v>
      </c>
      <c r="K57" s="517"/>
      <c r="L57" s="517"/>
      <c r="M57" s="347"/>
      <c r="N57" s="347"/>
    </row>
    <row r="58" spans="1:14" x14ac:dyDescent="0.2">
      <c r="A58" s="370"/>
      <c r="B58" s="371" t="s">
        <v>387</v>
      </c>
      <c r="C58" s="371" t="s">
        <v>388</v>
      </c>
      <c r="D58" s="371" t="s">
        <v>32</v>
      </c>
      <c r="E58" s="371"/>
      <c r="F58" s="371" t="s">
        <v>387</v>
      </c>
      <c r="G58" s="371" t="s">
        <v>388</v>
      </c>
      <c r="H58" s="371" t="s">
        <v>32</v>
      </c>
      <c r="I58" s="371"/>
      <c r="J58" s="371" t="s">
        <v>387</v>
      </c>
      <c r="K58" s="371" t="s">
        <v>388</v>
      </c>
      <c r="L58" s="371" t="s">
        <v>32</v>
      </c>
      <c r="M58" s="347"/>
      <c r="N58" s="347"/>
    </row>
    <row r="59" spans="1:14" s="286" customFormat="1" x14ac:dyDescent="0.2">
      <c r="A59" s="374"/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47"/>
      <c r="N59" s="347"/>
    </row>
    <row r="60" spans="1:14" x14ac:dyDescent="0.2">
      <c r="A60" s="362" t="str">
        <f>name!E$4</f>
        <v>Managers, directors and senior officials</v>
      </c>
      <c r="B60" s="440">
        <v>0.25443602122983638</v>
      </c>
      <c r="C60" s="440">
        <v>1.0497767586426854</v>
      </c>
      <c r="D60" s="440">
        <f>SUM(B60:C60)</f>
        <v>1.3042127798725218</v>
      </c>
      <c r="E60" s="441"/>
      <c r="F60" s="440">
        <v>0.35424598822782188</v>
      </c>
      <c r="G60" s="440">
        <v>0.75272008430004134</v>
      </c>
      <c r="H60" s="440">
        <f>SUM(F60:G60)</f>
        <v>1.1069660725278632</v>
      </c>
      <c r="I60" s="441"/>
      <c r="J60" s="440">
        <v>0.46955340423181202</v>
      </c>
      <c r="K60" s="440">
        <v>0.76027965131050157</v>
      </c>
      <c r="L60" s="440">
        <f>SUM(J60:K60)</f>
        <v>1.2298330555423136</v>
      </c>
      <c r="M60" s="347"/>
      <c r="N60" s="347"/>
    </row>
    <row r="61" spans="1:14" x14ac:dyDescent="0.2">
      <c r="A61" s="362" t="str">
        <f>name!E$5</f>
        <v>Professional occupations</v>
      </c>
      <c r="B61" s="440">
        <v>0.35278097381185192</v>
      </c>
      <c r="C61" s="440">
        <v>0.40843007929084707</v>
      </c>
      <c r="D61" s="440">
        <f t="shared" ref="D61:D68" si="36">SUM(B61:C61)</f>
        <v>0.76121105310269899</v>
      </c>
      <c r="E61" s="441"/>
      <c r="F61" s="440">
        <v>0.2942470519480343</v>
      </c>
      <c r="G61" s="440">
        <v>0.26071994439754964</v>
      </c>
      <c r="H61" s="440">
        <f t="shared" ref="H61:H68" si="37">SUM(F61:G61)</f>
        <v>0.55496699634558389</v>
      </c>
      <c r="I61" s="441"/>
      <c r="J61" s="440">
        <v>0.3840770498092213</v>
      </c>
      <c r="K61" s="440">
        <v>0.26894105488708692</v>
      </c>
      <c r="L61" s="440">
        <f t="shared" ref="L61:L68" si="38">SUM(J61:K61)</f>
        <v>0.65301810469630817</v>
      </c>
      <c r="M61" s="347"/>
      <c r="N61" s="347"/>
    </row>
    <row r="62" spans="1:14" x14ac:dyDescent="0.2">
      <c r="A62" s="362" t="str">
        <f>name!E$6</f>
        <v>Associate professional and technical</v>
      </c>
      <c r="B62" s="440">
        <v>0.62783493400272883</v>
      </c>
      <c r="C62" s="440">
        <v>0.51234231491756776</v>
      </c>
      <c r="D62" s="440">
        <f t="shared" si="36"/>
        <v>1.1401772489202966</v>
      </c>
      <c r="E62" s="441"/>
      <c r="F62" s="440">
        <v>0.52031905353374319</v>
      </c>
      <c r="G62" s="440">
        <v>0.5362229960987559</v>
      </c>
      <c r="H62" s="440">
        <f t="shared" si="37"/>
        <v>1.0565420496324991</v>
      </c>
      <c r="I62" s="441"/>
      <c r="J62" s="440">
        <v>0.58084647610330942</v>
      </c>
      <c r="K62" s="440">
        <v>0.48792164761762546</v>
      </c>
      <c r="L62" s="440">
        <f t="shared" si="38"/>
        <v>1.0687681237209348</v>
      </c>
      <c r="M62" s="347"/>
      <c r="N62" s="347"/>
    </row>
    <row r="63" spans="1:14" x14ac:dyDescent="0.2">
      <c r="A63" s="362" t="str">
        <f>name!E$7</f>
        <v>Administrative and secretarial</v>
      </c>
      <c r="B63" s="440">
        <v>0.28390715522522053</v>
      </c>
      <c r="C63" s="440">
        <v>0.38930981916855578</v>
      </c>
      <c r="D63" s="440">
        <f t="shared" si="36"/>
        <v>0.67321697439377637</v>
      </c>
      <c r="E63" s="441"/>
      <c r="F63" s="440">
        <v>0.17529939802699979</v>
      </c>
      <c r="G63" s="440">
        <v>0.26682277571734836</v>
      </c>
      <c r="H63" s="440">
        <f t="shared" si="37"/>
        <v>0.44212217374434815</v>
      </c>
      <c r="I63" s="441"/>
      <c r="J63" s="440">
        <v>0.18362461110355341</v>
      </c>
      <c r="K63" s="440">
        <v>0.19279997611109859</v>
      </c>
      <c r="L63" s="440">
        <f t="shared" si="38"/>
        <v>0.376424587214652</v>
      </c>
      <c r="M63" s="347"/>
      <c r="N63" s="347"/>
    </row>
    <row r="64" spans="1:14" x14ac:dyDescent="0.2">
      <c r="A64" s="362" t="str">
        <f>name!E$8</f>
        <v>Skilled trades occupations</v>
      </c>
      <c r="B64" s="440">
        <v>0.25388070470091556</v>
      </c>
      <c r="C64" s="440">
        <v>2.3053745638028222</v>
      </c>
      <c r="D64" s="440">
        <f t="shared" si="36"/>
        <v>2.5592552685037377</v>
      </c>
      <c r="E64" s="441"/>
      <c r="F64" s="440">
        <v>0.24914431101649234</v>
      </c>
      <c r="G64" s="440">
        <v>1.3649881552330767</v>
      </c>
      <c r="H64" s="440">
        <f t="shared" si="37"/>
        <v>1.6141324662495691</v>
      </c>
      <c r="I64" s="441"/>
      <c r="J64" s="440">
        <v>0.20170839846776442</v>
      </c>
      <c r="K64" s="440">
        <v>1.2336524553440178</v>
      </c>
      <c r="L64" s="440">
        <f t="shared" si="38"/>
        <v>1.4353608538117821</v>
      </c>
      <c r="M64" s="347"/>
      <c r="N64" s="347"/>
    </row>
    <row r="65" spans="1:14" x14ac:dyDescent="0.2">
      <c r="A65" s="362" t="str">
        <f>name!E$9</f>
        <v>Caring, leisure and other service</v>
      </c>
      <c r="B65" s="440">
        <v>3.8719269029737845E-2</v>
      </c>
      <c r="C65" s="440">
        <v>5.1079045869201374E-2</v>
      </c>
      <c r="D65" s="440">
        <f t="shared" si="36"/>
        <v>8.9798314898939219E-2</v>
      </c>
      <c r="E65" s="441"/>
      <c r="F65" s="440">
        <v>5.529897157418763E-2</v>
      </c>
      <c r="G65" s="440">
        <v>4.8712920401369889E-2</v>
      </c>
      <c r="H65" s="440">
        <f t="shared" si="37"/>
        <v>0.10401189197555752</v>
      </c>
      <c r="I65" s="441"/>
      <c r="J65" s="440">
        <v>6.076835227204036E-2</v>
      </c>
      <c r="K65" s="440">
        <v>4.6754291417318433E-2</v>
      </c>
      <c r="L65" s="440">
        <f t="shared" si="38"/>
        <v>0.10752264368935879</v>
      </c>
      <c r="M65" s="347"/>
      <c r="N65" s="347"/>
    </row>
    <row r="66" spans="1:14" x14ac:dyDescent="0.2">
      <c r="A66" s="362" t="str">
        <f>name!E$10</f>
        <v>Sales and customer service</v>
      </c>
      <c r="B66" s="440">
        <v>0.16329068490775661</v>
      </c>
      <c r="C66" s="440">
        <v>0.20522607061402151</v>
      </c>
      <c r="D66" s="440">
        <f t="shared" si="36"/>
        <v>0.36851675552177809</v>
      </c>
      <c r="E66" s="441"/>
      <c r="F66" s="440">
        <v>0.13148946297975134</v>
      </c>
      <c r="G66" s="440">
        <v>0.254004828036209</v>
      </c>
      <c r="H66" s="440">
        <f t="shared" si="37"/>
        <v>0.38549429101596033</v>
      </c>
      <c r="I66" s="441"/>
      <c r="J66" s="440">
        <v>0.13652896517293162</v>
      </c>
      <c r="K66" s="440">
        <v>0.25287027210209395</v>
      </c>
      <c r="L66" s="440">
        <f t="shared" si="38"/>
        <v>0.38939923727502557</v>
      </c>
      <c r="M66" s="347"/>
      <c r="N66" s="347"/>
    </row>
    <row r="67" spans="1:14" x14ac:dyDescent="0.2">
      <c r="A67" s="362" t="str">
        <f>name!E$11</f>
        <v>Process, plant and machine operatives</v>
      </c>
      <c r="B67" s="440">
        <v>3.6737508483394357</v>
      </c>
      <c r="C67" s="440">
        <v>8.8272038256955252</v>
      </c>
      <c r="D67" s="440">
        <f t="shared" si="36"/>
        <v>12.500954674034961</v>
      </c>
      <c r="E67" s="441"/>
      <c r="F67" s="440">
        <v>2.5767924643328222</v>
      </c>
      <c r="G67" s="440">
        <v>7.5228064516600179</v>
      </c>
      <c r="H67" s="440">
        <f t="shared" si="37"/>
        <v>10.099598915992839</v>
      </c>
      <c r="I67" s="441"/>
      <c r="J67" s="440">
        <v>1.6215923052306587</v>
      </c>
      <c r="K67" s="440">
        <v>6.4967127142957652</v>
      </c>
      <c r="L67" s="440">
        <f t="shared" si="38"/>
        <v>8.1183050195264244</v>
      </c>
      <c r="M67" s="347"/>
      <c r="N67" s="347"/>
    </row>
    <row r="68" spans="1:14" x14ac:dyDescent="0.2">
      <c r="A68" s="362" t="str">
        <f>name!E$12</f>
        <v>Elementary occupations</v>
      </c>
      <c r="B68" s="440">
        <v>1.0623994086145363</v>
      </c>
      <c r="C68" s="440">
        <v>1.2712575220112974</v>
      </c>
      <c r="D68" s="440">
        <f t="shared" si="36"/>
        <v>2.3336569306258337</v>
      </c>
      <c r="E68" s="441"/>
      <c r="F68" s="440">
        <v>1.4251632984600382</v>
      </c>
      <c r="G68" s="440">
        <v>1.4820018441618701</v>
      </c>
      <c r="H68" s="440">
        <f t="shared" si="37"/>
        <v>2.9071651426219081</v>
      </c>
      <c r="I68" s="441"/>
      <c r="J68" s="440">
        <v>1.5933004376408635</v>
      </c>
      <c r="K68" s="440">
        <v>1.399067936728144</v>
      </c>
      <c r="L68" s="440">
        <f t="shared" si="38"/>
        <v>2.9923683743690077</v>
      </c>
      <c r="M68" s="347"/>
      <c r="N68" s="347"/>
    </row>
    <row r="69" spans="1:14" x14ac:dyDescent="0.2">
      <c r="A69" s="362"/>
      <c r="B69" s="440"/>
      <c r="C69" s="440"/>
      <c r="D69" s="440"/>
      <c r="E69" s="441"/>
      <c r="F69" s="440"/>
      <c r="G69" s="440"/>
      <c r="H69" s="440"/>
      <c r="I69" s="441"/>
      <c r="J69" s="440"/>
      <c r="K69" s="440"/>
      <c r="L69" s="440"/>
      <c r="M69" s="347"/>
      <c r="N69" s="347"/>
    </row>
    <row r="70" spans="1:14" x14ac:dyDescent="0.2">
      <c r="A70" s="357" t="s">
        <v>32</v>
      </c>
      <c r="B70" s="450">
        <f>SUM(B60:B68)</f>
        <v>6.7109999998620191</v>
      </c>
      <c r="C70" s="450">
        <f t="shared" ref="C70:L70" si="39">SUM(C60:C68)</f>
        <v>15.020000000012523</v>
      </c>
      <c r="D70" s="450">
        <f t="shared" si="39"/>
        <v>21.730999999874541</v>
      </c>
      <c r="E70" s="450"/>
      <c r="F70" s="450">
        <f t="shared" si="39"/>
        <v>5.7820000000998917</v>
      </c>
      <c r="G70" s="450">
        <f t="shared" si="39"/>
        <v>12.489000000006238</v>
      </c>
      <c r="H70" s="450">
        <f t="shared" si="39"/>
        <v>18.271000000106127</v>
      </c>
      <c r="I70" s="450"/>
      <c r="J70" s="450">
        <f t="shared" si="39"/>
        <v>5.2320000000321549</v>
      </c>
      <c r="K70" s="450">
        <f t="shared" si="39"/>
        <v>11.138999999813652</v>
      </c>
      <c r="L70" s="450">
        <f t="shared" si="39"/>
        <v>16.370999999845807</v>
      </c>
      <c r="M70" s="347"/>
      <c r="N70" s="347"/>
    </row>
    <row r="71" spans="1:14" x14ac:dyDescent="0.2">
      <c r="A71" s="348"/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53"/>
      <c r="M71" s="347"/>
      <c r="N71" s="347"/>
    </row>
    <row r="72" spans="1:14" x14ac:dyDescent="0.2">
      <c r="A72" s="348"/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72" t="s">
        <v>35</v>
      </c>
      <c r="M72" s="347"/>
      <c r="N72" s="347"/>
    </row>
    <row r="73" spans="1:14" x14ac:dyDescent="0.2">
      <c r="A73" s="355"/>
      <c r="B73" s="365"/>
      <c r="C73" s="365"/>
      <c r="D73" s="365"/>
      <c r="E73" s="365"/>
      <c r="F73" s="365"/>
      <c r="G73" s="365"/>
      <c r="H73" s="365"/>
      <c r="I73" s="365"/>
      <c r="J73" s="365"/>
      <c r="K73" s="365"/>
      <c r="L73" s="347"/>
      <c r="M73" s="347"/>
      <c r="N73" s="347"/>
    </row>
    <row r="74" spans="1:14" x14ac:dyDescent="0.2">
      <c r="A74" s="354" t="str">
        <f>name!A7</f>
        <v>Beverages and tobacco</v>
      </c>
      <c r="B74" s="517">
        <f>B$6</f>
        <v>2007</v>
      </c>
      <c r="C74" s="517"/>
      <c r="D74" s="517"/>
      <c r="E74" s="369"/>
      <c r="F74" s="517">
        <f>F57</f>
        <v>2017</v>
      </c>
      <c r="G74" s="517"/>
      <c r="H74" s="517"/>
      <c r="I74" s="369"/>
      <c r="J74" s="517">
        <f>J57</f>
        <v>2027</v>
      </c>
      <c r="K74" s="517"/>
      <c r="L74" s="517"/>
      <c r="M74" s="347"/>
      <c r="N74" s="347"/>
    </row>
    <row r="75" spans="1:14" x14ac:dyDescent="0.2">
      <c r="A75" s="370"/>
      <c r="B75" s="371" t="s">
        <v>387</v>
      </c>
      <c r="C75" s="371" t="s">
        <v>388</v>
      </c>
      <c r="D75" s="371" t="s">
        <v>32</v>
      </c>
      <c r="E75" s="371"/>
      <c r="F75" s="371" t="s">
        <v>387</v>
      </c>
      <c r="G75" s="371" t="s">
        <v>388</v>
      </c>
      <c r="H75" s="371" t="s">
        <v>32</v>
      </c>
      <c r="I75" s="371"/>
      <c r="J75" s="371" t="s">
        <v>387</v>
      </c>
      <c r="K75" s="371" t="s">
        <v>388</v>
      </c>
      <c r="L75" s="371" t="s">
        <v>32</v>
      </c>
      <c r="M75" s="347"/>
      <c r="N75" s="347"/>
    </row>
    <row r="76" spans="1:14" s="286" customFormat="1" x14ac:dyDescent="0.2">
      <c r="A76" s="374"/>
      <c r="B76" s="375"/>
      <c r="C76" s="375"/>
      <c r="D76" s="375"/>
      <c r="E76" s="375"/>
      <c r="F76" s="375"/>
      <c r="G76" s="375"/>
      <c r="H76" s="375"/>
      <c r="I76" s="375"/>
      <c r="J76" s="375"/>
      <c r="K76" s="375"/>
      <c r="L76" s="375"/>
      <c r="M76" s="347"/>
      <c r="N76" s="347"/>
    </row>
    <row r="77" spans="1:14" x14ac:dyDescent="0.2">
      <c r="A77" s="362" t="str">
        <f>name!E$4</f>
        <v>Managers, directors and senior officials</v>
      </c>
      <c r="B77" s="440">
        <v>0.10477732396162243</v>
      </c>
      <c r="C77" s="440">
        <v>9.4355446599197701E-2</v>
      </c>
      <c r="D77" s="440">
        <f>SUM(B77:C77)</f>
        <v>0.19913277056082013</v>
      </c>
      <c r="E77" s="441"/>
      <c r="F77" s="440">
        <v>0.16725947393371379</v>
      </c>
      <c r="G77" s="440">
        <v>9.1654883057912431E-2</v>
      </c>
      <c r="H77" s="440">
        <f>SUM(F77:G77)</f>
        <v>0.25891435699162624</v>
      </c>
      <c r="I77" s="441"/>
      <c r="J77" s="440">
        <v>0.19105063169083977</v>
      </c>
      <c r="K77" s="440">
        <v>9.2319432539778715E-2</v>
      </c>
      <c r="L77" s="440">
        <f>SUM(J77:K77)</f>
        <v>0.2833700642306185</v>
      </c>
      <c r="M77" s="347"/>
      <c r="N77" s="347"/>
    </row>
    <row r="78" spans="1:14" x14ac:dyDescent="0.2">
      <c r="A78" s="362" t="str">
        <f>name!E$5</f>
        <v>Professional occupations</v>
      </c>
      <c r="B78" s="440">
        <v>0.14349270840162986</v>
      </c>
      <c r="C78" s="440">
        <v>5.0497551475209811E-2</v>
      </c>
      <c r="D78" s="440">
        <f t="shared" ref="D78:D85" si="40">SUM(B78:C78)</f>
        <v>0.19399025987683968</v>
      </c>
      <c r="E78" s="441"/>
      <c r="F78" s="440">
        <v>0.15774309227314595</v>
      </c>
      <c r="G78" s="440">
        <v>5.5535244986567506E-2</v>
      </c>
      <c r="H78" s="440">
        <f t="shared" ref="H78:H85" si="41">SUM(F78:G78)</f>
        <v>0.21327833725971346</v>
      </c>
      <c r="I78" s="441"/>
      <c r="J78" s="440">
        <v>0.16741025269607601</v>
      </c>
      <c r="K78" s="440">
        <v>5.6428009216270378E-2</v>
      </c>
      <c r="L78" s="440">
        <f t="shared" ref="L78:L85" si="42">SUM(J78:K78)</f>
        <v>0.2238382619123464</v>
      </c>
      <c r="M78" s="347"/>
      <c r="N78" s="347"/>
    </row>
    <row r="79" spans="1:14" x14ac:dyDescent="0.2">
      <c r="A79" s="362" t="str">
        <f>name!E$6</f>
        <v>Associate professional and technical</v>
      </c>
      <c r="B79" s="440">
        <v>0.21006821544274124</v>
      </c>
      <c r="C79" s="440">
        <v>7.7203283031212502E-2</v>
      </c>
      <c r="D79" s="440">
        <f t="shared" si="40"/>
        <v>0.28727149847395372</v>
      </c>
      <c r="E79" s="441"/>
      <c r="F79" s="440">
        <v>0.20751065020794932</v>
      </c>
      <c r="G79" s="440">
        <v>7.0074116355751156E-2</v>
      </c>
      <c r="H79" s="440">
        <f t="shared" si="41"/>
        <v>0.27758476656370046</v>
      </c>
      <c r="I79" s="441"/>
      <c r="J79" s="440">
        <v>0.20641020567837082</v>
      </c>
      <c r="K79" s="440">
        <v>6.5562877724744478E-2</v>
      </c>
      <c r="L79" s="440">
        <f t="shared" si="42"/>
        <v>0.27197308340311532</v>
      </c>
      <c r="M79" s="347"/>
      <c r="N79" s="347"/>
    </row>
    <row r="80" spans="1:14" x14ac:dyDescent="0.2">
      <c r="A80" s="362" t="str">
        <f>name!E$7</f>
        <v>Administrative and secretarial</v>
      </c>
      <c r="B80" s="440">
        <v>0.13603310907940999</v>
      </c>
      <c r="C80" s="440">
        <v>2.9656716027823375E-2</v>
      </c>
      <c r="D80" s="440">
        <f t="shared" si="40"/>
        <v>0.16568982510723337</v>
      </c>
      <c r="E80" s="441"/>
      <c r="F80" s="440">
        <v>9.5639618984327851E-2</v>
      </c>
      <c r="G80" s="440">
        <v>1.3488033718021257E-2</v>
      </c>
      <c r="H80" s="440">
        <f t="shared" si="41"/>
        <v>0.10912765270234911</v>
      </c>
      <c r="I80" s="441"/>
      <c r="J80" s="440">
        <v>7.6230540452516121E-2</v>
      </c>
      <c r="K80" s="440">
        <v>1.2144562311149435E-2</v>
      </c>
      <c r="L80" s="440">
        <f t="shared" si="42"/>
        <v>8.8375102763665558E-2</v>
      </c>
      <c r="M80" s="347"/>
      <c r="N80" s="347"/>
    </row>
    <row r="81" spans="1:14" x14ac:dyDescent="0.2">
      <c r="A81" s="362" t="str">
        <f>name!E$8</f>
        <v>Skilled trades occupations</v>
      </c>
      <c r="B81" s="440">
        <v>3.3487528897423395E-2</v>
      </c>
      <c r="C81" s="440">
        <v>0.10468790168221698</v>
      </c>
      <c r="D81" s="440">
        <f t="shared" si="40"/>
        <v>0.13817543057964038</v>
      </c>
      <c r="E81" s="441"/>
      <c r="F81" s="440">
        <v>2.6382062465800799E-2</v>
      </c>
      <c r="G81" s="440">
        <v>8.1419062486032021E-2</v>
      </c>
      <c r="H81" s="440">
        <f t="shared" si="41"/>
        <v>0.10780112495183282</v>
      </c>
      <c r="I81" s="441"/>
      <c r="J81" s="440">
        <v>1.8443357812110605E-2</v>
      </c>
      <c r="K81" s="440">
        <v>6.3527699596614473E-2</v>
      </c>
      <c r="L81" s="440">
        <f t="shared" si="42"/>
        <v>8.1971057408725082E-2</v>
      </c>
      <c r="M81" s="347"/>
      <c r="N81" s="347"/>
    </row>
    <row r="82" spans="1:14" x14ac:dyDescent="0.2">
      <c r="A82" s="362" t="str">
        <f>name!E$9</f>
        <v>Caring, leisure and other service</v>
      </c>
      <c r="B82" s="440">
        <v>6.4154403984359315E-2</v>
      </c>
      <c r="C82" s="440">
        <v>3.9504034427301354E-3</v>
      </c>
      <c r="D82" s="440">
        <f t="shared" si="40"/>
        <v>6.810480742708945E-2</v>
      </c>
      <c r="E82" s="441"/>
      <c r="F82" s="440">
        <v>6.4540048773561301E-2</v>
      </c>
      <c r="G82" s="440">
        <v>4.365983803696241E-3</v>
      </c>
      <c r="H82" s="440">
        <f t="shared" si="41"/>
        <v>6.8906032577257539E-2</v>
      </c>
      <c r="I82" s="441"/>
      <c r="J82" s="440">
        <v>6.476266266051188E-2</v>
      </c>
      <c r="K82" s="440">
        <v>3.8353544862389038E-3</v>
      </c>
      <c r="L82" s="440">
        <f t="shared" si="42"/>
        <v>6.8598017146750789E-2</v>
      </c>
      <c r="M82" s="347"/>
      <c r="N82" s="347"/>
    </row>
    <row r="83" spans="1:14" x14ac:dyDescent="0.2">
      <c r="A83" s="362" t="str">
        <f>name!E$10</f>
        <v>Sales and customer service</v>
      </c>
      <c r="B83" s="440">
        <v>6.2112343630875498E-2</v>
      </c>
      <c r="C83" s="440">
        <v>4.3210098832160239E-2</v>
      </c>
      <c r="D83" s="440">
        <f t="shared" si="40"/>
        <v>0.10532244246303574</v>
      </c>
      <c r="E83" s="441"/>
      <c r="F83" s="440">
        <v>5.3330433467359856E-2</v>
      </c>
      <c r="G83" s="440">
        <v>2.3680268952476859E-2</v>
      </c>
      <c r="H83" s="440">
        <f t="shared" si="41"/>
        <v>7.7010702419836707E-2</v>
      </c>
      <c r="I83" s="441"/>
      <c r="J83" s="440">
        <v>4.6730914414208242E-2</v>
      </c>
      <c r="K83" s="440">
        <v>2.1931451291561623E-2</v>
      </c>
      <c r="L83" s="440">
        <f t="shared" si="42"/>
        <v>6.8662365705769862E-2</v>
      </c>
      <c r="M83" s="347"/>
      <c r="N83" s="347"/>
    </row>
    <row r="84" spans="1:14" x14ac:dyDescent="0.2">
      <c r="A84" s="362" t="str">
        <f>name!E$11</f>
        <v>Process, plant and machine operatives</v>
      </c>
      <c r="B84" s="440">
        <v>0.22295357955877573</v>
      </c>
      <c r="C84" s="440">
        <v>0.53740518762008138</v>
      </c>
      <c r="D84" s="440">
        <f t="shared" si="40"/>
        <v>0.76035876717885709</v>
      </c>
      <c r="E84" s="441"/>
      <c r="F84" s="440">
        <v>9.0619895201503112E-2</v>
      </c>
      <c r="G84" s="440">
        <v>0.5147214359418365</v>
      </c>
      <c r="H84" s="440">
        <f t="shared" si="41"/>
        <v>0.60534133114333966</v>
      </c>
      <c r="I84" s="441"/>
      <c r="J84" s="440">
        <v>2.2972949999968378E-2</v>
      </c>
      <c r="K84" s="440">
        <v>0.44302070737847554</v>
      </c>
      <c r="L84" s="440">
        <f t="shared" si="42"/>
        <v>0.46599365737844389</v>
      </c>
      <c r="M84" s="347"/>
      <c r="N84" s="347"/>
    </row>
    <row r="85" spans="1:14" x14ac:dyDescent="0.2">
      <c r="A85" s="362" t="str">
        <f>name!E$12</f>
        <v>Elementary occupations</v>
      </c>
      <c r="B85" s="440">
        <v>0.10992078703416468</v>
      </c>
      <c r="C85" s="440">
        <v>0.1080334112898885</v>
      </c>
      <c r="D85" s="440">
        <f t="shared" si="40"/>
        <v>0.21795419832405316</v>
      </c>
      <c r="E85" s="441"/>
      <c r="F85" s="440">
        <v>7.2974724691168294E-2</v>
      </c>
      <c r="G85" s="440">
        <v>0.12106097069781981</v>
      </c>
      <c r="H85" s="440">
        <f t="shared" si="41"/>
        <v>0.1940356953889881</v>
      </c>
      <c r="I85" s="441"/>
      <c r="J85" s="440">
        <v>5.398848459341947E-2</v>
      </c>
      <c r="K85" s="440">
        <v>0.10622990544243058</v>
      </c>
      <c r="L85" s="440">
        <f t="shared" si="42"/>
        <v>0.16021839003585003</v>
      </c>
      <c r="M85" s="347"/>
      <c r="N85" s="347"/>
    </row>
    <row r="86" spans="1:14" x14ac:dyDescent="0.2">
      <c r="A86" s="362"/>
      <c r="B86" s="440"/>
      <c r="C86" s="440"/>
      <c r="D86" s="440"/>
      <c r="E86" s="441"/>
      <c r="F86" s="440"/>
      <c r="G86" s="440"/>
      <c r="H86" s="440"/>
      <c r="I86" s="441"/>
      <c r="J86" s="440"/>
      <c r="K86" s="440"/>
      <c r="L86" s="440"/>
      <c r="M86" s="347"/>
      <c r="N86" s="347"/>
    </row>
    <row r="87" spans="1:14" x14ac:dyDescent="0.2">
      <c r="A87" s="357" t="s">
        <v>32</v>
      </c>
      <c r="B87" s="450">
        <f>SUM(B77:B85)</f>
        <v>1.0869999999910021</v>
      </c>
      <c r="C87" s="450">
        <f t="shared" ref="C87:D87" si="43">SUM(C77:C85)</f>
        <v>1.0490000000005206</v>
      </c>
      <c r="D87" s="450">
        <f t="shared" si="43"/>
        <v>2.1359999999915225</v>
      </c>
      <c r="E87" s="450"/>
      <c r="F87" s="450">
        <f t="shared" ref="F87:H87" si="44">SUM(F77:F85)</f>
        <v>0.93599999999853034</v>
      </c>
      <c r="G87" s="450">
        <f t="shared" si="44"/>
        <v>0.97600000000011389</v>
      </c>
      <c r="H87" s="450">
        <f t="shared" si="44"/>
        <v>1.9119999999986441</v>
      </c>
      <c r="I87" s="450"/>
      <c r="J87" s="450">
        <f t="shared" ref="J87:L87" si="45">SUM(J77:J85)</f>
        <v>0.84799999999802134</v>
      </c>
      <c r="K87" s="450">
        <f t="shared" si="45"/>
        <v>0.86499999998726407</v>
      </c>
      <c r="L87" s="450">
        <f t="shared" si="45"/>
        <v>1.7129999999852854</v>
      </c>
      <c r="M87" s="347"/>
      <c r="N87" s="347"/>
    </row>
    <row r="88" spans="1:14" x14ac:dyDescent="0.2">
      <c r="A88" s="348"/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53"/>
      <c r="M88" s="347"/>
      <c r="N88" s="347"/>
    </row>
    <row r="89" spans="1:14" x14ac:dyDescent="0.2">
      <c r="A89" s="348"/>
      <c r="B89" s="348"/>
      <c r="C89" s="348"/>
      <c r="D89" s="348"/>
      <c r="E89" s="348"/>
      <c r="F89" s="348"/>
      <c r="G89" s="348"/>
      <c r="H89" s="348"/>
      <c r="I89" s="348"/>
      <c r="J89" s="348"/>
      <c r="K89" s="348"/>
      <c r="L89" s="372" t="s">
        <v>35</v>
      </c>
      <c r="M89" s="347"/>
      <c r="N89" s="347"/>
    </row>
    <row r="90" spans="1:14" x14ac:dyDescent="0.2">
      <c r="A90" s="355"/>
      <c r="B90" s="365"/>
      <c r="C90" s="365"/>
      <c r="D90" s="365"/>
      <c r="E90" s="365"/>
      <c r="F90" s="365"/>
      <c r="G90" s="365"/>
      <c r="H90" s="365"/>
      <c r="I90" s="365"/>
      <c r="J90" s="365"/>
      <c r="K90" s="365"/>
      <c r="L90" s="347"/>
      <c r="M90" s="347"/>
      <c r="N90" s="347"/>
    </row>
    <row r="91" spans="1:14" x14ac:dyDescent="0.2">
      <c r="A91" s="354" t="str">
        <f>name!A8</f>
        <v>Textiles</v>
      </c>
      <c r="B91" s="517">
        <f>B$6</f>
        <v>2007</v>
      </c>
      <c r="C91" s="517"/>
      <c r="D91" s="517"/>
      <c r="E91" s="369"/>
      <c r="F91" s="517">
        <f>F74</f>
        <v>2017</v>
      </c>
      <c r="G91" s="517"/>
      <c r="H91" s="517"/>
      <c r="I91" s="369"/>
      <c r="J91" s="517">
        <f>J74</f>
        <v>2027</v>
      </c>
      <c r="K91" s="517"/>
      <c r="L91" s="517"/>
      <c r="M91" s="347"/>
      <c r="N91" s="347"/>
    </row>
    <row r="92" spans="1:14" x14ac:dyDescent="0.2">
      <c r="A92" s="370"/>
      <c r="B92" s="371" t="s">
        <v>387</v>
      </c>
      <c r="C92" s="371" t="s">
        <v>388</v>
      </c>
      <c r="D92" s="371" t="s">
        <v>32</v>
      </c>
      <c r="E92" s="371"/>
      <c r="F92" s="371" t="s">
        <v>387</v>
      </c>
      <c r="G92" s="371" t="s">
        <v>388</v>
      </c>
      <c r="H92" s="371" t="s">
        <v>32</v>
      </c>
      <c r="I92" s="371"/>
      <c r="J92" s="371" t="s">
        <v>387</v>
      </c>
      <c r="K92" s="371" t="s">
        <v>388</v>
      </c>
      <c r="L92" s="371" t="s">
        <v>32</v>
      </c>
      <c r="M92" s="347"/>
      <c r="N92" s="347"/>
    </row>
    <row r="93" spans="1:14" s="286" customFormat="1" x14ac:dyDescent="0.2">
      <c r="A93" s="374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47"/>
      <c r="N93" s="347"/>
    </row>
    <row r="94" spans="1:14" x14ac:dyDescent="0.2">
      <c r="A94" s="362" t="str">
        <f>name!E$4</f>
        <v>Managers, directors and senior officials</v>
      </c>
      <c r="B94" s="440">
        <v>3.6951563108186244E-2</v>
      </c>
      <c r="C94" s="440">
        <v>8.7192820674919153E-2</v>
      </c>
      <c r="D94" s="440">
        <f>SUM(B94:C94)</f>
        <v>0.1241443837831054</v>
      </c>
      <c r="E94" s="441"/>
      <c r="F94" s="440">
        <v>9.3197040721545957E-2</v>
      </c>
      <c r="G94" s="440">
        <v>7.6660478908375504E-2</v>
      </c>
      <c r="H94" s="440">
        <f>SUM(F94:G94)</f>
        <v>0.16985751962992146</v>
      </c>
      <c r="I94" s="441"/>
      <c r="J94" s="440">
        <v>8.1753391863049016E-2</v>
      </c>
      <c r="K94" s="440">
        <v>7.3792765072493216E-2</v>
      </c>
      <c r="L94" s="440">
        <f>SUM(J94:K94)</f>
        <v>0.15554615693554225</v>
      </c>
      <c r="M94" s="347"/>
      <c r="N94" s="347"/>
    </row>
    <row r="95" spans="1:14" x14ac:dyDescent="0.2">
      <c r="A95" s="362" t="str">
        <f>name!E$5</f>
        <v>Professional occupations</v>
      </c>
      <c r="B95" s="440">
        <v>6.3514633933356851E-2</v>
      </c>
      <c r="C95" s="440">
        <v>5.8764752403020926E-2</v>
      </c>
      <c r="D95" s="440">
        <f t="shared" ref="D95:D102" si="46">SUM(B95:C95)</f>
        <v>0.12227938633637778</v>
      </c>
      <c r="E95" s="441"/>
      <c r="F95" s="440">
        <v>0.1126663093858134</v>
      </c>
      <c r="G95" s="440">
        <v>5.6047314782519647E-2</v>
      </c>
      <c r="H95" s="440">
        <f t="shared" ref="H95:H102" si="47">SUM(F95:G95)</f>
        <v>0.16871362416833305</v>
      </c>
      <c r="I95" s="441"/>
      <c r="J95" s="440">
        <v>0.11667440003846404</v>
      </c>
      <c r="K95" s="440">
        <v>5.468797337618074E-2</v>
      </c>
      <c r="L95" s="440">
        <f t="shared" ref="L95:L102" si="48">SUM(J95:K95)</f>
        <v>0.17136237341464478</v>
      </c>
      <c r="M95" s="347"/>
      <c r="N95" s="347"/>
    </row>
    <row r="96" spans="1:14" x14ac:dyDescent="0.2">
      <c r="A96" s="362" t="str">
        <f>name!E$6</f>
        <v>Associate professional and technical</v>
      </c>
      <c r="B96" s="440">
        <v>7.0304617719711041E-2</v>
      </c>
      <c r="C96" s="440">
        <v>9.5146452856479866E-2</v>
      </c>
      <c r="D96" s="440">
        <f t="shared" si="46"/>
        <v>0.16545107057619091</v>
      </c>
      <c r="E96" s="441"/>
      <c r="F96" s="440">
        <v>9.7895745479912907E-2</v>
      </c>
      <c r="G96" s="440">
        <v>5.4142630106534084E-2</v>
      </c>
      <c r="H96" s="440">
        <f t="shared" si="47"/>
        <v>0.15203837558644701</v>
      </c>
      <c r="I96" s="441"/>
      <c r="J96" s="440">
        <v>8.4551963505930958E-2</v>
      </c>
      <c r="K96" s="440">
        <v>4.9976414306792873E-2</v>
      </c>
      <c r="L96" s="440">
        <f t="shared" si="48"/>
        <v>0.13452837781272384</v>
      </c>
      <c r="M96" s="347"/>
      <c r="N96" s="347"/>
    </row>
    <row r="97" spans="1:14" x14ac:dyDescent="0.2">
      <c r="A97" s="362" t="str">
        <f>name!E$7</f>
        <v>Administrative and secretarial</v>
      </c>
      <c r="B97" s="440">
        <v>7.0553919914377344E-2</v>
      </c>
      <c r="C97" s="440">
        <v>4.3526263707644654E-2</v>
      </c>
      <c r="D97" s="440">
        <f t="shared" si="46"/>
        <v>0.11408018362202199</v>
      </c>
      <c r="E97" s="441"/>
      <c r="F97" s="440">
        <v>4.3075154485207906E-2</v>
      </c>
      <c r="G97" s="440">
        <v>4.9643203059130621E-2</v>
      </c>
      <c r="H97" s="440">
        <f t="shared" si="47"/>
        <v>9.271835754433852E-2</v>
      </c>
      <c r="I97" s="441"/>
      <c r="J97" s="440">
        <v>2.6372815007690335E-2</v>
      </c>
      <c r="K97" s="440">
        <v>4.4579795639539975E-2</v>
      </c>
      <c r="L97" s="440">
        <f t="shared" si="48"/>
        <v>7.095261064723031E-2</v>
      </c>
      <c r="M97" s="347"/>
      <c r="N97" s="347"/>
    </row>
    <row r="98" spans="1:14" x14ac:dyDescent="0.2">
      <c r="A98" s="362" t="str">
        <f>name!E$8</f>
        <v>Skilled trades occupations</v>
      </c>
      <c r="B98" s="440">
        <v>9.5337642903002284E-2</v>
      </c>
      <c r="C98" s="440">
        <v>0.21237706162810674</v>
      </c>
      <c r="D98" s="440">
        <f t="shared" si="46"/>
        <v>0.30771470453110905</v>
      </c>
      <c r="E98" s="441"/>
      <c r="F98" s="440">
        <v>9.5694107303473178E-2</v>
      </c>
      <c r="G98" s="440">
        <v>0.15999379022825724</v>
      </c>
      <c r="H98" s="440">
        <f t="shared" si="47"/>
        <v>0.25568789753173043</v>
      </c>
      <c r="I98" s="441"/>
      <c r="J98" s="440">
        <v>4.2863003417178122E-2</v>
      </c>
      <c r="K98" s="440">
        <v>0.1199480548723825</v>
      </c>
      <c r="L98" s="440">
        <f t="shared" si="48"/>
        <v>0.16281105828956061</v>
      </c>
      <c r="M98" s="347"/>
      <c r="N98" s="347"/>
    </row>
    <row r="99" spans="1:14" x14ac:dyDescent="0.2">
      <c r="A99" s="362" t="str">
        <f>name!E$9</f>
        <v>Caring, leisure and other service</v>
      </c>
      <c r="B99" s="440">
        <v>5.6862199878204837E-2</v>
      </c>
      <c r="C99" s="440">
        <v>3.0019601028681286E-3</v>
      </c>
      <c r="D99" s="440">
        <f t="shared" si="46"/>
        <v>5.9864159981072966E-2</v>
      </c>
      <c r="E99" s="441"/>
      <c r="F99" s="440">
        <v>7.1236079564207688E-2</v>
      </c>
      <c r="G99" s="440">
        <v>1.4508622338974058E-3</v>
      </c>
      <c r="H99" s="440">
        <f t="shared" si="47"/>
        <v>7.2686941798105101E-2</v>
      </c>
      <c r="I99" s="441"/>
      <c r="J99" s="440">
        <v>6.6167110866657719E-2</v>
      </c>
      <c r="K99" s="440">
        <v>1.0650204981618944E-3</v>
      </c>
      <c r="L99" s="440">
        <f t="shared" si="48"/>
        <v>6.7232131364819619E-2</v>
      </c>
      <c r="M99" s="347"/>
      <c r="N99" s="347"/>
    </row>
    <row r="100" spans="1:14" x14ac:dyDescent="0.2">
      <c r="A100" s="362" t="str">
        <f>name!E$10</f>
        <v>Sales and customer service</v>
      </c>
      <c r="B100" s="440">
        <v>8.5384649127485349E-2</v>
      </c>
      <c r="C100" s="440">
        <v>1.8102318016785426E-2</v>
      </c>
      <c r="D100" s="440">
        <f t="shared" si="46"/>
        <v>0.10348696714427078</v>
      </c>
      <c r="E100" s="441"/>
      <c r="F100" s="440">
        <v>0.14035868350668648</v>
      </c>
      <c r="G100" s="440">
        <v>1.8920345595066328E-2</v>
      </c>
      <c r="H100" s="440">
        <f t="shared" si="47"/>
        <v>0.15927902910175282</v>
      </c>
      <c r="I100" s="441"/>
      <c r="J100" s="440">
        <v>0.11496929258078954</v>
      </c>
      <c r="K100" s="440">
        <v>1.6400243961242802E-2</v>
      </c>
      <c r="L100" s="440">
        <f t="shared" si="48"/>
        <v>0.13136953654203234</v>
      </c>
      <c r="M100" s="347"/>
      <c r="N100" s="347"/>
    </row>
    <row r="101" spans="1:14" x14ac:dyDescent="0.2">
      <c r="A101" s="362" t="str">
        <f>name!E$11</f>
        <v>Process, plant and machine operatives</v>
      </c>
      <c r="B101" s="440">
        <v>0.34627874581506041</v>
      </c>
      <c r="C101" s="440">
        <v>0.24841766530668202</v>
      </c>
      <c r="D101" s="440">
        <f t="shared" si="46"/>
        <v>0.59469641112174243</v>
      </c>
      <c r="E101" s="441"/>
      <c r="F101" s="440">
        <v>0.29446833286446056</v>
      </c>
      <c r="G101" s="440">
        <v>0.18973206803368423</v>
      </c>
      <c r="H101" s="440">
        <f t="shared" si="47"/>
        <v>0.48420040089814476</v>
      </c>
      <c r="I101" s="441"/>
      <c r="J101" s="440">
        <v>0.16264607693386046</v>
      </c>
      <c r="K101" s="440">
        <v>0.14553516292684748</v>
      </c>
      <c r="L101" s="440">
        <f t="shared" si="48"/>
        <v>0.30818123986070795</v>
      </c>
      <c r="M101" s="347"/>
      <c r="N101" s="347"/>
    </row>
    <row r="102" spans="1:14" x14ac:dyDescent="0.2">
      <c r="A102" s="362" t="str">
        <f>name!E$12</f>
        <v>Elementary occupations</v>
      </c>
      <c r="B102" s="440">
        <v>8.1812027593942196E-2</v>
      </c>
      <c r="C102" s="440">
        <v>7.7470705303257323E-2</v>
      </c>
      <c r="D102" s="440">
        <f t="shared" si="46"/>
        <v>0.15928273289719952</v>
      </c>
      <c r="E102" s="441"/>
      <c r="F102" s="440">
        <v>0.12440854670991612</v>
      </c>
      <c r="G102" s="440">
        <v>7.0409307052163236E-2</v>
      </c>
      <c r="H102" s="440">
        <f t="shared" si="47"/>
        <v>0.19481785376207936</v>
      </c>
      <c r="I102" s="441"/>
      <c r="J102" s="440">
        <v>9.9001945794418678E-2</v>
      </c>
      <c r="K102" s="440">
        <v>6.4014569340598945E-2</v>
      </c>
      <c r="L102" s="440">
        <f t="shared" si="48"/>
        <v>0.16301651513501764</v>
      </c>
      <c r="M102" s="347"/>
      <c r="N102" s="347"/>
    </row>
    <row r="103" spans="1:14" x14ac:dyDescent="0.2">
      <c r="A103" s="362"/>
      <c r="B103" s="440"/>
      <c r="C103" s="440"/>
      <c r="D103" s="440"/>
      <c r="E103" s="441"/>
      <c r="F103" s="440"/>
      <c r="G103" s="440"/>
      <c r="H103" s="440"/>
      <c r="I103" s="441"/>
      <c r="J103" s="440"/>
      <c r="K103" s="440"/>
      <c r="L103" s="440"/>
      <c r="M103" s="347"/>
      <c r="N103" s="347"/>
    </row>
    <row r="104" spans="1:14" x14ac:dyDescent="0.2">
      <c r="A104" s="357" t="s">
        <v>32</v>
      </c>
      <c r="B104" s="450">
        <f>SUM(B94:B102)</f>
        <v>0.90699999999332659</v>
      </c>
      <c r="C104" s="450">
        <f t="shared" ref="C104:D104" si="49">SUM(C94:C102)</f>
        <v>0.84399999999976427</v>
      </c>
      <c r="D104" s="450">
        <f t="shared" si="49"/>
        <v>1.7509999999930907</v>
      </c>
      <c r="E104" s="450"/>
      <c r="F104" s="450">
        <f t="shared" ref="F104:H104" si="50">SUM(F94:F102)</f>
        <v>1.0730000000212241</v>
      </c>
      <c r="G104" s="450">
        <f t="shared" si="50"/>
        <v>0.67699999999962823</v>
      </c>
      <c r="H104" s="450">
        <f t="shared" si="50"/>
        <v>1.7500000000208522</v>
      </c>
      <c r="I104" s="450"/>
      <c r="J104" s="450">
        <f t="shared" ref="J104:L104" si="51">SUM(J94:J102)</f>
        <v>0.79500000000803894</v>
      </c>
      <c r="K104" s="450">
        <f t="shared" si="51"/>
        <v>0.56999999999424045</v>
      </c>
      <c r="L104" s="450">
        <f t="shared" si="51"/>
        <v>1.3650000000022793</v>
      </c>
      <c r="M104" s="347"/>
      <c r="N104" s="347"/>
    </row>
    <row r="105" spans="1:14" x14ac:dyDescent="0.2">
      <c r="A105" s="348"/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53"/>
      <c r="M105" s="347"/>
      <c r="N105" s="347"/>
    </row>
    <row r="106" spans="1:14" x14ac:dyDescent="0.2">
      <c r="A106" s="348"/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72" t="s">
        <v>35</v>
      </c>
      <c r="M106" s="347"/>
      <c r="N106" s="347"/>
    </row>
    <row r="107" spans="1:14" x14ac:dyDescent="0.2">
      <c r="A107" s="355"/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47"/>
      <c r="M107" s="347"/>
      <c r="N107" s="347"/>
    </row>
    <row r="108" spans="1:14" x14ac:dyDescent="0.2">
      <c r="A108" s="354" t="str">
        <f>name!A9</f>
        <v>Wearing apparel; Leather, etc</v>
      </c>
      <c r="B108" s="517">
        <f>B$6</f>
        <v>2007</v>
      </c>
      <c r="C108" s="517"/>
      <c r="D108" s="517"/>
      <c r="E108" s="369"/>
      <c r="F108" s="517">
        <f>F91</f>
        <v>2017</v>
      </c>
      <c r="G108" s="517"/>
      <c r="H108" s="517"/>
      <c r="I108" s="369"/>
      <c r="J108" s="517">
        <f>J91</f>
        <v>2027</v>
      </c>
      <c r="K108" s="517"/>
      <c r="L108" s="517"/>
      <c r="M108" s="347"/>
      <c r="N108" s="347"/>
    </row>
    <row r="109" spans="1:14" x14ac:dyDescent="0.2">
      <c r="A109" s="370"/>
      <c r="B109" s="371" t="s">
        <v>387</v>
      </c>
      <c r="C109" s="371" t="s">
        <v>388</v>
      </c>
      <c r="D109" s="371" t="s">
        <v>32</v>
      </c>
      <c r="E109" s="371"/>
      <c r="F109" s="371" t="s">
        <v>387</v>
      </c>
      <c r="G109" s="371" t="s">
        <v>388</v>
      </c>
      <c r="H109" s="371" t="s">
        <v>32</v>
      </c>
      <c r="I109" s="371"/>
      <c r="J109" s="371" t="s">
        <v>387</v>
      </c>
      <c r="K109" s="371" t="s">
        <v>388</v>
      </c>
      <c r="L109" s="371" t="s">
        <v>32</v>
      </c>
      <c r="M109" s="347"/>
      <c r="N109" s="347"/>
    </row>
    <row r="110" spans="1:14" s="286" customFormat="1" x14ac:dyDescent="0.2">
      <c r="A110" s="374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47"/>
      <c r="N110" s="347"/>
    </row>
    <row r="111" spans="1:14" x14ac:dyDescent="0.2">
      <c r="A111" s="362" t="str">
        <f>name!E$4</f>
        <v>Managers, directors and senior officials</v>
      </c>
      <c r="B111" s="440">
        <v>1.9400667150872349E-2</v>
      </c>
      <c r="C111" s="440">
        <v>1.0722164060703492E-2</v>
      </c>
      <c r="D111" s="440">
        <f>SUM(B111:C111)</f>
        <v>3.0122831211575843E-2</v>
      </c>
      <c r="E111" s="441"/>
      <c r="F111" s="440">
        <v>8.2728112930783249E-2</v>
      </c>
      <c r="G111" s="440">
        <v>2.3004905042993306E-2</v>
      </c>
      <c r="H111" s="440">
        <f>SUM(F111:G111)</f>
        <v>0.10573301797377656</v>
      </c>
      <c r="I111" s="441"/>
      <c r="J111" s="440">
        <v>6.8520126574567741E-2</v>
      </c>
      <c r="K111" s="440">
        <v>2.2384404052533335E-2</v>
      </c>
      <c r="L111" s="440">
        <f>SUM(J111:K111)</f>
        <v>9.0904530627101077E-2</v>
      </c>
      <c r="M111" s="347"/>
      <c r="N111" s="347"/>
    </row>
    <row r="112" spans="1:14" x14ac:dyDescent="0.2">
      <c r="A112" s="362" t="str">
        <f>name!E$5</f>
        <v>Professional occupations</v>
      </c>
      <c r="B112" s="440">
        <v>4.9433832927975055E-2</v>
      </c>
      <c r="C112" s="440">
        <v>1.2208193009329946E-2</v>
      </c>
      <c r="D112" s="440">
        <f t="shared" ref="D112:D119" si="52">SUM(B112:C112)</f>
        <v>6.1642025937305001E-2</v>
      </c>
      <c r="E112" s="441"/>
      <c r="F112" s="440">
        <v>0.20423765810034164</v>
      </c>
      <c r="G112" s="440">
        <v>3.2864945313117414E-2</v>
      </c>
      <c r="H112" s="440">
        <f t="shared" ref="H112:H119" si="53">SUM(F112:G112)</f>
        <v>0.23710260341345907</v>
      </c>
      <c r="I112" s="441"/>
      <c r="J112" s="440">
        <v>0.18762234139692033</v>
      </c>
      <c r="K112" s="440">
        <v>3.2421768336769574E-2</v>
      </c>
      <c r="L112" s="440">
        <f t="shared" ref="L112:L119" si="54">SUM(J112:K112)</f>
        <v>0.2200441097336899</v>
      </c>
      <c r="M112" s="347"/>
      <c r="N112" s="347"/>
    </row>
    <row r="113" spans="1:14" x14ac:dyDescent="0.2">
      <c r="A113" s="362" t="str">
        <f>name!E$6</f>
        <v>Associate professional and technical</v>
      </c>
      <c r="B113" s="440">
        <v>3.7819660743873426E-2</v>
      </c>
      <c r="C113" s="440">
        <v>1.4710064265399779E-2</v>
      </c>
      <c r="D113" s="440">
        <f t="shared" si="52"/>
        <v>5.2529725009273207E-2</v>
      </c>
      <c r="E113" s="441"/>
      <c r="F113" s="440">
        <v>0.12435313151707464</v>
      </c>
      <c r="G113" s="440">
        <v>3.9183361828792194E-2</v>
      </c>
      <c r="H113" s="440">
        <f t="shared" si="53"/>
        <v>0.16353649334586684</v>
      </c>
      <c r="I113" s="441"/>
      <c r="J113" s="440">
        <v>0.10283287988746906</v>
      </c>
      <c r="K113" s="440">
        <v>3.6983745533163408E-2</v>
      </c>
      <c r="L113" s="440">
        <f t="shared" si="54"/>
        <v>0.13981662542063247</v>
      </c>
      <c r="M113" s="347"/>
      <c r="N113" s="347"/>
    </row>
    <row r="114" spans="1:14" x14ac:dyDescent="0.2">
      <c r="A114" s="362" t="str">
        <f>name!E$7</f>
        <v>Administrative and secretarial</v>
      </c>
      <c r="B114" s="440">
        <v>2.6744276453998496E-2</v>
      </c>
      <c r="C114" s="440">
        <v>5.5490674987132317E-3</v>
      </c>
      <c r="D114" s="440">
        <f t="shared" si="52"/>
        <v>3.2293343952711731E-2</v>
      </c>
      <c r="E114" s="441"/>
      <c r="F114" s="440">
        <v>0.10196873036179357</v>
      </c>
      <c r="G114" s="440">
        <v>1.5000373943009295E-2</v>
      </c>
      <c r="H114" s="440">
        <f t="shared" si="53"/>
        <v>0.11696910430480287</v>
      </c>
      <c r="I114" s="441"/>
      <c r="J114" s="440">
        <v>8.2706234952329621E-2</v>
      </c>
      <c r="K114" s="440">
        <v>1.3075391887304291E-2</v>
      </c>
      <c r="L114" s="440">
        <f t="shared" si="54"/>
        <v>9.5781626839633913E-2</v>
      </c>
      <c r="M114" s="347"/>
      <c r="N114" s="347"/>
    </row>
    <row r="115" spans="1:14" x14ac:dyDescent="0.2">
      <c r="A115" s="362" t="str">
        <f>name!E$8</f>
        <v>Skilled trades occupations</v>
      </c>
      <c r="B115" s="440">
        <v>4.2606171621658903E-2</v>
      </c>
      <c r="C115" s="440">
        <v>2.6285913204959675E-2</v>
      </c>
      <c r="D115" s="440">
        <f t="shared" si="52"/>
        <v>6.8892084826618571E-2</v>
      </c>
      <c r="E115" s="441"/>
      <c r="F115" s="440">
        <v>7.0641032718275126E-2</v>
      </c>
      <c r="G115" s="440">
        <v>6.3138927395067074E-2</v>
      </c>
      <c r="H115" s="440">
        <f t="shared" si="53"/>
        <v>0.1337799601133422</v>
      </c>
      <c r="I115" s="441"/>
      <c r="J115" s="440">
        <v>2.5846407539787179E-2</v>
      </c>
      <c r="K115" s="440">
        <v>4.4503365903871869E-2</v>
      </c>
      <c r="L115" s="440">
        <f t="shared" si="54"/>
        <v>7.0349773443659044E-2</v>
      </c>
      <c r="M115" s="347"/>
      <c r="N115" s="347"/>
    </row>
    <row r="116" spans="1:14" x14ac:dyDescent="0.2">
      <c r="A116" s="362" t="str">
        <f>name!E$9</f>
        <v>Caring, leisure and other service</v>
      </c>
      <c r="B116" s="440">
        <v>6.6035241100453043E-2</v>
      </c>
      <c r="C116" s="440">
        <v>4.5290872035972149E-4</v>
      </c>
      <c r="D116" s="440">
        <f t="shared" si="52"/>
        <v>6.6488149820812761E-2</v>
      </c>
      <c r="E116" s="441"/>
      <c r="F116" s="440">
        <v>0.15131574909787285</v>
      </c>
      <c r="G116" s="440">
        <v>1.6785391342423732E-3</v>
      </c>
      <c r="H116" s="440">
        <f t="shared" si="53"/>
        <v>0.15299428823211522</v>
      </c>
      <c r="I116" s="441"/>
      <c r="J116" s="440">
        <v>0.11476298539266089</v>
      </c>
      <c r="K116" s="440">
        <v>1.9051996270601297E-3</v>
      </c>
      <c r="L116" s="440">
        <f t="shared" si="54"/>
        <v>0.11666818501972102</v>
      </c>
      <c r="M116" s="347"/>
      <c r="N116" s="347"/>
    </row>
    <row r="117" spans="1:14" x14ac:dyDescent="0.2">
      <c r="A117" s="362" t="str">
        <f>name!E$10</f>
        <v>Sales and customer service</v>
      </c>
      <c r="B117" s="440">
        <v>2.1070448371957266E-2</v>
      </c>
      <c r="C117" s="440">
        <v>2.4867483587523737E-3</v>
      </c>
      <c r="D117" s="440">
        <f t="shared" si="52"/>
        <v>2.3557196730709641E-2</v>
      </c>
      <c r="E117" s="441"/>
      <c r="F117" s="440">
        <v>5.8578571417427186E-2</v>
      </c>
      <c r="G117" s="440">
        <v>8.0227022207946166E-3</v>
      </c>
      <c r="H117" s="440">
        <f t="shared" si="53"/>
        <v>6.6601273638221797E-2</v>
      </c>
      <c r="I117" s="441"/>
      <c r="J117" s="440">
        <v>4.9909017678848533E-2</v>
      </c>
      <c r="K117" s="440">
        <v>7.2367277935092835E-3</v>
      </c>
      <c r="L117" s="440">
        <f t="shared" si="54"/>
        <v>5.7145745472357817E-2</v>
      </c>
      <c r="M117" s="347"/>
      <c r="N117" s="347"/>
    </row>
    <row r="118" spans="1:14" x14ac:dyDescent="0.2">
      <c r="A118" s="362" t="str">
        <f>name!E$11</f>
        <v>Process, plant and machine operatives</v>
      </c>
      <c r="B118" s="440">
        <v>0.14269626553787412</v>
      </c>
      <c r="C118" s="440">
        <v>3.0476138063393367E-2</v>
      </c>
      <c r="D118" s="440">
        <f t="shared" si="52"/>
        <v>0.17317240360126748</v>
      </c>
      <c r="E118" s="441"/>
      <c r="F118" s="440">
        <v>4.1730594867648671E-2</v>
      </c>
      <c r="G118" s="440">
        <v>3.9402033506852577E-2</v>
      </c>
      <c r="H118" s="440">
        <f t="shared" si="53"/>
        <v>8.1132628374501248E-2</v>
      </c>
      <c r="I118" s="441"/>
      <c r="J118" s="440">
        <v>1.7498903307511665E-2</v>
      </c>
      <c r="K118" s="440">
        <v>3.0601456964295309E-2</v>
      </c>
      <c r="L118" s="440">
        <f t="shared" si="54"/>
        <v>4.8100360271806974E-2</v>
      </c>
      <c r="M118" s="347"/>
      <c r="N118" s="347"/>
    </row>
    <row r="119" spans="1:14" x14ac:dyDescent="0.2">
      <c r="A119" s="362" t="str">
        <f>name!E$12</f>
        <v>Elementary occupations</v>
      </c>
      <c r="B119" s="440">
        <v>3.6193436089395438E-2</v>
      </c>
      <c r="C119" s="440">
        <v>4.1108802818575957E-2</v>
      </c>
      <c r="D119" s="440">
        <f t="shared" si="52"/>
        <v>7.7302238907971388E-2</v>
      </c>
      <c r="E119" s="441"/>
      <c r="F119" s="440">
        <v>9.2446418994850177E-2</v>
      </c>
      <c r="G119" s="440">
        <v>0.14870421161586722</v>
      </c>
      <c r="H119" s="440">
        <f t="shared" si="53"/>
        <v>0.2411506306107174</v>
      </c>
      <c r="I119" s="441"/>
      <c r="J119" s="440">
        <v>5.7301103272827829E-2</v>
      </c>
      <c r="K119" s="440">
        <v>0.12188793989775383</v>
      </c>
      <c r="L119" s="440">
        <f t="shared" si="54"/>
        <v>0.17918904317058165</v>
      </c>
      <c r="M119" s="347"/>
      <c r="N119" s="347"/>
    </row>
    <row r="120" spans="1:14" x14ac:dyDescent="0.2">
      <c r="A120" s="362"/>
      <c r="B120" s="440"/>
      <c r="C120" s="440"/>
      <c r="D120" s="440"/>
      <c r="E120" s="441"/>
      <c r="F120" s="440"/>
      <c r="G120" s="440"/>
      <c r="H120" s="440"/>
      <c r="I120" s="441"/>
      <c r="J120" s="440"/>
      <c r="K120" s="440"/>
      <c r="L120" s="440"/>
      <c r="M120" s="347"/>
      <c r="N120" s="347"/>
    </row>
    <row r="121" spans="1:14" x14ac:dyDescent="0.2">
      <c r="A121" s="357" t="s">
        <v>32</v>
      </c>
      <c r="B121" s="450">
        <f>SUM(B111:B119)</f>
        <v>0.44199999999805811</v>
      </c>
      <c r="C121" s="450">
        <f t="shared" ref="C121:D121" si="55">SUM(C111:C119)</f>
        <v>0.14400000000018753</v>
      </c>
      <c r="D121" s="450">
        <f t="shared" si="55"/>
        <v>0.58599999999824559</v>
      </c>
      <c r="E121" s="450"/>
      <c r="F121" s="450">
        <f t="shared" ref="F121:H121" si="56">SUM(F111:F119)</f>
        <v>0.92800000000606697</v>
      </c>
      <c r="G121" s="450">
        <f t="shared" si="56"/>
        <v>0.37100000000073607</v>
      </c>
      <c r="H121" s="450">
        <f t="shared" si="56"/>
        <v>1.2990000000068032</v>
      </c>
      <c r="I121" s="450"/>
      <c r="J121" s="450">
        <f t="shared" ref="J121:L121" si="57">SUM(J111:J119)</f>
        <v>0.70700000000292296</v>
      </c>
      <c r="K121" s="450">
        <f t="shared" si="57"/>
        <v>0.31099999999626105</v>
      </c>
      <c r="L121" s="450">
        <f t="shared" si="57"/>
        <v>1.0179999999991838</v>
      </c>
      <c r="M121" s="347"/>
      <c r="N121" s="347"/>
    </row>
    <row r="122" spans="1:14" x14ac:dyDescent="0.2">
      <c r="A122" s="348"/>
      <c r="B122" s="348"/>
      <c r="C122" s="348"/>
      <c r="D122" s="348"/>
      <c r="E122" s="348"/>
      <c r="F122" s="348"/>
      <c r="G122" s="348"/>
      <c r="H122" s="348"/>
      <c r="I122" s="348"/>
      <c r="J122" s="348"/>
      <c r="K122" s="348"/>
      <c r="L122" s="353"/>
      <c r="M122" s="347"/>
      <c r="N122" s="347"/>
    </row>
    <row r="123" spans="1:14" x14ac:dyDescent="0.2">
      <c r="A123" s="348"/>
      <c r="B123" s="348"/>
      <c r="C123" s="348"/>
      <c r="D123" s="348"/>
      <c r="E123" s="348"/>
      <c r="F123" s="348"/>
      <c r="G123" s="348"/>
      <c r="H123" s="348"/>
      <c r="I123" s="348"/>
      <c r="J123" s="348"/>
      <c r="K123" s="348"/>
      <c r="L123" s="372" t="s">
        <v>35</v>
      </c>
      <c r="M123" s="347"/>
      <c r="N123" s="347"/>
    </row>
    <row r="124" spans="1:14" x14ac:dyDescent="0.2">
      <c r="A124" s="355"/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47"/>
      <c r="M124" s="347"/>
      <c r="N124" s="347"/>
    </row>
    <row r="125" spans="1:14" x14ac:dyDescent="0.2">
      <c r="A125" s="354" t="str">
        <f>name!A10</f>
        <v xml:space="preserve">Wood and cork </v>
      </c>
      <c r="B125" s="517">
        <f>B$6</f>
        <v>2007</v>
      </c>
      <c r="C125" s="517"/>
      <c r="D125" s="517"/>
      <c r="E125" s="369"/>
      <c r="F125" s="517">
        <f>F108</f>
        <v>2017</v>
      </c>
      <c r="G125" s="517"/>
      <c r="H125" s="517"/>
      <c r="I125" s="369"/>
      <c r="J125" s="517">
        <f>J108</f>
        <v>2027</v>
      </c>
      <c r="K125" s="517"/>
      <c r="L125" s="517"/>
      <c r="M125" s="347"/>
      <c r="N125" s="347"/>
    </row>
    <row r="126" spans="1:14" x14ac:dyDescent="0.2">
      <c r="A126" s="370"/>
      <c r="B126" s="371" t="s">
        <v>387</v>
      </c>
      <c r="C126" s="371" t="s">
        <v>388</v>
      </c>
      <c r="D126" s="371" t="s">
        <v>32</v>
      </c>
      <c r="E126" s="371"/>
      <c r="F126" s="371" t="s">
        <v>387</v>
      </c>
      <c r="G126" s="371" t="s">
        <v>388</v>
      </c>
      <c r="H126" s="371" t="s">
        <v>32</v>
      </c>
      <c r="I126" s="371"/>
      <c r="J126" s="371" t="s">
        <v>387</v>
      </c>
      <c r="K126" s="371" t="s">
        <v>388</v>
      </c>
      <c r="L126" s="371" t="s">
        <v>32</v>
      </c>
      <c r="M126" s="347"/>
      <c r="N126" s="347"/>
    </row>
    <row r="127" spans="1:14" s="286" customFormat="1" x14ac:dyDescent="0.2">
      <c r="A127" s="374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47"/>
      <c r="N127" s="347"/>
    </row>
    <row r="128" spans="1:14" x14ac:dyDescent="0.2">
      <c r="A128" s="362" t="str">
        <f>name!E$4</f>
        <v>Managers, directors and senior officials</v>
      </c>
      <c r="B128" s="440">
        <v>2.0326321216349329E-2</v>
      </c>
      <c r="C128" s="440">
        <v>0.17153306519112257</v>
      </c>
      <c r="D128" s="440">
        <f>SUM(B128:C128)</f>
        <v>0.19185938640747191</v>
      </c>
      <c r="E128" s="441"/>
      <c r="F128" s="440">
        <v>5.4300417573056078E-2</v>
      </c>
      <c r="G128" s="440">
        <v>0.14491143494684897</v>
      </c>
      <c r="H128" s="440">
        <f>SUM(F128:G128)</f>
        <v>0.19921185251990503</v>
      </c>
      <c r="I128" s="441"/>
      <c r="J128" s="440">
        <v>5.8170222870057471E-2</v>
      </c>
      <c r="K128" s="440">
        <v>0.14638856592989202</v>
      </c>
      <c r="L128" s="440">
        <f>SUM(J128:K128)</f>
        <v>0.20455878879994949</v>
      </c>
      <c r="M128" s="347"/>
      <c r="N128" s="347"/>
    </row>
    <row r="129" spans="1:14" x14ac:dyDescent="0.2">
      <c r="A129" s="362" t="str">
        <f>name!E$5</f>
        <v>Professional occupations</v>
      </c>
      <c r="B129" s="440">
        <v>2.1848653537214085E-2</v>
      </c>
      <c r="C129" s="440">
        <v>9.2122080094832387E-2</v>
      </c>
      <c r="D129" s="440">
        <f t="shared" ref="D129:D136" si="58">SUM(B129:C129)</f>
        <v>0.11397073363204648</v>
      </c>
      <c r="E129" s="441"/>
      <c r="F129" s="440">
        <v>2.3979333686793419E-2</v>
      </c>
      <c r="G129" s="440">
        <v>8.911863476249017E-2</v>
      </c>
      <c r="H129" s="440">
        <f t="shared" ref="H129:H136" si="59">SUM(F129:G129)</f>
        <v>0.11309796844928359</v>
      </c>
      <c r="I129" s="441"/>
      <c r="J129" s="440">
        <v>2.8515896240501597E-2</v>
      </c>
      <c r="K129" s="440">
        <v>8.9684164387452608E-2</v>
      </c>
      <c r="L129" s="440">
        <f t="shared" ref="L129:L136" si="60">SUM(J129:K129)</f>
        <v>0.11820006062795421</v>
      </c>
      <c r="M129" s="347"/>
      <c r="N129" s="347"/>
    </row>
    <row r="130" spans="1:14" x14ac:dyDescent="0.2">
      <c r="A130" s="362" t="str">
        <f>name!E$6</f>
        <v>Associate professional and technical</v>
      </c>
      <c r="B130" s="440">
        <v>3.1982273274894078E-2</v>
      </c>
      <c r="C130" s="440">
        <v>0.13113936605276966</v>
      </c>
      <c r="D130" s="440">
        <f t="shared" si="58"/>
        <v>0.16312163932766374</v>
      </c>
      <c r="E130" s="441"/>
      <c r="F130" s="440">
        <v>3.0624129574032016E-2</v>
      </c>
      <c r="G130" s="440">
        <v>0.16913757864400034</v>
      </c>
      <c r="H130" s="440">
        <f t="shared" si="59"/>
        <v>0.19976170821803235</v>
      </c>
      <c r="I130" s="441"/>
      <c r="J130" s="440">
        <v>3.3724971436350872E-2</v>
      </c>
      <c r="K130" s="440">
        <v>0.15642186344344838</v>
      </c>
      <c r="L130" s="440">
        <f t="shared" si="60"/>
        <v>0.19014683487979925</v>
      </c>
      <c r="M130" s="347"/>
      <c r="N130" s="347"/>
    </row>
    <row r="131" spans="1:14" x14ac:dyDescent="0.2">
      <c r="A131" s="362" t="str">
        <f>name!E$7</f>
        <v>Administrative and secretarial</v>
      </c>
      <c r="B131" s="440">
        <v>0.1438059459737254</v>
      </c>
      <c r="C131" s="440">
        <v>3.1154435200966991E-2</v>
      </c>
      <c r="D131" s="440">
        <f t="shared" si="58"/>
        <v>0.1749603811746924</v>
      </c>
      <c r="E131" s="441"/>
      <c r="F131" s="440">
        <v>8.1240215951987257E-2</v>
      </c>
      <c r="G131" s="440">
        <v>1.8671601340792994E-2</v>
      </c>
      <c r="H131" s="440">
        <f t="shared" si="59"/>
        <v>9.9911817292780258E-2</v>
      </c>
      <c r="I131" s="441"/>
      <c r="J131" s="440">
        <v>6.3093869752055082E-2</v>
      </c>
      <c r="K131" s="440">
        <v>1.4397467082961168E-2</v>
      </c>
      <c r="L131" s="440">
        <f t="shared" si="60"/>
        <v>7.7491336835016245E-2</v>
      </c>
      <c r="M131" s="347"/>
      <c r="N131" s="347"/>
    </row>
    <row r="132" spans="1:14" x14ac:dyDescent="0.2">
      <c r="A132" s="362" t="str">
        <f>name!E$8</f>
        <v>Skilled trades occupations</v>
      </c>
      <c r="B132" s="440">
        <v>1.3881989008055083E-2</v>
      </c>
      <c r="C132" s="440">
        <v>1.2598796194787047</v>
      </c>
      <c r="D132" s="440">
        <f t="shared" si="58"/>
        <v>1.2737616084867598</v>
      </c>
      <c r="E132" s="441"/>
      <c r="F132" s="440">
        <v>2.9123257425934669E-2</v>
      </c>
      <c r="G132" s="440">
        <v>1.628263578827275</v>
      </c>
      <c r="H132" s="440">
        <f t="shared" si="59"/>
        <v>1.6573868362532096</v>
      </c>
      <c r="I132" s="441"/>
      <c r="J132" s="440">
        <v>2.7356545203833675E-2</v>
      </c>
      <c r="K132" s="440">
        <v>1.4360019037060774</v>
      </c>
      <c r="L132" s="440">
        <f t="shared" si="60"/>
        <v>1.463358448909911</v>
      </c>
      <c r="M132" s="347"/>
      <c r="N132" s="347"/>
    </row>
    <row r="133" spans="1:14" x14ac:dyDescent="0.2">
      <c r="A133" s="362" t="str">
        <f>name!E$9</f>
        <v>Caring, leisure and other service</v>
      </c>
      <c r="B133" s="440">
        <v>4.225401229726946E-2</v>
      </c>
      <c r="C133" s="440">
        <v>1.5041714475188267E-2</v>
      </c>
      <c r="D133" s="440">
        <f t="shared" si="58"/>
        <v>5.7295726772457728E-2</v>
      </c>
      <c r="E133" s="441"/>
      <c r="F133" s="440">
        <v>4.546792526402435E-2</v>
      </c>
      <c r="G133" s="440">
        <v>4.6584643430985742E-2</v>
      </c>
      <c r="H133" s="440">
        <f t="shared" si="59"/>
        <v>9.2052568695010092E-2</v>
      </c>
      <c r="I133" s="441"/>
      <c r="J133" s="440">
        <v>5.0174658495863521E-2</v>
      </c>
      <c r="K133" s="440">
        <v>5.5253810378635845E-2</v>
      </c>
      <c r="L133" s="440">
        <f t="shared" si="60"/>
        <v>0.10542846887449936</v>
      </c>
      <c r="M133" s="347"/>
      <c r="N133" s="347"/>
    </row>
    <row r="134" spans="1:14" x14ac:dyDescent="0.2">
      <c r="A134" s="362" t="str">
        <f>name!E$10</f>
        <v>Sales and customer service</v>
      </c>
      <c r="B134" s="440">
        <v>2.1001395309997433E-2</v>
      </c>
      <c r="C134" s="440">
        <v>2.5473164660953538E-2</v>
      </c>
      <c r="D134" s="440">
        <f>SUM(B134:C134)</f>
        <v>4.6474559970950971E-2</v>
      </c>
      <c r="E134" s="441"/>
      <c r="F134" s="440">
        <v>1.8163443812167109E-2</v>
      </c>
      <c r="G134" s="440">
        <v>2.174804603801812E-2</v>
      </c>
      <c r="H134" s="440">
        <f t="shared" si="59"/>
        <v>3.9911489850185229E-2</v>
      </c>
      <c r="I134" s="441"/>
      <c r="J134" s="440">
        <v>1.5920781416202862E-2</v>
      </c>
      <c r="K134" s="440">
        <v>1.9387231314428717E-2</v>
      </c>
      <c r="L134" s="440">
        <f t="shared" si="60"/>
        <v>3.5308012730631583E-2</v>
      </c>
      <c r="M134" s="347"/>
      <c r="N134" s="347"/>
    </row>
    <row r="135" spans="1:14" x14ac:dyDescent="0.2">
      <c r="A135" s="362" t="str">
        <f>name!E$11</f>
        <v>Process, plant and machine operatives</v>
      </c>
      <c r="B135" s="440">
        <v>8.0518431820333733E-2</v>
      </c>
      <c r="C135" s="440">
        <v>1.1113476766509405</v>
      </c>
      <c r="D135" s="440">
        <f t="shared" si="58"/>
        <v>1.1918661084712743</v>
      </c>
      <c r="E135" s="441"/>
      <c r="F135" s="440">
        <v>5.0889898187055888E-2</v>
      </c>
      <c r="G135" s="440">
        <v>1.1996149911512826</v>
      </c>
      <c r="H135" s="440">
        <f t="shared" si="59"/>
        <v>1.2505048893383384</v>
      </c>
      <c r="I135" s="441"/>
      <c r="J135" s="440">
        <v>3.169800602577743E-2</v>
      </c>
      <c r="K135" s="440">
        <v>0.99030113966953248</v>
      </c>
      <c r="L135" s="440">
        <f t="shared" si="60"/>
        <v>1.0219991456953099</v>
      </c>
      <c r="M135" s="347"/>
      <c r="N135" s="347"/>
    </row>
    <row r="136" spans="1:14" x14ac:dyDescent="0.2">
      <c r="A136" s="362" t="str">
        <f>name!E$12</f>
        <v>Elementary occupations</v>
      </c>
      <c r="B136" s="440">
        <v>2.2380977557086592E-2</v>
      </c>
      <c r="C136" s="440">
        <v>0.29930887820146246</v>
      </c>
      <c r="D136" s="440">
        <f t="shared" si="58"/>
        <v>0.32168985575854903</v>
      </c>
      <c r="E136" s="441"/>
      <c r="F136" s="440">
        <v>2.0211378527081159E-2</v>
      </c>
      <c r="G136" s="440">
        <v>0.37894949086560359</v>
      </c>
      <c r="H136" s="440">
        <f t="shared" si="59"/>
        <v>0.39916086939268475</v>
      </c>
      <c r="I136" s="441"/>
      <c r="J136" s="440">
        <v>1.5345048559960672E-2</v>
      </c>
      <c r="K136" s="440">
        <v>0.31916385402716502</v>
      </c>
      <c r="L136" s="440">
        <f t="shared" si="60"/>
        <v>0.33450890258712568</v>
      </c>
      <c r="M136" s="347"/>
      <c r="N136" s="347"/>
    </row>
    <row r="137" spans="1:14" x14ac:dyDescent="0.2">
      <c r="A137" s="362"/>
      <c r="B137" s="440"/>
      <c r="C137" s="440"/>
      <c r="D137" s="440"/>
      <c r="E137" s="441"/>
      <c r="F137" s="440"/>
      <c r="G137" s="440"/>
      <c r="H137" s="440"/>
      <c r="I137" s="441"/>
      <c r="J137" s="440"/>
      <c r="K137" s="440"/>
      <c r="L137" s="440"/>
      <c r="M137" s="347"/>
      <c r="N137" s="347"/>
    </row>
    <row r="138" spans="1:14" x14ac:dyDescent="0.2">
      <c r="A138" s="357" t="s">
        <v>32</v>
      </c>
      <c r="B138" s="450">
        <f>SUM(B128:B136)</f>
        <v>0.39799999999492519</v>
      </c>
      <c r="C138" s="450">
        <f t="shared" ref="C138" si="61">SUM(C128:C136)</f>
        <v>3.1370000000069416</v>
      </c>
      <c r="D138" s="450">
        <f>SUM(D128:D136)</f>
        <v>3.5350000000018662</v>
      </c>
      <c r="E138" s="450"/>
      <c r="F138" s="450">
        <f t="shared" ref="F138:H138" si="62">SUM(F128:F136)</f>
        <v>0.35400000000213189</v>
      </c>
      <c r="G138" s="450">
        <f t="shared" si="62"/>
        <v>3.6970000000072973</v>
      </c>
      <c r="H138" s="450">
        <f t="shared" si="62"/>
        <v>4.0510000000094299</v>
      </c>
      <c r="I138" s="450"/>
      <c r="J138" s="450">
        <f t="shared" ref="J138:L138" si="63">SUM(J128:J136)</f>
        <v>0.32400000000060314</v>
      </c>
      <c r="K138" s="450">
        <f t="shared" si="63"/>
        <v>3.2269999999395935</v>
      </c>
      <c r="L138" s="450">
        <f t="shared" si="63"/>
        <v>3.5509999999401973</v>
      </c>
      <c r="M138" s="347"/>
      <c r="N138" s="347"/>
    </row>
    <row r="139" spans="1:14" x14ac:dyDescent="0.2">
      <c r="A139" s="348"/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53"/>
      <c r="M139" s="347"/>
      <c r="N139" s="347"/>
    </row>
    <row r="140" spans="1:14" x14ac:dyDescent="0.2">
      <c r="A140" s="348"/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72" t="s">
        <v>35</v>
      </c>
      <c r="M140" s="347"/>
      <c r="N140" s="347"/>
    </row>
    <row r="141" spans="1:14" x14ac:dyDescent="0.2">
      <c r="A141" s="355"/>
      <c r="B141" s="365"/>
      <c r="C141" s="365"/>
      <c r="D141" s="365"/>
      <c r="E141" s="365"/>
      <c r="F141" s="365"/>
      <c r="G141" s="365"/>
      <c r="H141" s="365"/>
      <c r="I141" s="365"/>
      <c r="J141" s="365"/>
      <c r="K141" s="365"/>
      <c r="L141" s="347"/>
      <c r="M141" s="347"/>
      <c r="N141" s="347"/>
    </row>
    <row r="142" spans="1:14" x14ac:dyDescent="0.2">
      <c r="A142" s="354" t="str">
        <f>name!A11</f>
        <v>Paper, etc</v>
      </c>
      <c r="B142" s="517">
        <f>B$6</f>
        <v>2007</v>
      </c>
      <c r="C142" s="517"/>
      <c r="D142" s="517"/>
      <c r="E142" s="369"/>
      <c r="F142" s="517">
        <f>F125</f>
        <v>2017</v>
      </c>
      <c r="G142" s="517"/>
      <c r="H142" s="517"/>
      <c r="I142" s="369"/>
      <c r="J142" s="517">
        <f>J125</f>
        <v>2027</v>
      </c>
      <c r="K142" s="517"/>
      <c r="L142" s="517"/>
      <c r="M142" s="347"/>
      <c r="N142" s="347"/>
    </row>
    <row r="143" spans="1:14" x14ac:dyDescent="0.2">
      <c r="A143" s="370"/>
      <c r="B143" s="371" t="s">
        <v>387</v>
      </c>
      <c r="C143" s="371" t="s">
        <v>388</v>
      </c>
      <c r="D143" s="371" t="s">
        <v>32</v>
      </c>
      <c r="E143" s="371"/>
      <c r="F143" s="371" t="s">
        <v>387</v>
      </c>
      <c r="G143" s="371" t="s">
        <v>388</v>
      </c>
      <c r="H143" s="371" t="s">
        <v>32</v>
      </c>
      <c r="I143" s="371"/>
      <c r="J143" s="371" t="s">
        <v>387</v>
      </c>
      <c r="K143" s="371" t="s">
        <v>388</v>
      </c>
      <c r="L143" s="371" t="s">
        <v>32</v>
      </c>
      <c r="M143" s="347"/>
      <c r="N143" s="347"/>
    </row>
    <row r="144" spans="1:14" s="286" customFormat="1" x14ac:dyDescent="0.2">
      <c r="A144" s="374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47"/>
      <c r="N144" s="347"/>
    </row>
    <row r="145" spans="1:14" x14ac:dyDescent="0.2">
      <c r="A145" s="362" t="str">
        <f>name!E$4</f>
        <v>Managers, directors and senior officials</v>
      </c>
      <c r="B145" s="440">
        <v>3.2705769384539889E-2</v>
      </c>
      <c r="C145" s="440">
        <v>0.31209686316420426</v>
      </c>
      <c r="D145" s="440">
        <f>SUM(B145:C145)</f>
        <v>0.34480263254874416</v>
      </c>
      <c r="E145" s="441"/>
      <c r="F145" s="440">
        <v>2.2750099531641702E-2</v>
      </c>
      <c r="G145" s="440">
        <v>0.14361639159033146</v>
      </c>
      <c r="H145" s="440">
        <f>SUM(F145:G145)</f>
        <v>0.16636649112197316</v>
      </c>
      <c r="I145" s="441"/>
      <c r="J145" s="440">
        <v>2.7359618526601178E-2</v>
      </c>
      <c r="K145" s="440">
        <v>0.15017506747792408</v>
      </c>
      <c r="L145" s="440">
        <f>SUM(J145:K145)</f>
        <v>0.17753468600452527</v>
      </c>
      <c r="M145" s="347"/>
      <c r="N145" s="347"/>
    </row>
    <row r="146" spans="1:14" x14ac:dyDescent="0.2">
      <c r="A146" s="362" t="str">
        <f>name!E$5</f>
        <v>Professional occupations</v>
      </c>
      <c r="B146" s="440">
        <v>5.0802123185322762E-2</v>
      </c>
      <c r="C146" s="440">
        <v>0.25154575556268766</v>
      </c>
      <c r="D146" s="440">
        <f t="shared" ref="D146:D153" si="64">SUM(B146:C146)</f>
        <v>0.30234787874801039</v>
      </c>
      <c r="E146" s="441"/>
      <c r="F146" s="440">
        <v>2.8332960489058975E-2</v>
      </c>
      <c r="G146" s="440">
        <v>0.13088168549555734</v>
      </c>
      <c r="H146" s="440">
        <f t="shared" ref="H146:H153" si="65">SUM(F146:G146)</f>
        <v>0.15921464598461632</v>
      </c>
      <c r="I146" s="441"/>
      <c r="J146" s="440">
        <v>3.316111194473001E-2</v>
      </c>
      <c r="K146" s="440">
        <v>0.13338500656420635</v>
      </c>
      <c r="L146" s="440">
        <f t="shared" ref="L146:L153" si="66">SUM(J146:K146)</f>
        <v>0.16654611850893636</v>
      </c>
      <c r="M146" s="347"/>
      <c r="N146" s="347"/>
    </row>
    <row r="147" spans="1:14" x14ac:dyDescent="0.2">
      <c r="A147" s="362" t="str">
        <f>name!E$6</f>
        <v>Associate professional and technical</v>
      </c>
      <c r="B147" s="440">
        <v>0.13564753432188847</v>
      </c>
      <c r="C147" s="440">
        <v>0.341002095554166</v>
      </c>
      <c r="D147" s="440">
        <f t="shared" si="64"/>
        <v>0.47664962987605447</v>
      </c>
      <c r="E147" s="441"/>
      <c r="F147" s="440">
        <v>9.5017258255988321E-2</v>
      </c>
      <c r="G147" s="440">
        <v>0.11415092164766719</v>
      </c>
      <c r="H147" s="440">
        <f t="shared" si="65"/>
        <v>0.20916817990365549</v>
      </c>
      <c r="I147" s="441"/>
      <c r="J147" s="440">
        <v>8.3031882799415729E-2</v>
      </c>
      <c r="K147" s="440">
        <v>0.11267331168746245</v>
      </c>
      <c r="L147" s="440">
        <f t="shared" si="66"/>
        <v>0.19570519448687818</v>
      </c>
      <c r="M147" s="347"/>
      <c r="N147" s="347"/>
    </row>
    <row r="148" spans="1:14" x14ac:dyDescent="0.2">
      <c r="A148" s="362" t="str">
        <f>name!E$7</f>
        <v>Administrative and secretarial</v>
      </c>
      <c r="B148" s="440">
        <v>0.34732255291130992</v>
      </c>
      <c r="C148" s="440">
        <v>0.10717829686907174</v>
      </c>
      <c r="D148" s="440">
        <f t="shared" si="64"/>
        <v>0.45450084978038163</v>
      </c>
      <c r="E148" s="441"/>
      <c r="F148" s="440">
        <v>0.13479517196564564</v>
      </c>
      <c r="G148" s="440">
        <v>2.9783714382677205E-2</v>
      </c>
      <c r="H148" s="440">
        <f t="shared" si="65"/>
        <v>0.16457888634832285</v>
      </c>
      <c r="I148" s="441"/>
      <c r="J148" s="440">
        <v>0.10932429460390969</v>
      </c>
      <c r="K148" s="440">
        <v>2.5808685854893765E-2</v>
      </c>
      <c r="L148" s="440">
        <f t="shared" si="66"/>
        <v>0.13513298045880345</v>
      </c>
      <c r="M148" s="347"/>
      <c r="N148" s="347"/>
    </row>
    <row r="149" spans="1:14" x14ac:dyDescent="0.2">
      <c r="A149" s="362" t="str">
        <f>name!E$8</f>
        <v>Skilled trades occupations</v>
      </c>
      <c r="B149" s="440">
        <v>3.3075169196878376E-2</v>
      </c>
      <c r="C149" s="440">
        <v>1.1306504729999105</v>
      </c>
      <c r="D149" s="440">
        <f t="shared" si="64"/>
        <v>1.163725642196789</v>
      </c>
      <c r="E149" s="441"/>
      <c r="F149" s="440">
        <v>9.0559289668967254E-3</v>
      </c>
      <c r="G149" s="440">
        <v>0.61123801534953559</v>
      </c>
      <c r="H149" s="440">
        <f t="shared" si="65"/>
        <v>0.62029394431643237</v>
      </c>
      <c r="I149" s="441"/>
      <c r="J149" s="440">
        <v>6.8057576116909418E-3</v>
      </c>
      <c r="K149" s="440">
        <v>0.49273732897052497</v>
      </c>
      <c r="L149" s="440">
        <f t="shared" si="66"/>
        <v>0.49954308658221591</v>
      </c>
      <c r="M149" s="347"/>
      <c r="N149" s="347"/>
    </row>
    <row r="150" spans="1:14" x14ac:dyDescent="0.2">
      <c r="A150" s="362" t="str">
        <f>name!E$9</f>
        <v>Caring, leisure and other service</v>
      </c>
      <c r="B150" s="440">
        <v>0.15762415401524696</v>
      </c>
      <c r="C150" s="440">
        <v>1.0492497300618997E-2</v>
      </c>
      <c r="D150" s="440">
        <f t="shared" si="64"/>
        <v>0.16811665131586595</v>
      </c>
      <c r="E150" s="441"/>
      <c r="F150" s="440">
        <v>5.9696934217033981E-2</v>
      </c>
      <c r="G150" s="440">
        <v>6.8280710245008569E-3</v>
      </c>
      <c r="H150" s="440">
        <f t="shared" si="65"/>
        <v>6.6525005241534832E-2</v>
      </c>
      <c r="I150" s="441"/>
      <c r="J150" s="440">
        <v>6.1984192089054736E-2</v>
      </c>
      <c r="K150" s="440">
        <v>7.2009892185337619E-3</v>
      </c>
      <c r="L150" s="440">
        <f t="shared" si="66"/>
        <v>6.9185181307588495E-2</v>
      </c>
      <c r="M150" s="347"/>
      <c r="N150" s="347"/>
    </row>
    <row r="151" spans="1:14" x14ac:dyDescent="0.2">
      <c r="A151" s="362" t="str">
        <f>name!E$10</f>
        <v>Sales and customer service</v>
      </c>
      <c r="B151" s="440">
        <v>5.9597966867713327E-2</v>
      </c>
      <c r="C151" s="440">
        <v>3.4102012850141264E-2</v>
      </c>
      <c r="D151" s="440">
        <f t="shared" si="64"/>
        <v>9.3699979717854598E-2</v>
      </c>
      <c r="E151" s="441"/>
      <c r="F151" s="440">
        <v>3.5717793959939362E-2</v>
      </c>
      <c r="G151" s="440">
        <v>1.7353232191387194E-2</v>
      </c>
      <c r="H151" s="440">
        <f t="shared" si="65"/>
        <v>5.3071026151326556E-2</v>
      </c>
      <c r="I151" s="441"/>
      <c r="J151" s="440">
        <v>3.9952390794657407E-2</v>
      </c>
      <c r="K151" s="440">
        <v>1.5969243359539292E-2</v>
      </c>
      <c r="L151" s="440">
        <f t="shared" si="66"/>
        <v>5.5921634154196695E-2</v>
      </c>
      <c r="M151" s="347"/>
      <c r="N151" s="347"/>
    </row>
    <row r="152" spans="1:14" x14ac:dyDescent="0.2">
      <c r="A152" s="362" t="str">
        <f>name!E$11</f>
        <v>Process, plant and machine operatives</v>
      </c>
      <c r="B152" s="440">
        <v>0.35467156827492874</v>
      </c>
      <c r="C152" s="440">
        <v>1.6120497207418991</v>
      </c>
      <c r="D152" s="440">
        <f t="shared" si="64"/>
        <v>1.966721289016828</v>
      </c>
      <c r="E152" s="441"/>
      <c r="F152" s="440">
        <v>7.7612458450228503E-2</v>
      </c>
      <c r="G152" s="440">
        <v>0.95854938847531213</v>
      </c>
      <c r="H152" s="440">
        <f t="shared" si="65"/>
        <v>1.0361618469255407</v>
      </c>
      <c r="I152" s="441"/>
      <c r="J152" s="440">
        <v>4.1777555238201584E-2</v>
      </c>
      <c r="K152" s="440">
        <v>0.82295744048911357</v>
      </c>
      <c r="L152" s="440">
        <f t="shared" si="66"/>
        <v>0.86473499572731516</v>
      </c>
      <c r="M152" s="347"/>
      <c r="N152" s="347"/>
    </row>
    <row r="153" spans="1:14" x14ac:dyDescent="0.2">
      <c r="A153" s="362" t="str">
        <f>name!E$12</f>
        <v>Elementary occupations</v>
      </c>
      <c r="B153" s="440">
        <v>0.26655316181445399</v>
      </c>
      <c r="C153" s="440">
        <v>0.47488228496012275</v>
      </c>
      <c r="D153" s="440">
        <f t="shared" si="64"/>
        <v>0.74143544677457673</v>
      </c>
      <c r="E153" s="441"/>
      <c r="F153" s="440">
        <v>0.11102139416832685</v>
      </c>
      <c r="G153" s="440">
        <v>0.31859857984493134</v>
      </c>
      <c r="H153" s="440">
        <f t="shared" si="65"/>
        <v>0.42961997401325819</v>
      </c>
      <c r="I153" s="441"/>
      <c r="J153" s="440">
        <v>0.12260319639284398</v>
      </c>
      <c r="K153" s="440">
        <v>0.30509292634346546</v>
      </c>
      <c r="L153" s="440">
        <f t="shared" si="66"/>
        <v>0.42769612273630941</v>
      </c>
      <c r="M153" s="347"/>
      <c r="N153" s="347"/>
    </row>
    <row r="154" spans="1:14" x14ac:dyDescent="0.2">
      <c r="A154" s="362"/>
      <c r="B154" s="440"/>
      <c r="C154" s="440"/>
      <c r="D154" s="440"/>
      <c r="E154" s="441"/>
      <c r="F154" s="440"/>
      <c r="G154" s="440"/>
      <c r="H154" s="440"/>
      <c r="I154" s="441"/>
      <c r="J154" s="440"/>
      <c r="K154" s="440"/>
      <c r="L154" s="440"/>
      <c r="M154" s="347"/>
      <c r="N154" s="347"/>
    </row>
    <row r="155" spans="1:14" x14ac:dyDescent="0.2">
      <c r="A155" s="357" t="s">
        <v>32</v>
      </c>
      <c r="B155" s="450">
        <f>SUM(B145:B153)</f>
        <v>1.4379999999722823</v>
      </c>
      <c r="C155" s="450">
        <f t="shared" ref="C155:D155" si="67">SUM(C145:C153)</f>
        <v>4.2740000000028227</v>
      </c>
      <c r="D155" s="450">
        <f t="shared" si="67"/>
        <v>5.711999999975105</v>
      </c>
      <c r="E155" s="450"/>
      <c r="F155" s="450">
        <f t="shared" ref="F155:H155" si="68">SUM(F145:F153)</f>
        <v>0.57400000000476004</v>
      </c>
      <c r="G155" s="450">
        <f t="shared" si="68"/>
        <v>2.3310000000019002</v>
      </c>
      <c r="H155" s="450">
        <f t="shared" si="68"/>
        <v>2.9050000000066607</v>
      </c>
      <c r="I155" s="450"/>
      <c r="J155" s="450">
        <f t="shared" ref="J155:L155" si="69">SUM(J145:J153)</f>
        <v>0.52600000000110525</v>
      </c>
      <c r="K155" s="450">
        <f t="shared" si="69"/>
        <v>2.0659999999656637</v>
      </c>
      <c r="L155" s="450">
        <f t="shared" si="69"/>
        <v>2.5919999999667684</v>
      </c>
      <c r="M155" s="347"/>
      <c r="N155" s="347"/>
    </row>
    <row r="156" spans="1:14" x14ac:dyDescent="0.2">
      <c r="A156" s="348"/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  <c r="L156" s="353"/>
      <c r="M156" s="347"/>
      <c r="N156" s="347"/>
    </row>
    <row r="157" spans="1:14" x14ac:dyDescent="0.2">
      <c r="A157" s="348"/>
      <c r="B157" s="348"/>
      <c r="C157" s="348"/>
      <c r="D157" s="348"/>
      <c r="E157" s="348"/>
      <c r="F157" s="348"/>
      <c r="G157" s="348"/>
      <c r="H157" s="348"/>
      <c r="I157" s="348"/>
      <c r="J157" s="348"/>
      <c r="K157" s="348"/>
      <c r="L157" s="372" t="s">
        <v>35</v>
      </c>
      <c r="M157" s="347"/>
      <c r="N157" s="347"/>
    </row>
    <row r="158" spans="1:14" x14ac:dyDescent="0.2">
      <c r="A158" s="355"/>
      <c r="B158" s="365"/>
      <c r="C158" s="365"/>
      <c r="D158" s="365"/>
      <c r="E158" s="365"/>
      <c r="F158" s="365"/>
      <c r="G158" s="365"/>
      <c r="H158" s="365"/>
      <c r="I158" s="365"/>
      <c r="J158" s="365"/>
      <c r="K158" s="365"/>
      <c r="L158" s="347"/>
      <c r="M158" s="347"/>
      <c r="N158" s="347"/>
    </row>
    <row r="159" spans="1:14" x14ac:dyDescent="0.2">
      <c r="A159" s="354" t="str">
        <f>name!A12</f>
        <v>Printing and recording</v>
      </c>
      <c r="B159" s="517">
        <f>B$6</f>
        <v>2007</v>
      </c>
      <c r="C159" s="517"/>
      <c r="D159" s="517"/>
      <c r="E159" s="369"/>
      <c r="F159" s="517">
        <f>F142</f>
        <v>2017</v>
      </c>
      <c r="G159" s="517"/>
      <c r="H159" s="517"/>
      <c r="I159" s="369"/>
      <c r="J159" s="517">
        <f>J142</f>
        <v>2027</v>
      </c>
      <c r="K159" s="517"/>
      <c r="L159" s="517"/>
      <c r="M159" s="347"/>
      <c r="N159" s="347"/>
    </row>
    <row r="160" spans="1:14" x14ac:dyDescent="0.2">
      <c r="A160" s="370"/>
      <c r="B160" s="371" t="s">
        <v>387</v>
      </c>
      <c r="C160" s="371" t="s">
        <v>388</v>
      </c>
      <c r="D160" s="371" t="s">
        <v>32</v>
      </c>
      <c r="E160" s="371"/>
      <c r="F160" s="371" t="s">
        <v>387</v>
      </c>
      <c r="G160" s="371" t="s">
        <v>388</v>
      </c>
      <c r="H160" s="371" t="s">
        <v>32</v>
      </c>
      <c r="I160" s="371"/>
      <c r="J160" s="371" t="s">
        <v>387</v>
      </c>
      <c r="K160" s="371" t="s">
        <v>388</v>
      </c>
      <c r="L160" s="371" t="s">
        <v>32</v>
      </c>
      <c r="M160" s="347"/>
      <c r="N160" s="347"/>
    </row>
    <row r="161" spans="1:14" s="286" customFormat="1" x14ac:dyDescent="0.2">
      <c r="A161" s="374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47"/>
      <c r="N161" s="347"/>
    </row>
    <row r="162" spans="1:14" x14ac:dyDescent="0.2">
      <c r="A162" s="362" t="str">
        <f>name!E$4</f>
        <v>Managers, directors and senior officials</v>
      </c>
      <c r="B162" s="440">
        <v>5.0886552565126746E-2</v>
      </c>
      <c r="C162" s="440">
        <v>0.33921434236109088</v>
      </c>
      <c r="D162" s="440">
        <f>SUM(B162:C162)</f>
        <v>0.39010089492621763</v>
      </c>
      <c r="E162" s="441"/>
      <c r="F162" s="440">
        <v>7.9501532160207916E-2</v>
      </c>
      <c r="G162" s="440">
        <v>0.55546750576375004</v>
      </c>
      <c r="H162" s="440">
        <f>SUM(F162:G162)</f>
        <v>0.63496903792395798</v>
      </c>
      <c r="I162" s="441"/>
      <c r="J162" s="440">
        <v>9.5229298243069416E-2</v>
      </c>
      <c r="K162" s="440">
        <v>0.60619400379297539</v>
      </c>
      <c r="L162" s="440">
        <f>SUM(J162:K162)</f>
        <v>0.70142330203604475</v>
      </c>
      <c r="M162" s="347"/>
      <c r="N162" s="347"/>
    </row>
    <row r="163" spans="1:14" x14ac:dyDescent="0.2">
      <c r="A163" s="362" t="str">
        <f>name!E$5</f>
        <v>Professional occupations</v>
      </c>
      <c r="B163" s="440">
        <v>6.1236797766026925E-2</v>
      </c>
      <c r="C163" s="440">
        <v>0.28479560226727596</v>
      </c>
      <c r="D163" s="440">
        <f t="shared" ref="D163:D170" si="70">SUM(B163:C163)</f>
        <v>0.34603240003330288</v>
      </c>
      <c r="E163" s="441"/>
      <c r="F163" s="440">
        <v>0.10330369446426232</v>
      </c>
      <c r="G163" s="440">
        <v>0.42189521173926769</v>
      </c>
      <c r="H163" s="440">
        <f t="shared" ref="H163:H170" si="71">SUM(F163:G163)</f>
        <v>0.52519890620353005</v>
      </c>
      <c r="I163" s="441"/>
      <c r="J163" s="440">
        <v>0.12936448252650434</v>
      </c>
      <c r="K163" s="440">
        <v>0.45728877252675271</v>
      </c>
      <c r="L163" s="440">
        <f t="shared" ref="L163:L170" si="72">SUM(J163:K163)</f>
        <v>0.58665325505325705</v>
      </c>
      <c r="M163" s="347"/>
      <c r="N163" s="347"/>
    </row>
    <row r="164" spans="1:14" x14ac:dyDescent="0.2">
      <c r="A164" s="362" t="str">
        <f>name!E$6</f>
        <v>Associate professional and technical</v>
      </c>
      <c r="B164" s="440">
        <v>0.22008139250207587</v>
      </c>
      <c r="C164" s="440">
        <v>0.3908591137788367</v>
      </c>
      <c r="D164" s="440">
        <f t="shared" si="70"/>
        <v>0.61094050628091257</v>
      </c>
      <c r="E164" s="441"/>
      <c r="F164" s="440">
        <v>0.37594626596823277</v>
      </c>
      <c r="G164" s="440">
        <v>0.33185841091210377</v>
      </c>
      <c r="H164" s="440">
        <f t="shared" si="71"/>
        <v>0.70780467688033655</v>
      </c>
      <c r="I164" s="441"/>
      <c r="J164" s="440">
        <v>0.44138252312162851</v>
      </c>
      <c r="K164" s="440">
        <v>0.3380142365733344</v>
      </c>
      <c r="L164" s="440">
        <f t="shared" si="72"/>
        <v>0.77939675969496292</v>
      </c>
      <c r="M164" s="347"/>
      <c r="N164" s="347"/>
    </row>
    <row r="165" spans="1:14" x14ac:dyDescent="0.2">
      <c r="A165" s="362" t="str">
        <f>name!E$7</f>
        <v>Administrative and secretarial</v>
      </c>
      <c r="B165" s="440">
        <v>0.49571118599197822</v>
      </c>
      <c r="C165" s="440">
        <v>7.1288644370154863E-2</v>
      </c>
      <c r="D165" s="440">
        <f t="shared" si="70"/>
        <v>0.56699983036213308</v>
      </c>
      <c r="E165" s="441"/>
      <c r="F165" s="440">
        <v>0.50476330494594734</v>
      </c>
      <c r="G165" s="440">
        <v>6.3912350698306336E-2</v>
      </c>
      <c r="H165" s="440">
        <f t="shared" si="71"/>
        <v>0.56867565564425371</v>
      </c>
      <c r="I165" s="441"/>
      <c r="J165" s="440">
        <v>0.41605699799163104</v>
      </c>
      <c r="K165" s="440">
        <v>5.8761331784795028E-2</v>
      </c>
      <c r="L165" s="440">
        <f t="shared" si="72"/>
        <v>0.47481832977642607</v>
      </c>
      <c r="M165" s="347"/>
      <c r="N165" s="347"/>
    </row>
    <row r="166" spans="1:14" x14ac:dyDescent="0.2">
      <c r="A166" s="362" t="str">
        <f>name!E$8</f>
        <v>Skilled trades occupations</v>
      </c>
      <c r="B166" s="440">
        <v>3.9010442486435364E-2</v>
      </c>
      <c r="C166" s="440">
        <v>1.32729841370459</v>
      </c>
      <c r="D166" s="440">
        <f t="shared" si="70"/>
        <v>1.3663088561910253</v>
      </c>
      <c r="E166" s="441"/>
      <c r="F166" s="440">
        <v>2.1676350403406808E-2</v>
      </c>
      <c r="G166" s="440">
        <v>1.5244991329757345</v>
      </c>
      <c r="H166" s="440">
        <f t="shared" si="71"/>
        <v>1.5461754833791412</v>
      </c>
      <c r="I166" s="441"/>
      <c r="J166" s="440">
        <v>2.205231289898436E-2</v>
      </c>
      <c r="K166" s="440">
        <v>1.230942761630115</v>
      </c>
      <c r="L166" s="440">
        <f t="shared" si="72"/>
        <v>1.2529950745290994</v>
      </c>
      <c r="M166" s="347"/>
      <c r="N166" s="347"/>
    </row>
    <row r="167" spans="1:14" x14ac:dyDescent="0.2">
      <c r="A167" s="362" t="str">
        <f>name!E$9</f>
        <v>Caring, leisure and other service</v>
      </c>
      <c r="B167" s="440">
        <v>2.5802793112021199E-2</v>
      </c>
      <c r="C167" s="440">
        <v>9.0989647567843272E-3</v>
      </c>
      <c r="D167" s="440">
        <f t="shared" si="70"/>
        <v>3.4901757868805526E-2</v>
      </c>
      <c r="E167" s="441"/>
      <c r="F167" s="440">
        <v>2.1689211225735458E-2</v>
      </c>
      <c r="G167" s="440">
        <v>8.0676265815539557E-3</v>
      </c>
      <c r="H167" s="440">
        <f t="shared" si="71"/>
        <v>2.9756837807289414E-2</v>
      </c>
      <c r="I167" s="441"/>
      <c r="J167" s="440">
        <v>2.06295580245923E-2</v>
      </c>
      <c r="K167" s="440">
        <v>9.7910711808270549E-3</v>
      </c>
      <c r="L167" s="440">
        <f t="shared" si="72"/>
        <v>3.0420629205419353E-2</v>
      </c>
      <c r="M167" s="347"/>
      <c r="N167" s="347"/>
    </row>
    <row r="168" spans="1:14" x14ac:dyDescent="0.2">
      <c r="A168" s="362" t="str">
        <f>name!E$10</f>
        <v>Sales and customer service</v>
      </c>
      <c r="B168" s="440">
        <v>7.0273605939229294E-2</v>
      </c>
      <c r="C168" s="440">
        <v>7.3500115959909448E-2</v>
      </c>
      <c r="D168" s="440">
        <f t="shared" si="70"/>
        <v>0.14377372189913873</v>
      </c>
      <c r="E168" s="441"/>
      <c r="F168" s="440">
        <v>0.15287954152328889</v>
      </c>
      <c r="G168" s="440">
        <v>5.8145937273225375E-2</v>
      </c>
      <c r="H168" s="440">
        <f t="shared" si="71"/>
        <v>0.21102547879651426</v>
      </c>
      <c r="I168" s="441"/>
      <c r="J168" s="440">
        <v>0.15559738366131703</v>
      </c>
      <c r="K168" s="440">
        <v>5.5988451553868869E-2</v>
      </c>
      <c r="L168" s="440">
        <f t="shared" si="72"/>
        <v>0.2115858352151859</v>
      </c>
      <c r="M168" s="347"/>
      <c r="N168" s="347"/>
    </row>
    <row r="169" spans="1:14" x14ac:dyDescent="0.2">
      <c r="A169" s="362" t="str">
        <f>name!E$11</f>
        <v>Process, plant and machine operatives</v>
      </c>
      <c r="B169" s="440">
        <v>0.14015576674390229</v>
      </c>
      <c r="C169" s="440">
        <v>0.40045955077102169</v>
      </c>
      <c r="D169" s="440">
        <f t="shared" si="70"/>
        <v>0.54061531751492398</v>
      </c>
      <c r="E169" s="441"/>
      <c r="F169" s="440">
        <v>0.10504239383460637</v>
      </c>
      <c r="G169" s="440">
        <v>0.48944345681297391</v>
      </c>
      <c r="H169" s="440">
        <f t="shared" si="71"/>
        <v>0.59448585064758031</v>
      </c>
      <c r="I169" s="441"/>
      <c r="J169" s="440">
        <v>7.9592640182633276E-2</v>
      </c>
      <c r="K169" s="440">
        <v>0.48146256593202441</v>
      </c>
      <c r="L169" s="440">
        <f t="shared" si="72"/>
        <v>0.56105520611465765</v>
      </c>
      <c r="M169" s="347"/>
      <c r="N169" s="347"/>
    </row>
    <row r="170" spans="1:14" x14ac:dyDescent="0.2">
      <c r="A170" s="362" t="str">
        <f>name!E$12</f>
        <v>Elementary occupations</v>
      </c>
      <c r="B170" s="440">
        <v>0.19084146288066148</v>
      </c>
      <c r="C170" s="440">
        <v>0.57248525202680545</v>
      </c>
      <c r="D170" s="440">
        <f t="shared" si="70"/>
        <v>0.76332671490746695</v>
      </c>
      <c r="E170" s="441"/>
      <c r="F170" s="440">
        <v>0.27119770547801419</v>
      </c>
      <c r="G170" s="440">
        <v>0.59971036723971971</v>
      </c>
      <c r="H170" s="440">
        <f t="shared" si="71"/>
        <v>0.87090807271773385</v>
      </c>
      <c r="I170" s="441"/>
      <c r="J170" s="440">
        <v>0.27809480334586839</v>
      </c>
      <c r="K170" s="440">
        <v>0.60355680498684983</v>
      </c>
      <c r="L170" s="440">
        <f t="shared" si="72"/>
        <v>0.88165160833271816</v>
      </c>
      <c r="M170" s="347"/>
      <c r="N170" s="347"/>
    </row>
    <row r="171" spans="1:14" x14ac:dyDescent="0.2">
      <c r="A171" s="362"/>
      <c r="B171" s="440"/>
      <c r="C171" s="440"/>
      <c r="D171" s="440"/>
      <c r="E171" s="441"/>
      <c r="F171" s="440"/>
      <c r="G171" s="440"/>
      <c r="H171" s="440"/>
      <c r="I171" s="441"/>
      <c r="J171" s="440"/>
      <c r="K171" s="440"/>
      <c r="L171" s="440"/>
      <c r="M171" s="347"/>
      <c r="N171" s="347"/>
    </row>
    <row r="172" spans="1:14" x14ac:dyDescent="0.2">
      <c r="A172" s="357" t="s">
        <v>32</v>
      </c>
      <c r="B172" s="450">
        <f>SUM(B162:B170)</f>
        <v>1.2939999999874574</v>
      </c>
      <c r="C172" s="450">
        <f t="shared" ref="C172:D172" si="73">SUM(C162:C170)</f>
        <v>3.4689999999964698</v>
      </c>
      <c r="D172" s="450">
        <f t="shared" si="73"/>
        <v>4.7629999999839265</v>
      </c>
      <c r="E172" s="450"/>
      <c r="F172" s="450">
        <f t="shared" ref="F172:H172" si="74">SUM(F162:F170)</f>
        <v>1.6360000000037018</v>
      </c>
      <c r="G172" s="450">
        <f t="shared" si="74"/>
        <v>4.0529999999966346</v>
      </c>
      <c r="H172" s="450">
        <f t="shared" si="74"/>
        <v>5.6890000000003385</v>
      </c>
      <c r="I172" s="450"/>
      <c r="J172" s="450">
        <f t="shared" ref="J172:L172" si="75">SUM(J162:J170)</f>
        <v>1.6379999999962289</v>
      </c>
      <c r="K172" s="450">
        <f t="shared" si="75"/>
        <v>3.8419999999615424</v>
      </c>
      <c r="L172" s="450">
        <f t="shared" si="75"/>
        <v>5.4799999999577711</v>
      </c>
      <c r="M172" s="347"/>
      <c r="N172" s="347"/>
    </row>
    <row r="173" spans="1:14" x14ac:dyDescent="0.2">
      <c r="A173" s="348"/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353"/>
      <c r="M173" s="347"/>
      <c r="N173" s="347"/>
    </row>
    <row r="174" spans="1:14" x14ac:dyDescent="0.2">
      <c r="A174" s="348"/>
      <c r="B174" s="348"/>
      <c r="C174" s="348"/>
      <c r="D174" s="348"/>
      <c r="E174" s="348"/>
      <c r="F174" s="348"/>
      <c r="G174" s="348"/>
      <c r="H174" s="348"/>
      <c r="I174" s="348"/>
      <c r="J174" s="348"/>
      <c r="K174" s="348"/>
      <c r="L174" s="372" t="s">
        <v>35</v>
      </c>
      <c r="M174" s="347"/>
      <c r="N174" s="347"/>
    </row>
    <row r="175" spans="1:14" x14ac:dyDescent="0.2">
      <c r="A175" s="355"/>
      <c r="B175" s="365"/>
      <c r="C175" s="365"/>
      <c r="D175" s="365"/>
      <c r="E175" s="365"/>
      <c r="F175" s="365"/>
      <c r="G175" s="365"/>
      <c r="H175" s="365"/>
      <c r="I175" s="365"/>
      <c r="J175" s="365"/>
      <c r="K175" s="365"/>
      <c r="L175" s="347"/>
      <c r="M175" s="347"/>
      <c r="N175" s="347"/>
    </row>
    <row r="176" spans="1:14" x14ac:dyDescent="0.2">
      <c r="A176" s="354" t="str">
        <f>name!A13</f>
        <v>Coke and petroleum; Chemicals, etc</v>
      </c>
      <c r="B176" s="517">
        <f>B$6</f>
        <v>2007</v>
      </c>
      <c r="C176" s="517"/>
      <c r="D176" s="517"/>
      <c r="E176" s="369"/>
      <c r="F176" s="517">
        <f>F159</f>
        <v>2017</v>
      </c>
      <c r="G176" s="517"/>
      <c r="H176" s="517"/>
      <c r="I176" s="369"/>
      <c r="J176" s="517">
        <f>J159</f>
        <v>2027</v>
      </c>
      <c r="K176" s="517"/>
      <c r="L176" s="517"/>
      <c r="M176" s="347"/>
      <c r="N176" s="347"/>
    </row>
    <row r="177" spans="1:14" x14ac:dyDescent="0.2">
      <c r="A177" s="370"/>
      <c r="B177" s="371" t="s">
        <v>387</v>
      </c>
      <c r="C177" s="371" t="s">
        <v>388</v>
      </c>
      <c r="D177" s="371" t="s">
        <v>32</v>
      </c>
      <c r="E177" s="371"/>
      <c r="F177" s="371" t="s">
        <v>387</v>
      </c>
      <c r="G177" s="371" t="s">
        <v>388</v>
      </c>
      <c r="H177" s="371" t="s">
        <v>32</v>
      </c>
      <c r="I177" s="371"/>
      <c r="J177" s="371" t="s">
        <v>387</v>
      </c>
      <c r="K177" s="371" t="s">
        <v>388</v>
      </c>
      <c r="L177" s="371" t="s">
        <v>32</v>
      </c>
      <c r="M177" s="347"/>
      <c r="N177" s="347"/>
    </row>
    <row r="178" spans="1:14" s="286" customFormat="1" x14ac:dyDescent="0.2">
      <c r="A178" s="374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47"/>
      <c r="N178" s="347"/>
    </row>
    <row r="179" spans="1:14" x14ac:dyDescent="0.2">
      <c r="A179" s="362" t="str">
        <f>name!E$4</f>
        <v>Managers, directors and senior officials</v>
      </c>
      <c r="B179" s="440">
        <v>0.10015292085974901</v>
      </c>
      <c r="C179" s="440">
        <v>0.75996032180257544</v>
      </c>
      <c r="D179" s="440">
        <f>SUM(B179:C179)</f>
        <v>0.86011324266232447</v>
      </c>
      <c r="E179" s="441"/>
      <c r="F179" s="440">
        <v>0.10153075174271572</v>
      </c>
      <c r="G179" s="440">
        <v>0.48792399626983746</v>
      </c>
      <c r="H179" s="440">
        <f>SUM(F179:G179)</f>
        <v>0.58945474801255315</v>
      </c>
      <c r="I179" s="441"/>
      <c r="J179" s="440">
        <v>0.11537068785203622</v>
      </c>
      <c r="K179" s="440">
        <v>0.50063911693273511</v>
      </c>
      <c r="L179" s="440">
        <f>SUM(J179:K179)</f>
        <v>0.6160098047847713</v>
      </c>
      <c r="M179" s="347"/>
      <c r="N179" s="347"/>
    </row>
    <row r="180" spans="1:14" x14ac:dyDescent="0.2">
      <c r="A180" s="362" t="str">
        <f>name!E$5</f>
        <v>Professional occupations</v>
      </c>
      <c r="B180" s="440">
        <v>0.21112944434775097</v>
      </c>
      <c r="C180" s="440">
        <v>1.1723509093843596</v>
      </c>
      <c r="D180" s="440">
        <f t="shared" ref="D180:D187" si="76">SUM(B180:C180)</f>
        <v>1.3834803537321105</v>
      </c>
      <c r="E180" s="441"/>
      <c r="F180" s="440">
        <v>0.16397440944159278</v>
      </c>
      <c r="G180" s="440">
        <v>0.94284201350496255</v>
      </c>
      <c r="H180" s="440">
        <f t="shared" ref="H180:H187" si="77">SUM(F180:G180)</f>
        <v>1.1068164229465554</v>
      </c>
      <c r="I180" s="441"/>
      <c r="J180" s="440">
        <v>0.17008776042191745</v>
      </c>
      <c r="K180" s="440">
        <v>0.95153481241105942</v>
      </c>
      <c r="L180" s="440">
        <f t="shared" ref="L180:L187" si="78">SUM(J180:K180)</f>
        <v>1.1216225728329769</v>
      </c>
      <c r="M180" s="347"/>
      <c r="N180" s="347"/>
    </row>
    <row r="181" spans="1:14" x14ac:dyDescent="0.2">
      <c r="A181" s="362" t="str">
        <f>name!E$6</f>
        <v>Associate professional and technical</v>
      </c>
      <c r="B181" s="440">
        <v>0.23726118325453377</v>
      </c>
      <c r="C181" s="440">
        <v>1.0465198321800375</v>
      </c>
      <c r="D181" s="440">
        <f t="shared" si="76"/>
        <v>1.2837810154345712</v>
      </c>
      <c r="E181" s="441"/>
      <c r="F181" s="440">
        <v>0.15119437683031306</v>
      </c>
      <c r="G181" s="440">
        <v>0.52546268360162396</v>
      </c>
      <c r="H181" s="440">
        <f t="shared" si="77"/>
        <v>0.67665706043193707</v>
      </c>
      <c r="I181" s="441"/>
      <c r="J181" s="440">
        <v>0.14288125354503711</v>
      </c>
      <c r="K181" s="440">
        <v>0.51488933315042362</v>
      </c>
      <c r="L181" s="440">
        <f t="shared" si="78"/>
        <v>0.65777058669546073</v>
      </c>
      <c r="M181" s="347"/>
      <c r="N181" s="347"/>
    </row>
    <row r="182" spans="1:14" x14ac:dyDescent="0.2">
      <c r="A182" s="362" t="str">
        <f>name!E$7</f>
        <v>Administrative and secretarial</v>
      </c>
      <c r="B182" s="440">
        <v>0.46319265888339906</v>
      </c>
      <c r="C182" s="440">
        <v>0.16535809226397272</v>
      </c>
      <c r="D182" s="440">
        <f t="shared" si="76"/>
        <v>0.6285507511473718</v>
      </c>
      <c r="E182" s="441"/>
      <c r="F182" s="440">
        <v>0.1877046152492946</v>
      </c>
      <c r="G182" s="440">
        <v>0.14994904113416579</v>
      </c>
      <c r="H182" s="440">
        <f t="shared" si="77"/>
        <v>0.3376536563834604</v>
      </c>
      <c r="I182" s="441"/>
      <c r="J182" s="440">
        <v>0.17049462783013677</v>
      </c>
      <c r="K182" s="440">
        <v>0.13464564259773976</v>
      </c>
      <c r="L182" s="440">
        <f t="shared" si="78"/>
        <v>0.3051402704278765</v>
      </c>
      <c r="M182" s="347"/>
      <c r="N182" s="347"/>
    </row>
    <row r="183" spans="1:14" x14ac:dyDescent="0.2">
      <c r="A183" s="362" t="str">
        <f>name!E$8</f>
        <v>Skilled trades occupations</v>
      </c>
      <c r="B183" s="440">
        <v>5.99647870910653E-2</v>
      </c>
      <c r="C183" s="440">
        <v>1.154119839096228</v>
      </c>
      <c r="D183" s="440">
        <f t="shared" si="76"/>
        <v>1.2140846261872933</v>
      </c>
      <c r="E183" s="441"/>
      <c r="F183" s="440">
        <v>4.2943666998004087E-2</v>
      </c>
      <c r="G183" s="440">
        <v>0.3229508609880451</v>
      </c>
      <c r="H183" s="440">
        <f t="shared" si="77"/>
        <v>0.36589452798604916</v>
      </c>
      <c r="I183" s="441"/>
      <c r="J183" s="440">
        <v>3.7467691945416617E-2</v>
      </c>
      <c r="K183" s="440">
        <v>0.25806047763881929</v>
      </c>
      <c r="L183" s="440">
        <f t="shared" si="78"/>
        <v>0.29552816958423589</v>
      </c>
      <c r="M183" s="347"/>
      <c r="N183" s="347"/>
    </row>
    <row r="184" spans="1:14" x14ac:dyDescent="0.2">
      <c r="A184" s="362" t="str">
        <f>name!E$9</f>
        <v>Caring, leisure and other service</v>
      </c>
      <c r="B184" s="440">
        <v>9.3198463509527638E-2</v>
      </c>
      <c r="C184" s="440">
        <v>2.2667572161161827E-2</v>
      </c>
      <c r="D184" s="440">
        <f t="shared" si="76"/>
        <v>0.11586603567068947</v>
      </c>
      <c r="E184" s="441"/>
      <c r="F184" s="440">
        <v>6.3100561640150502E-2</v>
      </c>
      <c r="G184" s="440">
        <v>1.4572260226639206E-2</v>
      </c>
      <c r="H184" s="440">
        <f t="shared" si="77"/>
        <v>7.7672821866789712E-2</v>
      </c>
      <c r="I184" s="441"/>
      <c r="J184" s="440">
        <v>7.4488675639854396E-2</v>
      </c>
      <c r="K184" s="440">
        <v>1.8340094731614139E-2</v>
      </c>
      <c r="L184" s="440">
        <f t="shared" si="78"/>
        <v>9.2828770371468528E-2</v>
      </c>
      <c r="M184" s="347"/>
      <c r="N184" s="347"/>
    </row>
    <row r="185" spans="1:14" x14ac:dyDescent="0.2">
      <c r="A185" s="362" t="str">
        <f>name!E$10</f>
        <v>Sales and customer service</v>
      </c>
      <c r="B185" s="440">
        <v>0.12926371784106649</v>
      </c>
      <c r="C185" s="440">
        <v>0.11041259400867048</v>
      </c>
      <c r="D185" s="440">
        <f t="shared" si="76"/>
        <v>0.23967631184973698</v>
      </c>
      <c r="E185" s="441"/>
      <c r="F185" s="440">
        <v>7.557211653931728E-2</v>
      </c>
      <c r="G185" s="440">
        <v>6.9309312093927891E-2</v>
      </c>
      <c r="H185" s="440">
        <f t="shared" si="77"/>
        <v>0.14488142863324516</v>
      </c>
      <c r="I185" s="441"/>
      <c r="J185" s="440">
        <v>7.617657981042425E-2</v>
      </c>
      <c r="K185" s="440">
        <v>6.765036571234069E-2</v>
      </c>
      <c r="L185" s="440">
        <f t="shared" si="78"/>
        <v>0.14382694552276493</v>
      </c>
      <c r="M185" s="347"/>
      <c r="N185" s="347"/>
    </row>
    <row r="186" spans="1:14" x14ac:dyDescent="0.2">
      <c r="A186" s="362" t="str">
        <f>name!E$11</f>
        <v>Process, plant and machine operatives</v>
      </c>
      <c r="B186" s="440">
        <v>0.77406904397030807</v>
      </c>
      <c r="C186" s="440">
        <v>1.9129157123177483</v>
      </c>
      <c r="D186" s="440">
        <f t="shared" si="76"/>
        <v>2.6869847562880564</v>
      </c>
      <c r="E186" s="441"/>
      <c r="F186" s="440">
        <v>0.40941786860099416</v>
      </c>
      <c r="G186" s="440">
        <v>0.79390491652763473</v>
      </c>
      <c r="H186" s="440">
        <f t="shared" si="77"/>
        <v>1.2033227851286288</v>
      </c>
      <c r="I186" s="441"/>
      <c r="J186" s="440">
        <v>0.2706869061493119</v>
      </c>
      <c r="K186" s="440">
        <v>0.62915310580633033</v>
      </c>
      <c r="L186" s="440">
        <f t="shared" si="78"/>
        <v>0.89984001195564223</v>
      </c>
      <c r="M186" s="347"/>
      <c r="N186" s="347"/>
    </row>
    <row r="187" spans="1:14" x14ac:dyDescent="0.2">
      <c r="A187" s="362" t="str">
        <f>name!E$12</f>
        <v>Elementary occupations</v>
      </c>
      <c r="B187" s="440">
        <v>0.44976778019241909</v>
      </c>
      <c r="C187" s="440">
        <v>0.34269512676919595</v>
      </c>
      <c r="D187" s="440">
        <f t="shared" si="76"/>
        <v>0.79246290696161503</v>
      </c>
      <c r="E187" s="441"/>
      <c r="F187" s="440">
        <v>0.26756163296327118</v>
      </c>
      <c r="G187" s="440">
        <v>0.17208491563916775</v>
      </c>
      <c r="H187" s="440">
        <f t="shared" si="77"/>
        <v>0.4396465486024389</v>
      </c>
      <c r="I187" s="441"/>
      <c r="J187" s="440">
        <v>0.29534581680641608</v>
      </c>
      <c r="K187" s="440">
        <v>0.14908705101842787</v>
      </c>
      <c r="L187" s="440">
        <f t="shared" si="78"/>
        <v>0.44443286782484392</v>
      </c>
      <c r="M187" s="347"/>
      <c r="N187" s="347"/>
    </row>
    <row r="188" spans="1:14" x14ac:dyDescent="0.2">
      <c r="A188" s="362"/>
      <c r="B188" s="440"/>
      <c r="C188" s="440"/>
      <c r="D188" s="440"/>
      <c r="E188" s="441"/>
      <c r="F188" s="440"/>
      <c r="G188" s="440"/>
      <c r="H188" s="440"/>
      <c r="I188" s="441"/>
      <c r="J188" s="440"/>
      <c r="K188" s="440"/>
      <c r="L188" s="440"/>
      <c r="M188" s="347"/>
      <c r="N188" s="347"/>
    </row>
    <row r="189" spans="1:14" x14ac:dyDescent="0.2">
      <c r="A189" s="357" t="s">
        <v>32</v>
      </c>
      <c r="B189" s="450">
        <f>SUM(B179:B187)</f>
        <v>2.5179999999498195</v>
      </c>
      <c r="C189" s="450">
        <f t="shared" ref="C189:D189" si="79">SUM(C179:C187)</f>
        <v>6.6869999999839509</v>
      </c>
      <c r="D189" s="450">
        <f t="shared" si="79"/>
        <v>9.2049999999337704</v>
      </c>
      <c r="E189" s="450"/>
      <c r="F189" s="450">
        <f t="shared" ref="F189:H189" si="80">SUM(F179:F187)</f>
        <v>1.4630000000056533</v>
      </c>
      <c r="G189" s="450">
        <f t="shared" si="80"/>
        <v>3.4789999999860046</v>
      </c>
      <c r="H189" s="450">
        <f t="shared" si="80"/>
        <v>4.9419999999916575</v>
      </c>
      <c r="I189" s="450"/>
      <c r="J189" s="450">
        <f t="shared" ref="J189:L189" si="81">SUM(J179:J187)</f>
        <v>1.3530000000005509</v>
      </c>
      <c r="K189" s="450">
        <f t="shared" si="81"/>
        <v>3.2239999999994904</v>
      </c>
      <c r="L189" s="450">
        <f t="shared" si="81"/>
        <v>4.5770000000000408</v>
      </c>
      <c r="M189" s="347"/>
      <c r="N189" s="347"/>
    </row>
    <row r="190" spans="1:14" x14ac:dyDescent="0.2">
      <c r="A190" s="348"/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53"/>
      <c r="M190" s="347"/>
      <c r="N190" s="347"/>
    </row>
    <row r="191" spans="1:14" x14ac:dyDescent="0.2">
      <c r="A191" s="348"/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72" t="s">
        <v>35</v>
      </c>
      <c r="M191" s="347"/>
      <c r="N191" s="347"/>
    </row>
    <row r="192" spans="1:14" x14ac:dyDescent="0.2">
      <c r="A192" s="355"/>
      <c r="B192" s="365"/>
      <c r="C192" s="365"/>
      <c r="D192" s="365"/>
      <c r="E192" s="365"/>
      <c r="F192" s="365"/>
      <c r="G192" s="365"/>
      <c r="H192" s="365"/>
      <c r="I192" s="365"/>
      <c r="J192" s="365"/>
      <c r="K192" s="365"/>
      <c r="L192" s="347"/>
      <c r="M192" s="347"/>
      <c r="N192" s="347"/>
    </row>
    <row r="193" spans="1:14" x14ac:dyDescent="0.2">
      <c r="A193" s="354" t="str">
        <f>name!A14</f>
        <v>Pharmaceuticals</v>
      </c>
      <c r="B193" s="517">
        <f>B$6</f>
        <v>2007</v>
      </c>
      <c r="C193" s="517"/>
      <c r="D193" s="517"/>
      <c r="E193" s="369"/>
      <c r="F193" s="517">
        <f>F176</f>
        <v>2017</v>
      </c>
      <c r="G193" s="517"/>
      <c r="H193" s="517"/>
      <c r="I193" s="369"/>
      <c r="J193" s="517">
        <f>J176</f>
        <v>2027</v>
      </c>
      <c r="K193" s="517"/>
      <c r="L193" s="517"/>
      <c r="M193" s="347"/>
      <c r="N193" s="347"/>
    </row>
    <row r="194" spans="1:14" x14ac:dyDescent="0.2">
      <c r="A194" s="370"/>
      <c r="B194" s="371" t="s">
        <v>387</v>
      </c>
      <c r="C194" s="371" t="s">
        <v>388</v>
      </c>
      <c r="D194" s="371" t="s">
        <v>32</v>
      </c>
      <c r="E194" s="371"/>
      <c r="F194" s="371" t="s">
        <v>387</v>
      </c>
      <c r="G194" s="371" t="s">
        <v>388</v>
      </c>
      <c r="H194" s="371" t="s">
        <v>32</v>
      </c>
      <c r="I194" s="371"/>
      <c r="J194" s="371" t="s">
        <v>387</v>
      </c>
      <c r="K194" s="371" t="s">
        <v>388</v>
      </c>
      <c r="L194" s="371" t="s">
        <v>32</v>
      </c>
      <c r="M194" s="347"/>
      <c r="N194" s="347"/>
    </row>
    <row r="195" spans="1:14" s="286" customFormat="1" x14ac:dyDescent="0.2">
      <c r="A195" s="374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47"/>
      <c r="N195" s="347"/>
    </row>
    <row r="196" spans="1:14" x14ac:dyDescent="0.2">
      <c r="A196" s="362" t="str">
        <f>name!E$4</f>
        <v>Managers, directors and senior officials</v>
      </c>
      <c r="B196" s="440">
        <v>4.3176285568922196E-2</v>
      </c>
      <c r="C196" s="440">
        <v>0.18582616946969527</v>
      </c>
      <c r="D196" s="440">
        <f>SUM(B196:C196)</f>
        <v>0.22900245503861746</v>
      </c>
      <c r="E196" s="441"/>
      <c r="F196" s="440">
        <v>8.6442128897898582E-2</v>
      </c>
      <c r="G196" s="440">
        <v>0.20544515442626313</v>
      </c>
      <c r="H196" s="440">
        <f>SUM(F196:G196)</f>
        <v>0.29188728332416169</v>
      </c>
      <c r="I196" s="441"/>
      <c r="J196" s="440">
        <v>0.13497262660005122</v>
      </c>
      <c r="K196" s="440">
        <v>0.14937433548769083</v>
      </c>
      <c r="L196" s="440">
        <f>SUM(J196:K196)</f>
        <v>0.28434696208774202</v>
      </c>
      <c r="M196" s="347"/>
      <c r="N196" s="347"/>
    </row>
    <row r="197" spans="1:14" x14ac:dyDescent="0.2">
      <c r="A197" s="362" t="str">
        <f>name!E$5</f>
        <v>Professional occupations</v>
      </c>
      <c r="B197" s="440">
        <v>0.25861137749934338</v>
      </c>
      <c r="C197" s="440">
        <v>0.49672774819184534</v>
      </c>
      <c r="D197" s="440">
        <f t="shared" ref="D197:D204" si="82">SUM(B197:C197)</f>
        <v>0.75533912569118877</v>
      </c>
      <c r="E197" s="441"/>
      <c r="F197" s="440">
        <v>0.44068386337310472</v>
      </c>
      <c r="G197" s="440">
        <v>0.61762263287595054</v>
      </c>
      <c r="H197" s="440">
        <f t="shared" ref="H197:H204" si="83">SUM(F197:G197)</f>
        <v>1.0583064962490552</v>
      </c>
      <c r="I197" s="441"/>
      <c r="J197" s="440">
        <v>0.63984678180270438</v>
      </c>
      <c r="K197" s="440">
        <v>0.41981000772215815</v>
      </c>
      <c r="L197" s="440">
        <f t="shared" ref="L197:L204" si="84">SUM(J197:K197)</f>
        <v>1.0596567895248625</v>
      </c>
      <c r="M197" s="347"/>
      <c r="N197" s="347"/>
    </row>
    <row r="198" spans="1:14" x14ac:dyDescent="0.2">
      <c r="A198" s="362" t="str">
        <f>name!E$6</f>
        <v>Associate professional and technical</v>
      </c>
      <c r="B198" s="440">
        <v>0.16733698487027288</v>
      </c>
      <c r="C198" s="440">
        <v>0.26216865545183676</v>
      </c>
      <c r="D198" s="440">
        <f t="shared" si="82"/>
        <v>0.42950564032210964</v>
      </c>
      <c r="E198" s="441"/>
      <c r="F198" s="440">
        <v>0.22756232658679493</v>
      </c>
      <c r="G198" s="440">
        <v>0.24228315835607858</v>
      </c>
      <c r="H198" s="440">
        <f t="shared" si="83"/>
        <v>0.46984548494287348</v>
      </c>
      <c r="I198" s="441"/>
      <c r="J198" s="440">
        <v>0.30041631387462131</v>
      </c>
      <c r="K198" s="440">
        <v>0.16984259574140925</v>
      </c>
      <c r="L198" s="440">
        <f t="shared" si="84"/>
        <v>0.47025890961603056</v>
      </c>
      <c r="M198" s="347"/>
      <c r="N198" s="347"/>
    </row>
    <row r="199" spans="1:14" x14ac:dyDescent="0.2">
      <c r="A199" s="362" t="str">
        <f>name!E$7</f>
        <v>Administrative and secretarial</v>
      </c>
      <c r="B199" s="440">
        <v>0.16840245645958712</v>
      </c>
      <c r="C199" s="440">
        <v>3.7818637049548062E-2</v>
      </c>
      <c r="D199" s="440">
        <f t="shared" si="82"/>
        <v>0.2062210935091352</v>
      </c>
      <c r="E199" s="441"/>
      <c r="F199" s="440">
        <v>0.17314506416048617</v>
      </c>
      <c r="G199" s="440">
        <v>2.2637639512515281E-2</v>
      </c>
      <c r="H199" s="440">
        <f t="shared" si="83"/>
        <v>0.19578270367300143</v>
      </c>
      <c r="I199" s="441"/>
      <c r="J199" s="440">
        <v>0.16124074796743393</v>
      </c>
      <c r="K199" s="440">
        <v>1.425763796097727E-2</v>
      </c>
      <c r="L199" s="440">
        <f t="shared" si="84"/>
        <v>0.17549838592841119</v>
      </c>
      <c r="M199" s="347"/>
      <c r="N199" s="347"/>
    </row>
    <row r="200" spans="1:14" x14ac:dyDescent="0.2">
      <c r="A200" s="362" t="str">
        <f>name!E$8</f>
        <v>Skilled trades occupations</v>
      </c>
      <c r="B200" s="440">
        <v>1.6628870734777184E-2</v>
      </c>
      <c r="C200" s="440">
        <v>0.17584649890852913</v>
      </c>
      <c r="D200" s="440">
        <f t="shared" si="82"/>
        <v>0.1924753696433063</v>
      </c>
      <c r="E200" s="441"/>
      <c r="F200" s="440">
        <v>2.9479867006842846E-2</v>
      </c>
      <c r="G200" s="440">
        <v>0.16399860507248784</v>
      </c>
      <c r="H200" s="440">
        <f t="shared" si="83"/>
        <v>0.19347847207933069</v>
      </c>
      <c r="I200" s="441"/>
      <c r="J200" s="440">
        <v>4.3399131783500453E-2</v>
      </c>
      <c r="K200" s="440">
        <v>9.9092746029559697E-2</v>
      </c>
      <c r="L200" s="440">
        <f t="shared" si="84"/>
        <v>0.14249187781306016</v>
      </c>
      <c r="M200" s="347"/>
      <c r="N200" s="347"/>
    </row>
    <row r="201" spans="1:14" x14ac:dyDescent="0.2">
      <c r="A201" s="362" t="str">
        <f>name!E$9</f>
        <v>Caring, leisure and other service</v>
      </c>
      <c r="B201" s="440">
        <v>0.10017260162267735</v>
      </c>
      <c r="C201" s="440">
        <v>1.1948714748291924E-2</v>
      </c>
      <c r="D201" s="440">
        <f t="shared" si="82"/>
        <v>0.11212131637096928</v>
      </c>
      <c r="E201" s="441"/>
      <c r="F201" s="440">
        <v>0.12117357294382151</v>
      </c>
      <c r="G201" s="440">
        <v>1.2005264171691057E-2</v>
      </c>
      <c r="H201" s="440">
        <f t="shared" si="83"/>
        <v>0.13317883711551257</v>
      </c>
      <c r="I201" s="441"/>
      <c r="J201" s="440">
        <v>0.1540778242803304</v>
      </c>
      <c r="K201" s="440">
        <v>8.3672013268148143E-3</v>
      </c>
      <c r="L201" s="440">
        <f t="shared" si="84"/>
        <v>0.16244502560714522</v>
      </c>
      <c r="M201" s="347"/>
      <c r="N201" s="347"/>
    </row>
    <row r="202" spans="1:14" x14ac:dyDescent="0.2">
      <c r="A202" s="362" t="str">
        <f>name!E$10</f>
        <v>Sales and customer service</v>
      </c>
      <c r="B202" s="440">
        <v>3.5063994104544347E-2</v>
      </c>
      <c r="C202" s="440">
        <v>2.4654033298367701E-2</v>
      </c>
      <c r="D202" s="440">
        <f t="shared" si="82"/>
        <v>5.9718027402912044E-2</v>
      </c>
      <c r="E202" s="441"/>
      <c r="F202" s="440">
        <v>5.5175219771376162E-2</v>
      </c>
      <c r="G202" s="440">
        <v>2.7034325450739145E-2</v>
      </c>
      <c r="H202" s="440">
        <f t="shared" si="83"/>
        <v>8.2209545222115307E-2</v>
      </c>
      <c r="I202" s="441"/>
      <c r="J202" s="440">
        <v>6.9582658197560029E-2</v>
      </c>
      <c r="K202" s="440">
        <v>1.9516893010330726E-2</v>
      </c>
      <c r="L202" s="440">
        <f t="shared" si="84"/>
        <v>8.9099551207890759E-2</v>
      </c>
      <c r="M202" s="347"/>
      <c r="N202" s="347"/>
    </row>
    <row r="203" spans="1:14" x14ac:dyDescent="0.2">
      <c r="A203" s="362" t="str">
        <f>name!E$11</f>
        <v>Process, plant and machine operatives</v>
      </c>
      <c r="B203" s="440">
        <v>0.23137804860627151</v>
      </c>
      <c r="C203" s="440">
        <v>0.29911477588222091</v>
      </c>
      <c r="D203" s="440">
        <f t="shared" si="82"/>
        <v>0.53049282448849244</v>
      </c>
      <c r="E203" s="441"/>
      <c r="F203" s="440">
        <v>0.24047197766847619</v>
      </c>
      <c r="G203" s="440">
        <v>0.25115447119946915</v>
      </c>
      <c r="H203" s="440">
        <f t="shared" si="83"/>
        <v>0.49162644886794538</v>
      </c>
      <c r="I203" s="441"/>
      <c r="J203" s="440">
        <v>0.20048334569790632</v>
      </c>
      <c r="K203" s="440">
        <v>0.13151957583424828</v>
      </c>
      <c r="L203" s="440">
        <f t="shared" si="84"/>
        <v>0.3320029215321546</v>
      </c>
      <c r="M203" s="347"/>
      <c r="N203" s="347"/>
    </row>
    <row r="204" spans="1:14" x14ac:dyDescent="0.2">
      <c r="A204" s="362" t="str">
        <f>name!E$12</f>
        <v>Elementary occupations</v>
      </c>
      <c r="B204" s="440">
        <v>0.182229380525014</v>
      </c>
      <c r="C204" s="440">
        <v>8.6894766994151065E-2</v>
      </c>
      <c r="D204" s="440">
        <f t="shared" si="82"/>
        <v>0.26912414751916508</v>
      </c>
      <c r="E204" s="441"/>
      <c r="F204" s="440">
        <v>0.35086597959491361</v>
      </c>
      <c r="G204" s="440">
        <v>4.1818748929944242E-2</v>
      </c>
      <c r="H204" s="440">
        <f t="shared" si="83"/>
        <v>0.39268472852485786</v>
      </c>
      <c r="I204" s="441"/>
      <c r="J204" s="440">
        <v>0.47998056979524961</v>
      </c>
      <c r="K204" s="440">
        <v>2.821900689067627E-2</v>
      </c>
      <c r="L204" s="440">
        <f t="shared" si="84"/>
        <v>0.50819957668592586</v>
      </c>
      <c r="M204" s="347"/>
      <c r="N204" s="347"/>
    </row>
    <row r="205" spans="1:14" x14ac:dyDescent="0.2">
      <c r="A205" s="362"/>
      <c r="B205" s="440"/>
      <c r="C205" s="440"/>
      <c r="D205" s="440"/>
      <c r="E205" s="441"/>
      <c r="F205" s="440"/>
      <c r="G205" s="440"/>
      <c r="H205" s="440"/>
      <c r="I205" s="441"/>
      <c r="J205" s="440"/>
      <c r="K205" s="440"/>
      <c r="L205" s="440"/>
      <c r="M205" s="347"/>
      <c r="N205" s="347"/>
    </row>
    <row r="206" spans="1:14" x14ac:dyDescent="0.2">
      <c r="A206" s="357" t="s">
        <v>32</v>
      </c>
      <c r="B206" s="450">
        <f>SUM(B196:B204)</f>
        <v>1.2029999999914098</v>
      </c>
      <c r="C206" s="450">
        <f t="shared" ref="C206:D206" si="85">SUM(C196:C204)</f>
        <v>1.5809999999944864</v>
      </c>
      <c r="D206" s="450">
        <f t="shared" si="85"/>
        <v>2.7839999999858964</v>
      </c>
      <c r="E206" s="450"/>
      <c r="F206" s="450">
        <f t="shared" ref="F206:H206" si="86">SUM(F196:F204)</f>
        <v>1.7250000000037147</v>
      </c>
      <c r="G206" s="450">
        <f t="shared" si="86"/>
        <v>1.5839999999951386</v>
      </c>
      <c r="H206" s="450">
        <f t="shared" si="86"/>
        <v>3.3089999999988531</v>
      </c>
      <c r="I206" s="450"/>
      <c r="J206" s="450">
        <f t="shared" ref="J206:L206" si="87">SUM(J196:J204)</f>
        <v>2.1839999999993576</v>
      </c>
      <c r="K206" s="450">
        <f t="shared" si="87"/>
        <v>1.0400000000038654</v>
      </c>
      <c r="L206" s="450">
        <f t="shared" si="87"/>
        <v>3.224000000003223</v>
      </c>
      <c r="M206" s="347"/>
      <c r="N206" s="347"/>
    </row>
    <row r="207" spans="1:14" x14ac:dyDescent="0.2">
      <c r="A207" s="348"/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353"/>
      <c r="M207" s="347"/>
      <c r="N207" s="347"/>
    </row>
    <row r="208" spans="1:14" x14ac:dyDescent="0.2">
      <c r="A208" s="348"/>
      <c r="B208" s="348"/>
      <c r="C208" s="348"/>
      <c r="D208" s="348"/>
      <c r="E208" s="348"/>
      <c r="F208" s="348"/>
      <c r="G208" s="348"/>
      <c r="H208" s="348"/>
      <c r="I208" s="348"/>
      <c r="J208" s="348"/>
      <c r="K208" s="348"/>
      <c r="L208" s="372" t="s">
        <v>35</v>
      </c>
      <c r="M208" s="347"/>
      <c r="N208" s="347"/>
    </row>
    <row r="209" spans="1:14" x14ac:dyDescent="0.2">
      <c r="A209" s="355"/>
      <c r="B209" s="365"/>
      <c r="C209" s="365"/>
      <c r="D209" s="365"/>
      <c r="E209" s="365"/>
      <c r="F209" s="365"/>
      <c r="G209" s="365"/>
      <c r="H209" s="365"/>
      <c r="I209" s="365"/>
      <c r="J209" s="365"/>
      <c r="K209" s="365"/>
      <c r="L209" s="347"/>
      <c r="M209" s="347"/>
      <c r="N209" s="347"/>
    </row>
    <row r="210" spans="1:14" x14ac:dyDescent="0.2">
      <c r="A210" s="354" t="str">
        <f>name!A15</f>
        <v>Rubber and plastic</v>
      </c>
      <c r="B210" s="517">
        <f>B$6</f>
        <v>2007</v>
      </c>
      <c r="C210" s="517"/>
      <c r="D210" s="517"/>
      <c r="E210" s="369"/>
      <c r="F210" s="517">
        <f>F193</f>
        <v>2017</v>
      </c>
      <c r="G210" s="517"/>
      <c r="H210" s="517"/>
      <c r="I210" s="369"/>
      <c r="J210" s="517">
        <f>J193</f>
        <v>2027</v>
      </c>
      <c r="K210" s="517"/>
      <c r="L210" s="517"/>
      <c r="M210" s="347"/>
      <c r="N210" s="347"/>
    </row>
    <row r="211" spans="1:14" x14ac:dyDescent="0.2">
      <c r="A211" s="370"/>
      <c r="B211" s="371" t="s">
        <v>387</v>
      </c>
      <c r="C211" s="371" t="s">
        <v>388</v>
      </c>
      <c r="D211" s="371" t="s">
        <v>32</v>
      </c>
      <c r="E211" s="371"/>
      <c r="F211" s="371" t="s">
        <v>387</v>
      </c>
      <c r="G211" s="371" t="s">
        <v>388</v>
      </c>
      <c r="H211" s="371" t="s">
        <v>32</v>
      </c>
      <c r="I211" s="371"/>
      <c r="J211" s="371" t="s">
        <v>387</v>
      </c>
      <c r="K211" s="371" t="s">
        <v>388</v>
      </c>
      <c r="L211" s="371" t="s">
        <v>32</v>
      </c>
      <c r="M211" s="347"/>
      <c r="N211" s="347"/>
    </row>
    <row r="212" spans="1:14" s="286" customFormat="1" x14ac:dyDescent="0.2">
      <c r="A212" s="374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47"/>
      <c r="N212" s="347"/>
    </row>
    <row r="213" spans="1:14" x14ac:dyDescent="0.2">
      <c r="A213" s="362" t="str">
        <f>name!E$4</f>
        <v>Managers, directors and senior officials</v>
      </c>
      <c r="B213" s="440">
        <v>8.570837622048133E-2</v>
      </c>
      <c r="C213" s="440">
        <v>0.79738196971136666</v>
      </c>
      <c r="D213" s="440">
        <f>SUM(B213:C213)</f>
        <v>0.88309034593184799</v>
      </c>
      <c r="E213" s="441"/>
      <c r="F213" s="440">
        <v>0.11981871067750893</v>
      </c>
      <c r="G213" s="440">
        <v>0.61194296235940915</v>
      </c>
      <c r="H213" s="440">
        <f>SUM(F213:G213)</f>
        <v>0.73176167303691808</v>
      </c>
      <c r="I213" s="441"/>
      <c r="J213" s="440">
        <v>0.12292044367222942</v>
      </c>
      <c r="K213" s="440">
        <v>0.56069394528554106</v>
      </c>
      <c r="L213" s="440">
        <f>SUM(J213:K213)</f>
        <v>0.68361438895777049</v>
      </c>
      <c r="M213" s="347"/>
      <c r="N213" s="347"/>
    </row>
    <row r="214" spans="1:14" x14ac:dyDescent="0.2">
      <c r="A214" s="362" t="str">
        <f>name!E$5</f>
        <v>Professional occupations</v>
      </c>
      <c r="B214" s="440">
        <v>9.0080235844901102E-2</v>
      </c>
      <c r="C214" s="440">
        <v>0.54320947994251878</v>
      </c>
      <c r="D214" s="440">
        <f t="shared" ref="D214:D221" si="88">SUM(B214:C214)</f>
        <v>0.63328971578741988</v>
      </c>
      <c r="E214" s="441"/>
      <c r="F214" s="440">
        <v>9.7674279437299616E-2</v>
      </c>
      <c r="G214" s="440">
        <v>0.49656207883973724</v>
      </c>
      <c r="H214" s="440">
        <f t="shared" ref="H214:H221" si="89">SUM(F214:G214)</f>
        <v>0.59423635827703691</v>
      </c>
      <c r="I214" s="441"/>
      <c r="J214" s="440">
        <v>0.11317212959746596</v>
      </c>
      <c r="K214" s="440">
        <v>0.45261620972876826</v>
      </c>
      <c r="L214" s="440">
        <f t="shared" ref="L214:L221" si="90">SUM(J214:K214)</f>
        <v>0.56578833932623418</v>
      </c>
      <c r="M214" s="347"/>
      <c r="N214" s="347"/>
    </row>
    <row r="215" spans="1:14" x14ac:dyDescent="0.2">
      <c r="A215" s="362" t="str">
        <f>name!E$6</f>
        <v>Associate professional and technical</v>
      </c>
      <c r="B215" s="440">
        <v>0.17652143614125779</v>
      </c>
      <c r="C215" s="440">
        <v>0.64424797060209205</v>
      </c>
      <c r="D215" s="440">
        <f t="shared" si="88"/>
        <v>0.82076940674334986</v>
      </c>
      <c r="E215" s="441"/>
      <c r="F215" s="440">
        <v>0.14957980358462578</v>
      </c>
      <c r="G215" s="440">
        <v>0.59248664695065312</v>
      </c>
      <c r="H215" s="440">
        <f t="shared" si="89"/>
        <v>0.74206645053527887</v>
      </c>
      <c r="I215" s="441"/>
      <c r="J215" s="440">
        <v>0.14208459530787124</v>
      </c>
      <c r="K215" s="440">
        <v>0.51717932812955336</v>
      </c>
      <c r="L215" s="440">
        <f t="shared" si="90"/>
        <v>0.65926392343742457</v>
      </c>
      <c r="M215" s="347"/>
      <c r="N215" s="347"/>
    </row>
    <row r="216" spans="1:14" x14ac:dyDescent="0.2">
      <c r="A216" s="362" t="str">
        <f>name!E$7</f>
        <v>Administrative and secretarial</v>
      </c>
      <c r="B216" s="440">
        <v>0.60705755919624227</v>
      </c>
      <c r="C216" s="440">
        <v>0.20354966833416829</v>
      </c>
      <c r="D216" s="440">
        <f t="shared" si="88"/>
        <v>0.81060722753041059</v>
      </c>
      <c r="E216" s="441"/>
      <c r="F216" s="440">
        <v>0.58750283929675895</v>
      </c>
      <c r="G216" s="440">
        <v>9.0146099076855279E-2</v>
      </c>
      <c r="H216" s="440">
        <f t="shared" si="89"/>
        <v>0.67764893837361417</v>
      </c>
      <c r="I216" s="441"/>
      <c r="J216" s="440">
        <v>0.42337317579608508</v>
      </c>
      <c r="K216" s="440">
        <v>7.4174953024869178E-2</v>
      </c>
      <c r="L216" s="440">
        <f t="shared" si="90"/>
        <v>0.49754812882095423</v>
      </c>
      <c r="M216" s="347"/>
      <c r="N216" s="347"/>
    </row>
    <row r="217" spans="1:14" x14ac:dyDescent="0.2">
      <c r="A217" s="362" t="str">
        <f>name!E$8</f>
        <v>Skilled trades occupations</v>
      </c>
      <c r="B217" s="440">
        <v>0.1384030088059871</v>
      </c>
      <c r="C217" s="440">
        <v>2.3214139246100132</v>
      </c>
      <c r="D217" s="440">
        <f t="shared" si="88"/>
        <v>2.4598169334160005</v>
      </c>
      <c r="E217" s="441"/>
      <c r="F217" s="440">
        <v>0.1137171807122089</v>
      </c>
      <c r="G217" s="440">
        <v>1.523891432409247</v>
      </c>
      <c r="H217" s="440">
        <f t="shared" si="89"/>
        <v>1.6376086131214558</v>
      </c>
      <c r="I217" s="441"/>
      <c r="J217" s="440">
        <v>0.12755015872966891</v>
      </c>
      <c r="K217" s="440">
        <v>1.192595067501337</v>
      </c>
      <c r="L217" s="440">
        <f t="shared" si="90"/>
        <v>1.3201452262310061</v>
      </c>
      <c r="M217" s="347"/>
      <c r="N217" s="347"/>
    </row>
    <row r="218" spans="1:14" x14ac:dyDescent="0.2">
      <c r="A218" s="362" t="str">
        <f>name!E$9</f>
        <v>Caring, leisure and other service</v>
      </c>
      <c r="B218" s="440">
        <v>0.23187472178022048</v>
      </c>
      <c r="C218" s="440">
        <v>5.5624724213575401E-2</v>
      </c>
      <c r="D218" s="440">
        <f t="shared" si="88"/>
        <v>0.2874994459937959</v>
      </c>
      <c r="E218" s="441"/>
      <c r="F218" s="440">
        <v>0.22811505506763438</v>
      </c>
      <c r="G218" s="440">
        <v>5.8235105383438811E-2</v>
      </c>
      <c r="H218" s="440">
        <f t="shared" si="89"/>
        <v>0.2863501604510732</v>
      </c>
      <c r="I218" s="441"/>
      <c r="J218" s="440">
        <v>0.22561006782938209</v>
      </c>
      <c r="K218" s="440">
        <v>6.2947778509957669E-2</v>
      </c>
      <c r="L218" s="440">
        <f t="shared" si="90"/>
        <v>0.28855784633933979</v>
      </c>
      <c r="M218" s="347"/>
      <c r="N218" s="347"/>
    </row>
    <row r="219" spans="1:14" x14ac:dyDescent="0.2">
      <c r="A219" s="362" t="str">
        <f>name!E$10</f>
        <v>Sales and customer service</v>
      </c>
      <c r="B219" s="440">
        <v>0.12340853413530739</v>
      </c>
      <c r="C219" s="440">
        <v>0.12274430378875988</v>
      </c>
      <c r="D219" s="440">
        <f t="shared" si="88"/>
        <v>0.24615283792406728</v>
      </c>
      <c r="E219" s="441"/>
      <c r="F219" s="440">
        <v>0.13805488762929125</v>
      </c>
      <c r="G219" s="440">
        <v>0.21410414280661266</v>
      </c>
      <c r="H219" s="440">
        <f t="shared" si="89"/>
        <v>0.35215903043590391</v>
      </c>
      <c r="I219" s="441"/>
      <c r="J219" s="440">
        <v>0.11907907455038032</v>
      </c>
      <c r="K219" s="440">
        <v>0.16549992394803562</v>
      </c>
      <c r="L219" s="440">
        <f t="shared" si="90"/>
        <v>0.28457899849841595</v>
      </c>
      <c r="M219" s="347"/>
      <c r="N219" s="347"/>
    </row>
    <row r="220" spans="1:14" x14ac:dyDescent="0.2">
      <c r="A220" s="362" t="str">
        <f>name!E$11</f>
        <v>Process, plant and machine operatives</v>
      </c>
      <c r="B220" s="440">
        <v>1.1056107147160799</v>
      </c>
      <c r="C220" s="440">
        <v>3.4984263799468107</v>
      </c>
      <c r="D220" s="440">
        <f t="shared" si="88"/>
        <v>4.6040370946628908</v>
      </c>
      <c r="E220" s="441"/>
      <c r="F220" s="440">
        <v>0.56858060743671401</v>
      </c>
      <c r="G220" s="440">
        <v>2.442790735149543</v>
      </c>
      <c r="H220" s="440">
        <f t="shared" si="89"/>
        <v>3.0113713425862572</v>
      </c>
      <c r="I220" s="441"/>
      <c r="J220" s="440">
        <v>0.38190182734782757</v>
      </c>
      <c r="K220" s="440">
        <v>1.7495182555404738</v>
      </c>
      <c r="L220" s="440">
        <f t="shared" si="90"/>
        <v>2.1314200828883014</v>
      </c>
      <c r="M220" s="347"/>
      <c r="N220" s="347"/>
    </row>
    <row r="221" spans="1:14" x14ac:dyDescent="0.2">
      <c r="A221" s="362" t="str">
        <f>name!E$12</f>
        <v>Elementary occupations</v>
      </c>
      <c r="B221" s="440">
        <v>0.35933541309990841</v>
      </c>
      <c r="C221" s="440">
        <v>0.49540157885784186</v>
      </c>
      <c r="D221" s="440">
        <f t="shared" si="88"/>
        <v>0.85473699195775032</v>
      </c>
      <c r="E221" s="441"/>
      <c r="F221" s="440">
        <v>0.46695663619570554</v>
      </c>
      <c r="G221" s="440">
        <v>0.44284079702408108</v>
      </c>
      <c r="H221" s="440">
        <f t="shared" si="89"/>
        <v>0.90979743321978668</v>
      </c>
      <c r="I221" s="441"/>
      <c r="J221" s="440">
        <v>0.40530852717857341</v>
      </c>
      <c r="K221" s="440">
        <v>0.3237745382686994</v>
      </c>
      <c r="L221" s="440">
        <f t="shared" si="90"/>
        <v>0.72908306544727286</v>
      </c>
      <c r="M221" s="347"/>
      <c r="N221" s="347"/>
    </row>
    <row r="222" spans="1:14" x14ac:dyDescent="0.2">
      <c r="A222" s="362"/>
      <c r="B222" s="440"/>
      <c r="C222" s="440"/>
      <c r="D222" s="440"/>
      <c r="E222" s="441"/>
      <c r="F222" s="440"/>
      <c r="G222" s="440"/>
      <c r="H222" s="440"/>
      <c r="I222" s="441"/>
      <c r="J222" s="440"/>
      <c r="K222" s="440"/>
      <c r="L222" s="440"/>
      <c r="M222" s="347"/>
      <c r="N222" s="347"/>
    </row>
    <row r="223" spans="1:14" x14ac:dyDescent="0.2">
      <c r="A223" s="357" t="s">
        <v>32</v>
      </c>
      <c r="B223" s="450">
        <f>SUM(B213:B221)</f>
        <v>2.9179999999403852</v>
      </c>
      <c r="C223" s="450">
        <f t="shared" ref="C223:D223" si="91">SUM(C213:C221)</f>
        <v>8.6820000000071467</v>
      </c>
      <c r="D223" s="450">
        <f t="shared" si="91"/>
        <v>11.599999999947533</v>
      </c>
      <c r="E223" s="450"/>
      <c r="F223" s="450">
        <f t="shared" ref="F223:H223" si="92">SUM(F213:F221)</f>
        <v>2.4700000000377473</v>
      </c>
      <c r="G223" s="450">
        <f t="shared" si="92"/>
        <v>6.4729999999995762</v>
      </c>
      <c r="H223" s="450">
        <f t="shared" si="92"/>
        <v>8.9430000000373244</v>
      </c>
      <c r="I223" s="450"/>
      <c r="J223" s="450">
        <f t="shared" ref="J223:L223" si="93">SUM(J213:J221)</f>
        <v>2.0610000000094839</v>
      </c>
      <c r="K223" s="450">
        <f t="shared" si="93"/>
        <v>5.0989999999372344</v>
      </c>
      <c r="L223" s="450">
        <f t="shared" si="93"/>
        <v>7.1599999999467192</v>
      </c>
      <c r="M223" s="347"/>
      <c r="N223" s="347"/>
    </row>
    <row r="224" spans="1:14" x14ac:dyDescent="0.2">
      <c r="A224" s="348"/>
      <c r="B224" s="348"/>
      <c r="C224" s="348"/>
      <c r="D224" s="348"/>
      <c r="E224" s="348"/>
      <c r="F224" s="348"/>
      <c r="G224" s="348"/>
      <c r="H224" s="348"/>
      <c r="I224" s="348"/>
      <c r="J224" s="348"/>
      <c r="K224" s="348"/>
      <c r="L224" s="353"/>
      <c r="M224" s="347"/>
      <c r="N224" s="347"/>
    </row>
    <row r="225" spans="1:14" x14ac:dyDescent="0.2">
      <c r="A225" s="348"/>
      <c r="B225" s="348"/>
      <c r="C225" s="348"/>
      <c r="D225" s="348"/>
      <c r="E225" s="348"/>
      <c r="F225" s="348"/>
      <c r="G225" s="348"/>
      <c r="H225" s="348"/>
      <c r="I225" s="348"/>
      <c r="J225" s="348"/>
      <c r="K225" s="348"/>
      <c r="L225" s="372" t="s">
        <v>35</v>
      </c>
      <c r="M225" s="347"/>
      <c r="N225" s="347"/>
    </row>
    <row r="226" spans="1:14" x14ac:dyDescent="0.2">
      <c r="A226" s="355"/>
      <c r="B226" s="365"/>
      <c r="C226" s="365"/>
      <c r="D226" s="365"/>
      <c r="E226" s="365"/>
      <c r="F226" s="365"/>
      <c r="G226" s="365"/>
      <c r="H226" s="365"/>
      <c r="I226" s="365"/>
      <c r="J226" s="365"/>
      <c r="K226" s="365"/>
      <c r="L226" s="347"/>
      <c r="M226" s="347"/>
      <c r="N226" s="347"/>
    </row>
    <row r="227" spans="1:14" x14ac:dyDescent="0.2">
      <c r="A227" s="354" t="str">
        <f>name!A16</f>
        <v>Other non-metallic</v>
      </c>
      <c r="B227" s="517">
        <f>B$6</f>
        <v>2007</v>
      </c>
      <c r="C227" s="517"/>
      <c r="D227" s="517"/>
      <c r="E227" s="369"/>
      <c r="F227" s="517">
        <f>F210</f>
        <v>2017</v>
      </c>
      <c r="G227" s="517"/>
      <c r="H227" s="517"/>
      <c r="I227" s="369"/>
      <c r="J227" s="517">
        <f>J210</f>
        <v>2027</v>
      </c>
      <c r="K227" s="517"/>
      <c r="L227" s="517"/>
      <c r="M227" s="347"/>
      <c r="N227" s="347"/>
    </row>
    <row r="228" spans="1:14" x14ac:dyDescent="0.2">
      <c r="A228" s="370"/>
      <c r="B228" s="371" t="s">
        <v>387</v>
      </c>
      <c r="C228" s="371" t="s">
        <v>388</v>
      </c>
      <c r="D228" s="371" t="s">
        <v>32</v>
      </c>
      <c r="E228" s="371"/>
      <c r="F228" s="371" t="s">
        <v>387</v>
      </c>
      <c r="G228" s="371" t="s">
        <v>388</v>
      </c>
      <c r="H228" s="371" t="s">
        <v>32</v>
      </c>
      <c r="I228" s="371"/>
      <c r="J228" s="371" t="s">
        <v>387</v>
      </c>
      <c r="K228" s="371" t="s">
        <v>388</v>
      </c>
      <c r="L228" s="371" t="s">
        <v>32</v>
      </c>
      <c r="M228" s="347"/>
      <c r="N228" s="347"/>
    </row>
    <row r="229" spans="1:14" s="286" customFormat="1" x14ac:dyDescent="0.2">
      <c r="A229" s="374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47"/>
      <c r="N229" s="347"/>
    </row>
    <row r="230" spans="1:14" x14ac:dyDescent="0.2">
      <c r="A230" s="362" t="str">
        <f>name!E$4</f>
        <v>Managers, directors and senior officials</v>
      </c>
      <c r="B230" s="440">
        <v>5.8202184770929956E-2</v>
      </c>
      <c r="C230" s="440">
        <v>0.42666899725381807</v>
      </c>
      <c r="D230" s="440">
        <f>SUM(B230:C230)</f>
        <v>0.48487118202474805</v>
      </c>
      <c r="E230" s="441"/>
      <c r="F230" s="440">
        <v>4.4667292730422942E-2</v>
      </c>
      <c r="G230" s="440">
        <v>0.2351218163756042</v>
      </c>
      <c r="H230" s="440">
        <f>SUM(F230:G230)</f>
        <v>0.27978910910602717</v>
      </c>
      <c r="I230" s="441"/>
      <c r="J230" s="440">
        <v>4.6815904581535187E-2</v>
      </c>
      <c r="K230" s="440">
        <v>0.20998390758239807</v>
      </c>
      <c r="L230" s="440">
        <f>SUM(J230:K230)</f>
        <v>0.25679981216393327</v>
      </c>
      <c r="M230" s="347"/>
      <c r="N230" s="347"/>
    </row>
    <row r="231" spans="1:14" x14ac:dyDescent="0.2">
      <c r="A231" s="362" t="str">
        <f>name!E$5</f>
        <v>Professional occupations</v>
      </c>
      <c r="B231" s="440">
        <v>5.6501190964652226E-2</v>
      </c>
      <c r="C231" s="440">
        <v>0.47083388152980016</v>
      </c>
      <c r="D231" s="440">
        <f t="shared" ref="D231:D238" si="94">SUM(B231:C231)</f>
        <v>0.52733507249445233</v>
      </c>
      <c r="E231" s="441"/>
      <c r="F231" s="440">
        <v>3.6982626654677594E-2</v>
      </c>
      <c r="G231" s="440">
        <v>0.20350100454085029</v>
      </c>
      <c r="H231" s="440">
        <f t="shared" ref="H231:H238" si="95">SUM(F231:G231)</f>
        <v>0.2404836311955279</v>
      </c>
      <c r="I231" s="441"/>
      <c r="J231" s="440">
        <v>3.8035769325939071E-2</v>
      </c>
      <c r="K231" s="440">
        <v>0.18146463729564891</v>
      </c>
      <c r="L231" s="440">
        <f t="shared" ref="L231:L238" si="96">SUM(J231:K231)</f>
        <v>0.21950040662158798</v>
      </c>
      <c r="M231" s="347"/>
      <c r="N231" s="347"/>
    </row>
    <row r="232" spans="1:14" x14ac:dyDescent="0.2">
      <c r="A232" s="362" t="str">
        <f>name!E$6</f>
        <v>Associate professional and technical</v>
      </c>
      <c r="B232" s="440">
        <v>0.1027994664847638</v>
      </c>
      <c r="C232" s="440">
        <v>0.24545874065931875</v>
      </c>
      <c r="D232" s="440">
        <f t="shared" si="94"/>
        <v>0.34825820714408257</v>
      </c>
      <c r="E232" s="441"/>
      <c r="F232" s="440">
        <v>6.5096563628490575E-2</v>
      </c>
      <c r="G232" s="440">
        <v>0.14064232850206237</v>
      </c>
      <c r="H232" s="440">
        <f t="shared" si="95"/>
        <v>0.20573889213055296</v>
      </c>
      <c r="I232" s="441"/>
      <c r="J232" s="440">
        <v>6.2470383224466929E-2</v>
      </c>
      <c r="K232" s="440">
        <v>0.10876516814790037</v>
      </c>
      <c r="L232" s="440">
        <f t="shared" si="96"/>
        <v>0.17123555137236729</v>
      </c>
      <c r="M232" s="347"/>
      <c r="N232" s="347"/>
    </row>
    <row r="233" spans="1:14" x14ac:dyDescent="0.2">
      <c r="A233" s="362" t="str">
        <f>name!E$7</f>
        <v>Administrative and secretarial</v>
      </c>
      <c r="B233" s="440">
        <v>0.19633456140341163</v>
      </c>
      <c r="C233" s="440">
        <v>7.4188856341707909E-2</v>
      </c>
      <c r="D233" s="440">
        <f t="shared" si="94"/>
        <v>0.27052341774511957</v>
      </c>
      <c r="E233" s="441"/>
      <c r="F233" s="440">
        <v>0.13325525818350392</v>
      </c>
      <c r="G233" s="440">
        <v>2.1618303359546238E-2</v>
      </c>
      <c r="H233" s="440">
        <f t="shared" si="95"/>
        <v>0.15487356154305015</v>
      </c>
      <c r="I233" s="441"/>
      <c r="J233" s="440">
        <v>8.3922628477578184E-2</v>
      </c>
      <c r="K233" s="440">
        <v>1.6971655560518148E-2</v>
      </c>
      <c r="L233" s="440">
        <f t="shared" si="96"/>
        <v>0.10089428403809633</v>
      </c>
      <c r="M233" s="347"/>
      <c r="N233" s="347"/>
    </row>
    <row r="234" spans="1:14" x14ac:dyDescent="0.2">
      <c r="A234" s="362" t="str">
        <f>name!E$8</f>
        <v>Skilled trades occupations</v>
      </c>
      <c r="B234" s="440">
        <v>4.321660819595647E-2</v>
      </c>
      <c r="C234" s="440">
        <v>1.0476753415005602</v>
      </c>
      <c r="D234" s="440">
        <f t="shared" si="94"/>
        <v>1.0908919496965166</v>
      </c>
      <c r="E234" s="441"/>
      <c r="F234" s="440">
        <v>4.8074320906876154E-2</v>
      </c>
      <c r="G234" s="440">
        <v>0.39137263340617534</v>
      </c>
      <c r="H234" s="440">
        <f t="shared" si="95"/>
        <v>0.43944695431305147</v>
      </c>
      <c r="I234" s="441"/>
      <c r="J234" s="440">
        <v>3.2048641656924629E-2</v>
      </c>
      <c r="K234" s="440">
        <v>0.33568975505260645</v>
      </c>
      <c r="L234" s="440">
        <f t="shared" si="96"/>
        <v>0.36773839670953107</v>
      </c>
      <c r="M234" s="347"/>
      <c r="N234" s="347"/>
    </row>
    <row r="235" spans="1:14" x14ac:dyDescent="0.2">
      <c r="A235" s="362" t="str">
        <f>name!E$9</f>
        <v>Caring, leisure and other service</v>
      </c>
      <c r="B235" s="440">
        <v>1.5306451740425135E-2</v>
      </c>
      <c r="C235" s="440">
        <v>7.8199243078582153E-3</v>
      </c>
      <c r="D235" s="440">
        <f t="shared" si="94"/>
        <v>2.312637604828335E-2</v>
      </c>
      <c r="E235" s="441"/>
      <c r="F235" s="440">
        <v>1.498447636740232E-2</v>
      </c>
      <c r="G235" s="440">
        <v>6.2639907569256833E-3</v>
      </c>
      <c r="H235" s="440">
        <f t="shared" si="95"/>
        <v>2.1248467124328003E-2</v>
      </c>
      <c r="I235" s="441"/>
      <c r="J235" s="440">
        <v>1.2614134161899583E-2</v>
      </c>
      <c r="K235" s="440">
        <v>6.1145067996504635E-3</v>
      </c>
      <c r="L235" s="440">
        <f t="shared" si="96"/>
        <v>1.8728640961550046E-2</v>
      </c>
      <c r="M235" s="347"/>
      <c r="N235" s="347"/>
    </row>
    <row r="236" spans="1:14" x14ac:dyDescent="0.2">
      <c r="A236" s="362" t="str">
        <f>name!E$10</f>
        <v>Sales and customer service</v>
      </c>
      <c r="B236" s="440">
        <v>4.7464844436195121E-2</v>
      </c>
      <c r="C236" s="440">
        <v>3.5895843169357511E-2</v>
      </c>
      <c r="D236" s="440">
        <f t="shared" si="94"/>
        <v>8.3360687605552625E-2</v>
      </c>
      <c r="E236" s="441"/>
      <c r="F236" s="440">
        <v>3.8144049384874729E-2</v>
      </c>
      <c r="G236" s="440">
        <v>1.9089878301348544E-2</v>
      </c>
      <c r="H236" s="440">
        <f t="shared" si="95"/>
        <v>5.7233927686223277E-2</v>
      </c>
      <c r="I236" s="441"/>
      <c r="J236" s="440">
        <v>3.1013841134873096E-2</v>
      </c>
      <c r="K236" s="440">
        <v>1.5125707107431793E-2</v>
      </c>
      <c r="L236" s="440">
        <f t="shared" si="96"/>
        <v>4.6139548242304887E-2</v>
      </c>
      <c r="M236" s="347"/>
      <c r="N236" s="347"/>
    </row>
    <row r="237" spans="1:14" x14ac:dyDescent="0.2">
      <c r="A237" s="362" t="str">
        <f>name!E$11</f>
        <v>Process, plant and machine operatives</v>
      </c>
      <c r="B237" s="440">
        <v>1.7654979998433136E-2</v>
      </c>
      <c r="C237" s="440">
        <v>2.677077514350553</v>
      </c>
      <c r="D237" s="440">
        <f t="shared" si="94"/>
        <v>2.6947324943489863</v>
      </c>
      <c r="E237" s="441"/>
      <c r="F237" s="440">
        <v>1.9293480862634462E-2</v>
      </c>
      <c r="G237" s="440">
        <v>1.3273107556150365</v>
      </c>
      <c r="H237" s="440">
        <f t="shared" si="95"/>
        <v>1.3466042364776709</v>
      </c>
      <c r="I237" s="441"/>
      <c r="J237" s="440">
        <v>1.2807163091132629E-2</v>
      </c>
      <c r="K237" s="440">
        <v>0.99092165649651387</v>
      </c>
      <c r="L237" s="440">
        <f t="shared" si="96"/>
        <v>1.0037288195876466</v>
      </c>
      <c r="M237" s="347"/>
      <c r="N237" s="347"/>
    </row>
    <row r="238" spans="1:14" x14ac:dyDescent="0.2">
      <c r="A238" s="362" t="str">
        <f>name!E$12</f>
        <v>Elementary occupations</v>
      </c>
      <c r="B238" s="440">
        <v>6.7519712002798729E-2</v>
      </c>
      <c r="C238" s="440">
        <v>0.22938090089559388</v>
      </c>
      <c r="D238" s="440">
        <f t="shared" si="94"/>
        <v>0.29690061289839259</v>
      </c>
      <c r="E238" s="441"/>
      <c r="F238" s="440">
        <v>0.20650193129448507</v>
      </c>
      <c r="G238" s="440">
        <v>0.13107928914526537</v>
      </c>
      <c r="H238" s="440">
        <f t="shared" si="95"/>
        <v>0.33758122043975047</v>
      </c>
      <c r="I238" s="441"/>
      <c r="J238" s="440">
        <v>0.13927153435026482</v>
      </c>
      <c r="K238" s="440">
        <v>9.4963005930655722E-2</v>
      </c>
      <c r="L238" s="440">
        <f t="shared" si="96"/>
        <v>0.23423454028092056</v>
      </c>
      <c r="M238" s="347"/>
      <c r="N238" s="347"/>
    </row>
    <row r="239" spans="1:14" x14ac:dyDescent="0.2">
      <c r="A239" s="362"/>
      <c r="B239" s="440"/>
      <c r="C239" s="440"/>
      <c r="D239" s="440"/>
      <c r="E239" s="441"/>
      <c r="F239" s="440"/>
      <c r="G239" s="440"/>
      <c r="H239" s="440"/>
      <c r="I239" s="441"/>
      <c r="J239" s="440"/>
      <c r="K239" s="440"/>
      <c r="L239" s="440"/>
      <c r="M239" s="347"/>
      <c r="N239" s="347"/>
    </row>
    <row r="240" spans="1:14" x14ac:dyDescent="0.2">
      <c r="A240" s="357" t="s">
        <v>32</v>
      </c>
      <c r="B240" s="450">
        <f>SUM(B230:B238)</f>
        <v>0.60499999999756615</v>
      </c>
      <c r="C240" s="450">
        <f t="shared" ref="C240:D240" si="97">SUM(C230:C238)</f>
        <v>5.2150000000085672</v>
      </c>
      <c r="D240" s="450">
        <f t="shared" si="97"/>
        <v>5.820000000006134</v>
      </c>
      <c r="E240" s="450"/>
      <c r="F240" s="450">
        <f t="shared" ref="F240:H240" si="98">SUM(F230:F238)</f>
        <v>0.60700000001336774</v>
      </c>
      <c r="G240" s="450">
        <f t="shared" si="98"/>
        <v>2.4760000000028142</v>
      </c>
      <c r="H240" s="450">
        <f t="shared" si="98"/>
        <v>3.0830000000161824</v>
      </c>
      <c r="I240" s="450"/>
      <c r="J240" s="450">
        <f t="shared" ref="J240:L240" si="99">SUM(J230:J238)</f>
        <v>0.45900000000461416</v>
      </c>
      <c r="K240" s="450">
        <f t="shared" si="99"/>
        <v>1.9599999999733237</v>
      </c>
      <c r="L240" s="450">
        <f t="shared" si="99"/>
        <v>2.4189999999779381</v>
      </c>
      <c r="M240" s="347"/>
      <c r="N240" s="347"/>
    </row>
    <row r="241" spans="1:14" x14ac:dyDescent="0.2">
      <c r="A241" s="348"/>
      <c r="B241" s="348"/>
      <c r="C241" s="348"/>
      <c r="D241" s="348"/>
      <c r="E241" s="348"/>
      <c r="F241" s="348"/>
      <c r="G241" s="348"/>
      <c r="H241" s="348"/>
      <c r="I241" s="348"/>
      <c r="J241" s="348"/>
      <c r="K241" s="348"/>
      <c r="L241" s="353"/>
      <c r="M241" s="347"/>
      <c r="N241" s="347"/>
    </row>
    <row r="242" spans="1:14" x14ac:dyDescent="0.2">
      <c r="A242" s="348"/>
      <c r="B242" s="348"/>
      <c r="C242" s="348"/>
      <c r="D242" s="348"/>
      <c r="E242" s="348"/>
      <c r="F242" s="348"/>
      <c r="G242" s="348"/>
      <c r="H242" s="348"/>
      <c r="I242" s="348"/>
      <c r="J242" s="348"/>
      <c r="K242" s="348"/>
      <c r="L242" s="372" t="s">
        <v>35</v>
      </c>
      <c r="M242" s="347"/>
      <c r="N242" s="347"/>
    </row>
    <row r="243" spans="1:14" x14ac:dyDescent="0.2">
      <c r="A243" s="355"/>
      <c r="B243" s="365"/>
      <c r="C243" s="365"/>
      <c r="D243" s="365"/>
      <c r="E243" s="365"/>
      <c r="F243" s="365"/>
      <c r="G243" s="365"/>
      <c r="H243" s="365"/>
      <c r="I243" s="365"/>
      <c r="J243" s="365"/>
      <c r="K243" s="365"/>
      <c r="L243" s="347"/>
      <c r="M243" s="347"/>
      <c r="N243" s="347"/>
    </row>
    <row r="244" spans="1:14" x14ac:dyDescent="0.2">
      <c r="A244" s="354" t="str">
        <f>name!A17</f>
        <v>Basic metals</v>
      </c>
      <c r="B244" s="517">
        <f>B$6</f>
        <v>2007</v>
      </c>
      <c r="C244" s="517"/>
      <c r="D244" s="517"/>
      <c r="E244" s="369"/>
      <c r="F244" s="517">
        <f>F227</f>
        <v>2017</v>
      </c>
      <c r="G244" s="517"/>
      <c r="H244" s="517"/>
      <c r="I244" s="369"/>
      <c r="J244" s="517">
        <f>J227</f>
        <v>2027</v>
      </c>
      <c r="K244" s="517"/>
      <c r="L244" s="517"/>
      <c r="M244" s="347"/>
      <c r="N244" s="347"/>
    </row>
    <row r="245" spans="1:14" x14ac:dyDescent="0.2">
      <c r="A245" s="370"/>
      <c r="B245" s="371" t="s">
        <v>387</v>
      </c>
      <c r="C245" s="371" t="s">
        <v>388</v>
      </c>
      <c r="D245" s="371" t="s">
        <v>32</v>
      </c>
      <c r="E245" s="371"/>
      <c r="F245" s="371" t="s">
        <v>387</v>
      </c>
      <c r="G245" s="371" t="s">
        <v>388</v>
      </c>
      <c r="H245" s="371" t="s">
        <v>32</v>
      </c>
      <c r="I245" s="371"/>
      <c r="J245" s="371" t="s">
        <v>387</v>
      </c>
      <c r="K245" s="371" t="s">
        <v>388</v>
      </c>
      <c r="L245" s="371" t="s">
        <v>32</v>
      </c>
      <c r="M245" s="347"/>
      <c r="N245" s="347"/>
    </row>
    <row r="246" spans="1:14" s="286" customFormat="1" x14ac:dyDescent="0.2">
      <c r="A246" s="374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47"/>
      <c r="N246" s="347"/>
    </row>
    <row r="247" spans="1:14" x14ac:dyDescent="0.2">
      <c r="A247" s="362" t="str">
        <f>name!E$4</f>
        <v>Managers, directors and senior officials</v>
      </c>
      <c r="B247" s="440">
        <v>3.2972898155506143E-2</v>
      </c>
      <c r="C247" s="440">
        <v>0.71934511093698716</v>
      </c>
      <c r="D247" s="440">
        <f>SUM(B247:C247)</f>
        <v>0.75231800909249336</v>
      </c>
      <c r="E247" s="441"/>
      <c r="F247" s="440">
        <v>7.2595791044316751E-2</v>
      </c>
      <c r="G247" s="440">
        <v>0.5917619808249448</v>
      </c>
      <c r="H247" s="440">
        <f>SUM(F247:G247)</f>
        <v>0.66435777186926159</v>
      </c>
      <c r="I247" s="441"/>
      <c r="J247" s="440">
        <v>7.8785575064080862E-2</v>
      </c>
      <c r="K247" s="440">
        <v>0.59713013579543506</v>
      </c>
      <c r="L247" s="440">
        <f>SUM(J247:K247)</f>
        <v>0.67591571085951596</v>
      </c>
      <c r="M247" s="347"/>
      <c r="N247" s="347"/>
    </row>
    <row r="248" spans="1:14" x14ac:dyDescent="0.2">
      <c r="A248" s="362" t="str">
        <f>name!E$5</f>
        <v>Professional occupations</v>
      </c>
      <c r="B248" s="440">
        <v>2.7383724038455376E-2</v>
      </c>
      <c r="C248" s="440">
        <v>0.66364966755294408</v>
      </c>
      <c r="D248" s="440">
        <f t="shared" ref="D248:D255" si="100">SUM(B248:C248)</f>
        <v>0.69103339159139943</v>
      </c>
      <c r="E248" s="441"/>
      <c r="F248" s="440">
        <v>6.90639764229702E-2</v>
      </c>
      <c r="G248" s="440">
        <v>0.3994272150967127</v>
      </c>
      <c r="H248" s="440">
        <f t="shared" ref="H248:H255" si="101">SUM(F248:G248)</f>
        <v>0.46849119151968288</v>
      </c>
      <c r="I248" s="441"/>
      <c r="J248" s="440">
        <v>7.3156664250274853E-2</v>
      </c>
      <c r="K248" s="440">
        <v>0.36007952499004831</v>
      </c>
      <c r="L248" s="440">
        <f t="shared" ref="L248:L255" si="102">SUM(J248:K248)</f>
        <v>0.43323618924032314</v>
      </c>
      <c r="M248" s="347"/>
      <c r="N248" s="347"/>
    </row>
    <row r="249" spans="1:14" x14ac:dyDescent="0.2">
      <c r="A249" s="362" t="str">
        <f>name!E$6</f>
        <v>Associate professional and technical</v>
      </c>
      <c r="B249" s="440">
        <v>4.0733079344285147E-2</v>
      </c>
      <c r="C249" s="440">
        <v>0.75266439788059947</v>
      </c>
      <c r="D249" s="440">
        <f t="shared" si="100"/>
        <v>0.79339747722488463</v>
      </c>
      <c r="E249" s="441"/>
      <c r="F249" s="440">
        <v>8.4979135217006133E-2</v>
      </c>
      <c r="G249" s="440">
        <v>0.75909271272566248</v>
      </c>
      <c r="H249" s="440">
        <f t="shared" si="101"/>
        <v>0.84407184794266865</v>
      </c>
      <c r="I249" s="441"/>
      <c r="J249" s="440">
        <v>9.0170405511249163E-2</v>
      </c>
      <c r="K249" s="440">
        <v>0.66905763167065613</v>
      </c>
      <c r="L249" s="440">
        <f t="shared" si="102"/>
        <v>0.75922803718190535</v>
      </c>
      <c r="M249" s="347"/>
      <c r="N249" s="347"/>
    </row>
    <row r="250" spans="1:14" x14ac:dyDescent="0.2">
      <c r="A250" s="362" t="str">
        <f>name!E$7</f>
        <v>Administrative and secretarial</v>
      </c>
      <c r="B250" s="440">
        <v>5.0459414401093687E-2</v>
      </c>
      <c r="C250" s="440">
        <v>0.25883865114563354</v>
      </c>
      <c r="D250" s="440">
        <f t="shared" si="100"/>
        <v>0.30929806554672723</v>
      </c>
      <c r="E250" s="441"/>
      <c r="F250" s="440">
        <v>3.7403198035016572E-2</v>
      </c>
      <c r="G250" s="440">
        <v>0.58252493755563151</v>
      </c>
      <c r="H250" s="440">
        <f t="shared" si="101"/>
        <v>0.61992813559064808</v>
      </c>
      <c r="I250" s="441"/>
      <c r="J250" s="440">
        <v>2.7000733308529298E-2</v>
      </c>
      <c r="K250" s="440">
        <v>0.5002493185166732</v>
      </c>
      <c r="L250" s="440">
        <f t="shared" si="102"/>
        <v>0.52725005182520246</v>
      </c>
      <c r="M250" s="347"/>
      <c r="N250" s="347"/>
    </row>
    <row r="251" spans="1:14" x14ac:dyDescent="0.2">
      <c r="A251" s="362" t="str">
        <f>name!E$8</f>
        <v>Skilled trades occupations</v>
      </c>
      <c r="B251" s="440">
        <v>6.0942016603581575E-3</v>
      </c>
      <c r="C251" s="440">
        <v>3.9993378970064382</v>
      </c>
      <c r="D251" s="440">
        <f t="shared" si="100"/>
        <v>4.0054320986667964</v>
      </c>
      <c r="E251" s="441"/>
      <c r="F251" s="440">
        <v>4.9119863071404313E-3</v>
      </c>
      <c r="G251" s="440">
        <v>4.0712883022352369</v>
      </c>
      <c r="H251" s="440">
        <f t="shared" si="101"/>
        <v>4.0762002885423776</v>
      </c>
      <c r="I251" s="441"/>
      <c r="J251" s="440">
        <v>4.1659254148509409E-3</v>
      </c>
      <c r="K251" s="440">
        <v>3.0915455917441337</v>
      </c>
      <c r="L251" s="440">
        <f t="shared" si="102"/>
        <v>3.0957115171589846</v>
      </c>
      <c r="M251" s="347"/>
      <c r="N251" s="347"/>
    </row>
    <row r="252" spans="1:14" x14ac:dyDescent="0.2">
      <c r="A252" s="362" t="str">
        <f>name!E$9</f>
        <v>Caring, leisure and other service</v>
      </c>
      <c r="B252" s="440">
        <v>5.3498759570214591E-2</v>
      </c>
      <c r="C252" s="440">
        <v>0.22595039561976354</v>
      </c>
      <c r="D252" s="440">
        <f t="shared" si="100"/>
        <v>0.27944915518997815</v>
      </c>
      <c r="E252" s="441"/>
      <c r="F252" s="440">
        <v>5.0782349686381421E-2</v>
      </c>
      <c r="G252" s="440">
        <v>0.32715563823945149</v>
      </c>
      <c r="H252" s="440">
        <f t="shared" si="101"/>
        <v>0.37793798792583289</v>
      </c>
      <c r="I252" s="441"/>
      <c r="J252" s="440">
        <v>4.9369927223354836E-2</v>
      </c>
      <c r="K252" s="440">
        <v>0.33439488206507556</v>
      </c>
      <c r="L252" s="440">
        <f t="shared" si="102"/>
        <v>0.38376480928843038</v>
      </c>
      <c r="M252" s="347"/>
      <c r="N252" s="347"/>
    </row>
    <row r="253" spans="1:14" x14ac:dyDescent="0.2">
      <c r="A253" s="362" t="str">
        <f>name!E$10</f>
        <v>Sales and customer service</v>
      </c>
      <c r="B253" s="440">
        <v>9.1853208777106371E-3</v>
      </c>
      <c r="C253" s="440">
        <v>0.11448915699348819</v>
      </c>
      <c r="D253" s="440">
        <f t="shared" si="100"/>
        <v>0.12367447787119883</v>
      </c>
      <c r="E253" s="441"/>
      <c r="F253" s="440">
        <v>1.3072727936346394E-2</v>
      </c>
      <c r="G253" s="440">
        <v>0.13988567823780895</v>
      </c>
      <c r="H253" s="440">
        <f t="shared" si="101"/>
        <v>0.15295840617415535</v>
      </c>
      <c r="I253" s="441"/>
      <c r="J253" s="440">
        <v>1.1804689116790185E-2</v>
      </c>
      <c r="K253" s="440">
        <v>0.1242684685391217</v>
      </c>
      <c r="L253" s="440">
        <f t="shared" si="102"/>
        <v>0.13607315765591188</v>
      </c>
      <c r="M253" s="347"/>
      <c r="N253" s="347"/>
    </row>
    <row r="254" spans="1:14" x14ac:dyDescent="0.2">
      <c r="A254" s="362" t="str">
        <f>name!E$11</f>
        <v>Process, plant and machine operatives</v>
      </c>
      <c r="B254" s="440">
        <v>2.4977586854029638E-2</v>
      </c>
      <c r="C254" s="440">
        <v>3.742762955955826</v>
      </c>
      <c r="D254" s="440">
        <f t="shared" si="100"/>
        <v>3.7677405428098556</v>
      </c>
      <c r="E254" s="441"/>
      <c r="F254" s="440">
        <v>3.2770524255543561E-2</v>
      </c>
      <c r="G254" s="440">
        <v>3.9394441226204364</v>
      </c>
      <c r="H254" s="440">
        <f t="shared" si="101"/>
        <v>3.97221464687598</v>
      </c>
      <c r="I254" s="441"/>
      <c r="J254" s="440">
        <v>2.036592934564161E-2</v>
      </c>
      <c r="K254" s="440">
        <v>3.0545632037781165</v>
      </c>
      <c r="L254" s="440">
        <f t="shared" si="102"/>
        <v>3.0749291331237583</v>
      </c>
      <c r="M254" s="347"/>
      <c r="N254" s="347"/>
    </row>
    <row r="255" spans="1:14" x14ac:dyDescent="0.2">
      <c r="A255" s="362" t="str">
        <f>name!E$12</f>
        <v>Elementary occupations</v>
      </c>
      <c r="B255" s="440">
        <v>4.5695015097287871E-2</v>
      </c>
      <c r="C255" s="440">
        <v>1.2719617669232202</v>
      </c>
      <c r="D255" s="440">
        <f t="shared" si="100"/>
        <v>1.3176567820205081</v>
      </c>
      <c r="E255" s="441"/>
      <c r="F255" s="440">
        <v>4.1420311089963233E-2</v>
      </c>
      <c r="G255" s="440">
        <v>1.0594194124764711</v>
      </c>
      <c r="H255" s="440">
        <f t="shared" si="101"/>
        <v>1.1008397235664342</v>
      </c>
      <c r="I255" s="441"/>
      <c r="J255" s="440">
        <v>3.5180150759517741E-2</v>
      </c>
      <c r="K255" s="440">
        <v>0.85371124274980503</v>
      </c>
      <c r="L255" s="440">
        <f t="shared" si="102"/>
        <v>0.88889139350932278</v>
      </c>
      <c r="M255" s="347"/>
      <c r="N255" s="347"/>
    </row>
    <row r="256" spans="1:14" s="286" customFormat="1" x14ac:dyDescent="0.2">
      <c r="A256" s="362"/>
      <c r="B256" s="440"/>
      <c r="C256" s="440"/>
      <c r="D256" s="440"/>
      <c r="E256" s="441"/>
      <c r="F256" s="440"/>
      <c r="G256" s="440"/>
      <c r="H256" s="440"/>
      <c r="I256" s="441"/>
      <c r="J256" s="440"/>
      <c r="K256" s="440"/>
      <c r="L256" s="440"/>
      <c r="M256" s="347"/>
      <c r="N256" s="347"/>
    </row>
    <row r="257" spans="1:14" x14ac:dyDescent="0.2">
      <c r="A257" s="357" t="s">
        <v>32</v>
      </c>
      <c r="B257" s="450">
        <f>SUM(B247:B255)</f>
        <v>0.29099999999894127</v>
      </c>
      <c r="C257" s="450">
        <f t="shared" ref="C257:D257" si="103">SUM(C247:C255)</f>
        <v>11.749000000014902</v>
      </c>
      <c r="D257" s="450">
        <f t="shared" si="103"/>
        <v>12.040000000013842</v>
      </c>
      <c r="E257" s="450"/>
      <c r="F257" s="450">
        <f t="shared" ref="F257:H257" si="104">SUM(F247:F255)</f>
        <v>0.40699999999468467</v>
      </c>
      <c r="G257" s="450">
        <f t="shared" si="104"/>
        <v>11.870000000012356</v>
      </c>
      <c r="H257" s="450">
        <f t="shared" si="104"/>
        <v>12.277000000007041</v>
      </c>
      <c r="I257" s="450"/>
      <c r="J257" s="450">
        <f t="shared" ref="J257:L257" si="105">SUM(J247:J255)</f>
        <v>0.38999999999428947</v>
      </c>
      <c r="K257" s="450">
        <f t="shared" si="105"/>
        <v>9.5849999998490656</v>
      </c>
      <c r="L257" s="450">
        <f t="shared" si="105"/>
        <v>9.9749999998433552</v>
      </c>
      <c r="M257" s="347"/>
      <c r="N257" s="347"/>
    </row>
    <row r="258" spans="1:14" x14ac:dyDescent="0.2">
      <c r="A258" s="348"/>
      <c r="B258" s="348"/>
      <c r="C258" s="348"/>
      <c r="D258" s="348"/>
      <c r="E258" s="348"/>
      <c r="F258" s="348"/>
      <c r="G258" s="348"/>
      <c r="H258" s="348"/>
      <c r="I258" s="348"/>
      <c r="J258" s="348"/>
      <c r="K258" s="348"/>
      <c r="L258" s="353"/>
      <c r="M258" s="347"/>
      <c r="N258" s="347"/>
    </row>
    <row r="259" spans="1:14" x14ac:dyDescent="0.2">
      <c r="A259" s="348"/>
      <c r="B259" s="348"/>
      <c r="C259" s="348"/>
      <c r="D259" s="348"/>
      <c r="E259" s="348"/>
      <c r="F259" s="348"/>
      <c r="G259" s="348"/>
      <c r="H259" s="348"/>
      <c r="I259" s="348"/>
      <c r="J259" s="348"/>
      <c r="K259" s="348"/>
      <c r="L259" s="372" t="s">
        <v>35</v>
      </c>
      <c r="M259" s="347"/>
      <c r="N259" s="347"/>
    </row>
    <row r="260" spans="1:14" x14ac:dyDescent="0.2">
      <c r="A260" s="355"/>
      <c r="B260" s="365"/>
      <c r="C260" s="365"/>
      <c r="D260" s="365"/>
      <c r="E260" s="365"/>
      <c r="F260" s="365"/>
      <c r="G260" s="365"/>
      <c r="H260" s="365"/>
      <c r="I260" s="365"/>
      <c r="J260" s="365"/>
      <c r="K260" s="365"/>
      <c r="L260" s="347"/>
      <c r="M260" s="347"/>
      <c r="N260" s="347"/>
    </row>
    <row r="261" spans="1:14" x14ac:dyDescent="0.2">
      <c r="A261" s="354" t="str">
        <f>name!A18</f>
        <v>Metal products</v>
      </c>
      <c r="B261" s="517">
        <f>B$6</f>
        <v>2007</v>
      </c>
      <c r="C261" s="517"/>
      <c r="D261" s="517"/>
      <c r="E261" s="369"/>
      <c r="F261" s="517">
        <f>F244</f>
        <v>2017</v>
      </c>
      <c r="G261" s="517"/>
      <c r="H261" s="517"/>
      <c r="I261" s="369"/>
      <c r="J261" s="517">
        <f>J244</f>
        <v>2027</v>
      </c>
      <c r="K261" s="517"/>
      <c r="L261" s="517"/>
      <c r="M261" s="347"/>
      <c r="N261" s="347"/>
    </row>
    <row r="262" spans="1:14" x14ac:dyDescent="0.2">
      <c r="A262" s="370"/>
      <c r="B262" s="371" t="s">
        <v>387</v>
      </c>
      <c r="C262" s="371" t="s">
        <v>388</v>
      </c>
      <c r="D262" s="371" t="s">
        <v>32</v>
      </c>
      <c r="E262" s="371"/>
      <c r="F262" s="371" t="s">
        <v>387</v>
      </c>
      <c r="G262" s="371" t="s">
        <v>388</v>
      </c>
      <c r="H262" s="371" t="s">
        <v>32</v>
      </c>
      <c r="I262" s="371"/>
      <c r="J262" s="371" t="s">
        <v>387</v>
      </c>
      <c r="K262" s="371" t="s">
        <v>388</v>
      </c>
      <c r="L262" s="371" t="s">
        <v>32</v>
      </c>
      <c r="M262" s="347"/>
      <c r="N262" s="347"/>
    </row>
    <row r="263" spans="1:14" s="286" customFormat="1" x14ac:dyDescent="0.2">
      <c r="A263" s="374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47"/>
      <c r="N263" s="347"/>
    </row>
    <row r="264" spans="1:14" x14ac:dyDescent="0.2">
      <c r="A264" s="362" t="str">
        <f>name!E$4</f>
        <v>Managers, directors and senior officials</v>
      </c>
      <c r="B264" s="440">
        <v>0.13851815346363658</v>
      </c>
      <c r="C264" s="440">
        <v>1.0625099839144809</v>
      </c>
      <c r="D264" s="440">
        <f>SUM(B264:C264)</f>
        <v>1.2010281373781175</v>
      </c>
      <c r="E264" s="441"/>
      <c r="F264" s="440">
        <v>0.22442942636300101</v>
      </c>
      <c r="G264" s="440">
        <v>0.91081172174696023</v>
      </c>
      <c r="H264" s="440">
        <f>SUM(F264:G264)</f>
        <v>1.1352411481099614</v>
      </c>
      <c r="I264" s="441"/>
      <c r="J264" s="440">
        <v>0.3149777452545659</v>
      </c>
      <c r="K264" s="440">
        <v>0.89866591301076115</v>
      </c>
      <c r="L264" s="440">
        <f>SUM(J264:K264)</f>
        <v>1.2136436582653269</v>
      </c>
      <c r="M264" s="347"/>
      <c r="N264" s="347"/>
    </row>
    <row r="265" spans="1:14" x14ac:dyDescent="0.2">
      <c r="A265" s="362" t="str">
        <f>name!E$5</f>
        <v>Professional occupations</v>
      </c>
      <c r="B265" s="440">
        <v>0.14319466638190123</v>
      </c>
      <c r="C265" s="440">
        <v>0.92178922577360645</v>
      </c>
      <c r="D265" s="440">
        <f t="shared" ref="D265:D272" si="106">SUM(B265:C265)</f>
        <v>1.0649838921555077</v>
      </c>
      <c r="E265" s="441"/>
      <c r="F265" s="440">
        <v>0.30557190070450879</v>
      </c>
      <c r="G265" s="440">
        <v>0.74982971829579637</v>
      </c>
      <c r="H265" s="440">
        <f t="shared" ref="H265:H272" si="107">SUM(F265:G265)</f>
        <v>1.055401619000305</v>
      </c>
      <c r="I265" s="441"/>
      <c r="J265" s="440">
        <v>0.43406954379052431</v>
      </c>
      <c r="K265" s="440">
        <v>0.6871153426228982</v>
      </c>
      <c r="L265" s="440">
        <f t="shared" ref="L265:L272" si="108">SUM(J265:K265)</f>
        <v>1.1211848864134226</v>
      </c>
      <c r="M265" s="347"/>
      <c r="N265" s="347"/>
    </row>
    <row r="266" spans="1:14" x14ac:dyDescent="0.2">
      <c r="A266" s="362" t="str">
        <f>name!E$6</f>
        <v>Associate professional and technical</v>
      </c>
      <c r="B266" s="440">
        <v>0.24313302169242143</v>
      </c>
      <c r="C266" s="440">
        <v>1.0863180969850206</v>
      </c>
      <c r="D266" s="440">
        <f t="shared" si="106"/>
        <v>1.329451118677442</v>
      </c>
      <c r="E266" s="441"/>
      <c r="F266" s="440">
        <v>0.35339791235088097</v>
      </c>
      <c r="G266" s="440">
        <v>1.2148329077119233</v>
      </c>
      <c r="H266" s="440">
        <f t="shared" si="107"/>
        <v>1.5682308200628043</v>
      </c>
      <c r="I266" s="441"/>
      <c r="J266" s="440">
        <v>0.42028256720097834</v>
      </c>
      <c r="K266" s="440">
        <v>1.0857194623646675</v>
      </c>
      <c r="L266" s="440">
        <f t="shared" si="108"/>
        <v>1.506002029565646</v>
      </c>
      <c r="M266" s="347"/>
      <c r="N266" s="347"/>
    </row>
    <row r="267" spans="1:14" x14ac:dyDescent="0.2">
      <c r="A267" s="362" t="str">
        <f>name!E$7</f>
        <v>Administrative and secretarial</v>
      </c>
      <c r="B267" s="440">
        <v>0.86021144570600183</v>
      </c>
      <c r="C267" s="440">
        <v>0.26971355387106588</v>
      </c>
      <c r="D267" s="440">
        <f t="shared" si="106"/>
        <v>1.1299249995770677</v>
      </c>
      <c r="E267" s="441"/>
      <c r="F267" s="440">
        <v>0.58030678802931024</v>
      </c>
      <c r="G267" s="440">
        <v>0.23174928087961813</v>
      </c>
      <c r="H267" s="440">
        <f t="shared" si="107"/>
        <v>0.81205606890892834</v>
      </c>
      <c r="I267" s="441"/>
      <c r="J267" s="440">
        <v>0.47935021467601374</v>
      </c>
      <c r="K267" s="440">
        <v>0.19618250929129818</v>
      </c>
      <c r="L267" s="440">
        <f t="shared" si="108"/>
        <v>0.6755327239673119</v>
      </c>
      <c r="M267" s="347"/>
      <c r="N267" s="347"/>
    </row>
    <row r="268" spans="1:14" x14ac:dyDescent="0.2">
      <c r="A268" s="362" t="str">
        <f>name!E$8</f>
        <v>Skilled trades occupations</v>
      </c>
      <c r="B268" s="440">
        <v>0.23562445772575488</v>
      </c>
      <c r="C268" s="440">
        <v>7.3102807122775335</v>
      </c>
      <c r="D268" s="440">
        <f t="shared" si="106"/>
        <v>7.5459051700032882</v>
      </c>
      <c r="E268" s="441"/>
      <c r="F268" s="440">
        <v>0.22536740837028849</v>
      </c>
      <c r="G268" s="440">
        <v>6.2705441690650092</v>
      </c>
      <c r="H268" s="440">
        <f t="shared" si="107"/>
        <v>6.4959115774352973</v>
      </c>
      <c r="I268" s="441"/>
      <c r="J268" s="440">
        <v>0.24553106323539123</v>
      </c>
      <c r="K268" s="440">
        <v>4.8160709616200839</v>
      </c>
      <c r="L268" s="440">
        <f t="shared" si="108"/>
        <v>5.0616020248554747</v>
      </c>
      <c r="M268" s="347"/>
      <c r="N268" s="347"/>
    </row>
    <row r="269" spans="1:14" x14ac:dyDescent="0.2">
      <c r="A269" s="362" t="str">
        <f>name!E$9</f>
        <v>Caring, leisure and other service</v>
      </c>
      <c r="B269" s="440">
        <v>4.9277141574862314E-2</v>
      </c>
      <c r="C269" s="440">
        <v>3.7118806964506361E-2</v>
      </c>
      <c r="D269" s="440">
        <f t="shared" si="106"/>
        <v>8.6395948539368675E-2</v>
      </c>
      <c r="E269" s="441"/>
      <c r="F269" s="440">
        <v>7.5903775907285642E-2</v>
      </c>
      <c r="G269" s="440">
        <v>2.4350314965239733E-2</v>
      </c>
      <c r="H269" s="440">
        <f t="shared" si="107"/>
        <v>0.10025409087252538</v>
      </c>
      <c r="I269" s="441"/>
      <c r="J269" s="440">
        <v>7.794461635108238E-2</v>
      </c>
      <c r="K269" s="440">
        <v>2.7211847165187084E-2</v>
      </c>
      <c r="L269" s="440">
        <f t="shared" si="108"/>
        <v>0.10515646351626946</v>
      </c>
      <c r="M269" s="347"/>
      <c r="N269" s="347"/>
    </row>
    <row r="270" spans="1:14" x14ac:dyDescent="0.2">
      <c r="A270" s="362" t="str">
        <f>name!E$10</f>
        <v>Sales and customer service</v>
      </c>
      <c r="B270" s="440">
        <v>0.10641420073684281</v>
      </c>
      <c r="C270" s="440">
        <v>0.10820580155800261</v>
      </c>
      <c r="D270" s="440">
        <f t="shared" si="106"/>
        <v>0.2146200022948454</v>
      </c>
      <c r="E270" s="441"/>
      <c r="F270" s="440">
        <v>0.14745903244279449</v>
      </c>
      <c r="G270" s="440">
        <v>0.102116865863117</v>
      </c>
      <c r="H270" s="440">
        <f t="shared" si="107"/>
        <v>0.24957589830591148</v>
      </c>
      <c r="I270" s="441"/>
      <c r="J270" s="440">
        <v>0.16121642784176271</v>
      </c>
      <c r="K270" s="440">
        <v>8.7546185350394323E-2</v>
      </c>
      <c r="L270" s="440">
        <f t="shared" si="108"/>
        <v>0.24876261319215703</v>
      </c>
      <c r="M270" s="347"/>
      <c r="N270" s="347"/>
    </row>
    <row r="271" spans="1:14" x14ac:dyDescent="0.2">
      <c r="A271" s="362" t="str">
        <f>name!E$11</f>
        <v>Process, plant and machine operatives</v>
      </c>
      <c r="B271" s="440">
        <v>1.3611682672856702</v>
      </c>
      <c r="C271" s="440">
        <v>5.5405623826397585</v>
      </c>
      <c r="D271" s="440">
        <f t="shared" si="106"/>
        <v>6.9017306499254287</v>
      </c>
      <c r="E271" s="441"/>
      <c r="F271" s="440">
        <v>1.4610938817413184</v>
      </c>
      <c r="G271" s="440">
        <v>5.1575465660918054</v>
      </c>
      <c r="H271" s="440">
        <f t="shared" si="107"/>
        <v>6.6186404478331236</v>
      </c>
      <c r="I271" s="441"/>
      <c r="J271" s="440">
        <v>1.1263175674067545</v>
      </c>
      <c r="K271" s="440">
        <v>4.0828736868420279</v>
      </c>
      <c r="L271" s="440">
        <f t="shared" si="108"/>
        <v>5.2091912542487826</v>
      </c>
      <c r="M271" s="347"/>
      <c r="N271" s="347"/>
    </row>
    <row r="272" spans="1:14" x14ac:dyDescent="0.2">
      <c r="A272" s="362" t="str">
        <f>name!E$12</f>
        <v>Elementary occupations</v>
      </c>
      <c r="B272" s="440">
        <v>0.42445864536493766</v>
      </c>
      <c r="C272" s="440">
        <v>1.0885014360475425</v>
      </c>
      <c r="D272" s="440">
        <f t="shared" si="106"/>
        <v>1.5129600814124802</v>
      </c>
      <c r="E272" s="441"/>
      <c r="F272" s="440">
        <v>0.44246987412087219</v>
      </c>
      <c r="G272" s="440">
        <v>0.97521845538404317</v>
      </c>
      <c r="H272" s="440">
        <f t="shared" si="107"/>
        <v>1.4176883295049154</v>
      </c>
      <c r="I272" s="441"/>
      <c r="J272" s="440">
        <v>0.46931025423878092</v>
      </c>
      <c r="K272" s="440">
        <v>0.77261409154486671</v>
      </c>
      <c r="L272" s="440">
        <f t="shared" si="108"/>
        <v>1.2419243457836475</v>
      </c>
      <c r="M272" s="347"/>
      <c r="N272" s="347"/>
    </row>
    <row r="273" spans="1:14" s="286" customFormat="1" x14ac:dyDescent="0.2">
      <c r="A273" s="362"/>
      <c r="B273" s="440"/>
      <c r="C273" s="440"/>
      <c r="D273" s="440"/>
      <c r="E273" s="441"/>
      <c r="F273" s="440"/>
      <c r="G273" s="440"/>
      <c r="H273" s="440"/>
      <c r="I273" s="441"/>
      <c r="J273" s="440"/>
      <c r="K273" s="440"/>
      <c r="L273" s="440"/>
      <c r="M273" s="347"/>
      <c r="N273" s="347"/>
    </row>
    <row r="274" spans="1:14" x14ac:dyDescent="0.2">
      <c r="A274" s="357" t="s">
        <v>32</v>
      </c>
      <c r="B274" s="450">
        <f>SUM(B264:B272)</f>
        <v>3.5619999999320284</v>
      </c>
      <c r="C274" s="450">
        <f t="shared" ref="C274:D274" si="109">SUM(C264:C272)</f>
        <v>17.425000000031517</v>
      </c>
      <c r="D274" s="450">
        <f t="shared" si="109"/>
        <v>20.986999999963544</v>
      </c>
      <c r="E274" s="450"/>
      <c r="F274" s="450">
        <f t="shared" ref="F274:H274" si="110">SUM(F264:F272)</f>
        <v>3.8160000000302601</v>
      </c>
      <c r="G274" s="450">
        <f t="shared" si="110"/>
        <v>15.637000000003512</v>
      </c>
      <c r="H274" s="450">
        <f t="shared" si="110"/>
        <v>19.453000000033771</v>
      </c>
      <c r="I274" s="450"/>
      <c r="J274" s="450">
        <f t="shared" ref="J274:L274" si="111">SUM(J264:J272)</f>
        <v>3.7289999999958545</v>
      </c>
      <c r="K274" s="450">
        <f t="shared" si="111"/>
        <v>12.653999999812186</v>
      </c>
      <c r="L274" s="450">
        <f t="shared" si="111"/>
        <v>16.382999999808039</v>
      </c>
      <c r="M274" s="347"/>
      <c r="N274" s="347"/>
    </row>
    <row r="275" spans="1:14" x14ac:dyDescent="0.2">
      <c r="A275" s="348"/>
      <c r="B275" s="348"/>
      <c r="C275" s="348"/>
      <c r="D275" s="348"/>
      <c r="E275" s="348"/>
      <c r="F275" s="348"/>
      <c r="G275" s="348"/>
      <c r="H275" s="348"/>
      <c r="I275" s="348"/>
      <c r="J275" s="348"/>
      <c r="K275" s="348"/>
      <c r="L275" s="353"/>
      <c r="M275" s="347"/>
      <c r="N275" s="347"/>
    </row>
    <row r="276" spans="1:14" x14ac:dyDescent="0.2">
      <c r="A276" s="348"/>
      <c r="B276" s="348"/>
      <c r="C276" s="348"/>
      <c r="D276" s="348"/>
      <c r="E276" s="348"/>
      <c r="F276" s="348"/>
      <c r="G276" s="348"/>
      <c r="H276" s="348"/>
      <c r="I276" s="348"/>
      <c r="J276" s="348"/>
      <c r="K276" s="348"/>
      <c r="L276" s="372" t="s">
        <v>35</v>
      </c>
      <c r="M276" s="347"/>
      <c r="N276" s="347"/>
    </row>
    <row r="277" spans="1:14" x14ac:dyDescent="0.2">
      <c r="A277" s="355"/>
      <c r="B277" s="365"/>
      <c r="C277" s="365"/>
      <c r="D277" s="365"/>
      <c r="E277" s="365"/>
      <c r="F277" s="365"/>
      <c r="G277" s="365"/>
      <c r="H277" s="365"/>
      <c r="I277" s="365"/>
      <c r="J277" s="365"/>
      <c r="K277" s="365"/>
      <c r="L277" s="347"/>
      <c r="M277" s="347"/>
      <c r="N277" s="347"/>
    </row>
    <row r="278" spans="1:14" x14ac:dyDescent="0.2">
      <c r="A278" s="354" t="str">
        <f>name!A19</f>
        <v>Computer, etc</v>
      </c>
      <c r="B278" s="517">
        <f>B$6</f>
        <v>2007</v>
      </c>
      <c r="C278" s="517"/>
      <c r="D278" s="517"/>
      <c r="E278" s="369"/>
      <c r="F278" s="517">
        <f>F261</f>
        <v>2017</v>
      </c>
      <c r="G278" s="517"/>
      <c r="H278" s="517"/>
      <c r="I278" s="369"/>
      <c r="J278" s="517">
        <f>J261</f>
        <v>2027</v>
      </c>
      <c r="K278" s="517"/>
      <c r="L278" s="517"/>
      <c r="M278" s="347"/>
      <c r="N278" s="347"/>
    </row>
    <row r="279" spans="1:14" x14ac:dyDescent="0.2">
      <c r="A279" s="370"/>
      <c r="B279" s="371" t="s">
        <v>387</v>
      </c>
      <c r="C279" s="371" t="s">
        <v>388</v>
      </c>
      <c r="D279" s="371" t="s">
        <v>32</v>
      </c>
      <c r="E279" s="371"/>
      <c r="F279" s="371" t="s">
        <v>387</v>
      </c>
      <c r="G279" s="371" t="s">
        <v>388</v>
      </c>
      <c r="H279" s="371" t="s">
        <v>32</v>
      </c>
      <c r="I279" s="371"/>
      <c r="J279" s="371" t="s">
        <v>387</v>
      </c>
      <c r="K279" s="371" t="s">
        <v>388</v>
      </c>
      <c r="L279" s="371" t="s">
        <v>32</v>
      </c>
      <c r="M279" s="347"/>
      <c r="N279" s="347"/>
    </row>
    <row r="280" spans="1:14" s="286" customFormat="1" x14ac:dyDescent="0.2">
      <c r="A280" s="374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47"/>
      <c r="N280" s="347"/>
    </row>
    <row r="281" spans="1:14" x14ac:dyDescent="0.2">
      <c r="A281" s="362" t="str">
        <f>name!E$4</f>
        <v>Managers, directors and senior officials</v>
      </c>
      <c r="B281" s="440">
        <v>6.2860463949909129E-2</v>
      </c>
      <c r="C281" s="440">
        <v>0.56241864479464998</v>
      </c>
      <c r="D281" s="440">
        <f>SUM(B281:C281)</f>
        <v>0.62527910874455905</v>
      </c>
      <c r="E281" s="441"/>
      <c r="F281" s="440">
        <v>8.7202948117092227E-2</v>
      </c>
      <c r="G281" s="440">
        <v>0.55710657378821316</v>
      </c>
      <c r="H281" s="440">
        <f>SUM(F281:G281)</f>
        <v>0.64430952190530544</v>
      </c>
      <c r="I281" s="441"/>
      <c r="J281" s="440">
        <v>0.13743725375047425</v>
      </c>
      <c r="K281" s="440">
        <v>0.59299920291946195</v>
      </c>
      <c r="L281" s="440">
        <f>SUM(J281:K281)</f>
        <v>0.73043645666993617</v>
      </c>
      <c r="M281" s="347"/>
      <c r="N281" s="347"/>
    </row>
    <row r="282" spans="1:14" x14ac:dyDescent="0.2">
      <c r="A282" s="362" t="str">
        <f>name!E$5</f>
        <v>Professional occupations</v>
      </c>
      <c r="B282" s="440">
        <v>0.15351979848063008</v>
      </c>
      <c r="C282" s="440">
        <v>0.87613570850173916</v>
      </c>
      <c r="D282" s="440">
        <f t="shared" ref="D282:D289" si="112">SUM(B282:C282)</f>
        <v>1.0296555069823692</v>
      </c>
      <c r="E282" s="441"/>
      <c r="F282" s="440">
        <v>0.18101542074647792</v>
      </c>
      <c r="G282" s="440">
        <v>0.8397449048596739</v>
      </c>
      <c r="H282" s="440">
        <f t="shared" ref="H282:H289" si="113">SUM(F282:G282)</f>
        <v>1.0207603256061519</v>
      </c>
      <c r="I282" s="441"/>
      <c r="J282" s="440">
        <v>0.27851677080510751</v>
      </c>
      <c r="K282" s="440">
        <v>0.85931106129620383</v>
      </c>
      <c r="L282" s="440">
        <f t="shared" ref="L282:L289" si="114">SUM(J282:K282)</f>
        <v>1.1378278321013113</v>
      </c>
      <c r="M282" s="347"/>
      <c r="N282" s="347"/>
    </row>
    <row r="283" spans="1:14" x14ac:dyDescent="0.2">
      <c r="A283" s="362" t="str">
        <f>name!E$6</f>
        <v>Associate professional and technical</v>
      </c>
      <c r="B283" s="440">
        <v>0.21310541848717557</v>
      </c>
      <c r="C283" s="440">
        <v>0.78620888510815978</v>
      </c>
      <c r="D283" s="440">
        <f t="shared" si="112"/>
        <v>0.99931430359533535</v>
      </c>
      <c r="E283" s="441"/>
      <c r="F283" s="440">
        <v>0.20137572100098128</v>
      </c>
      <c r="G283" s="440">
        <v>0.64558335045589821</v>
      </c>
      <c r="H283" s="440">
        <f t="shared" si="113"/>
        <v>0.84695907145687954</v>
      </c>
      <c r="I283" s="441"/>
      <c r="J283" s="440">
        <v>0.26157808639783603</v>
      </c>
      <c r="K283" s="440">
        <v>0.63744396808731341</v>
      </c>
      <c r="L283" s="440">
        <f t="shared" si="114"/>
        <v>0.89902205448514949</v>
      </c>
      <c r="M283" s="347"/>
      <c r="N283" s="347"/>
    </row>
    <row r="284" spans="1:14" x14ac:dyDescent="0.2">
      <c r="A284" s="362" t="str">
        <f>name!E$7</f>
        <v>Administrative and secretarial</v>
      </c>
      <c r="B284" s="440">
        <v>0.24115673549599648</v>
      </c>
      <c r="C284" s="440">
        <v>0.15286967465892978</v>
      </c>
      <c r="D284" s="440">
        <f t="shared" si="112"/>
        <v>0.39402641015492623</v>
      </c>
      <c r="E284" s="441"/>
      <c r="F284" s="440">
        <v>0.20221622173316062</v>
      </c>
      <c r="G284" s="440">
        <v>0.16292310519227091</v>
      </c>
      <c r="H284" s="440">
        <f t="shared" si="113"/>
        <v>0.3651393269254315</v>
      </c>
      <c r="I284" s="441"/>
      <c r="J284" s="440">
        <v>0.21050149586692302</v>
      </c>
      <c r="K284" s="440">
        <v>0.17602443479667285</v>
      </c>
      <c r="L284" s="440">
        <f t="shared" si="114"/>
        <v>0.38652593066359586</v>
      </c>
      <c r="M284" s="347"/>
      <c r="N284" s="347"/>
    </row>
    <row r="285" spans="1:14" x14ac:dyDescent="0.2">
      <c r="A285" s="362" t="str">
        <f>name!E$8</f>
        <v>Skilled trades occupations</v>
      </c>
      <c r="B285" s="440">
        <v>0.14858843339491173</v>
      </c>
      <c r="C285" s="440">
        <v>1.6246856243142986</v>
      </c>
      <c r="D285" s="440">
        <f t="shared" si="112"/>
        <v>1.7732740577092103</v>
      </c>
      <c r="E285" s="441"/>
      <c r="F285" s="440">
        <v>0.10798027829230651</v>
      </c>
      <c r="G285" s="440">
        <v>1.2115565257017236</v>
      </c>
      <c r="H285" s="440">
        <f t="shared" si="113"/>
        <v>1.3195368039940301</v>
      </c>
      <c r="I285" s="441"/>
      <c r="J285" s="440">
        <v>0.11605998864474691</v>
      </c>
      <c r="K285" s="440">
        <v>1.0574511882994087</v>
      </c>
      <c r="L285" s="440">
        <f t="shared" si="114"/>
        <v>1.1735111769441555</v>
      </c>
      <c r="M285" s="347"/>
      <c r="N285" s="347"/>
    </row>
    <row r="286" spans="1:14" x14ac:dyDescent="0.2">
      <c r="A286" s="362" t="str">
        <f>name!E$9</f>
        <v>Caring, leisure and other service</v>
      </c>
      <c r="B286" s="440">
        <v>3.0599456910030746E-2</v>
      </c>
      <c r="C286" s="440">
        <v>1.7394941291805424E-2</v>
      </c>
      <c r="D286" s="440">
        <f t="shared" si="112"/>
        <v>4.7994398201836166E-2</v>
      </c>
      <c r="E286" s="441"/>
      <c r="F286" s="440">
        <v>2.7102828864505227E-2</v>
      </c>
      <c r="G286" s="440">
        <v>2.1008393048997796E-2</v>
      </c>
      <c r="H286" s="440">
        <f t="shared" si="113"/>
        <v>4.8111221913503019E-2</v>
      </c>
      <c r="I286" s="441"/>
      <c r="J286" s="440">
        <v>3.3816297882318644E-2</v>
      </c>
      <c r="K286" s="440">
        <v>2.8506353819529193E-2</v>
      </c>
      <c r="L286" s="440">
        <f t="shared" si="114"/>
        <v>6.2322651701847837E-2</v>
      </c>
      <c r="M286" s="347"/>
      <c r="N286" s="347"/>
    </row>
    <row r="287" spans="1:14" x14ac:dyDescent="0.2">
      <c r="A287" s="362" t="str">
        <f>name!E$10</f>
        <v>Sales and customer service</v>
      </c>
      <c r="B287" s="440">
        <v>5.6976427561768968E-2</v>
      </c>
      <c r="C287" s="440">
        <v>7.5731575824260169E-2</v>
      </c>
      <c r="D287" s="440">
        <f t="shared" si="112"/>
        <v>0.13270800338602914</v>
      </c>
      <c r="E287" s="441"/>
      <c r="F287" s="440">
        <v>6.182669424909383E-2</v>
      </c>
      <c r="G287" s="440">
        <v>0.11909075468650809</v>
      </c>
      <c r="H287" s="440">
        <f t="shared" si="113"/>
        <v>0.18091744893560191</v>
      </c>
      <c r="I287" s="441"/>
      <c r="J287" s="440">
        <v>8.014107612920332E-2</v>
      </c>
      <c r="K287" s="440">
        <v>0.15384017061822483</v>
      </c>
      <c r="L287" s="440">
        <f t="shared" si="114"/>
        <v>0.23398124674742815</v>
      </c>
      <c r="M287" s="347"/>
      <c r="N287" s="347"/>
    </row>
    <row r="288" spans="1:14" x14ac:dyDescent="0.2">
      <c r="A288" s="362" t="str">
        <f>name!E$11</f>
        <v>Process, plant and machine operatives</v>
      </c>
      <c r="B288" s="440">
        <v>1.7157316127438433</v>
      </c>
      <c r="C288" s="440">
        <v>1.5464884351704677</v>
      </c>
      <c r="D288" s="440">
        <f t="shared" si="112"/>
        <v>3.2622200479143109</v>
      </c>
      <c r="E288" s="441"/>
      <c r="F288" s="440">
        <v>1.3760302304513823</v>
      </c>
      <c r="G288" s="440">
        <v>0.98836734002447724</v>
      </c>
      <c r="H288" s="440">
        <f t="shared" si="113"/>
        <v>2.3643975704758597</v>
      </c>
      <c r="I288" s="441"/>
      <c r="J288" s="440">
        <v>1.101436738775055</v>
      </c>
      <c r="K288" s="440">
        <v>0.82946362839042564</v>
      </c>
      <c r="L288" s="440">
        <f t="shared" si="114"/>
        <v>1.9309003671654805</v>
      </c>
      <c r="M288" s="347"/>
      <c r="N288" s="347"/>
    </row>
    <row r="289" spans="1:14" x14ac:dyDescent="0.2">
      <c r="A289" s="362" t="str">
        <f>name!E$12</f>
        <v>Elementary occupations</v>
      </c>
      <c r="B289" s="440">
        <v>0.20846165290269755</v>
      </c>
      <c r="C289" s="440">
        <v>0.32006651031899946</v>
      </c>
      <c r="D289" s="440">
        <f t="shared" si="112"/>
        <v>0.52852816322169704</v>
      </c>
      <c r="E289" s="441"/>
      <c r="F289" s="440">
        <v>0.2132496565793347</v>
      </c>
      <c r="G289" s="440">
        <v>0.31161905223313779</v>
      </c>
      <c r="H289" s="440">
        <f t="shared" si="113"/>
        <v>0.5248687088124725</v>
      </c>
      <c r="I289" s="441"/>
      <c r="J289" s="440">
        <v>0.25151229175992862</v>
      </c>
      <c r="K289" s="440">
        <v>0.28795999174766584</v>
      </c>
      <c r="L289" s="440">
        <f t="shared" si="114"/>
        <v>0.53947228350759446</v>
      </c>
      <c r="M289" s="347"/>
      <c r="N289" s="347"/>
    </row>
    <row r="290" spans="1:14" s="286" customFormat="1" x14ac:dyDescent="0.2">
      <c r="A290" s="362"/>
      <c r="B290" s="440"/>
      <c r="C290" s="440"/>
      <c r="D290" s="440"/>
      <c r="E290" s="441"/>
      <c r="F290" s="440"/>
      <c r="G290" s="440"/>
      <c r="H290" s="440"/>
      <c r="I290" s="441"/>
      <c r="J290" s="440"/>
      <c r="K290" s="440"/>
      <c r="L290" s="440"/>
      <c r="M290" s="347"/>
      <c r="N290" s="347"/>
    </row>
    <row r="291" spans="1:14" x14ac:dyDescent="0.2">
      <c r="A291" s="357" t="s">
        <v>32</v>
      </c>
      <c r="B291" s="450">
        <f>SUM(B281:B289)</f>
        <v>2.8309999999269633</v>
      </c>
      <c r="C291" s="450">
        <f t="shared" ref="C291:D291" si="115">SUM(C281:C289)</f>
        <v>5.9619999999833109</v>
      </c>
      <c r="D291" s="450">
        <f t="shared" si="115"/>
        <v>8.7929999999102737</v>
      </c>
      <c r="E291" s="450"/>
      <c r="F291" s="450">
        <f t="shared" ref="F291:H291" si="116">SUM(F281:F289)</f>
        <v>2.4580000000343345</v>
      </c>
      <c r="G291" s="450">
        <f t="shared" si="116"/>
        <v>4.8569999999909008</v>
      </c>
      <c r="H291" s="450">
        <f t="shared" si="116"/>
        <v>7.3150000000252353</v>
      </c>
      <c r="I291" s="450"/>
      <c r="J291" s="450">
        <f t="shared" ref="J291:L291" si="117">SUM(J281:J289)</f>
        <v>2.4710000000115935</v>
      </c>
      <c r="K291" s="450">
        <f t="shared" si="117"/>
        <v>4.6229999999749065</v>
      </c>
      <c r="L291" s="450">
        <f t="shared" si="117"/>
        <v>7.0939999999864991</v>
      </c>
      <c r="M291" s="347"/>
      <c r="N291" s="347"/>
    </row>
    <row r="292" spans="1:14" x14ac:dyDescent="0.2">
      <c r="A292" s="348"/>
      <c r="B292" s="348"/>
      <c r="C292" s="348"/>
      <c r="D292" s="348"/>
      <c r="E292" s="348"/>
      <c r="F292" s="348"/>
      <c r="G292" s="348"/>
      <c r="H292" s="348"/>
      <c r="I292" s="348"/>
      <c r="J292" s="348"/>
      <c r="K292" s="348"/>
      <c r="L292" s="353"/>
      <c r="M292" s="347"/>
      <c r="N292" s="347"/>
    </row>
    <row r="293" spans="1:14" x14ac:dyDescent="0.2">
      <c r="A293" s="348"/>
      <c r="B293" s="348"/>
      <c r="C293" s="348"/>
      <c r="D293" s="348"/>
      <c r="E293" s="348"/>
      <c r="F293" s="348"/>
      <c r="G293" s="348"/>
      <c r="H293" s="348"/>
      <c r="I293" s="348"/>
      <c r="J293" s="348"/>
      <c r="K293" s="348"/>
      <c r="L293" s="372" t="s">
        <v>35</v>
      </c>
      <c r="M293" s="347"/>
      <c r="N293" s="347"/>
    </row>
    <row r="294" spans="1:14" x14ac:dyDescent="0.2">
      <c r="A294" s="355"/>
      <c r="B294" s="365"/>
      <c r="C294" s="365"/>
      <c r="D294" s="365"/>
      <c r="E294" s="365"/>
      <c r="F294" s="365"/>
      <c r="G294" s="365"/>
      <c r="H294" s="365"/>
      <c r="I294" s="365"/>
      <c r="J294" s="365"/>
      <c r="K294" s="365"/>
      <c r="L294" s="347"/>
      <c r="M294" s="347"/>
      <c r="N294" s="347"/>
    </row>
    <row r="295" spans="1:14" x14ac:dyDescent="0.2">
      <c r="A295" s="354" t="str">
        <f>name!A20</f>
        <v>Electrical equipment</v>
      </c>
      <c r="B295" s="517">
        <f>B$6</f>
        <v>2007</v>
      </c>
      <c r="C295" s="517"/>
      <c r="D295" s="517"/>
      <c r="E295" s="369"/>
      <c r="F295" s="517">
        <f>F278</f>
        <v>2017</v>
      </c>
      <c r="G295" s="517"/>
      <c r="H295" s="517"/>
      <c r="I295" s="369"/>
      <c r="J295" s="517">
        <f>J278</f>
        <v>2027</v>
      </c>
      <c r="K295" s="517"/>
      <c r="L295" s="517"/>
      <c r="M295" s="347"/>
      <c r="N295" s="347"/>
    </row>
    <row r="296" spans="1:14" x14ac:dyDescent="0.2">
      <c r="A296" s="370"/>
      <c r="B296" s="371" t="s">
        <v>387</v>
      </c>
      <c r="C296" s="371" t="s">
        <v>388</v>
      </c>
      <c r="D296" s="371" t="s">
        <v>32</v>
      </c>
      <c r="E296" s="371"/>
      <c r="F296" s="371" t="s">
        <v>387</v>
      </c>
      <c r="G296" s="371" t="s">
        <v>388</v>
      </c>
      <c r="H296" s="371" t="s">
        <v>32</v>
      </c>
      <c r="I296" s="371"/>
      <c r="J296" s="371" t="s">
        <v>387</v>
      </c>
      <c r="K296" s="371" t="s">
        <v>388</v>
      </c>
      <c r="L296" s="371" t="s">
        <v>32</v>
      </c>
      <c r="M296" s="347"/>
      <c r="N296" s="347"/>
    </row>
    <row r="297" spans="1:14" s="286" customFormat="1" x14ac:dyDescent="0.2">
      <c r="A297" s="374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47"/>
      <c r="N297" s="347"/>
    </row>
    <row r="298" spans="1:14" x14ac:dyDescent="0.2">
      <c r="A298" s="362" t="str">
        <f>name!E$4</f>
        <v>Managers, directors and senior officials</v>
      </c>
      <c r="B298" s="440">
        <v>5.1968514308027819E-2</v>
      </c>
      <c r="C298" s="440">
        <v>0.39425873854528293</v>
      </c>
      <c r="D298" s="440">
        <f>SUM(B298:C298)</f>
        <v>0.44622725285331077</v>
      </c>
      <c r="E298" s="441"/>
      <c r="F298" s="440">
        <v>7.2723845381301347E-2</v>
      </c>
      <c r="G298" s="440">
        <v>0.30163767611066272</v>
      </c>
      <c r="H298" s="440">
        <f>SUM(F298:G298)</f>
        <v>0.37436152149196406</v>
      </c>
      <c r="I298" s="441"/>
      <c r="J298" s="440">
        <v>8.5005017595841489E-2</v>
      </c>
      <c r="K298" s="440">
        <v>0.31959676005228976</v>
      </c>
      <c r="L298" s="440">
        <f>SUM(J298:K298)</f>
        <v>0.40460177764813127</v>
      </c>
      <c r="M298" s="347"/>
      <c r="N298" s="347"/>
    </row>
    <row r="299" spans="1:14" x14ac:dyDescent="0.2">
      <c r="A299" s="362" t="str">
        <f>name!E$5</f>
        <v>Professional occupations</v>
      </c>
      <c r="B299" s="440">
        <v>8.125371317343455E-2</v>
      </c>
      <c r="C299" s="440">
        <v>0.46630732338357267</v>
      </c>
      <c r="D299" s="440">
        <f t="shared" ref="D299:D306" si="118">SUM(B299:C299)</f>
        <v>0.54756103655700716</v>
      </c>
      <c r="E299" s="441"/>
      <c r="F299" s="440">
        <v>9.6049006811966903E-2</v>
      </c>
      <c r="G299" s="440">
        <v>0.25490255461762962</v>
      </c>
      <c r="H299" s="440">
        <f t="shared" ref="H299:H306" si="119">SUM(F299:G299)</f>
        <v>0.35095156142959649</v>
      </c>
      <c r="I299" s="441"/>
      <c r="J299" s="440">
        <v>0.13312381212489177</v>
      </c>
      <c r="K299" s="440">
        <v>0.26563457340850494</v>
      </c>
      <c r="L299" s="440">
        <f t="shared" ref="L299:L306" si="120">SUM(J299:K299)</f>
        <v>0.39875838553339671</v>
      </c>
      <c r="M299" s="347"/>
      <c r="N299" s="347"/>
    </row>
    <row r="300" spans="1:14" x14ac:dyDescent="0.2">
      <c r="A300" s="362" t="str">
        <f>name!E$6</f>
        <v>Associate professional and technical</v>
      </c>
      <c r="B300" s="440">
        <v>0.14785468197072266</v>
      </c>
      <c r="C300" s="440">
        <v>0.55419471814679311</v>
      </c>
      <c r="D300" s="440">
        <f t="shared" si="118"/>
        <v>0.70204940011751571</v>
      </c>
      <c r="E300" s="441"/>
      <c r="F300" s="440">
        <v>0.12960207700465887</v>
      </c>
      <c r="G300" s="440">
        <v>0.30305639773537291</v>
      </c>
      <c r="H300" s="440">
        <f t="shared" si="119"/>
        <v>0.43265847474003177</v>
      </c>
      <c r="I300" s="441"/>
      <c r="J300" s="440">
        <v>0.15266746810251994</v>
      </c>
      <c r="K300" s="440">
        <v>0.30217649046646183</v>
      </c>
      <c r="L300" s="440">
        <f t="shared" si="120"/>
        <v>0.45484395856898174</v>
      </c>
      <c r="M300" s="347"/>
      <c r="N300" s="347"/>
    </row>
    <row r="301" spans="1:14" x14ac:dyDescent="0.2">
      <c r="A301" s="362" t="str">
        <f>name!E$7</f>
        <v>Administrative and secretarial</v>
      </c>
      <c r="B301" s="440">
        <v>0.28445391612352861</v>
      </c>
      <c r="C301" s="440">
        <v>0.13067494858962259</v>
      </c>
      <c r="D301" s="440">
        <f t="shared" si="118"/>
        <v>0.41512886471315119</v>
      </c>
      <c r="E301" s="441"/>
      <c r="F301" s="440">
        <v>0.2252451362238832</v>
      </c>
      <c r="G301" s="440">
        <v>5.2309766726469552E-2</v>
      </c>
      <c r="H301" s="440">
        <f t="shared" si="119"/>
        <v>0.27755490295035273</v>
      </c>
      <c r="I301" s="441"/>
      <c r="J301" s="440">
        <v>0.21402137098073315</v>
      </c>
      <c r="K301" s="440">
        <v>5.4730179210842694E-2</v>
      </c>
      <c r="L301" s="440">
        <f t="shared" si="120"/>
        <v>0.26875155019157582</v>
      </c>
      <c r="M301" s="347"/>
      <c r="N301" s="347"/>
    </row>
    <row r="302" spans="1:14" x14ac:dyDescent="0.2">
      <c r="A302" s="362" t="str">
        <f>name!E$8</f>
        <v>Skilled trades occupations</v>
      </c>
      <c r="B302" s="440">
        <v>0.10011743651386418</v>
      </c>
      <c r="C302" s="440">
        <v>1.8468257321369892</v>
      </c>
      <c r="D302" s="440">
        <f t="shared" si="118"/>
        <v>1.9469431686508534</v>
      </c>
      <c r="E302" s="441"/>
      <c r="F302" s="440">
        <v>6.9205629821241732E-2</v>
      </c>
      <c r="G302" s="440">
        <v>0.90005637996929977</v>
      </c>
      <c r="H302" s="440">
        <f t="shared" si="119"/>
        <v>0.96926200979054156</v>
      </c>
      <c r="I302" s="441"/>
      <c r="J302" s="440">
        <v>6.9082730699622577E-2</v>
      </c>
      <c r="K302" s="440">
        <v>0.79672320940217434</v>
      </c>
      <c r="L302" s="440">
        <f t="shared" si="120"/>
        <v>0.8658059401017969</v>
      </c>
      <c r="M302" s="347"/>
      <c r="N302" s="347"/>
    </row>
    <row r="303" spans="1:14" x14ac:dyDescent="0.2">
      <c r="A303" s="362" t="str">
        <f>name!E$9</f>
        <v>Caring, leisure and other service</v>
      </c>
      <c r="B303" s="440">
        <v>0.10481579652106275</v>
      </c>
      <c r="C303" s="440">
        <v>1.1971931572233217E-2</v>
      </c>
      <c r="D303" s="440">
        <f t="shared" si="118"/>
        <v>0.11678772809329596</v>
      </c>
      <c r="E303" s="441"/>
      <c r="F303" s="440">
        <v>9.361973524427776E-2</v>
      </c>
      <c r="G303" s="440">
        <v>8.2724714929112795E-3</v>
      </c>
      <c r="H303" s="440">
        <f t="shared" si="119"/>
        <v>0.10189220673718904</v>
      </c>
      <c r="I303" s="441"/>
      <c r="J303" s="440">
        <v>0.10764652470238564</v>
      </c>
      <c r="K303" s="440">
        <v>1.08135602687037E-2</v>
      </c>
      <c r="L303" s="440">
        <f t="shared" si="120"/>
        <v>0.11846008497108934</v>
      </c>
      <c r="M303" s="347"/>
      <c r="N303" s="347"/>
    </row>
    <row r="304" spans="1:14" x14ac:dyDescent="0.2">
      <c r="A304" s="362" t="str">
        <f>name!E$10</f>
        <v>Sales and customer service</v>
      </c>
      <c r="B304" s="440">
        <v>5.3137309663381031E-2</v>
      </c>
      <c r="C304" s="440">
        <v>6.7285083202942422E-2</v>
      </c>
      <c r="D304" s="440">
        <f t="shared" si="118"/>
        <v>0.12042239286632345</v>
      </c>
      <c r="E304" s="441"/>
      <c r="F304" s="440">
        <v>5.778271657316509E-2</v>
      </c>
      <c r="G304" s="440">
        <v>7.0526918462976484E-2</v>
      </c>
      <c r="H304" s="440">
        <f t="shared" si="119"/>
        <v>0.12830963503614157</v>
      </c>
      <c r="I304" s="441"/>
      <c r="J304" s="440">
        <v>6.6084606021636183E-2</v>
      </c>
      <c r="K304" s="440">
        <v>7.4000451915763682E-2</v>
      </c>
      <c r="L304" s="440">
        <f t="shared" si="120"/>
        <v>0.14008505793739987</v>
      </c>
      <c r="M304" s="347"/>
      <c r="N304" s="347"/>
    </row>
    <row r="305" spans="1:14" x14ac:dyDescent="0.2">
      <c r="A305" s="362" t="str">
        <f>name!E$11</f>
        <v>Process, plant and machine operatives</v>
      </c>
      <c r="B305" s="440">
        <v>1.1801563139276441</v>
      </c>
      <c r="C305" s="440">
        <v>1.9124563020663945</v>
      </c>
      <c r="D305" s="440">
        <f t="shared" si="118"/>
        <v>3.0926126159940388</v>
      </c>
      <c r="E305" s="441"/>
      <c r="F305" s="440">
        <v>0.67379336009428026</v>
      </c>
      <c r="G305" s="440">
        <v>1.2281850508447827</v>
      </c>
      <c r="H305" s="440">
        <f t="shared" si="119"/>
        <v>1.9019784109390629</v>
      </c>
      <c r="I305" s="441"/>
      <c r="J305" s="440">
        <v>0.5059656600556004</v>
      </c>
      <c r="K305" s="440">
        <v>1.0727632245192686</v>
      </c>
      <c r="L305" s="440">
        <f t="shared" si="120"/>
        <v>1.578728884574869</v>
      </c>
      <c r="M305" s="347"/>
      <c r="N305" s="347"/>
    </row>
    <row r="306" spans="1:14" x14ac:dyDescent="0.2">
      <c r="A306" s="362" t="str">
        <f>name!E$12</f>
        <v>Elementary occupations</v>
      </c>
      <c r="B306" s="440">
        <v>0.15224231774084204</v>
      </c>
      <c r="C306" s="440">
        <v>0.31102522234971114</v>
      </c>
      <c r="D306" s="440">
        <f t="shared" si="118"/>
        <v>0.46326754009055315</v>
      </c>
      <c r="E306" s="441"/>
      <c r="F306" s="440">
        <v>0.21697849285776763</v>
      </c>
      <c r="G306" s="440">
        <v>0.27505278403574673</v>
      </c>
      <c r="H306" s="440">
        <f t="shared" si="119"/>
        <v>0.49203127689351434</v>
      </c>
      <c r="I306" s="441"/>
      <c r="J306" s="440">
        <v>0.25040280971802953</v>
      </c>
      <c r="K306" s="440">
        <v>0.24656155072344291</v>
      </c>
      <c r="L306" s="440">
        <f t="shared" si="120"/>
        <v>0.49696436044147241</v>
      </c>
      <c r="M306" s="347"/>
      <c r="N306" s="347"/>
    </row>
    <row r="307" spans="1:14" s="286" customFormat="1" x14ac:dyDescent="0.2">
      <c r="A307" s="362"/>
      <c r="B307" s="440"/>
      <c r="C307" s="440"/>
      <c r="D307" s="440"/>
      <c r="E307" s="441"/>
      <c r="F307" s="440"/>
      <c r="G307" s="440"/>
      <c r="H307" s="440"/>
      <c r="I307" s="441"/>
      <c r="J307" s="440"/>
      <c r="K307" s="440"/>
      <c r="L307" s="440"/>
      <c r="M307" s="347"/>
      <c r="N307" s="347"/>
    </row>
    <row r="308" spans="1:14" x14ac:dyDescent="0.2">
      <c r="A308" s="357" t="s">
        <v>32</v>
      </c>
      <c r="B308" s="450">
        <f>SUM(B298:B306)</f>
        <v>2.1559999999425075</v>
      </c>
      <c r="C308" s="450">
        <f t="shared" ref="C308:D308" si="121">SUM(C298:C306)</f>
        <v>5.6949999999935415</v>
      </c>
      <c r="D308" s="450">
        <f t="shared" si="121"/>
        <v>7.8509999999360485</v>
      </c>
      <c r="E308" s="450"/>
      <c r="F308" s="450">
        <f t="shared" ref="F308:H308" si="122">SUM(F298:F306)</f>
        <v>1.6350000000125431</v>
      </c>
      <c r="G308" s="450">
        <f t="shared" si="122"/>
        <v>3.3939999999958514</v>
      </c>
      <c r="H308" s="450">
        <f t="shared" si="122"/>
        <v>5.0290000000083941</v>
      </c>
      <c r="I308" s="450"/>
      <c r="J308" s="450">
        <f t="shared" ref="J308:L308" si="123">SUM(J298:J306)</f>
        <v>1.5840000000012606</v>
      </c>
      <c r="K308" s="450">
        <f t="shared" si="123"/>
        <v>3.1429999999674525</v>
      </c>
      <c r="L308" s="450">
        <f t="shared" si="123"/>
        <v>4.7269999999687133</v>
      </c>
      <c r="M308" s="347"/>
      <c r="N308" s="347"/>
    </row>
    <row r="309" spans="1:14" x14ac:dyDescent="0.2">
      <c r="A309" s="348"/>
      <c r="B309" s="348"/>
      <c r="C309" s="348"/>
      <c r="D309" s="348"/>
      <c r="E309" s="348"/>
      <c r="F309" s="348"/>
      <c r="G309" s="348"/>
      <c r="H309" s="348"/>
      <c r="I309" s="348"/>
      <c r="J309" s="348"/>
      <c r="K309" s="348"/>
      <c r="L309" s="353"/>
      <c r="M309" s="347"/>
      <c r="N309" s="347"/>
    </row>
    <row r="310" spans="1:14" x14ac:dyDescent="0.2">
      <c r="A310" s="348"/>
      <c r="B310" s="348"/>
      <c r="C310" s="348"/>
      <c r="D310" s="348"/>
      <c r="E310" s="348"/>
      <c r="F310" s="348"/>
      <c r="G310" s="348"/>
      <c r="H310" s="348"/>
      <c r="I310" s="348"/>
      <c r="J310" s="348"/>
      <c r="K310" s="348"/>
      <c r="L310" s="372" t="s">
        <v>35</v>
      </c>
      <c r="M310" s="347"/>
      <c r="N310" s="347"/>
    </row>
    <row r="311" spans="1:14" x14ac:dyDescent="0.2">
      <c r="A311" s="355"/>
      <c r="B311" s="365"/>
      <c r="C311" s="365"/>
      <c r="D311" s="365"/>
      <c r="E311" s="365"/>
      <c r="F311" s="365"/>
      <c r="G311" s="365"/>
      <c r="H311" s="365"/>
      <c r="I311" s="365"/>
      <c r="J311" s="365"/>
      <c r="K311" s="365"/>
      <c r="L311" s="347"/>
      <c r="M311" s="347"/>
      <c r="N311" s="347"/>
    </row>
    <row r="312" spans="1:14" x14ac:dyDescent="0.2">
      <c r="A312" s="354" t="str">
        <f>name!A21</f>
        <v>Machinery n.e.c.</v>
      </c>
      <c r="B312" s="517">
        <f>B$6</f>
        <v>2007</v>
      </c>
      <c r="C312" s="517"/>
      <c r="D312" s="517"/>
      <c r="E312" s="369"/>
      <c r="F312" s="517">
        <f>F295</f>
        <v>2017</v>
      </c>
      <c r="G312" s="517"/>
      <c r="H312" s="517"/>
      <c r="I312" s="369"/>
      <c r="J312" s="517">
        <f>J295</f>
        <v>2027</v>
      </c>
      <c r="K312" s="517"/>
      <c r="L312" s="517"/>
      <c r="M312" s="347"/>
      <c r="N312" s="347"/>
    </row>
    <row r="313" spans="1:14" x14ac:dyDescent="0.2">
      <c r="A313" s="370"/>
      <c r="B313" s="371" t="s">
        <v>387</v>
      </c>
      <c r="C313" s="371" t="s">
        <v>388</v>
      </c>
      <c r="D313" s="371" t="s">
        <v>32</v>
      </c>
      <c r="E313" s="371"/>
      <c r="F313" s="371" t="s">
        <v>387</v>
      </c>
      <c r="G313" s="371" t="s">
        <v>388</v>
      </c>
      <c r="H313" s="371" t="s">
        <v>32</v>
      </c>
      <c r="I313" s="371"/>
      <c r="J313" s="371" t="s">
        <v>387</v>
      </c>
      <c r="K313" s="371" t="s">
        <v>388</v>
      </c>
      <c r="L313" s="371" t="s">
        <v>32</v>
      </c>
      <c r="M313" s="347"/>
      <c r="N313" s="347"/>
    </row>
    <row r="314" spans="1:14" s="286" customFormat="1" x14ac:dyDescent="0.2">
      <c r="A314" s="374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47"/>
      <c r="N314" s="347"/>
    </row>
    <row r="315" spans="1:14" x14ac:dyDescent="0.2">
      <c r="A315" s="362" t="str">
        <f>name!E$4</f>
        <v>Managers, directors and senior officials</v>
      </c>
      <c r="B315" s="440">
        <v>5.5387574435554178E-2</v>
      </c>
      <c r="C315" s="440">
        <v>0.44264338507962842</v>
      </c>
      <c r="D315" s="440">
        <f>SUM(B315:C315)</f>
        <v>0.49803095951518261</v>
      </c>
      <c r="E315" s="441"/>
      <c r="F315" s="440">
        <v>4.8349213870629106E-2</v>
      </c>
      <c r="G315" s="440">
        <v>0.2897042615316</v>
      </c>
      <c r="H315" s="440">
        <f>SUM(F315:G315)</f>
        <v>0.33805347540222913</v>
      </c>
      <c r="I315" s="441"/>
      <c r="J315" s="440">
        <v>8.0147300249451631E-2</v>
      </c>
      <c r="K315" s="440">
        <v>0.30133383086797361</v>
      </c>
      <c r="L315" s="440">
        <f>SUM(J315:K315)</f>
        <v>0.38148113111742521</v>
      </c>
      <c r="M315" s="347"/>
      <c r="N315" s="347"/>
    </row>
    <row r="316" spans="1:14" x14ac:dyDescent="0.2">
      <c r="A316" s="362" t="str">
        <f>name!E$5</f>
        <v>Professional occupations</v>
      </c>
      <c r="B316" s="440">
        <v>7.4816119109581178E-2</v>
      </c>
      <c r="C316" s="440">
        <v>0.43336979027623262</v>
      </c>
      <c r="D316" s="440">
        <f t="shared" ref="D316:D323" si="124">SUM(B316:C316)</f>
        <v>0.50818590938581376</v>
      </c>
      <c r="E316" s="441"/>
      <c r="F316" s="440">
        <v>6.1707422234098433E-2</v>
      </c>
      <c r="G316" s="440">
        <v>0.28066085319365081</v>
      </c>
      <c r="H316" s="440">
        <f t="shared" ref="H316:H323" si="125">SUM(F316:G316)</f>
        <v>0.34236827542774922</v>
      </c>
      <c r="I316" s="441"/>
      <c r="J316" s="440">
        <v>9.1141810884011423E-2</v>
      </c>
      <c r="K316" s="440">
        <v>0.27266994465656941</v>
      </c>
      <c r="L316" s="440">
        <f t="shared" ref="L316:L323" si="126">SUM(J316:K316)</f>
        <v>0.36381175554058082</v>
      </c>
      <c r="M316" s="347"/>
      <c r="N316" s="347"/>
    </row>
    <row r="317" spans="1:14" x14ac:dyDescent="0.2">
      <c r="A317" s="362" t="str">
        <f>name!E$6</f>
        <v>Associate professional and technical</v>
      </c>
      <c r="B317" s="440">
        <v>0.1127653895667657</v>
      </c>
      <c r="C317" s="440">
        <v>0.55631128811524555</v>
      </c>
      <c r="D317" s="440">
        <f t="shared" si="124"/>
        <v>0.66907667768201129</v>
      </c>
      <c r="E317" s="441"/>
      <c r="F317" s="440">
        <v>8.1721505027693556E-2</v>
      </c>
      <c r="G317" s="440">
        <v>0.29482572312749644</v>
      </c>
      <c r="H317" s="440">
        <f t="shared" si="125"/>
        <v>0.37654722815518998</v>
      </c>
      <c r="I317" s="441"/>
      <c r="J317" s="440">
        <v>0.10958170432106643</v>
      </c>
      <c r="K317" s="440">
        <v>0.28098399556860698</v>
      </c>
      <c r="L317" s="440">
        <f t="shared" si="126"/>
        <v>0.39056569988967338</v>
      </c>
      <c r="M317" s="347"/>
      <c r="N317" s="347"/>
    </row>
    <row r="318" spans="1:14" x14ac:dyDescent="0.2">
      <c r="A318" s="362" t="str">
        <f>name!E$7</f>
        <v>Administrative and secretarial</v>
      </c>
      <c r="B318" s="440">
        <v>0.34998030353198628</v>
      </c>
      <c r="C318" s="440">
        <v>0.11099290895967363</v>
      </c>
      <c r="D318" s="440">
        <f t="shared" si="124"/>
        <v>0.4609732124916599</v>
      </c>
      <c r="E318" s="441"/>
      <c r="F318" s="440">
        <v>0.2324952151903644</v>
      </c>
      <c r="G318" s="440">
        <v>6.7222707422852537E-2</v>
      </c>
      <c r="H318" s="440">
        <f t="shared" si="125"/>
        <v>0.29971792261321695</v>
      </c>
      <c r="I318" s="441"/>
      <c r="J318" s="440">
        <v>0.27663777094563391</v>
      </c>
      <c r="K318" s="440">
        <v>6.6008098699511547E-2</v>
      </c>
      <c r="L318" s="440">
        <f t="shared" si="126"/>
        <v>0.34264586964514543</v>
      </c>
      <c r="M318" s="347"/>
      <c r="N318" s="347"/>
    </row>
    <row r="319" spans="1:14" x14ac:dyDescent="0.2">
      <c r="A319" s="362" t="str">
        <f>name!E$8</f>
        <v>Skilled trades occupations</v>
      </c>
      <c r="B319" s="440">
        <v>7.5200605274117829E-2</v>
      </c>
      <c r="C319" s="440">
        <v>1.964672395668511</v>
      </c>
      <c r="D319" s="440">
        <f t="shared" si="124"/>
        <v>2.0398730009426287</v>
      </c>
      <c r="E319" s="441"/>
      <c r="F319" s="440">
        <v>3.2542948674357038E-2</v>
      </c>
      <c r="G319" s="440">
        <v>1.0472752942247756</v>
      </c>
      <c r="H319" s="440">
        <f t="shared" si="125"/>
        <v>1.0798182428991328</v>
      </c>
      <c r="I319" s="441"/>
      <c r="J319" s="440">
        <v>3.1856980317477017E-2</v>
      </c>
      <c r="K319" s="440">
        <v>0.85457347770139203</v>
      </c>
      <c r="L319" s="440">
        <f t="shared" si="126"/>
        <v>0.88643045801886899</v>
      </c>
      <c r="M319" s="347"/>
      <c r="N319" s="347"/>
    </row>
    <row r="320" spans="1:14" x14ac:dyDescent="0.2">
      <c r="A320" s="362" t="str">
        <f>name!E$9</f>
        <v>Caring, leisure and other service</v>
      </c>
      <c r="B320" s="440">
        <v>0.1060521233449238</v>
      </c>
      <c r="C320" s="440">
        <v>1.0172096963079224E-2</v>
      </c>
      <c r="D320" s="440">
        <f t="shared" si="124"/>
        <v>0.11622422030800302</v>
      </c>
      <c r="E320" s="441"/>
      <c r="F320" s="440">
        <v>5.7561291298110363E-2</v>
      </c>
      <c r="G320" s="440">
        <v>5.211285259074808E-3</v>
      </c>
      <c r="H320" s="440">
        <f t="shared" si="125"/>
        <v>6.277257655718517E-2</v>
      </c>
      <c r="I320" s="441"/>
      <c r="J320" s="440">
        <v>7.0130783173239356E-2</v>
      </c>
      <c r="K320" s="440">
        <v>6.6765911128570058E-3</v>
      </c>
      <c r="L320" s="440">
        <f t="shared" si="126"/>
        <v>7.6807374286096367E-2</v>
      </c>
      <c r="M320" s="347"/>
      <c r="N320" s="347"/>
    </row>
    <row r="321" spans="1:14" x14ac:dyDescent="0.2">
      <c r="A321" s="362" t="str">
        <f>name!E$10</f>
        <v>Sales and customer service</v>
      </c>
      <c r="B321" s="440">
        <v>6.4891805149802556E-2</v>
      </c>
      <c r="C321" s="440">
        <v>6.165489814006702E-2</v>
      </c>
      <c r="D321" s="440">
        <f t="shared" si="124"/>
        <v>0.12654670328986958</v>
      </c>
      <c r="E321" s="441"/>
      <c r="F321" s="440">
        <v>5.6730375723947221E-2</v>
      </c>
      <c r="G321" s="440">
        <v>6.2825542291202977E-2</v>
      </c>
      <c r="H321" s="440">
        <f t="shared" si="125"/>
        <v>0.1195559180151502</v>
      </c>
      <c r="I321" s="441"/>
      <c r="J321" s="440">
        <v>8.3633556841579734E-2</v>
      </c>
      <c r="K321" s="440">
        <v>5.6719185856850735E-2</v>
      </c>
      <c r="L321" s="440">
        <f t="shared" si="126"/>
        <v>0.14035274269843045</v>
      </c>
      <c r="M321" s="347"/>
      <c r="N321" s="347"/>
    </row>
    <row r="322" spans="1:14" x14ac:dyDescent="0.2">
      <c r="A322" s="362" t="str">
        <f>name!E$11</f>
        <v>Process, plant and machine operatives</v>
      </c>
      <c r="B322" s="440">
        <v>0.75392723925421379</v>
      </c>
      <c r="C322" s="440">
        <v>2.3713664473270262</v>
      </c>
      <c r="D322" s="440">
        <f t="shared" si="124"/>
        <v>3.12529368658124</v>
      </c>
      <c r="E322" s="441"/>
      <c r="F322" s="440">
        <v>0.30646595259068676</v>
      </c>
      <c r="G322" s="440">
        <v>1.2152548342697929</v>
      </c>
      <c r="H322" s="440">
        <f t="shared" si="125"/>
        <v>1.5217207868604796</v>
      </c>
      <c r="I322" s="441"/>
      <c r="J322" s="440">
        <v>0.23269403944638337</v>
      </c>
      <c r="K322" s="440">
        <v>1.0156360809703275</v>
      </c>
      <c r="L322" s="440">
        <f t="shared" si="126"/>
        <v>1.248330120416711</v>
      </c>
      <c r="M322" s="347"/>
      <c r="N322" s="347"/>
    </row>
    <row r="323" spans="1:14" x14ac:dyDescent="0.2">
      <c r="A323" s="362" t="str">
        <f>name!E$12</f>
        <v>Elementary occupations</v>
      </c>
      <c r="B323" s="440">
        <v>0.150978840294128</v>
      </c>
      <c r="C323" s="440">
        <v>0.48881678946663254</v>
      </c>
      <c r="D323" s="440">
        <f t="shared" si="124"/>
        <v>0.63979562976076054</v>
      </c>
      <c r="E323" s="441"/>
      <c r="F323" s="440">
        <v>9.3426075399634212E-2</v>
      </c>
      <c r="G323" s="440">
        <v>0.24401949867538078</v>
      </c>
      <c r="H323" s="440">
        <f t="shared" si="125"/>
        <v>0.33744557407501496</v>
      </c>
      <c r="I323" s="441"/>
      <c r="J323" s="440">
        <v>0.13217605382947403</v>
      </c>
      <c r="K323" s="440">
        <v>0.2253987945335344</v>
      </c>
      <c r="L323" s="440">
        <f t="shared" si="126"/>
        <v>0.35757484836300846</v>
      </c>
      <c r="M323" s="347"/>
      <c r="N323" s="347"/>
    </row>
    <row r="324" spans="1:14" s="286" customFormat="1" x14ac:dyDescent="0.2">
      <c r="A324" s="362"/>
      <c r="B324" s="440"/>
      <c r="C324" s="440"/>
      <c r="D324" s="440"/>
      <c r="E324" s="441"/>
      <c r="F324" s="440"/>
      <c r="G324" s="440"/>
      <c r="H324" s="440"/>
      <c r="I324" s="441"/>
      <c r="J324" s="440"/>
      <c r="K324" s="440"/>
      <c r="L324" s="440"/>
      <c r="M324" s="347"/>
      <c r="N324" s="347"/>
    </row>
    <row r="325" spans="1:14" x14ac:dyDescent="0.2">
      <c r="A325" s="357" t="s">
        <v>32</v>
      </c>
      <c r="B325" s="450">
        <f>SUM(B315:B323)</f>
        <v>1.7439999999610731</v>
      </c>
      <c r="C325" s="450">
        <f t="shared" ref="C325:D325" si="127">SUM(C315:C323)</f>
        <v>6.4399999999960968</v>
      </c>
      <c r="D325" s="450">
        <f t="shared" si="127"/>
        <v>8.1839999999571695</v>
      </c>
      <c r="E325" s="450"/>
      <c r="F325" s="450">
        <f t="shared" ref="F325:H325" si="128">SUM(F315:F323)</f>
        <v>0.97100000000952114</v>
      </c>
      <c r="G325" s="450">
        <f t="shared" si="128"/>
        <v>3.506999999995827</v>
      </c>
      <c r="H325" s="450">
        <f t="shared" si="128"/>
        <v>4.4780000000053484</v>
      </c>
      <c r="I325" s="450"/>
      <c r="J325" s="450">
        <f t="shared" ref="J325:L325" si="129">SUM(J315:J323)</f>
        <v>1.1080000000083168</v>
      </c>
      <c r="K325" s="450">
        <f t="shared" si="129"/>
        <v>3.0799999999676233</v>
      </c>
      <c r="L325" s="450">
        <f t="shared" si="129"/>
        <v>4.1879999999759399</v>
      </c>
      <c r="M325" s="347"/>
      <c r="N325" s="347"/>
    </row>
    <row r="326" spans="1:14" x14ac:dyDescent="0.2">
      <c r="A326" s="348"/>
      <c r="B326" s="348"/>
      <c r="C326" s="348"/>
      <c r="D326" s="348"/>
      <c r="E326" s="348"/>
      <c r="F326" s="348"/>
      <c r="G326" s="348"/>
      <c r="H326" s="348"/>
      <c r="I326" s="348"/>
      <c r="J326" s="348"/>
      <c r="K326" s="348"/>
      <c r="L326" s="353"/>
      <c r="M326" s="347"/>
      <c r="N326" s="347"/>
    </row>
    <row r="327" spans="1:14" x14ac:dyDescent="0.2">
      <c r="A327" s="348"/>
      <c r="B327" s="348"/>
      <c r="C327" s="348"/>
      <c r="D327" s="348"/>
      <c r="E327" s="348"/>
      <c r="F327" s="348"/>
      <c r="G327" s="348"/>
      <c r="H327" s="348"/>
      <c r="I327" s="348"/>
      <c r="J327" s="348"/>
      <c r="K327" s="348"/>
      <c r="L327" s="372" t="s">
        <v>35</v>
      </c>
      <c r="M327" s="347"/>
      <c r="N327" s="347"/>
    </row>
    <row r="328" spans="1:14" x14ac:dyDescent="0.2">
      <c r="A328" s="355"/>
      <c r="B328" s="365"/>
      <c r="C328" s="365"/>
      <c r="D328" s="365"/>
      <c r="E328" s="365"/>
      <c r="F328" s="365"/>
      <c r="G328" s="365"/>
      <c r="H328" s="365"/>
      <c r="I328" s="365"/>
      <c r="J328" s="365"/>
      <c r="K328" s="365"/>
      <c r="L328" s="347"/>
      <c r="M328" s="347"/>
      <c r="N328" s="347"/>
    </row>
    <row r="329" spans="1:14" x14ac:dyDescent="0.2">
      <c r="A329" s="354" t="str">
        <f>name!A22</f>
        <v>Motor vehicles, etc</v>
      </c>
      <c r="B329" s="517">
        <f>B$6</f>
        <v>2007</v>
      </c>
      <c r="C329" s="517"/>
      <c r="D329" s="517"/>
      <c r="E329" s="369"/>
      <c r="F329" s="517">
        <f>F312</f>
        <v>2017</v>
      </c>
      <c r="G329" s="517"/>
      <c r="H329" s="517"/>
      <c r="I329" s="369"/>
      <c r="J329" s="517">
        <f>J312</f>
        <v>2027</v>
      </c>
      <c r="K329" s="517"/>
      <c r="L329" s="517"/>
      <c r="M329" s="347"/>
      <c r="N329" s="347"/>
    </row>
    <row r="330" spans="1:14" x14ac:dyDescent="0.2">
      <c r="A330" s="370"/>
      <c r="B330" s="371" t="s">
        <v>387</v>
      </c>
      <c r="C330" s="371" t="s">
        <v>388</v>
      </c>
      <c r="D330" s="371" t="s">
        <v>32</v>
      </c>
      <c r="E330" s="371"/>
      <c r="F330" s="371" t="s">
        <v>387</v>
      </c>
      <c r="G330" s="371" t="s">
        <v>388</v>
      </c>
      <c r="H330" s="371" t="s">
        <v>32</v>
      </c>
      <c r="I330" s="371"/>
      <c r="J330" s="371" t="s">
        <v>387</v>
      </c>
      <c r="K330" s="371" t="s">
        <v>388</v>
      </c>
      <c r="L330" s="371" t="s">
        <v>32</v>
      </c>
      <c r="M330" s="347"/>
      <c r="N330" s="347"/>
    </row>
    <row r="331" spans="1:14" s="286" customFormat="1" x14ac:dyDescent="0.2">
      <c r="A331" s="374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47"/>
      <c r="N331" s="347"/>
    </row>
    <row r="332" spans="1:14" x14ac:dyDescent="0.2">
      <c r="A332" s="362" t="str">
        <f>name!E$4</f>
        <v>Managers, directors and senior officials</v>
      </c>
      <c r="B332" s="440">
        <v>5.0430908085282514E-2</v>
      </c>
      <c r="C332" s="440">
        <v>0.57620735951596835</v>
      </c>
      <c r="D332" s="440">
        <f>SUM(B332:C332)</f>
        <v>0.62663826760125085</v>
      </c>
      <c r="E332" s="441"/>
      <c r="F332" s="440">
        <v>5.5439626774282914E-2</v>
      </c>
      <c r="G332" s="440">
        <v>0.34401933047858335</v>
      </c>
      <c r="H332" s="440">
        <f>SUM(F332:G332)</f>
        <v>0.39945895725286629</v>
      </c>
      <c r="I332" s="441"/>
      <c r="J332" s="440">
        <v>9.5204606030412961E-2</v>
      </c>
      <c r="K332" s="440">
        <v>0.40341504323814459</v>
      </c>
      <c r="L332" s="440">
        <f>SUM(J332:K332)</f>
        <v>0.49861964926855756</v>
      </c>
      <c r="M332" s="347"/>
      <c r="N332" s="347"/>
    </row>
    <row r="333" spans="1:14" x14ac:dyDescent="0.2">
      <c r="A333" s="362" t="str">
        <f>name!E$5</f>
        <v>Professional occupations</v>
      </c>
      <c r="B333" s="440">
        <v>0.14181845012776143</v>
      </c>
      <c r="C333" s="440">
        <v>0.74079637962288658</v>
      </c>
      <c r="D333" s="440">
        <f t="shared" ref="D333:D340" si="130">SUM(B333:C333)</f>
        <v>0.88261482975064798</v>
      </c>
      <c r="E333" s="441"/>
      <c r="F333" s="440">
        <v>9.9893978726554894E-2</v>
      </c>
      <c r="G333" s="440">
        <v>0.5144813284031492</v>
      </c>
      <c r="H333" s="440">
        <f t="shared" ref="H333:H340" si="131">SUM(F333:G333)</f>
        <v>0.61437530712970412</v>
      </c>
      <c r="I333" s="441"/>
      <c r="J333" s="440">
        <v>0.19733365905430147</v>
      </c>
      <c r="K333" s="440">
        <v>0.65406746255301174</v>
      </c>
      <c r="L333" s="440">
        <f t="shared" ref="L333:L340" si="132">SUM(J333:K333)</f>
        <v>0.85140112160731318</v>
      </c>
      <c r="M333" s="347"/>
      <c r="N333" s="347"/>
    </row>
    <row r="334" spans="1:14" x14ac:dyDescent="0.2">
      <c r="A334" s="362" t="str">
        <f>name!E$6</f>
        <v>Associate professional and technical</v>
      </c>
      <c r="B334" s="440">
        <v>0.17603194324675578</v>
      </c>
      <c r="C334" s="440">
        <v>0.67092359057393969</v>
      </c>
      <c r="D334" s="440">
        <f t="shared" si="130"/>
        <v>0.84695553382069544</v>
      </c>
      <c r="E334" s="441"/>
      <c r="F334" s="440">
        <v>0.13670144036090112</v>
      </c>
      <c r="G334" s="440">
        <v>0.37092380075244819</v>
      </c>
      <c r="H334" s="440">
        <f t="shared" si="131"/>
        <v>0.50762524111334928</v>
      </c>
      <c r="I334" s="441"/>
      <c r="J334" s="440">
        <v>0.24698617267704773</v>
      </c>
      <c r="K334" s="440">
        <v>0.38195691046505675</v>
      </c>
      <c r="L334" s="440">
        <f t="shared" si="132"/>
        <v>0.62894308314210445</v>
      </c>
      <c r="M334" s="347"/>
      <c r="N334" s="347"/>
    </row>
    <row r="335" spans="1:14" x14ac:dyDescent="0.2">
      <c r="A335" s="362" t="str">
        <f>name!E$7</f>
        <v>Administrative and secretarial</v>
      </c>
      <c r="B335" s="440">
        <v>0.35149927820289567</v>
      </c>
      <c r="C335" s="440">
        <v>0.29053614622590179</v>
      </c>
      <c r="D335" s="440">
        <f t="shared" si="130"/>
        <v>0.64203542442879746</v>
      </c>
      <c r="E335" s="441"/>
      <c r="F335" s="440">
        <v>0.24957925891035943</v>
      </c>
      <c r="G335" s="440">
        <v>0.20213363330233178</v>
      </c>
      <c r="H335" s="440">
        <f t="shared" si="131"/>
        <v>0.45171289221269117</v>
      </c>
      <c r="I335" s="441"/>
      <c r="J335" s="440">
        <v>0.42390969125184891</v>
      </c>
      <c r="K335" s="440">
        <v>0.19155105929071259</v>
      </c>
      <c r="L335" s="440">
        <f t="shared" si="132"/>
        <v>0.61546075054256155</v>
      </c>
      <c r="M335" s="347"/>
      <c r="N335" s="347"/>
    </row>
    <row r="336" spans="1:14" x14ac:dyDescent="0.2">
      <c r="A336" s="362" t="str">
        <f>name!E$8</f>
        <v>Skilled trades occupations</v>
      </c>
      <c r="B336" s="440">
        <v>0.14148825168918416</v>
      </c>
      <c r="C336" s="440">
        <v>3.5983717880476145</v>
      </c>
      <c r="D336" s="440">
        <f t="shared" si="130"/>
        <v>3.7398600397367985</v>
      </c>
      <c r="E336" s="441"/>
      <c r="F336" s="440">
        <v>0.10980795925494663</v>
      </c>
      <c r="G336" s="440">
        <v>1.8625126452585994</v>
      </c>
      <c r="H336" s="440">
        <f t="shared" si="131"/>
        <v>1.972320604513546</v>
      </c>
      <c r="I336" s="441"/>
      <c r="J336" s="440">
        <v>0.15839608802526323</v>
      </c>
      <c r="K336" s="440">
        <v>1.6096699401593599</v>
      </c>
      <c r="L336" s="440">
        <f t="shared" si="132"/>
        <v>1.7680660281846232</v>
      </c>
      <c r="M336" s="347"/>
      <c r="N336" s="347"/>
    </row>
    <row r="337" spans="1:14" x14ac:dyDescent="0.2">
      <c r="A337" s="362" t="str">
        <f>name!E$9</f>
        <v>Caring, leisure and other service</v>
      </c>
      <c r="B337" s="440">
        <v>0.12934112104463422</v>
      </c>
      <c r="C337" s="440">
        <v>2.9144124517941326E-2</v>
      </c>
      <c r="D337" s="440">
        <f t="shared" si="130"/>
        <v>0.15848524556257554</v>
      </c>
      <c r="E337" s="441"/>
      <c r="F337" s="440">
        <v>0.10871046601813106</v>
      </c>
      <c r="G337" s="440">
        <v>1.1170683836196607E-2</v>
      </c>
      <c r="H337" s="440">
        <f t="shared" si="131"/>
        <v>0.11988114985432767</v>
      </c>
      <c r="I337" s="441"/>
      <c r="J337" s="440">
        <v>0.17877660274285542</v>
      </c>
      <c r="K337" s="440">
        <v>1.2500160217933525E-2</v>
      </c>
      <c r="L337" s="440">
        <f t="shared" si="132"/>
        <v>0.19127676296078894</v>
      </c>
      <c r="M337" s="347"/>
      <c r="N337" s="347"/>
    </row>
    <row r="338" spans="1:14" x14ac:dyDescent="0.2">
      <c r="A338" s="362" t="str">
        <f>name!E$10</f>
        <v>Sales and customer service</v>
      </c>
      <c r="B338" s="440">
        <v>5.849946811140188E-2</v>
      </c>
      <c r="C338" s="440">
        <v>0.15276544218204391</v>
      </c>
      <c r="D338" s="440">
        <f t="shared" si="130"/>
        <v>0.2112649102934458</v>
      </c>
      <c r="E338" s="441"/>
      <c r="F338" s="440">
        <v>4.5157241038516302E-2</v>
      </c>
      <c r="G338" s="440">
        <v>0.11986884011207931</v>
      </c>
      <c r="H338" s="440">
        <f t="shared" si="131"/>
        <v>0.16502608115059561</v>
      </c>
      <c r="I338" s="441"/>
      <c r="J338" s="440">
        <v>8.0052292118192578E-2</v>
      </c>
      <c r="K338" s="440">
        <v>0.11190068176166201</v>
      </c>
      <c r="L338" s="440">
        <f t="shared" si="132"/>
        <v>0.1919529738798546</v>
      </c>
      <c r="M338" s="347"/>
      <c r="N338" s="347"/>
    </row>
    <row r="339" spans="1:14" x14ac:dyDescent="0.2">
      <c r="A339" s="362" t="str">
        <f>name!E$11</f>
        <v>Process, plant and machine operatives</v>
      </c>
      <c r="B339" s="440">
        <v>0.88651580681077113</v>
      </c>
      <c r="C339" s="440">
        <v>5.6461462167572085</v>
      </c>
      <c r="D339" s="440">
        <f t="shared" si="130"/>
        <v>6.5326620235679798</v>
      </c>
      <c r="E339" s="441"/>
      <c r="F339" s="440">
        <v>0.62301853899741511</v>
      </c>
      <c r="G339" s="440">
        <v>3.9000731318577517</v>
      </c>
      <c r="H339" s="440">
        <f t="shared" si="131"/>
        <v>4.5230916708551669</v>
      </c>
      <c r="I339" s="441"/>
      <c r="J339" s="440">
        <v>0.78118694337815942</v>
      </c>
      <c r="K339" s="440">
        <v>3.5595144688382097</v>
      </c>
      <c r="L339" s="440">
        <f t="shared" si="132"/>
        <v>4.3407014122163687</v>
      </c>
      <c r="M339" s="347"/>
      <c r="N339" s="347"/>
    </row>
    <row r="340" spans="1:14" x14ac:dyDescent="0.2">
      <c r="A340" s="362" t="str">
        <f>name!E$12</f>
        <v>Elementary occupations</v>
      </c>
      <c r="B340" s="440">
        <v>0.13337477264103595</v>
      </c>
      <c r="C340" s="440">
        <v>0.67410895257242232</v>
      </c>
      <c r="D340" s="440">
        <f t="shared" si="130"/>
        <v>0.80748372521345824</v>
      </c>
      <c r="E340" s="441"/>
      <c r="F340" s="440">
        <v>7.0691489930960402E-2</v>
      </c>
      <c r="G340" s="440">
        <v>0.50681660600427292</v>
      </c>
      <c r="H340" s="440">
        <f t="shared" si="131"/>
        <v>0.57750809593523333</v>
      </c>
      <c r="I340" s="441"/>
      <c r="J340" s="440">
        <v>0.10015394472471892</v>
      </c>
      <c r="K340" s="440">
        <v>0.4594242733561259</v>
      </c>
      <c r="L340" s="440">
        <f t="shared" si="132"/>
        <v>0.55957821808084485</v>
      </c>
      <c r="M340" s="347"/>
      <c r="N340" s="347"/>
    </row>
    <row r="341" spans="1:14" s="286" customFormat="1" x14ac:dyDescent="0.2">
      <c r="A341" s="362"/>
      <c r="B341" s="440"/>
      <c r="C341" s="440"/>
      <c r="D341" s="440"/>
      <c r="E341" s="441"/>
      <c r="F341" s="440"/>
      <c r="G341" s="440"/>
      <c r="H341" s="440"/>
      <c r="I341" s="441"/>
      <c r="J341" s="440"/>
      <c r="K341" s="440"/>
      <c r="L341" s="440"/>
      <c r="M341" s="347"/>
      <c r="N341" s="347"/>
    </row>
    <row r="342" spans="1:14" x14ac:dyDescent="0.2">
      <c r="A342" s="357" t="s">
        <v>32</v>
      </c>
      <c r="B342" s="450">
        <f>SUM(B332:B340)</f>
        <v>2.0689999999597228</v>
      </c>
      <c r="C342" s="450">
        <f t="shared" ref="C342:D342" si="133">SUM(C332:C340)</f>
        <v>12.379000000015926</v>
      </c>
      <c r="D342" s="450">
        <f t="shared" si="133"/>
        <v>14.44799999997565</v>
      </c>
      <c r="E342" s="450"/>
      <c r="F342" s="450">
        <f t="shared" ref="F342:H342" si="134">SUM(F332:F340)</f>
        <v>1.4990000000120676</v>
      </c>
      <c r="G342" s="450">
        <f t="shared" si="134"/>
        <v>7.8320000000054124</v>
      </c>
      <c r="H342" s="450">
        <f t="shared" si="134"/>
        <v>9.3310000000174789</v>
      </c>
      <c r="I342" s="450"/>
      <c r="J342" s="450">
        <f t="shared" ref="J342:L342" si="135">SUM(J332:J340)</f>
        <v>2.2620000000028009</v>
      </c>
      <c r="K342" s="450">
        <f t="shared" si="135"/>
        <v>7.3839999998802162</v>
      </c>
      <c r="L342" s="450">
        <f t="shared" si="135"/>
        <v>9.645999999883017</v>
      </c>
      <c r="M342" s="347"/>
      <c r="N342" s="347"/>
    </row>
    <row r="343" spans="1:14" x14ac:dyDescent="0.2">
      <c r="A343" s="348"/>
      <c r="B343" s="348"/>
      <c r="C343" s="348"/>
      <c r="D343" s="348"/>
      <c r="E343" s="348"/>
      <c r="F343" s="348"/>
      <c r="G343" s="348"/>
      <c r="H343" s="348"/>
      <c r="I343" s="348"/>
      <c r="J343" s="348"/>
      <c r="K343" s="348"/>
      <c r="L343" s="353"/>
      <c r="M343" s="347"/>
      <c r="N343" s="347"/>
    </row>
    <row r="344" spans="1:14" x14ac:dyDescent="0.2">
      <c r="A344" s="348"/>
      <c r="B344" s="348"/>
      <c r="C344" s="348"/>
      <c r="D344" s="348"/>
      <c r="E344" s="348"/>
      <c r="F344" s="348"/>
      <c r="G344" s="348"/>
      <c r="H344" s="348"/>
      <c r="I344" s="348"/>
      <c r="J344" s="348"/>
      <c r="K344" s="348"/>
      <c r="L344" s="372" t="s">
        <v>35</v>
      </c>
      <c r="M344" s="347"/>
      <c r="N344" s="347"/>
    </row>
    <row r="345" spans="1:14" x14ac:dyDescent="0.2">
      <c r="A345" s="355"/>
      <c r="B345" s="365"/>
      <c r="C345" s="365"/>
      <c r="D345" s="365"/>
      <c r="E345" s="365"/>
      <c r="F345" s="365"/>
      <c r="G345" s="365"/>
      <c r="H345" s="365"/>
      <c r="I345" s="365"/>
      <c r="J345" s="365"/>
      <c r="K345" s="365"/>
      <c r="L345" s="347"/>
      <c r="M345" s="347"/>
      <c r="N345" s="347"/>
    </row>
    <row r="346" spans="1:14" x14ac:dyDescent="0.2">
      <c r="A346" s="354" t="str">
        <f>name!A23</f>
        <v>Other transport equipment</v>
      </c>
      <c r="B346" s="517">
        <f>B$6</f>
        <v>2007</v>
      </c>
      <c r="C346" s="517"/>
      <c r="D346" s="517"/>
      <c r="E346" s="369"/>
      <c r="F346" s="517">
        <f>F329</f>
        <v>2017</v>
      </c>
      <c r="G346" s="517"/>
      <c r="H346" s="517"/>
      <c r="I346" s="369"/>
      <c r="J346" s="517">
        <f>J329</f>
        <v>2027</v>
      </c>
      <c r="K346" s="517"/>
      <c r="L346" s="517"/>
      <c r="M346" s="347"/>
      <c r="N346" s="347"/>
    </row>
    <row r="347" spans="1:14" x14ac:dyDescent="0.2">
      <c r="A347" s="370"/>
      <c r="B347" s="371" t="s">
        <v>387</v>
      </c>
      <c r="C347" s="371" t="s">
        <v>388</v>
      </c>
      <c r="D347" s="371" t="s">
        <v>32</v>
      </c>
      <c r="E347" s="371"/>
      <c r="F347" s="371" t="s">
        <v>387</v>
      </c>
      <c r="G347" s="371" t="s">
        <v>388</v>
      </c>
      <c r="H347" s="371" t="s">
        <v>32</v>
      </c>
      <c r="I347" s="371"/>
      <c r="J347" s="371" t="s">
        <v>387</v>
      </c>
      <c r="K347" s="371" t="s">
        <v>388</v>
      </c>
      <c r="L347" s="371" t="s">
        <v>32</v>
      </c>
      <c r="M347" s="347"/>
      <c r="N347" s="347"/>
    </row>
    <row r="348" spans="1:14" s="286" customFormat="1" x14ac:dyDescent="0.2">
      <c r="A348" s="374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47"/>
      <c r="N348" s="347"/>
    </row>
    <row r="349" spans="1:14" x14ac:dyDescent="0.2">
      <c r="A349" s="362" t="str">
        <f>name!E$4</f>
        <v>Managers, directors and senior officials</v>
      </c>
      <c r="B349" s="440">
        <v>4.2412287222484746E-2</v>
      </c>
      <c r="C349" s="440">
        <v>0.50516075750473888</v>
      </c>
      <c r="D349" s="440">
        <f>SUM(B349:C349)</f>
        <v>0.54757304472722357</v>
      </c>
      <c r="E349" s="441"/>
      <c r="F349" s="440">
        <v>5.985104545854171E-2</v>
      </c>
      <c r="G349" s="440">
        <v>0.4684236787097622</v>
      </c>
      <c r="H349" s="440">
        <f>SUM(F349:G349)</f>
        <v>0.5282747241683039</v>
      </c>
      <c r="I349" s="441"/>
      <c r="J349" s="440">
        <v>8.4725757770100066E-2</v>
      </c>
      <c r="K349" s="440">
        <v>0.61159201103395266</v>
      </c>
      <c r="L349" s="440">
        <f>SUM(J349:K349)</f>
        <v>0.69631776880405272</v>
      </c>
      <c r="M349" s="347"/>
      <c r="N349" s="347"/>
    </row>
    <row r="350" spans="1:14" x14ac:dyDescent="0.2">
      <c r="A350" s="362" t="str">
        <f>name!E$5</f>
        <v>Professional occupations</v>
      </c>
      <c r="B350" s="440">
        <v>6.8494678020069741E-2</v>
      </c>
      <c r="C350" s="440">
        <v>1.0488632710455976</v>
      </c>
      <c r="D350" s="440">
        <f t="shared" ref="D350:D357" si="136">SUM(B350:C350)</f>
        <v>1.1173579490656673</v>
      </c>
      <c r="E350" s="441"/>
      <c r="F350" s="440">
        <v>0.10049874373646833</v>
      </c>
      <c r="G350" s="440">
        <v>1.0675668533146745</v>
      </c>
      <c r="H350" s="440">
        <f t="shared" ref="H350:H357" si="137">SUM(F350:G350)</f>
        <v>1.1680655970511429</v>
      </c>
      <c r="I350" s="441"/>
      <c r="J350" s="440">
        <v>0.13144407718333548</v>
      </c>
      <c r="K350" s="440">
        <v>1.3606626361901528</v>
      </c>
      <c r="L350" s="440">
        <f t="shared" ref="L350:L357" si="138">SUM(J350:K350)</f>
        <v>1.4921067133734882</v>
      </c>
      <c r="M350" s="347"/>
      <c r="N350" s="347"/>
    </row>
    <row r="351" spans="1:14" x14ac:dyDescent="0.2">
      <c r="A351" s="362" t="str">
        <f>name!E$6</f>
        <v>Associate professional and technical</v>
      </c>
      <c r="B351" s="440">
        <v>6.9650885753285277E-2</v>
      </c>
      <c r="C351" s="440">
        <v>0.88216260766833332</v>
      </c>
      <c r="D351" s="440">
        <f t="shared" si="136"/>
        <v>0.95181349342161858</v>
      </c>
      <c r="E351" s="441"/>
      <c r="F351" s="440">
        <v>9.395879301315091E-2</v>
      </c>
      <c r="G351" s="440">
        <v>0.71763227505059668</v>
      </c>
      <c r="H351" s="440">
        <f t="shared" si="137"/>
        <v>0.81159106806374759</v>
      </c>
      <c r="I351" s="441"/>
      <c r="J351" s="440">
        <v>0.11256735226047274</v>
      </c>
      <c r="K351" s="440">
        <v>0.89160660258058899</v>
      </c>
      <c r="L351" s="440">
        <f t="shared" si="138"/>
        <v>1.0041739548410618</v>
      </c>
      <c r="M351" s="347"/>
      <c r="N351" s="347"/>
    </row>
    <row r="352" spans="1:14" x14ac:dyDescent="0.2">
      <c r="A352" s="362" t="str">
        <f>name!E$7</f>
        <v>Administrative and secretarial</v>
      </c>
      <c r="B352" s="440">
        <v>0.20364485135138888</v>
      </c>
      <c r="C352" s="440">
        <v>0.26723646008631663</v>
      </c>
      <c r="D352" s="440">
        <f t="shared" si="136"/>
        <v>0.47088131143770551</v>
      </c>
      <c r="E352" s="441"/>
      <c r="F352" s="440">
        <v>0.28935804842267288</v>
      </c>
      <c r="G352" s="440">
        <v>0.12569240029642634</v>
      </c>
      <c r="H352" s="440">
        <f t="shared" si="137"/>
        <v>0.41505044871909924</v>
      </c>
      <c r="I352" s="441"/>
      <c r="J352" s="440">
        <v>0.4004969776268979</v>
      </c>
      <c r="K352" s="440">
        <v>0.13285433262971472</v>
      </c>
      <c r="L352" s="440">
        <f t="shared" si="138"/>
        <v>0.53335131025661264</v>
      </c>
      <c r="M352" s="347"/>
      <c r="N352" s="347"/>
    </row>
    <row r="353" spans="1:14" x14ac:dyDescent="0.2">
      <c r="A353" s="362" t="str">
        <f>name!E$8</f>
        <v>Skilled trades occupations</v>
      </c>
      <c r="B353" s="440">
        <v>5.3346176149871513E-2</v>
      </c>
      <c r="C353" s="440">
        <v>4.0005653702745727</v>
      </c>
      <c r="D353" s="440">
        <f t="shared" si="136"/>
        <v>4.0539115464244446</v>
      </c>
      <c r="E353" s="441"/>
      <c r="F353" s="440">
        <v>7.6983100227666773E-2</v>
      </c>
      <c r="G353" s="440">
        <v>3.4244311798911053</v>
      </c>
      <c r="H353" s="440">
        <f t="shared" si="137"/>
        <v>3.5014142801187722</v>
      </c>
      <c r="I353" s="441"/>
      <c r="J353" s="440">
        <v>0.10225091342962807</v>
      </c>
      <c r="K353" s="440">
        <v>3.6477314285079001</v>
      </c>
      <c r="L353" s="440">
        <f t="shared" si="138"/>
        <v>3.7499823419375282</v>
      </c>
      <c r="M353" s="347"/>
      <c r="N353" s="347"/>
    </row>
    <row r="354" spans="1:14" x14ac:dyDescent="0.2">
      <c r="A354" s="362" t="str">
        <f>name!E$9</f>
        <v>Caring, leisure and other service</v>
      </c>
      <c r="B354" s="440">
        <v>1.0089129680367764E-2</v>
      </c>
      <c r="C354" s="440">
        <v>1.5617413435113947E-2</v>
      </c>
      <c r="D354" s="440">
        <f t="shared" si="136"/>
        <v>2.5706543115481713E-2</v>
      </c>
      <c r="E354" s="441"/>
      <c r="F354" s="440">
        <v>1.3566516045714275E-2</v>
      </c>
      <c r="G354" s="440">
        <v>1.5038691103946277E-2</v>
      </c>
      <c r="H354" s="440">
        <f t="shared" si="137"/>
        <v>2.8605207149660552E-2</v>
      </c>
      <c r="I354" s="441"/>
      <c r="J354" s="440">
        <v>2.1398136323433011E-2</v>
      </c>
      <c r="K354" s="440">
        <v>1.8288726676484561E-2</v>
      </c>
      <c r="L354" s="440">
        <f t="shared" si="138"/>
        <v>3.9686862999917569E-2</v>
      </c>
      <c r="M354" s="347"/>
      <c r="N354" s="347"/>
    </row>
    <row r="355" spans="1:14" x14ac:dyDescent="0.2">
      <c r="A355" s="362" t="str">
        <f>name!E$10</f>
        <v>Sales and customer service</v>
      </c>
      <c r="B355" s="440">
        <v>3.5042713768333102E-2</v>
      </c>
      <c r="C355" s="440">
        <v>6.0683838462809024E-2</v>
      </c>
      <c r="D355" s="440">
        <f t="shared" si="136"/>
        <v>9.5726552231142126E-2</v>
      </c>
      <c r="E355" s="441"/>
      <c r="F355" s="440">
        <v>3.8840212590045546E-2</v>
      </c>
      <c r="G355" s="440">
        <v>6.1574067811650819E-2</v>
      </c>
      <c r="H355" s="440">
        <f t="shared" si="137"/>
        <v>0.10041428040169637</v>
      </c>
      <c r="I355" s="441"/>
      <c r="J355" s="440">
        <v>4.5584596997406218E-2</v>
      </c>
      <c r="K355" s="440">
        <v>6.2728425515416741E-2</v>
      </c>
      <c r="L355" s="440">
        <f t="shared" si="138"/>
        <v>0.10831302251282296</v>
      </c>
      <c r="M355" s="347"/>
      <c r="N355" s="347"/>
    </row>
    <row r="356" spans="1:14" x14ac:dyDescent="0.2">
      <c r="A356" s="362" t="str">
        <f>name!E$11</f>
        <v>Process, plant and machine operatives</v>
      </c>
      <c r="B356" s="440">
        <v>0.13582240998455097</v>
      </c>
      <c r="C356" s="440">
        <v>2.6443470763076968</v>
      </c>
      <c r="D356" s="440">
        <f t="shared" si="136"/>
        <v>2.7801694862922477</v>
      </c>
      <c r="E356" s="441"/>
      <c r="F356" s="440">
        <v>0.10384889849890962</v>
      </c>
      <c r="G356" s="440">
        <v>3.1260135439145129</v>
      </c>
      <c r="H356" s="440">
        <f t="shared" si="137"/>
        <v>3.2298624424134226</v>
      </c>
      <c r="I356" s="441"/>
      <c r="J356" s="440">
        <v>5.7257616057148485E-2</v>
      </c>
      <c r="K356" s="440">
        <v>3.4656223333029739</v>
      </c>
      <c r="L356" s="440">
        <f t="shared" si="138"/>
        <v>3.5228799493601222</v>
      </c>
      <c r="M356" s="347"/>
      <c r="N356" s="347"/>
    </row>
    <row r="357" spans="1:14" x14ac:dyDescent="0.2">
      <c r="A357" s="362" t="str">
        <f>name!E$12</f>
        <v>Elementary occupations</v>
      </c>
      <c r="B357" s="440">
        <v>9.5496868062466142E-2</v>
      </c>
      <c r="C357" s="440">
        <v>0.28436320522934622</v>
      </c>
      <c r="D357" s="440">
        <f t="shared" si="136"/>
        <v>0.37986007329181237</v>
      </c>
      <c r="E357" s="441"/>
      <c r="F357" s="440">
        <v>6.6094642009154214E-2</v>
      </c>
      <c r="G357" s="440">
        <v>0.24962730990342472</v>
      </c>
      <c r="H357" s="440">
        <f t="shared" si="137"/>
        <v>0.3157219519125789</v>
      </c>
      <c r="I357" s="441"/>
      <c r="J357" s="440">
        <v>7.1274572349808732E-2</v>
      </c>
      <c r="K357" s="440">
        <v>0.26891350344450948</v>
      </c>
      <c r="L357" s="440">
        <f t="shared" si="138"/>
        <v>0.3401880757943182</v>
      </c>
      <c r="M357" s="347"/>
      <c r="N357" s="347"/>
    </row>
    <row r="358" spans="1:14" s="286" customFormat="1" x14ac:dyDescent="0.2">
      <c r="A358" s="362"/>
      <c r="B358" s="440"/>
      <c r="C358" s="440"/>
      <c r="D358" s="440"/>
      <c r="E358" s="441"/>
      <c r="F358" s="440"/>
      <c r="G358" s="440"/>
      <c r="H358" s="440"/>
      <c r="I358" s="441"/>
      <c r="J358" s="440"/>
      <c r="K358" s="440"/>
      <c r="L358" s="440"/>
      <c r="M358" s="347"/>
      <c r="N358" s="347"/>
    </row>
    <row r="359" spans="1:14" x14ac:dyDescent="0.2">
      <c r="A359" s="357" t="s">
        <v>32</v>
      </c>
      <c r="B359" s="450">
        <f>SUM(B349:B357)</f>
        <v>0.71399999999281816</v>
      </c>
      <c r="C359" s="450">
        <f t="shared" ref="C359:D359" si="139">SUM(C349:C357)</f>
        <v>9.7090000000145249</v>
      </c>
      <c r="D359" s="450">
        <f t="shared" si="139"/>
        <v>10.423000000007344</v>
      </c>
      <c r="E359" s="450"/>
      <c r="F359" s="450">
        <f t="shared" ref="F359:H359" si="140">SUM(F349:F357)</f>
        <v>0.84300000000232411</v>
      </c>
      <c r="G359" s="450">
        <f t="shared" si="140"/>
        <v>9.2559999999960993</v>
      </c>
      <c r="H359" s="450">
        <f t="shared" si="140"/>
        <v>10.098999999998425</v>
      </c>
      <c r="I359" s="450"/>
      <c r="J359" s="450">
        <f t="shared" ref="J359:L359" si="141">SUM(J349:J357)</f>
        <v>1.0269999999982309</v>
      </c>
      <c r="K359" s="450">
        <f t="shared" si="141"/>
        <v>10.459999999881694</v>
      </c>
      <c r="L359" s="450">
        <f t="shared" si="141"/>
        <v>11.486999999879924</v>
      </c>
      <c r="M359" s="347"/>
      <c r="N359" s="347"/>
    </row>
    <row r="360" spans="1:14" x14ac:dyDescent="0.2">
      <c r="A360" s="348"/>
      <c r="B360" s="348"/>
      <c r="C360" s="348"/>
      <c r="D360" s="348"/>
      <c r="E360" s="348"/>
      <c r="F360" s="348"/>
      <c r="G360" s="348"/>
      <c r="H360" s="348"/>
      <c r="I360" s="348"/>
      <c r="J360" s="348"/>
      <c r="K360" s="348"/>
      <c r="L360" s="353"/>
      <c r="M360" s="347"/>
      <c r="N360" s="347"/>
    </row>
    <row r="361" spans="1:14" x14ac:dyDescent="0.2">
      <c r="A361" s="348"/>
      <c r="B361" s="348"/>
      <c r="C361" s="348"/>
      <c r="D361" s="348"/>
      <c r="E361" s="348"/>
      <c r="F361" s="348"/>
      <c r="G361" s="348"/>
      <c r="H361" s="348"/>
      <c r="I361" s="348"/>
      <c r="J361" s="348"/>
      <c r="K361" s="348"/>
      <c r="L361" s="372" t="s">
        <v>35</v>
      </c>
      <c r="M361" s="347"/>
      <c r="N361" s="347"/>
    </row>
    <row r="362" spans="1:14" x14ac:dyDescent="0.2">
      <c r="A362" s="355"/>
      <c r="B362" s="365"/>
      <c r="C362" s="365"/>
      <c r="D362" s="365"/>
      <c r="E362" s="365"/>
      <c r="F362" s="365"/>
      <c r="G362" s="365"/>
      <c r="H362" s="365"/>
      <c r="I362" s="365"/>
      <c r="J362" s="365"/>
      <c r="K362" s="365"/>
      <c r="L362" s="347"/>
      <c r="M362" s="347"/>
      <c r="N362" s="347"/>
    </row>
    <row r="363" spans="1:14" x14ac:dyDescent="0.2">
      <c r="A363" s="354" t="str">
        <f>name!A24</f>
        <v>Furniture</v>
      </c>
      <c r="B363" s="517">
        <f>B$6</f>
        <v>2007</v>
      </c>
      <c r="C363" s="517"/>
      <c r="D363" s="517"/>
      <c r="E363" s="369"/>
      <c r="F363" s="517">
        <f>F346</f>
        <v>2017</v>
      </c>
      <c r="G363" s="517"/>
      <c r="H363" s="517"/>
      <c r="I363" s="369"/>
      <c r="J363" s="517">
        <f>J346</f>
        <v>2027</v>
      </c>
      <c r="K363" s="517"/>
      <c r="L363" s="517"/>
      <c r="M363" s="347"/>
      <c r="N363" s="347"/>
    </row>
    <row r="364" spans="1:14" x14ac:dyDescent="0.2">
      <c r="A364" s="370"/>
      <c r="B364" s="371" t="s">
        <v>387</v>
      </c>
      <c r="C364" s="371" t="s">
        <v>388</v>
      </c>
      <c r="D364" s="371" t="s">
        <v>32</v>
      </c>
      <c r="E364" s="371"/>
      <c r="F364" s="371" t="s">
        <v>387</v>
      </c>
      <c r="G364" s="371" t="s">
        <v>388</v>
      </c>
      <c r="H364" s="371" t="s">
        <v>32</v>
      </c>
      <c r="I364" s="371"/>
      <c r="J364" s="371" t="s">
        <v>387</v>
      </c>
      <c r="K364" s="371" t="s">
        <v>388</v>
      </c>
      <c r="L364" s="371" t="s">
        <v>32</v>
      </c>
      <c r="M364" s="347"/>
      <c r="N364" s="347"/>
    </row>
    <row r="365" spans="1:14" s="286" customFormat="1" x14ac:dyDescent="0.2">
      <c r="A365" s="374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47"/>
      <c r="N365" s="347"/>
    </row>
    <row r="366" spans="1:14" x14ac:dyDescent="0.2">
      <c r="A366" s="362" t="str">
        <f>name!E$4</f>
        <v>Managers, directors and senior officials</v>
      </c>
      <c r="B366" s="440">
        <v>4.6840959286670578E-2</v>
      </c>
      <c r="C366" s="440">
        <v>0.2497407014669864</v>
      </c>
      <c r="D366" s="440">
        <f>SUM(B366:C366)</f>
        <v>0.29658166075365699</v>
      </c>
      <c r="E366" s="441"/>
      <c r="F366" s="440">
        <v>0.11145839900369683</v>
      </c>
      <c r="G366" s="440">
        <v>0.21678278504028303</v>
      </c>
      <c r="H366" s="440">
        <f>SUM(F366:G366)</f>
        <v>0.32824118404397984</v>
      </c>
      <c r="I366" s="441"/>
      <c r="J366" s="440">
        <v>0.1551232876938293</v>
      </c>
      <c r="K366" s="440">
        <v>0.23851198298831802</v>
      </c>
      <c r="L366" s="440">
        <f>SUM(J366:K366)</f>
        <v>0.39363527068214732</v>
      </c>
      <c r="M366" s="347"/>
      <c r="N366" s="347"/>
    </row>
    <row r="367" spans="1:14" x14ac:dyDescent="0.2">
      <c r="A367" s="362" t="str">
        <f>name!E$5</f>
        <v>Professional occupations</v>
      </c>
      <c r="B367" s="440">
        <v>5.5348213400757337E-2</v>
      </c>
      <c r="C367" s="440">
        <v>0.21587310704965498</v>
      </c>
      <c r="D367" s="440">
        <f t="shared" ref="D367:D374" si="142">SUM(B367:C367)</f>
        <v>0.27122132045041231</v>
      </c>
      <c r="E367" s="441"/>
      <c r="F367" s="440">
        <v>9.7407969234544312E-2</v>
      </c>
      <c r="G367" s="440">
        <v>0.20428852380450532</v>
      </c>
      <c r="H367" s="440">
        <f t="shared" ref="H367:H374" si="143">SUM(F367:G367)</f>
        <v>0.30169649303904966</v>
      </c>
      <c r="I367" s="441"/>
      <c r="J367" s="440">
        <v>0.1336923498321011</v>
      </c>
      <c r="K367" s="440">
        <v>0.21895452038330468</v>
      </c>
      <c r="L367" s="440">
        <f t="shared" ref="L367:L374" si="144">SUM(J367:K367)</f>
        <v>0.35264687021540575</v>
      </c>
      <c r="M367" s="347"/>
      <c r="N367" s="347"/>
    </row>
    <row r="368" spans="1:14" x14ac:dyDescent="0.2">
      <c r="A368" s="362" t="str">
        <f>name!E$6</f>
        <v>Associate professional and technical</v>
      </c>
      <c r="B368" s="440">
        <v>0.1355520132166099</v>
      </c>
      <c r="C368" s="440">
        <v>0.27021257382231656</v>
      </c>
      <c r="D368" s="440">
        <f t="shared" si="142"/>
        <v>0.40576458703892648</v>
      </c>
      <c r="E368" s="441"/>
      <c r="F368" s="440">
        <v>0.22025725514788144</v>
      </c>
      <c r="G368" s="440">
        <v>0.18021462868103483</v>
      </c>
      <c r="H368" s="440">
        <f t="shared" si="143"/>
        <v>0.4004718838289163</v>
      </c>
      <c r="I368" s="441"/>
      <c r="J368" s="440">
        <v>0.27191010870824378</v>
      </c>
      <c r="K368" s="440">
        <v>0.18315296654092128</v>
      </c>
      <c r="L368" s="440">
        <f t="shared" si="144"/>
        <v>0.45506307524916506</v>
      </c>
      <c r="M368" s="347"/>
      <c r="N368" s="347"/>
    </row>
    <row r="369" spans="1:14" x14ac:dyDescent="0.2">
      <c r="A369" s="362" t="str">
        <f>name!E$7</f>
        <v>Administrative and secretarial</v>
      </c>
      <c r="B369" s="440">
        <v>0.59356972900642346</v>
      </c>
      <c r="C369" s="440">
        <v>3.2298011449063593E-2</v>
      </c>
      <c r="D369" s="440">
        <f t="shared" si="142"/>
        <v>0.6258677404554871</v>
      </c>
      <c r="E369" s="441"/>
      <c r="F369" s="440">
        <v>0.75155068923039414</v>
      </c>
      <c r="G369" s="440">
        <v>7.110412143490355E-2</v>
      </c>
      <c r="H369" s="440">
        <f t="shared" si="143"/>
        <v>0.82265481066529766</v>
      </c>
      <c r="I369" s="441"/>
      <c r="J369" s="440">
        <v>0.700271597015383</v>
      </c>
      <c r="K369" s="440">
        <v>6.7401450503694324E-2</v>
      </c>
      <c r="L369" s="440">
        <f t="shared" si="144"/>
        <v>0.76767304751907728</v>
      </c>
      <c r="M369" s="347"/>
      <c r="N369" s="347"/>
    </row>
    <row r="370" spans="1:14" x14ac:dyDescent="0.2">
      <c r="A370" s="362" t="str">
        <f>name!E$8</f>
        <v>Skilled trades occupations</v>
      </c>
      <c r="B370" s="440">
        <v>0.11913435527278253</v>
      </c>
      <c r="C370" s="440">
        <v>2.2157043154771117</v>
      </c>
      <c r="D370" s="440">
        <f t="shared" si="142"/>
        <v>2.3348386707498943</v>
      </c>
      <c r="E370" s="441"/>
      <c r="F370" s="440">
        <v>0.11012696072293554</v>
      </c>
      <c r="G370" s="440">
        <v>2.5607677527709325</v>
      </c>
      <c r="H370" s="440">
        <f t="shared" si="143"/>
        <v>2.6708947134938681</v>
      </c>
      <c r="I370" s="441"/>
      <c r="J370" s="440">
        <v>4.8972758784673942E-2</v>
      </c>
      <c r="K370" s="440">
        <v>2.2902375400856982</v>
      </c>
      <c r="L370" s="440">
        <f t="shared" si="144"/>
        <v>2.339210298870372</v>
      </c>
      <c r="M370" s="347"/>
      <c r="N370" s="347"/>
    </row>
    <row r="371" spans="1:14" x14ac:dyDescent="0.2">
      <c r="A371" s="362" t="str">
        <f>name!E$9</f>
        <v>Caring, leisure and other service</v>
      </c>
      <c r="B371" s="440">
        <v>4.1651653443844666E-2</v>
      </c>
      <c r="C371" s="440">
        <v>4.5177059338451587E-3</v>
      </c>
      <c r="D371" s="440">
        <f t="shared" si="142"/>
        <v>4.6169359377689824E-2</v>
      </c>
      <c r="E371" s="441"/>
      <c r="F371" s="440">
        <v>5.8844105427868616E-2</v>
      </c>
      <c r="G371" s="440">
        <v>4.9762944107933074E-3</v>
      </c>
      <c r="H371" s="440">
        <f t="shared" si="143"/>
        <v>6.3820399838661918E-2</v>
      </c>
      <c r="I371" s="441"/>
      <c r="J371" s="440">
        <v>6.9278245976787195E-2</v>
      </c>
      <c r="K371" s="440">
        <v>5.6823464742319007E-3</v>
      </c>
      <c r="L371" s="440">
        <f t="shared" si="144"/>
        <v>7.496059245101909E-2</v>
      </c>
      <c r="M371" s="347"/>
      <c r="N371" s="347"/>
    </row>
    <row r="372" spans="1:14" x14ac:dyDescent="0.2">
      <c r="A372" s="362" t="str">
        <f>name!E$10</f>
        <v>Sales and customer service</v>
      </c>
      <c r="B372" s="440">
        <v>0.10216791796073275</v>
      </c>
      <c r="C372" s="440">
        <v>4.1200930413815368E-2</v>
      </c>
      <c r="D372" s="440">
        <f t="shared" si="142"/>
        <v>0.14336884837454811</v>
      </c>
      <c r="E372" s="441"/>
      <c r="F372" s="440">
        <v>0.14365308736047089</v>
      </c>
      <c r="G372" s="440">
        <v>9.3303308729769607E-2</v>
      </c>
      <c r="H372" s="440">
        <f t="shared" si="143"/>
        <v>0.2369563960902405</v>
      </c>
      <c r="I372" s="441"/>
      <c r="J372" s="440">
        <v>0.15661799808962626</v>
      </c>
      <c r="K372" s="440">
        <v>8.2267408605211506E-2</v>
      </c>
      <c r="L372" s="440">
        <f t="shared" si="144"/>
        <v>0.23888540669483777</v>
      </c>
      <c r="M372" s="347"/>
      <c r="N372" s="347"/>
    </row>
    <row r="373" spans="1:14" x14ac:dyDescent="0.2">
      <c r="A373" s="362" t="str">
        <f>name!E$11</f>
        <v>Process, plant and machine operatives</v>
      </c>
      <c r="B373" s="440">
        <v>0.48493914499685414</v>
      </c>
      <c r="C373" s="440">
        <v>0.95601759664576846</v>
      </c>
      <c r="D373" s="440">
        <f t="shared" si="142"/>
        <v>1.4409567416426226</v>
      </c>
      <c r="E373" s="441"/>
      <c r="F373" s="440">
        <v>0.43709842672584609</v>
      </c>
      <c r="G373" s="440">
        <v>0.95392538332604981</v>
      </c>
      <c r="H373" s="440">
        <f t="shared" si="143"/>
        <v>1.3910238100518959</v>
      </c>
      <c r="I373" s="441"/>
      <c r="J373" s="440">
        <v>0.34122899137734819</v>
      </c>
      <c r="K373" s="440">
        <v>0.86415050010897576</v>
      </c>
      <c r="L373" s="440">
        <f t="shared" si="144"/>
        <v>1.2053794914863238</v>
      </c>
      <c r="M373" s="347"/>
      <c r="N373" s="347"/>
    </row>
    <row r="374" spans="1:14" x14ac:dyDescent="0.2">
      <c r="A374" s="362" t="str">
        <f>name!E$12</f>
        <v>Elementary occupations</v>
      </c>
      <c r="B374" s="440">
        <v>0.12879601338447441</v>
      </c>
      <c r="C374" s="440">
        <v>0.35743505774900108</v>
      </c>
      <c r="D374" s="440">
        <f t="shared" si="142"/>
        <v>0.48623107113347552</v>
      </c>
      <c r="E374" s="441"/>
      <c r="F374" s="440">
        <v>0.15060310715913397</v>
      </c>
      <c r="G374" s="440">
        <v>0.48863720180710951</v>
      </c>
      <c r="H374" s="440">
        <f t="shared" si="143"/>
        <v>0.63924030896624351</v>
      </c>
      <c r="I374" s="441"/>
      <c r="J374" s="440">
        <v>0.16890466252244887</v>
      </c>
      <c r="K374" s="440">
        <v>0.46164128423938078</v>
      </c>
      <c r="L374" s="440">
        <f t="shared" si="144"/>
        <v>0.63054594676182962</v>
      </c>
      <c r="M374" s="347"/>
      <c r="N374" s="347"/>
    </row>
    <row r="375" spans="1:14" s="286" customFormat="1" x14ac:dyDescent="0.2">
      <c r="A375" s="362"/>
      <c r="B375" s="440"/>
      <c r="C375" s="440"/>
      <c r="D375" s="440"/>
      <c r="E375" s="441"/>
      <c r="F375" s="440"/>
      <c r="G375" s="440"/>
      <c r="H375" s="440"/>
      <c r="I375" s="441"/>
      <c r="J375" s="440"/>
      <c r="K375" s="440"/>
      <c r="L375" s="440"/>
      <c r="M375" s="347"/>
      <c r="N375" s="347"/>
    </row>
    <row r="376" spans="1:14" x14ac:dyDescent="0.2">
      <c r="A376" s="357" t="s">
        <v>32</v>
      </c>
      <c r="B376" s="450">
        <f>SUM(B366:B374)</f>
        <v>1.7079999999691495</v>
      </c>
      <c r="C376" s="450">
        <f t="shared" ref="C376:D376" si="145">SUM(C366:C374)</f>
        <v>4.3430000000075628</v>
      </c>
      <c r="D376" s="450">
        <f t="shared" si="145"/>
        <v>6.050999999976713</v>
      </c>
      <c r="E376" s="450"/>
      <c r="F376" s="450">
        <f t="shared" ref="F376:H376" si="146">SUM(F366:F374)</f>
        <v>2.0810000000127715</v>
      </c>
      <c r="G376" s="450">
        <f t="shared" si="146"/>
        <v>4.7740000000053806</v>
      </c>
      <c r="H376" s="450">
        <f t="shared" si="146"/>
        <v>6.855000000018153</v>
      </c>
      <c r="I376" s="450"/>
      <c r="J376" s="450">
        <f t="shared" ref="J376:L376" si="147">SUM(J366:J374)</f>
        <v>2.0460000000004417</v>
      </c>
      <c r="K376" s="450">
        <f t="shared" si="147"/>
        <v>4.4119999999297361</v>
      </c>
      <c r="L376" s="450">
        <f t="shared" si="147"/>
        <v>6.4579999999301769</v>
      </c>
      <c r="M376" s="347"/>
      <c r="N376" s="347"/>
    </row>
    <row r="377" spans="1:14" x14ac:dyDescent="0.2">
      <c r="A377" s="348"/>
      <c r="B377" s="348"/>
      <c r="C377" s="348"/>
      <c r="D377" s="348"/>
      <c r="E377" s="348"/>
      <c r="F377" s="348"/>
      <c r="G377" s="348"/>
      <c r="H377" s="348"/>
      <c r="I377" s="348"/>
      <c r="J377" s="348"/>
      <c r="K377" s="348"/>
      <c r="L377" s="353"/>
      <c r="M377" s="347"/>
      <c r="N377" s="347"/>
    </row>
    <row r="378" spans="1:14" x14ac:dyDescent="0.2">
      <c r="A378" s="348"/>
      <c r="B378" s="348"/>
      <c r="C378" s="348"/>
      <c r="D378" s="348"/>
      <c r="E378" s="348"/>
      <c r="F378" s="348"/>
      <c r="G378" s="348"/>
      <c r="H378" s="348"/>
      <c r="I378" s="348"/>
      <c r="J378" s="348"/>
      <c r="K378" s="348"/>
      <c r="L378" s="372" t="s">
        <v>35</v>
      </c>
      <c r="M378" s="347"/>
      <c r="N378" s="347"/>
    </row>
    <row r="379" spans="1:14" x14ac:dyDescent="0.2">
      <c r="A379" s="355"/>
      <c r="B379" s="365"/>
      <c r="C379" s="365"/>
      <c r="D379" s="365"/>
      <c r="E379" s="365"/>
      <c r="F379" s="365"/>
      <c r="G379" s="365"/>
      <c r="H379" s="365"/>
      <c r="I379" s="365"/>
      <c r="J379" s="365"/>
      <c r="K379" s="365"/>
      <c r="L379" s="347"/>
      <c r="M379" s="347"/>
      <c r="N379" s="347"/>
    </row>
    <row r="380" spans="1:14" x14ac:dyDescent="0.2">
      <c r="A380" s="354" t="str">
        <f>name!A25</f>
        <v>Other manufacturing</v>
      </c>
      <c r="B380" s="517">
        <f>B$6</f>
        <v>2007</v>
      </c>
      <c r="C380" s="517"/>
      <c r="D380" s="517"/>
      <c r="E380" s="369"/>
      <c r="F380" s="517">
        <f>F363</f>
        <v>2017</v>
      </c>
      <c r="G380" s="517"/>
      <c r="H380" s="517"/>
      <c r="I380" s="369"/>
      <c r="J380" s="517">
        <f>J363</f>
        <v>2027</v>
      </c>
      <c r="K380" s="517"/>
      <c r="L380" s="517"/>
      <c r="M380" s="347"/>
      <c r="N380" s="347"/>
    </row>
    <row r="381" spans="1:14" x14ac:dyDescent="0.2">
      <c r="A381" s="370"/>
      <c r="B381" s="371" t="s">
        <v>387</v>
      </c>
      <c r="C381" s="371" t="s">
        <v>388</v>
      </c>
      <c r="D381" s="371" t="s">
        <v>32</v>
      </c>
      <c r="E381" s="371"/>
      <c r="F381" s="371" t="s">
        <v>387</v>
      </c>
      <c r="G381" s="371" t="s">
        <v>388</v>
      </c>
      <c r="H381" s="371" t="s">
        <v>32</v>
      </c>
      <c r="I381" s="371"/>
      <c r="J381" s="371" t="s">
        <v>387</v>
      </c>
      <c r="K381" s="371" t="s">
        <v>388</v>
      </c>
      <c r="L381" s="371" t="s">
        <v>32</v>
      </c>
      <c r="M381" s="347"/>
      <c r="N381" s="347"/>
    </row>
    <row r="382" spans="1:14" s="286" customFormat="1" x14ac:dyDescent="0.2">
      <c r="A382" s="374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47"/>
      <c r="N382" s="347"/>
    </row>
    <row r="383" spans="1:14" x14ac:dyDescent="0.2">
      <c r="A383" s="362" t="str">
        <f>name!E$4</f>
        <v>Managers, directors and senior officials</v>
      </c>
      <c r="B383" s="440">
        <v>3.7195508293923527E-2</v>
      </c>
      <c r="C383" s="440">
        <v>0.3611819274294984</v>
      </c>
      <c r="D383" s="440">
        <f>SUM(B383:C383)</f>
        <v>0.39837743572342194</v>
      </c>
      <c r="E383" s="441"/>
      <c r="F383" s="440">
        <v>8.1052706327637086E-2</v>
      </c>
      <c r="G383" s="440">
        <v>0.23702883417944351</v>
      </c>
      <c r="H383" s="440">
        <f>SUM(F383:G383)</f>
        <v>0.3180815405070806</v>
      </c>
      <c r="I383" s="441"/>
      <c r="J383" s="440">
        <v>0.11259261980494438</v>
      </c>
      <c r="K383" s="440">
        <v>0.2516589345582419</v>
      </c>
      <c r="L383" s="440">
        <f>SUM(J383:K383)</f>
        <v>0.36425155436318629</v>
      </c>
      <c r="M383" s="347"/>
      <c r="N383" s="347"/>
    </row>
    <row r="384" spans="1:14" x14ac:dyDescent="0.2">
      <c r="A384" s="362" t="str">
        <f>name!E$5</f>
        <v>Professional occupations</v>
      </c>
      <c r="B384" s="440">
        <v>3.8319348263719501E-2</v>
      </c>
      <c r="C384" s="440">
        <v>0.33795982437066374</v>
      </c>
      <c r="D384" s="440">
        <f t="shared" ref="D384:D391" si="148">SUM(B384:C384)</f>
        <v>0.37627917263438326</v>
      </c>
      <c r="E384" s="441"/>
      <c r="F384" s="440">
        <v>5.1894950022194027E-2</v>
      </c>
      <c r="G384" s="440">
        <v>0.242970780995929</v>
      </c>
      <c r="H384" s="440">
        <f t="shared" ref="H384:H391" si="149">SUM(F384:G384)</f>
        <v>0.29486573101812302</v>
      </c>
      <c r="I384" s="441"/>
      <c r="J384" s="440">
        <v>7.5762611340857072E-2</v>
      </c>
      <c r="K384" s="440">
        <v>0.24874853916590037</v>
      </c>
      <c r="L384" s="440">
        <f t="shared" ref="L384:L391" si="150">SUM(J384:K384)</f>
        <v>0.32451115050675744</v>
      </c>
      <c r="M384" s="347"/>
      <c r="N384" s="347"/>
    </row>
    <row r="385" spans="1:14" x14ac:dyDescent="0.2">
      <c r="A385" s="362" t="str">
        <f>name!E$6</f>
        <v>Associate professional and technical</v>
      </c>
      <c r="B385" s="440">
        <v>8.8544618207293826E-2</v>
      </c>
      <c r="C385" s="440">
        <v>0.40495236775887705</v>
      </c>
      <c r="D385" s="440">
        <f t="shared" si="148"/>
        <v>0.49349698596617086</v>
      </c>
      <c r="E385" s="441"/>
      <c r="F385" s="440">
        <v>0.13418146991015853</v>
      </c>
      <c r="G385" s="440">
        <v>0.20772594288580892</v>
      </c>
      <c r="H385" s="440">
        <f t="shared" si="149"/>
        <v>0.34190741279596748</v>
      </c>
      <c r="I385" s="441"/>
      <c r="J385" s="440">
        <v>0.17219212188733574</v>
      </c>
      <c r="K385" s="440">
        <v>0.20305854601812673</v>
      </c>
      <c r="L385" s="440">
        <f t="shared" si="150"/>
        <v>0.37525066790546246</v>
      </c>
      <c r="M385" s="347"/>
      <c r="N385" s="347"/>
    </row>
    <row r="386" spans="1:14" x14ac:dyDescent="0.2">
      <c r="A386" s="362" t="str">
        <f>name!E$7</f>
        <v>Administrative and secretarial</v>
      </c>
      <c r="B386" s="440">
        <v>0.4042593088727765</v>
      </c>
      <c r="C386" s="440">
        <v>5.2175984392290861E-2</v>
      </c>
      <c r="D386" s="440">
        <f t="shared" si="148"/>
        <v>0.45643529326506738</v>
      </c>
      <c r="E386" s="441"/>
      <c r="F386" s="440">
        <v>0.29873832050817384</v>
      </c>
      <c r="G386" s="440">
        <v>6.276649947379126E-2</v>
      </c>
      <c r="H386" s="440">
        <f t="shared" si="149"/>
        <v>0.3615048199819651</v>
      </c>
      <c r="I386" s="441"/>
      <c r="J386" s="440">
        <v>0.23695710506421708</v>
      </c>
      <c r="K386" s="440">
        <v>5.4934482233312425E-2</v>
      </c>
      <c r="L386" s="440">
        <f t="shared" si="150"/>
        <v>0.29189158729752951</v>
      </c>
      <c r="M386" s="347"/>
      <c r="N386" s="347"/>
    </row>
    <row r="387" spans="1:14" x14ac:dyDescent="0.2">
      <c r="A387" s="362" t="str">
        <f>name!E$8</f>
        <v>Skilled trades occupations</v>
      </c>
      <c r="B387" s="440">
        <v>0.19488268394561495</v>
      </c>
      <c r="C387" s="440">
        <v>2.9056664139920096</v>
      </c>
      <c r="D387" s="440">
        <f t="shared" si="148"/>
        <v>3.1005490979376247</v>
      </c>
      <c r="E387" s="441"/>
      <c r="F387" s="440">
        <v>0.12182966773169596</v>
      </c>
      <c r="G387" s="440">
        <v>2.4299486241440635</v>
      </c>
      <c r="H387" s="440">
        <f t="shared" si="149"/>
        <v>2.5517782918757597</v>
      </c>
      <c r="I387" s="441"/>
      <c r="J387" s="440">
        <v>3.5911074539230196E-2</v>
      </c>
      <c r="K387" s="440">
        <v>2.1715315339637038</v>
      </c>
      <c r="L387" s="440">
        <f t="shared" si="150"/>
        <v>2.2074426085029342</v>
      </c>
      <c r="M387" s="347"/>
      <c r="N387" s="347"/>
    </row>
    <row r="388" spans="1:14" x14ac:dyDescent="0.2">
      <c r="A388" s="362" t="str">
        <f>name!E$9</f>
        <v>Caring, leisure and other service</v>
      </c>
      <c r="B388" s="440">
        <v>3.6209847227011462E-2</v>
      </c>
      <c r="C388" s="440">
        <v>6.577191014780626E-3</v>
      </c>
      <c r="D388" s="440">
        <f t="shared" si="148"/>
        <v>4.2787038241792086E-2</v>
      </c>
      <c r="E388" s="441"/>
      <c r="F388" s="440">
        <v>4.2428744922070202E-2</v>
      </c>
      <c r="G388" s="440">
        <v>4.1800436495537255E-3</v>
      </c>
      <c r="H388" s="440">
        <f t="shared" si="149"/>
        <v>4.6608788571623927E-2</v>
      </c>
      <c r="I388" s="441"/>
      <c r="J388" s="440">
        <v>5.6839710128347057E-2</v>
      </c>
      <c r="K388" s="440">
        <v>4.5815455512375767E-3</v>
      </c>
      <c r="L388" s="440">
        <f t="shared" si="150"/>
        <v>6.1421255679584633E-2</v>
      </c>
      <c r="M388" s="347"/>
      <c r="N388" s="347"/>
    </row>
    <row r="389" spans="1:14" x14ac:dyDescent="0.2">
      <c r="A389" s="362" t="str">
        <f>name!E$10</f>
        <v>Sales and customer service</v>
      </c>
      <c r="B389" s="440">
        <v>7.852499437485165E-2</v>
      </c>
      <c r="C389" s="440">
        <v>6.2745139122114102E-2</v>
      </c>
      <c r="D389" s="440">
        <f t="shared" si="148"/>
        <v>0.14127013349696577</v>
      </c>
      <c r="E389" s="441"/>
      <c r="F389" s="440">
        <v>6.0803225490945932E-2</v>
      </c>
      <c r="G389" s="440">
        <v>8.0784699540411509E-2</v>
      </c>
      <c r="H389" s="440">
        <f t="shared" si="149"/>
        <v>0.14158792503135745</v>
      </c>
      <c r="I389" s="441"/>
      <c r="J389" s="440">
        <v>5.8910094379222511E-2</v>
      </c>
      <c r="K389" s="440">
        <v>6.8184005549347962E-2</v>
      </c>
      <c r="L389" s="440">
        <f t="shared" si="150"/>
        <v>0.12709409992857046</v>
      </c>
      <c r="M389" s="347"/>
      <c r="N389" s="347"/>
    </row>
    <row r="390" spans="1:14" x14ac:dyDescent="0.2">
      <c r="A390" s="362" t="str">
        <f>name!E$11</f>
        <v>Process, plant and machine operatives</v>
      </c>
      <c r="B390" s="440">
        <v>0.3506600657371291</v>
      </c>
      <c r="C390" s="440">
        <v>1.3322673668263887</v>
      </c>
      <c r="D390" s="440">
        <f t="shared" si="148"/>
        <v>1.6829274325635177</v>
      </c>
      <c r="E390" s="441"/>
      <c r="F390" s="440">
        <v>0.21313992612648758</v>
      </c>
      <c r="G390" s="440">
        <v>0.9242592409705207</v>
      </c>
      <c r="H390" s="440">
        <f t="shared" si="149"/>
        <v>1.1373991670970083</v>
      </c>
      <c r="I390" s="441"/>
      <c r="J390" s="440">
        <v>0.21993770301658133</v>
      </c>
      <c r="K390" s="440">
        <v>0.83292921160238753</v>
      </c>
      <c r="L390" s="440">
        <f t="shared" si="150"/>
        <v>1.0528669146189689</v>
      </c>
      <c r="M390" s="347"/>
      <c r="N390" s="347"/>
    </row>
    <row r="391" spans="1:14" x14ac:dyDescent="0.2">
      <c r="A391" s="362" t="str">
        <f>name!E$12</f>
        <v>Elementary occupations</v>
      </c>
      <c r="B391" s="440">
        <v>0.11240362506578358</v>
      </c>
      <c r="C391" s="440">
        <v>0.48347378510154526</v>
      </c>
      <c r="D391" s="440">
        <f t="shared" si="148"/>
        <v>0.59587741016732887</v>
      </c>
      <c r="E391" s="441"/>
      <c r="F391" s="440">
        <v>8.6930988973315942E-2</v>
      </c>
      <c r="G391" s="440">
        <v>0.45033533416446087</v>
      </c>
      <c r="H391" s="440">
        <f t="shared" si="149"/>
        <v>0.53726632313777678</v>
      </c>
      <c r="I391" s="441"/>
      <c r="J391" s="440">
        <v>9.6896959846470995E-2</v>
      </c>
      <c r="K391" s="440">
        <v>0.41637320129140493</v>
      </c>
      <c r="L391" s="440">
        <f t="shared" si="150"/>
        <v>0.51327016113787594</v>
      </c>
      <c r="M391" s="347"/>
      <c r="N391" s="347"/>
    </row>
    <row r="392" spans="1:14" s="286" customFormat="1" x14ac:dyDescent="0.2">
      <c r="A392" s="362"/>
      <c r="B392" s="440"/>
      <c r="C392" s="440"/>
      <c r="D392" s="440"/>
      <c r="E392" s="441"/>
      <c r="F392" s="440"/>
      <c r="G392" s="440"/>
      <c r="H392" s="440"/>
      <c r="I392" s="441"/>
      <c r="J392" s="440"/>
      <c r="K392" s="440"/>
      <c r="L392" s="440"/>
      <c r="M392" s="347"/>
      <c r="N392" s="347"/>
    </row>
    <row r="393" spans="1:14" x14ac:dyDescent="0.2">
      <c r="A393" s="357" t="s">
        <v>32</v>
      </c>
      <c r="B393" s="450">
        <f>SUM(B383:B391)</f>
        <v>1.3409999999881042</v>
      </c>
      <c r="C393" s="450">
        <f t="shared" ref="C393:D393" si="151">SUM(C383:C391)</f>
        <v>5.9470000000081695</v>
      </c>
      <c r="D393" s="450">
        <f t="shared" si="151"/>
        <v>7.2879999999962735</v>
      </c>
      <c r="E393" s="450"/>
      <c r="F393" s="450">
        <f t="shared" ref="F393:H393" si="152">SUM(F383:F391)</f>
        <v>1.0910000000126789</v>
      </c>
      <c r="G393" s="450">
        <f t="shared" si="152"/>
        <v>4.6400000000039823</v>
      </c>
      <c r="H393" s="450">
        <f t="shared" si="152"/>
        <v>5.731000000016663</v>
      </c>
      <c r="I393" s="450"/>
      <c r="J393" s="450">
        <f t="shared" ref="J393:L393" si="153">SUM(J383:J391)</f>
        <v>1.0660000000072063</v>
      </c>
      <c r="K393" s="450">
        <f t="shared" si="153"/>
        <v>4.2519999999336635</v>
      </c>
      <c r="L393" s="450">
        <f t="shared" si="153"/>
        <v>5.3179999999408691</v>
      </c>
      <c r="M393" s="347"/>
      <c r="N393" s="347"/>
    </row>
    <row r="394" spans="1:14" x14ac:dyDescent="0.2">
      <c r="A394" s="348"/>
      <c r="B394" s="348"/>
      <c r="C394" s="348"/>
      <c r="D394" s="348"/>
      <c r="E394" s="348"/>
      <c r="F394" s="348"/>
      <c r="G394" s="348"/>
      <c r="H394" s="348"/>
      <c r="I394" s="348"/>
      <c r="J394" s="348"/>
      <c r="K394" s="348"/>
      <c r="L394" s="353"/>
      <c r="M394" s="347"/>
      <c r="N394" s="347"/>
    </row>
    <row r="395" spans="1:14" x14ac:dyDescent="0.2">
      <c r="A395" s="348"/>
      <c r="B395" s="348"/>
      <c r="C395" s="348"/>
      <c r="D395" s="348"/>
      <c r="E395" s="348"/>
      <c r="F395" s="348"/>
      <c r="G395" s="348"/>
      <c r="H395" s="348"/>
      <c r="I395" s="348"/>
      <c r="J395" s="348"/>
      <c r="K395" s="348"/>
      <c r="L395" s="372" t="s">
        <v>35</v>
      </c>
      <c r="M395" s="347"/>
      <c r="N395" s="347"/>
    </row>
    <row r="396" spans="1:14" x14ac:dyDescent="0.2">
      <c r="A396" s="355"/>
      <c r="B396" s="365"/>
      <c r="C396" s="365"/>
      <c r="D396" s="365"/>
      <c r="E396" s="365"/>
      <c r="F396" s="365"/>
      <c r="G396" s="365"/>
      <c r="H396" s="365"/>
      <c r="I396" s="365"/>
      <c r="J396" s="365"/>
      <c r="K396" s="365"/>
      <c r="L396" s="347"/>
      <c r="M396" s="347"/>
      <c r="N396" s="347"/>
    </row>
    <row r="397" spans="1:14" x14ac:dyDescent="0.2">
      <c r="A397" s="354" t="str">
        <f>name!A26</f>
        <v>Repair and installation</v>
      </c>
      <c r="B397" s="517">
        <f>B$6</f>
        <v>2007</v>
      </c>
      <c r="C397" s="517"/>
      <c r="D397" s="517"/>
      <c r="E397" s="369"/>
      <c r="F397" s="517">
        <f>F380</f>
        <v>2017</v>
      </c>
      <c r="G397" s="517"/>
      <c r="H397" s="517"/>
      <c r="I397" s="369"/>
      <c r="J397" s="517">
        <f>J380</f>
        <v>2027</v>
      </c>
      <c r="K397" s="517"/>
      <c r="L397" s="517"/>
      <c r="M397" s="347"/>
      <c r="N397" s="347"/>
    </row>
    <row r="398" spans="1:14" x14ac:dyDescent="0.2">
      <c r="A398" s="370"/>
      <c r="B398" s="371" t="s">
        <v>387</v>
      </c>
      <c r="C398" s="371" t="s">
        <v>388</v>
      </c>
      <c r="D398" s="371" t="s">
        <v>32</v>
      </c>
      <c r="E398" s="371"/>
      <c r="F398" s="371" t="s">
        <v>387</v>
      </c>
      <c r="G398" s="371" t="s">
        <v>388</v>
      </c>
      <c r="H398" s="371" t="s">
        <v>32</v>
      </c>
      <c r="I398" s="371"/>
      <c r="J398" s="371" t="s">
        <v>387</v>
      </c>
      <c r="K398" s="371" t="s">
        <v>388</v>
      </c>
      <c r="L398" s="371" t="s">
        <v>32</v>
      </c>
      <c r="M398" s="347"/>
      <c r="N398" s="347"/>
    </row>
    <row r="399" spans="1:14" s="286" customFormat="1" x14ac:dyDescent="0.2">
      <c r="A399" s="374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47"/>
      <c r="N399" s="347"/>
    </row>
    <row r="400" spans="1:14" x14ac:dyDescent="0.2">
      <c r="A400" s="362" t="str">
        <f>name!E$4</f>
        <v>Managers, directors and senior officials</v>
      </c>
      <c r="B400" s="440">
        <v>7.7483804476003448E-2</v>
      </c>
      <c r="C400" s="440">
        <v>0.30010301973722536</v>
      </c>
      <c r="D400" s="440">
        <f>SUM(B400:C400)</f>
        <v>0.37758682421322881</v>
      </c>
      <c r="E400" s="441"/>
      <c r="F400" s="440">
        <v>0.20353733780823247</v>
      </c>
      <c r="G400" s="440">
        <v>0.4575025648097989</v>
      </c>
      <c r="H400" s="440">
        <f>SUM(F400:G400)</f>
        <v>0.66103990261803136</v>
      </c>
      <c r="I400" s="441"/>
      <c r="J400" s="440">
        <v>0.24707051368283403</v>
      </c>
      <c r="K400" s="440">
        <v>0.48157133374305744</v>
      </c>
      <c r="L400" s="440">
        <f>SUM(J400:K400)</f>
        <v>0.72864184742589144</v>
      </c>
      <c r="M400" s="347"/>
      <c r="N400" s="347"/>
    </row>
    <row r="401" spans="1:14" x14ac:dyDescent="0.2">
      <c r="A401" s="362" t="str">
        <f>name!E$5</f>
        <v>Professional occupations</v>
      </c>
      <c r="B401" s="440">
        <v>0.14720536395775322</v>
      </c>
      <c r="C401" s="440">
        <v>0.37091906953796305</v>
      </c>
      <c r="D401" s="440">
        <f t="shared" ref="D401:D408" si="154">SUM(B401:C401)</f>
        <v>0.51812443349571624</v>
      </c>
      <c r="E401" s="441"/>
      <c r="F401" s="440">
        <v>0.27695074308559131</v>
      </c>
      <c r="G401" s="440">
        <v>0.81820719402482023</v>
      </c>
      <c r="H401" s="440">
        <f t="shared" ref="H401:H408" si="155">SUM(F401:G401)</f>
        <v>1.0951579371104114</v>
      </c>
      <c r="I401" s="441"/>
      <c r="J401" s="440">
        <v>0.33654645067026501</v>
      </c>
      <c r="K401" s="440">
        <v>0.8864104798511423</v>
      </c>
      <c r="L401" s="440">
        <f t="shared" ref="L401:L408" si="156">SUM(J401:K401)</f>
        <v>1.2229569305214074</v>
      </c>
      <c r="M401" s="347"/>
      <c r="N401" s="347"/>
    </row>
    <row r="402" spans="1:14" x14ac:dyDescent="0.2">
      <c r="A402" s="362" t="str">
        <f>name!E$6</f>
        <v>Associate professional and technical</v>
      </c>
      <c r="B402" s="440">
        <v>0.17771296775093112</v>
      </c>
      <c r="C402" s="440">
        <v>0.36062770272157513</v>
      </c>
      <c r="D402" s="440">
        <f t="shared" si="154"/>
        <v>0.53834067047250622</v>
      </c>
      <c r="E402" s="441"/>
      <c r="F402" s="440">
        <v>0.3265306124485623</v>
      </c>
      <c r="G402" s="440">
        <v>0.49140824121863275</v>
      </c>
      <c r="H402" s="440">
        <f t="shared" si="155"/>
        <v>0.81793885366719499</v>
      </c>
      <c r="I402" s="441"/>
      <c r="J402" s="440">
        <v>0.36565159813796705</v>
      </c>
      <c r="K402" s="440">
        <v>0.4829339847415921</v>
      </c>
      <c r="L402" s="440">
        <f t="shared" si="156"/>
        <v>0.84858558287955921</v>
      </c>
      <c r="M402" s="347"/>
      <c r="N402" s="347"/>
    </row>
    <row r="403" spans="1:14" x14ac:dyDescent="0.2">
      <c r="A403" s="362" t="str">
        <f>name!E$7</f>
        <v>Administrative and secretarial</v>
      </c>
      <c r="B403" s="440">
        <v>0.38362017527605968</v>
      </c>
      <c r="C403" s="440">
        <v>0.10384555372663432</v>
      </c>
      <c r="D403" s="440">
        <f t="shared" si="154"/>
        <v>0.48746572900269403</v>
      </c>
      <c r="E403" s="441"/>
      <c r="F403" s="440">
        <v>0.64243537296094866</v>
      </c>
      <c r="G403" s="440">
        <v>0.12265925747602982</v>
      </c>
      <c r="H403" s="440">
        <f t="shared" si="155"/>
        <v>0.76509463043697845</v>
      </c>
      <c r="I403" s="441"/>
      <c r="J403" s="440">
        <v>0.56187931183879636</v>
      </c>
      <c r="K403" s="440">
        <v>0.11742652623674395</v>
      </c>
      <c r="L403" s="440">
        <f t="shared" si="156"/>
        <v>0.67930583807554035</v>
      </c>
      <c r="M403" s="347"/>
      <c r="N403" s="347"/>
    </row>
    <row r="404" spans="1:14" x14ac:dyDescent="0.2">
      <c r="A404" s="362" t="str">
        <f>name!E$8</f>
        <v>Skilled trades occupations</v>
      </c>
      <c r="B404" s="440">
        <v>0.12371247961241125</v>
      </c>
      <c r="C404" s="440">
        <v>1.4957961953640466</v>
      </c>
      <c r="D404" s="440">
        <f t="shared" si="154"/>
        <v>1.6195086749764578</v>
      </c>
      <c r="E404" s="441"/>
      <c r="F404" s="440">
        <v>0.15904126791684514</v>
      </c>
      <c r="G404" s="440">
        <v>2.0461727063163737</v>
      </c>
      <c r="H404" s="440">
        <f t="shared" si="155"/>
        <v>2.2052139742332191</v>
      </c>
      <c r="I404" s="441"/>
      <c r="J404" s="440">
        <v>0.13809819742500115</v>
      </c>
      <c r="K404" s="440">
        <v>1.7603848935713138</v>
      </c>
      <c r="L404" s="440">
        <f t="shared" si="156"/>
        <v>1.8984830909963148</v>
      </c>
      <c r="M404" s="347"/>
      <c r="N404" s="347"/>
    </row>
    <row r="405" spans="1:14" x14ac:dyDescent="0.2">
      <c r="A405" s="362" t="str">
        <f>name!E$9</f>
        <v>Caring, leisure and other service</v>
      </c>
      <c r="B405" s="440">
        <v>9.5748073501610506E-2</v>
      </c>
      <c r="C405" s="440">
        <v>1.0796473656705248E-2</v>
      </c>
      <c r="D405" s="440">
        <f t="shared" si="154"/>
        <v>0.10654454715831575</v>
      </c>
      <c r="E405" s="441"/>
      <c r="F405" s="440">
        <v>0.15436296891152998</v>
      </c>
      <c r="G405" s="440">
        <v>1.630490171221155E-2</v>
      </c>
      <c r="H405" s="440">
        <f t="shared" si="155"/>
        <v>0.17066787062374153</v>
      </c>
      <c r="I405" s="441"/>
      <c r="J405" s="440">
        <v>0.17516791530971793</v>
      </c>
      <c r="K405" s="440">
        <v>1.8525246546278129E-2</v>
      </c>
      <c r="L405" s="440">
        <f t="shared" si="156"/>
        <v>0.19369316185599605</v>
      </c>
      <c r="M405" s="347"/>
      <c r="N405" s="347"/>
    </row>
    <row r="406" spans="1:14" x14ac:dyDescent="0.2">
      <c r="A406" s="362" t="str">
        <f>name!E$10</f>
        <v>Sales and customer service</v>
      </c>
      <c r="B406" s="440">
        <v>7.1100586397396526E-2</v>
      </c>
      <c r="C406" s="440">
        <v>4.091126285646976E-2</v>
      </c>
      <c r="D406" s="440">
        <f t="shared" si="154"/>
        <v>0.11201184925386629</v>
      </c>
      <c r="E406" s="441"/>
      <c r="F406" s="440">
        <v>0.16593579446752876</v>
      </c>
      <c r="G406" s="440">
        <v>8.4749001083063408E-2</v>
      </c>
      <c r="H406" s="440">
        <f t="shared" si="155"/>
        <v>0.2506847955505922</v>
      </c>
      <c r="I406" s="441"/>
      <c r="J406" s="440">
        <v>0.195900319265541</v>
      </c>
      <c r="K406" s="440">
        <v>7.8962855498194914E-2</v>
      </c>
      <c r="L406" s="440">
        <f t="shared" si="156"/>
        <v>0.2748631747637359</v>
      </c>
      <c r="M406" s="347"/>
      <c r="N406" s="347"/>
    </row>
    <row r="407" spans="1:14" x14ac:dyDescent="0.2">
      <c r="A407" s="362" t="str">
        <f>name!E$11</f>
        <v>Process, plant and machine operatives</v>
      </c>
      <c r="B407" s="440">
        <v>0.90892539711841402</v>
      </c>
      <c r="C407" s="440">
        <v>1.4106964107256807</v>
      </c>
      <c r="D407" s="440">
        <f t="shared" si="154"/>
        <v>2.3196218078440949</v>
      </c>
      <c r="E407" s="441"/>
      <c r="F407" s="440">
        <v>1.1909972802530109</v>
      </c>
      <c r="G407" s="440">
        <v>2.2383426126739243</v>
      </c>
      <c r="H407" s="440">
        <f t="shared" si="155"/>
        <v>3.4293398929269352</v>
      </c>
      <c r="I407" s="441"/>
      <c r="J407" s="440">
        <v>1.0104013317702181</v>
      </c>
      <c r="K407" s="440">
        <v>2.0049140110135713</v>
      </c>
      <c r="L407" s="440">
        <f t="shared" si="156"/>
        <v>3.0153153427837891</v>
      </c>
      <c r="M407" s="347"/>
      <c r="N407" s="347"/>
    </row>
    <row r="408" spans="1:14" x14ac:dyDescent="0.2">
      <c r="A408" s="362" t="str">
        <f>name!E$12</f>
        <v>Elementary occupations</v>
      </c>
      <c r="B408" s="440">
        <v>0.18649115186860044</v>
      </c>
      <c r="C408" s="440">
        <v>0.20730431167834332</v>
      </c>
      <c r="D408" s="440">
        <f t="shared" si="154"/>
        <v>0.39379546354694372</v>
      </c>
      <c r="E408" s="441"/>
      <c r="F408" s="440">
        <v>0.38520862219504692</v>
      </c>
      <c r="G408" s="440">
        <v>0.31565352068319646</v>
      </c>
      <c r="H408" s="440">
        <f t="shared" si="155"/>
        <v>0.70086214287824333</v>
      </c>
      <c r="I408" s="441"/>
      <c r="J408" s="440">
        <v>0.402284361920203</v>
      </c>
      <c r="K408" s="440">
        <v>0.29687066873363865</v>
      </c>
      <c r="L408" s="440">
        <f t="shared" si="156"/>
        <v>0.69915503065384166</v>
      </c>
      <c r="M408" s="347"/>
      <c r="N408" s="347"/>
    </row>
    <row r="409" spans="1:14" s="286" customFormat="1" x14ac:dyDescent="0.2">
      <c r="A409" s="362"/>
      <c r="B409" s="440"/>
      <c r="C409" s="440"/>
      <c r="D409" s="440"/>
      <c r="E409" s="441"/>
      <c r="F409" s="440"/>
      <c r="G409" s="440"/>
      <c r="H409" s="440"/>
      <c r="I409" s="441"/>
      <c r="J409" s="440"/>
      <c r="K409" s="440"/>
      <c r="L409" s="440"/>
      <c r="M409" s="347"/>
      <c r="N409" s="347"/>
    </row>
    <row r="410" spans="1:14" x14ac:dyDescent="0.2">
      <c r="A410" s="357" t="s">
        <v>32</v>
      </c>
      <c r="B410" s="450">
        <f>SUM(B400:B408)</f>
        <v>2.1719999999591804</v>
      </c>
      <c r="C410" s="450">
        <f t="shared" ref="C410:D410" si="157">SUM(C400:C408)</f>
        <v>4.3010000000046436</v>
      </c>
      <c r="D410" s="450">
        <f t="shared" si="157"/>
        <v>6.4729999999638235</v>
      </c>
      <c r="E410" s="450"/>
      <c r="F410" s="450">
        <f t="shared" ref="F410:H410" si="158">SUM(F400:F408)</f>
        <v>3.5050000000472963</v>
      </c>
      <c r="G410" s="450">
        <f t="shared" si="158"/>
        <v>6.5909999999980515</v>
      </c>
      <c r="H410" s="450">
        <f t="shared" si="158"/>
        <v>10.096000000045349</v>
      </c>
      <c r="I410" s="450"/>
      <c r="J410" s="450">
        <f t="shared" ref="J410:L410" si="159">SUM(J400:J408)</f>
        <v>3.4330000000205434</v>
      </c>
      <c r="K410" s="450">
        <f t="shared" si="159"/>
        <v>6.1279999999355317</v>
      </c>
      <c r="L410" s="450">
        <f t="shared" si="159"/>
        <v>9.5609999999560742</v>
      </c>
      <c r="M410" s="347"/>
      <c r="N410" s="347"/>
    </row>
    <row r="411" spans="1:14" x14ac:dyDescent="0.2">
      <c r="A411" s="348"/>
      <c r="B411" s="348"/>
      <c r="C411" s="348"/>
      <c r="D411" s="348"/>
      <c r="E411" s="348"/>
      <c r="F411" s="348"/>
      <c r="G411" s="348"/>
      <c r="H411" s="348"/>
      <c r="I411" s="348"/>
      <c r="J411" s="348"/>
      <c r="K411" s="348"/>
      <c r="L411" s="353"/>
      <c r="M411" s="347"/>
      <c r="N411" s="347"/>
    </row>
    <row r="412" spans="1:14" x14ac:dyDescent="0.2">
      <c r="A412" s="348"/>
      <c r="B412" s="348"/>
      <c r="C412" s="348"/>
      <c r="D412" s="348"/>
      <c r="E412" s="348"/>
      <c r="F412" s="348"/>
      <c r="G412" s="348"/>
      <c r="H412" s="348"/>
      <c r="I412" s="348"/>
      <c r="J412" s="348"/>
      <c r="K412" s="348"/>
      <c r="L412" s="372" t="s">
        <v>35</v>
      </c>
      <c r="M412" s="347"/>
      <c r="N412" s="347"/>
    </row>
    <row r="413" spans="1:14" x14ac:dyDescent="0.2">
      <c r="A413" s="355"/>
      <c r="B413" s="365"/>
      <c r="C413" s="365"/>
      <c r="D413" s="365"/>
      <c r="E413" s="365"/>
      <c r="F413" s="365"/>
      <c r="G413" s="365"/>
      <c r="H413" s="365"/>
      <c r="I413" s="365"/>
      <c r="J413" s="365"/>
      <c r="K413" s="365"/>
      <c r="L413" s="347"/>
      <c r="M413" s="347"/>
      <c r="N413" s="347"/>
    </row>
    <row r="414" spans="1:14" x14ac:dyDescent="0.2">
      <c r="A414" s="354" t="str">
        <f>name!A27</f>
        <v>Electricity, gas, etc</v>
      </c>
      <c r="B414" s="517">
        <f>B$6</f>
        <v>2007</v>
      </c>
      <c r="C414" s="517"/>
      <c r="D414" s="517"/>
      <c r="E414" s="369"/>
      <c r="F414" s="517">
        <f>F397</f>
        <v>2017</v>
      </c>
      <c r="G414" s="517"/>
      <c r="H414" s="517"/>
      <c r="I414" s="369"/>
      <c r="J414" s="517">
        <f>J397</f>
        <v>2027</v>
      </c>
      <c r="K414" s="517"/>
      <c r="L414" s="517"/>
      <c r="M414" s="347"/>
      <c r="N414" s="347"/>
    </row>
    <row r="415" spans="1:14" x14ac:dyDescent="0.2">
      <c r="A415" s="370"/>
      <c r="B415" s="371" t="s">
        <v>387</v>
      </c>
      <c r="C415" s="371" t="s">
        <v>388</v>
      </c>
      <c r="D415" s="371" t="s">
        <v>32</v>
      </c>
      <c r="E415" s="371"/>
      <c r="F415" s="371" t="s">
        <v>387</v>
      </c>
      <c r="G415" s="371" t="s">
        <v>388</v>
      </c>
      <c r="H415" s="371" t="s">
        <v>32</v>
      </c>
      <c r="I415" s="371"/>
      <c r="J415" s="371" t="s">
        <v>387</v>
      </c>
      <c r="K415" s="371" t="s">
        <v>388</v>
      </c>
      <c r="L415" s="371" t="s">
        <v>32</v>
      </c>
      <c r="M415" s="347"/>
      <c r="N415" s="347"/>
    </row>
    <row r="416" spans="1:14" s="286" customFormat="1" x14ac:dyDescent="0.2">
      <c r="A416" s="374"/>
      <c r="B416" s="375"/>
      <c r="C416" s="375"/>
      <c r="D416" s="375"/>
      <c r="E416" s="375"/>
      <c r="F416" s="375"/>
      <c r="G416" s="375"/>
      <c r="H416" s="375"/>
      <c r="I416" s="375"/>
      <c r="J416" s="375"/>
      <c r="K416" s="375"/>
      <c r="L416" s="375"/>
      <c r="M416" s="347"/>
      <c r="N416" s="347"/>
    </row>
    <row r="417" spans="1:14" x14ac:dyDescent="0.2">
      <c r="A417" s="362" t="str">
        <f>name!E$4</f>
        <v>Managers, directors and senior officials</v>
      </c>
      <c r="B417" s="440">
        <v>6.7743226631011788E-2</v>
      </c>
      <c r="C417" s="440">
        <v>0.38640123742537874</v>
      </c>
      <c r="D417" s="440">
        <f>SUM(B417:C417)</f>
        <v>0.45414446405639053</v>
      </c>
      <c r="E417" s="441"/>
      <c r="F417" s="440">
        <v>0.17558770135534116</v>
      </c>
      <c r="G417" s="440">
        <v>0.76560577651486228</v>
      </c>
      <c r="H417" s="440">
        <f>SUM(F417:G417)</f>
        <v>0.94119347787020347</v>
      </c>
      <c r="I417" s="441"/>
      <c r="J417" s="440">
        <v>0.16563979144077437</v>
      </c>
      <c r="K417" s="440">
        <v>0.96487645525658294</v>
      </c>
      <c r="L417" s="440">
        <f>SUM(J417:K417)</f>
        <v>1.1305162466973573</v>
      </c>
      <c r="M417" s="347"/>
      <c r="N417" s="347"/>
    </row>
    <row r="418" spans="1:14" x14ac:dyDescent="0.2">
      <c r="A418" s="362" t="str">
        <f>name!E$5</f>
        <v>Professional occupations</v>
      </c>
      <c r="B418" s="440">
        <v>0.15186184620997914</v>
      </c>
      <c r="C418" s="440">
        <v>0.61214608870513165</v>
      </c>
      <c r="D418" s="440">
        <f t="shared" ref="D418:D425" si="160">SUM(B418:C418)</f>
        <v>0.76400793491511076</v>
      </c>
      <c r="E418" s="441"/>
      <c r="F418" s="440">
        <v>0.34679926922448678</v>
      </c>
      <c r="G418" s="440">
        <v>0.85222863748267408</v>
      </c>
      <c r="H418" s="440">
        <f t="shared" ref="H418:H425" si="161">SUM(F418:G418)</f>
        <v>1.199027906707161</v>
      </c>
      <c r="I418" s="441"/>
      <c r="J418" s="440">
        <v>0.31888387668673385</v>
      </c>
      <c r="K418" s="440">
        <v>0.91792497621382252</v>
      </c>
      <c r="L418" s="440">
        <f t="shared" ref="L418:L425" si="162">SUM(J418:K418)</f>
        <v>1.2368088529005563</v>
      </c>
      <c r="M418" s="347"/>
      <c r="N418" s="347"/>
    </row>
    <row r="419" spans="1:14" x14ac:dyDescent="0.2">
      <c r="A419" s="362" t="str">
        <f>name!E$6</f>
        <v>Associate professional and technical</v>
      </c>
      <c r="B419" s="440">
        <v>0.12053078357305942</v>
      </c>
      <c r="C419" s="440">
        <v>0.49621634808910403</v>
      </c>
      <c r="D419" s="440">
        <f t="shared" si="160"/>
        <v>0.61674713166216344</v>
      </c>
      <c r="E419" s="441"/>
      <c r="F419" s="440">
        <v>0.23665414322283204</v>
      </c>
      <c r="G419" s="440">
        <v>0.89163004767612619</v>
      </c>
      <c r="H419" s="440">
        <f t="shared" si="161"/>
        <v>1.1282841908989583</v>
      </c>
      <c r="I419" s="441"/>
      <c r="J419" s="440">
        <v>0.20510826452418246</v>
      </c>
      <c r="K419" s="440">
        <v>0.97125339360198848</v>
      </c>
      <c r="L419" s="440">
        <f t="shared" si="162"/>
        <v>1.1763616581261709</v>
      </c>
      <c r="M419" s="347"/>
      <c r="N419" s="347"/>
    </row>
    <row r="420" spans="1:14" x14ac:dyDescent="0.2">
      <c r="A420" s="362" t="str">
        <f>name!E$7</f>
        <v>Administrative and secretarial</v>
      </c>
      <c r="B420" s="440">
        <v>0.29917486138999166</v>
      </c>
      <c r="C420" s="440">
        <v>0.16044754943076589</v>
      </c>
      <c r="D420" s="440">
        <f t="shared" si="160"/>
        <v>0.45962241082075755</v>
      </c>
      <c r="E420" s="441"/>
      <c r="F420" s="440">
        <v>0.43634044240903835</v>
      </c>
      <c r="G420" s="440">
        <v>0.26605611070472285</v>
      </c>
      <c r="H420" s="440">
        <f t="shared" si="161"/>
        <v>0.70239655311376126</v>
      </c>
      <c r="I420" s="441"/>
      <c r="J420" s="440">
        <v>0.24141052058643492</v>
      </c>
      <c r="K420" s="440">
        <v>0.25418657336672573</v>
      </c>
      <c r="L420" s="440">
        <f t="shared" si="162"/>
        <v>0.49559709395316065</v>
      </c>
      <c r="M420" s="347"/>
      <c r="N420" s="347"/>
    </row>
    <row r="421" spans="1:14" x14ac:dyDescent="0.2">
      <c r="A421" s="362" t="str">
        <f>name!E$8</f>
        <v>Skilled trades occupations</v>
      </c>
      <c r="B421" s="440">
        <v>4.0727885826496446E-2</v>
      </c>
      <c r="C421" s="440">
        <v>1.2014963392614135</v>
      </c>
      <c r="D421" s="440">
        <f t="shared" si="160"/>
        <v>1.2422242250879099</v>
      </c>
      <c r="E421" s="441"/>
      <c r="F421" s="440">
        <v>6.5213899175385781E-2</v>
      </c>
      <c r="G421" s="440">
        <v>1.7704835533220977</v>
      </c>
      <c r="H421" s="440">
        <f t="shared" si="161"/>
        <v>1.8356974524974836</v>
      </c>
      <c r="I421" s="441"/>
      <c r="J421" s="440">
        <v>4.6155212356626694E-2</v>
      </c>
      <c r="K421" s="440">
        <v>1.654471274631079</v>
      </c>
      <c r="L421" s="440">
        <f t="shared" si="162"/>
        <v>1.7006264869877057</v>
      </c>
      <c r="M421" s="347"/>
      <c r="N421" s="347"/>
    </row>
    <row r="422" spans="1:14" x14ac:dyDescent="0.2">
      <c r="A422" s="362" t="str">
        <f>name!E$9</f>
        <v>Caring, leisure and other service</v>
      </c>
      <c r="B422" s="440">
        <v>6.7052250014572143E-2</v>
      </c>
      <c r="C422" s="440">
        <v>5.1100729309834544E-2</v>
      </c>
      <c r="D422" s="440">
        <f t="shared" si="160"/>
        <v>0.11815297932440669</v>
      </c>
      <c r="E422" s="441"/>
      <c r="F422" s="440">
        <v>9.3104437129363421E-2</v>
      </c>
      <c r="G422" s="440">
        <v>9.7958604422410556E-2</v>
      </c>
      <c r="H422" s="440">
        <f t="shared" si="161"/>
        <v>0.19106304155177398</v>
      </c>
      <c r="I422" s="441"/>
      <c r="J422" s="440">
        <v>7.1936509024396175E-2</v>
      </c>
      <c r="K422" s="440">
        <v>0.11535052141871842</v>
      </c>
      <c r="L422" s="440">
        <f t="shared" si="162"/>
        <v>0.18728703044311459</v>
      </c>
      <c r="M422" s="347"/>
      <c r="N422" s="347"/>
    </row>
    <row r="423" spans="1:14" x14ac:dyDescent="0.2">
      <c r="A423" s="362" t="str">
        <f>name!E$10</f>
        <v>Sales and customer service</v>
      </c>
      <c r="B423" s="440">
        <v>0.24391339619794195</v>
      </c>
      <c r="C423" s="440">
        <v>0.21208040303459461</v>
      </c>
      <c r="D423" s="440">
        <f t="shared" si="160"/>
        <v>0.45599379923253658</v>
      </c>
      <c r="E423" s="441"/>
      <c r="F423" s="440">
        <v>0.44818446960128822</v>
      </c>
      <c r="G423" s="440">
        <v>0.29054432640197958</v>
      </c>
      <c r="H423" s="440">
        <f t="shared" si="161"/>
        <v>0.7387287960032678</v>
      </c>
      <c r="I423" s="441"/>
      <c r="J423" s="440">
        <v>0.37663740892502839</v>
      </c>
      <c r="K423" s="440">
        <v>0.30996282018717281</v>
      </c>
      <c r="L423" s="440">
        <f t="shared" si="162"/>
        <v>0.6866002291122012</v>
      </c>
      <c r="M423" s="347"/>
      <c r="N423" s="347"/>
    </row>
    <row r="424" spans="1:14" x14ac:dyDescent="0.2">
      <c r="A424" s="362" t="str">
        <f>name!E$11</f>
        <v>Process, plant and machine operatives</v>
      </c>
      <c r="B424" s="440">
        <v>1.2727758750545286E-2</v>
      </c>
      <c r="C424" s="440">
        <v>0.33623863414293109</v>
      </c>
      <c r="D424" s="440">
        <f t="shared" si="160"/>
        <v>0.34896639289347636</v>
      </c>
      <c r="E424" s="441"/>
      <c r="F424" s="440">
        <v>1.7607736943511067E-2</v>
      </c>
      <c r="G424" s="440">
        <v>0.7867424979198494</v>
      </c>
      <c r="H424" s="440">
        <f t="shared" si="161"/>
        <v>0.80435023486336044</v>
      </c>
      <c r="I424" s="441"/>
      <c r="J424" s="440">
        <v>7.0328049176433911E-3</v>
      </c>
      <c r="K424" s="440">
        <v>0.7741331179097185</v>
      </c>
      <c r="L424" s="440">
        <f t="shared" si="162"/>
        <v>0.78116592282736186</v>
      </c>
      <c r="M424" s="347"/>
      <c r="N424" s="347"/>
    </row>
    <row r="425" spans="1:14" x14ac:dyDescent="0.2">
      <c r="A425" s="362" t="str">
        <f>name!E$12</f>
        <v>Elementary occupations</v>
      </c>
      <c r="B425" s="440">
        <v>2.4267991397723392E-2</v>
      </c>
      <c r="C425" s="440">
        <v>8.8872670582676699E-2</v>
      </c>
      <c r="D425" s="440">
        <f t="shared" si="160"/>
        <v>0.1131406619804001</v>
      </c>
      <c r="E425" s="441"/>
      <c r="F425" s="440">
        <v>5.0507900949514781E-2</v>
      </c>
      <c r="G425" s="440">
        <v>0.12575044552760345</v>
      </c>
      <c r="H425" s="440">
        <f t="shared" si="161"/>
        <v>0.17625834647711824</v>
      </c>
      <c r="I425" s="441"/>
      <c r="J425" s="440">
        <v>3.6195611546796132E-2</v>
      </c>
      <c r="K425" s="440">
        <v>0.1108408674225993</v>
      </c>
      <c r="L425" s="440">
        <f t="shared" si="162"/>
        <v>0.14703647896939542</v>
      </c>
      <c r="M425" s="347"/>
      <c r="N425" s="347"/>
    </row>
    <row r="426" spans="1:14" s="286" customFormat="1" x14ac:dyDescent="0.2">
      <c r="A426" s="362"/>
      <c r="B426" s="440"/>
      <c r="C426" s="440"/>
      <c r="D426" s="440"/>
      <c r="E426" s="441"/>
      <c r="F426" s="440"/>
      <c r="G426" s="440"/>
      <c r="H426" s="440"/>
      <c r="I426" s="441"/>
      <c r="J426" s="440"/>
      <c r="K426" s="440"/>
      <c r="L426" s="440"/>
      <c r="M426" s="347"/>
      <c r="N426" s="347"/>
    </row>
    <row r="427" spans="1:14" x14ac:dyDescent="0.2">
      <c r="A427" s="357" t="s">
        <v>32</v>
      </c>
      <c r="B427" s="450">
        <f>SUM(B417:B425)</f>
        <v>1.0279999999913212</v>
      </c>
      <c r="C427" s="450">
        <f t="shared" ref="C427:D427" si="163">SUM(C417:C425)</f>
        <v>3.5449999999818305</v>
      </c>
      <c r="D427" s="450">
        <f t="shared" si="163"/>
        <v>4.5729999999731517</v>
      </c>
      <c r="E427" s="450"/>
      <c r="F427" s="450">
        <f t="shared" ref="F427:H427" si="164">SUM(F417:F425)</f>
        <v>1.8700000000107615</v>
      </c>
      <c r="G427" s="450">
        <f t="shared" si="164"/>
        <v>5.8469999999723266</v>
      </c>
      <c r="H427" s="450">
        <f t="shared" si="164"/>
        <v>7.7169999999830878</v>
      </c>
      <c r="I427" s="450"/>
      <c r="J427" s="450">
        <f t="shared" ref="J427:L427" si="165">SUM(J417:J425)</f>
        <v>1.4690000000086163</v>
      </c>
      <c r="K427" s="450">
        <f t="shared" si="165"/>
        <v>6.0730000000084079</v>
      </c>
      <c r="L427" s="450">
        <f t="shared" si="165"/>
        <v>7.5420000000170244</v>
      </c>
      <c r="M427" s="347"/>
      <c r="N427" s="347"/>
    </row>
    <row r="428" spans="1:14" x14ac:dyDescent="0.2">
      <c r="A428" s="348"/>
      <c r="B428" s="348"/>
      <c r="C428" s="348"/>
      <c r="D428" s="348"/>
      <c r="E428" s="348"/>
      <c r="F428" s="348"/>
      <c r="G428" s="348"/>
      <c r="H428" s="348"/>
      <c r="I428" s="348"/>
      <c r="J428" s="348"/>
      <c r="K428" s="348"/>
      <c r="L428" s="353"/>
      <c r="M428" s="347"/>
      <c r="N428" s="347"/>
    </row>
    <row r="429" spans="1:14" x14ac:dyDescent="0.2">
      <c r="A429" s="348"/>
      <c r="B429" s="348"/>
      <c r="C429" s="348"/>
      <c r="D429" s="348"/>
      <c r="E429" s="348"/>
      <c r="F429" s="348"/>
      <c r="G429" s="348"/>
      <c r="H429" s="348"/>
      <c r="I429" s="348"/>
      <c r="J429" s="348"/>
      <c r="K429" s="348"/>
      <c r="L429" s="372" t="s">
        <v>35</v>
      </c>
      <c r="M429" s="347"/>
      <c r="N429" s="347"/>
    </row>
    <row r="430" spans="1:14" x14ac:dyDescent="0.2">
      <c r="A430" s="355"/>
      <c r="B430" s="365"/>
      <c r="C430" s="365"/>
      <c r="D430" s="365"/>
      <c r="E430" s="365"/>
      <c r="F430" s="365"/>
      <c r="G430" s="365"/>
      <c r="H430" s="365"/>
      <c r="I430" s="365"/>
      <c r="J430" s="365"/>
      <c r="K430" s="365"/>
      <c r="L430" s="347"/>
      <c r="M430" s="347"/>
      <c r="N430" s="347"/>
    </row>
    <row r="431" spans="1:14" x14ac:dyDescent="0.2">
      <c r="A431" s="354" t="str">
        <f>name!A28</f>
        <v>Water</v>
      </c>
      <c r="B431" s="517">
        <f>B$6</f>
        <v>2007</v>
      </c>
      <c r="C431" s="517"/>
      <c r="D431" s="517"/>
      <c r="E431" s="369"/>
      <c r="F431" s="517">
        <f>F414</f>
        <v>2017</v>
      </c>
      <c r="G431" s="517"/>
      <c r="H431" s="517"/>
      <c r="I431" s="369"/>
      <c r="J431" s="517">
        <f>J414</f>
        <v>2027</v>
      </c>
      <c r="K431" s="517"/>
      <c r="L431" s="517"/>
      <c r="M431" s="347"/>
      <c r="N431" s="347"/>
    </row>
    <row r="432" spans="1:14" x14ac:dyDescent="0.2">
      <c r="A432" s="370"/>
      <c r="B432" s="371" t="s">
        <v>387</v>
      </c>
      <c r="C432" s="371" t="s">
        <v>388</v>
      </c>
      <c r="D432" s="371" t="s">
        <v>32</v>
      </c>
      <c r="E432" s="371"/>
      <c r="F432" s="371" t="s">
        <v>387</v>
      </c>
      <c r="G432" s="371" t="s">
        <v>388</v>
      </c>
      <c r="H432" s="371" t="s">
        <v>32</v>
      </c>
      <c r="I432" s="371"/>
      <c r="J432" s="371" t="s">
        <v>387</v>
      </c>
      <c r="K432" s="371" t="s">
        <v>388</v>
      </c>
      <c r="L432" s="371" t="s">
        <v>32</v>
      </c>
      <c r="M432" s="347"/>
      <c r="N432" s="347"/>
    </row>
    <row r="433" spans="1:14" s="286" customFormat="1" x14ac:dyDescent="0.2">
      <c r="A433" s="374"/>
      <c r="B433" s="375"/>
      <c r="C433" s="375"/>
      <c r="D433" s="375"/>
      <c r="E433" s="375"/>
      <c r="F433" s="375"/>
      <c r="G433" s="375"/>
      <c r="H433" s="375"/>
      <c r="I433" s="375"/>
      <c r="J433" s="375"/>
      <c r="K433" s="375"/>
      <c r="L433" s="375"/>
      <c r="M433" s="347"/>
      <c r="N433" s="347"/>
    </row>
    <row r="434" spans="1:14" x14ac:dyDescent="0.2">
      <c r="A434" s="362" t="str">
        <f>name!E$4</f>
        <v>Managers, directors and senior officials</v>
      </c>
      <c r="B434" s="440">
        <v>4.8602818863509895E-2</v>
      </c>
      <c r="C434" s="440">
        <v>0.14900701497066035</v>
      </c>
      <c r="D434" s="440">
        <f>SUM(B434:C434)</f>
        <v>0.19760983383417025</v>
      </c>
      <c r="E434" s="441"/>
      <c r="F434" s="440">
        <v>8.8041967068620469E-2</v>
      </c>
      <c r="G434" s="440">
        <v>0.2469536603474636</v>
      </c>
      <c r="H434" s="440">
        <f>SUM(F434:G434)</f>
        <v>0.33499562741608407</v>
      </c>
      <c r="I434" s="441"/>
      <c r="J434" s="440">
        <v>0.12800179053536359</v>
      </c>
      <c r="K434" s="440">
        <v>0.31534196603890302</v>
      </c>
      <c r="L434" s="440">
        <f>SUM(J434:K434)</f>
        <v>0.44334375657426661</v>
      </c>
      <c r="M434" s="347"/>
      <c r="N434" s="347"/>
    </row>
    <row r="435" spans="1:14" x14ac:dyDescent="0.2">
      <c r="A435" s="362" t="str">
        <f>name!E$5</f>
        <v>Professional occupations</v>
      </c>
      <c r="B435" s="440">
        <v>0.21343796586930097</v>
      </c>
      <c r="C435" s="440">
        <v>0.16122251259643411</v>
      </c>
      <c r="D435" s="440">
        <f t="shared" ref="D435:D442" si="166">SUM(B435:C435)</f>
        <v>0.37466047846573508</v>
      </c>
      <c r="E435" s="441"/>
      <c r="F435" s="440">
        <v>0.29438480363771929</v>
      </c>
      <c r="G435" s="440">
        <v>0.17658231803797081</v>
      </c>
      <c r="H435" s="440">
        <f t="shared" ref="H435:H442" si="167">SUM(F435:G435)</f>
        <v>0.4709671216756901</v>
      </c>
      <c r="I435" s="441"/>
      <c r="J435" s="440">
        <v>0.45353644628999551</v>
      </c>
      <c r="K435" s="440">
        <v>0.21336386331534604</v>
      </c>
      <c r="L435" s="440">
        <f t="shared" ref="L435:L442" si="168">SUM(J435:K435)</f>
        <v>0.66690030960534152</v>
      </c>
      <c r="M435" s="347"/>
      <c r="N435" s="347"/>
    </row>
    <row r="436" spans="1:14" x14ac:dyDescent="0.2">
      <c r="A436" s="362" t="str">
        <f>name!E$6</f>
        <v>Associate professional and technical</v>
      </c>
      <c r="B436" s="440">
        <v>0.11734856737849257</v>
      </c>
      <c r="C436" s="440">
        <v>0.18516377433639075</v>
      </c>
      <c r="D436" s="440">
        <f t="shared" si="166"/>
        <v>0.30251234171488334</v>
      </c>
      <c r="E436" s="441"/>
      <c r="F436" s="440">
        <v>0.1589427114491527</v>
      </c>
      <c r="G436" s="440">
        <v>0.22166202874759397</v>
      </c>
      <c r="H436" s="440">
        <f t="shared" si="167"/>
        <v>0.38060474019674667</v>
      </c>
      <c r="I436" s="441"/>
      <c r="J436" s="440">
        <v>0.21254644592518276</v>
      </c>
      <c r="K436" s="440">
        <v>0.27005455048505922</v>
      </c>
      <c r="L436" s="440">
        <f t="shared" si="168"/>
        <v>0.48260099641024201</v>
      </c>
      <c r="M436" s="347"/>
      <c r="N436" s="347"/>
    </row>
    <row r="437" spans="1:14" x14ac:dyDescent="0.2">
      <c r="A437" s="362" t="str">
        <f>name!E$7</f>
        <v>Administrative and secretarial</v>
      </c>
      <c r="B437" s="440">
        <v>0.12683712442771436</v>
      </c>
      <c r="C437" s="440">
        <v>4.0628147445878858E-2</v>
      </c>
      <c r="D437" s="440">
        <f t="shared" si="166"/>
        <v>0.16746527187359322</v>
      </c>
      <c r="E437" s="441"/>
      <c r="F437" s="440">
        <v>0.12981983438422762</v>
      </c>
      <c r="G437" s="440">
        <v>3.7953200681147437E-2</v>
      </c>
      <c r="H437" s="440">
        <f t="shared" si="167"/>
        <v>0.16777303506537505</v>
      </c>
      <c r="I437" s="441"/>
      <c r="J437" s="440">
        <v>0.11832569652487746</v>
      </c>
      <c r="K437" s="440">
        <v>4.6394018248156879E-2</v>
      </c>
      <c r="L437" s="440">
        <f t="shared" si="168"/>
        <v>0.16471971477303432</v>
      </c>
      <c r="M437" s="347"/>
      <c r="N437" s="347"/>
    </row>
    <row r="438" spans="1:14" x14ac:dyDescent="0.2">
      <c r="A438" s="362" t="str">
        <f>name!E$8</f>
        <v>Skilled trades occupations</v>
      </c>
      <c r="B438" s="440">
        <v>1.9511879662522085E-2</v>
      </c>
      <c r="C438" s="440">
        <v>0.29965384043521315</v>
      </c>
      <c r="D438" s="440">
        <f t="shared" si="166"/>
        <v>0.31916572009773525</v>
      </c>
      <c r="E438" s="441"/>
      <c r="F438" s="440">
        <v>2.1570394467877108E-2</v>
      </c>
      <c r="G438" s="440">
        <v>0.37825029163649837</v>
      </c>
      <c r="H438" s="440">
        <f t="shared" si="167"/>
        <v>0.39982068610437549</v>
      </c>
      <c r="I438" s="441"/>
      <c r="J438" s="440">
        <v>2.275594074920145E-2</v>
      </c>
      <c r="K438" s="440">
        <v>0.38835469676645995</v>
      </c>
      <c r="L438" s="440">
        <f t="shared" si="168"/>
        <v>0.4111106375156614</v>
      </c>
      <c r="M438" s="347"/>
      <c r="N438" s="347"/>
    </row>
    <row r="439" spans="1:14" x14ac:dyDescent="0.2">
      <c r="A439" s="362" t="str">
        <f>name!E$9</f>
        <v>Caring, leisure and other service</v>
      </c>
      <c r="B439" s="440">
        <v>1.5886566014280325E-2</v>
      </c>
      <c r="C439" s="440">
        <v>2.3241058427463344E-3</v>
      </c>
      <c r="D439" s="440">
        <f t="shared" si="166"/>
        <v>1.8210671857026659E-2</v>
      </c>
      <c r="E439" s="441"/>
      <c r="F439" s="440">
        <v>2.483601401529878E-2</v>
      </c>
      <c r="G439" s="440">
        <v>3.5212576552899437E-3</v>
      </c>
      <c r="H439" s="440">
        <f t="shared" si="167"/>
        <v>2.8357271670588723E-2</v>
      </c>
      <c r="I439" s="441"/>
      <c r="J439" s="440">
        <v>3.3152927933258768E-2</v>
      </c>
      <c r="K439" s="440">
        <v>4.81413424803721E-3</v>
      </c>
      <c r="L439" s="440">
        <f t="shared" si="168"/>
        <v>3.7967062181295974E-2</v>
      </c>
      <c r="M439" s="347"/>
      <c r="N439" s="347"/>
    </row>
    <row r="440" spans="1:14" x14ac:dyDescent="0.2">
      <c r="A440" s="362" t="str">
        <f>name!E$10</f>
        <v>Sales and customer service</v>
      </c>
      <c r="B440" s="440">
        <v>7.1966718518347489E-2</v>
      </c>
      <c r="C440" s="440">
        <v>4.0131348079788041E-2</v>
      </c>
      <c r="D440" s="440">
        <f t="shared" si="166"/>
        <v>0.11209806659813554</v>
      </c>
      <c r="E440" s="441"/>
      <c r="F440" s="440">
        <v>0.10730437679224034</v>
      </c>
      <c r="G440" s="440">
        <v>4.1316501496064993E-2</v>
      </c>
      <c r="H440" s="440">
        <f t="shared" si="167"/>
        <v>0.14862087828830534</v>
      </c>
      <c r="I440" s="441"/>
      <c r="J440" s="440">
        <v>0.1224793847298086</v>
      </c>
      <c r="K440" s="440">
        <v>5.0039957656972632E-2</v>
      </c>
      <c r="L440" s="440">
        <f t="shared" si="168"/>
        <v>0.17251934238678124</v>
      </c>
      <c r="M440" s="347"/>
      <c r="N440" s="347"/>
    </row>
    <row r="441" spans="1:14" x14ac:dyDescent="0.2">
      <c r="A441" s="362" t="str">
        <f>name!E$11</f>
        <v>Process, plant and machine operatives</v>
      </c>
      <c r="B441" s="440">
        <v>2.0794256462104789E-2</v>
      </c>
      <c r="C441" s="440">
        <v>0.49021094901025131</v>
      </c>
      <c r="D441" s="440">
        <f t="shared" si="166"/>
        <v>0.51100520547235606</v>
      </c>
      <c r="E441" s="441"/>
      <c r="F441" s="440">
        <v>2.3242203228525816E-2</v>
      </c>
      <c r="G441" s="440">
        <v>0.55056356608612456</v>
      </c>
      <c r="H441" s="440">
        <f t="shared" si="167"/>
        <v>0.57380576931465033</v>
      </c>
      <c r="I441" s="441"/>
      <c r="J441" s="440">
        <v>1.3678334397620329E-2</v>
      </c>
      <c r="K441" s="440">
        <v>0.557881425017279</v>
      </c>
      <c r="L441" s="440">
        <f t="shared" si="168"/>
        <v>0.57155975941489934</v>
      </c>
      <c r="M441" s="347"/>
      <c r="N441" s="347"/>
    </row>
    <row r="442" spans="1:14" x14ac:dyDescent="0.2">
      <c r="A442" s="362" t="str">
        <f>name!E$12</f>
        <v>Elementary occupations</v>
      </c>
      <c r="B442" s="440">
        <v>1.2614102810943956E-2</v>
      </c>
      <c r="C442" s="440">
        <v>4.0658307276187473E-2</v>
      </c>
      <c r="D442" s="440">
        <f t="shared" si="166"/>
        <v>5.3272410087131433E-2</v>
      </c>
      <c r="E442" s="441"/>
      <c r="F442" s="440">
        <v>2.2857694948933693E-2</v>
      </c>
      <c r="G442" s="440">
        <v>5.6197175304980071E-2</v>
      </c>
      <c r="H442" s="440">
        <f t="shared" si="167"/>
        <v>7.9054870253913764E-2</v>
      </c>
      <c r="I442" s="441"/>
      <c r="J442" s="440">
        <v>2.252303290702927E-2</v>
      </c>
      <c r="K442" s="440">
        <v>6.175538821658387E-2</v>
      </c>
      <c r="L442" s="440">
        <f t="shared" si="168"/>
        <v>8.427842112361314E-2</v>
      </c>
      <c r="M442" s="347"/>
      <c r="N442" s="347"/>
    </row>
    <row r="443" spans="1:14" s="286" customFormat="1" x14ac:dyDescent="0.2">
      <c r="A443" s="362"/>
      <c r="B443" s="440"/>
      <c r="C443" s="440"/>
      <c r="D443" s="440"/>
      <c r="E443" s="441"/>
      <c r="F443" s="440"/>
      <c r="G443" s="440"/>
      <c r="H443" s="440"/>
      <c r="I443" s="441"/>
      <c r="J443" s="440"/>
      <c r="K443" s="440"/>
      <c r="L443" s="440"/>
      <c r="M443" s="347"/>
      <c r="N443" s="347"/>
    </row>
    <row r="444" spans="1:14" x14ac:dyDescent="0.2">
      <c r="A444" s="357" t="s">
        <v>32</v>
      </c>
      <c r="B444" s="450">
        <f>SUM(B434:B442)</f>
        <v>0.64700000000721647</v>
      </c>
      <c r="C444" s="450">
        <f t="shared" ref="C444:D444" si="169">SUM(C434:C442)</f>
        <v>1.4089999999935503</v>
      </c>
      <c r="D444" s="450">
        <f t="shared" si="169"/>
        <v>2.056000000000767</v>
      </c>
      <c r="E444" s="450"/>
      <c r="F444" s="450">
        <f t="shared" ref="F444:H444" si="170">SUM(F434:F442)</f>
        <v>0.87099999999259592</v>
      </c>
      <c r="G444" s="450">
        <f t="shared" si="170"/>
        <v>1.7129999999931338</v>
      </c>
      <c r="H444" s="450">
        <f t="shared" si="170"/>
        <v>2.5839999999857293</v>
      </c>
      <c r="I444" s="450"/>
      <c r="J444" s="450">
        <f t="shared" ref="J444:L444" si="171">SUM(J434:J442)</f>
        <v>1.1269999999923377</v>
      </c>
      <c r="K444" s="450">
        <f t="shared" si="171"/>
        <v>1.9079999999927977</v>
      </c>
      <c r="L444" s="450">
        <f t="shared" si="171"/>
        <v>3.034999999985136</v>
      </c>
      <c r="M444" s="347"/>
      <c r="N444" s="347"/>
    </row>
    <row r="445" spans="1:14" x14ac:dyDescent="0.2">
      <c r="A445" s="348"/>
      <c r="B445" s="348"/>
      <c r="C445" s="348"/>
      <c r="D445" s="348"/>
      <c r="E445" s="348"/>
      <c r="F445" s="348"/>
      <c r="G445" s="348"/>
      <c r="H445" s="348"/>
      <c r="I445" s="348"/>
      <c r="J445" s="348"/>
      <c r="K445" s="348"/>
      <c r="L445" s="353"/>
      <c r="M445" s="347"/>
      <c r="N445" s="347"/>
    </row>
    <row r="446" spans="1:14" x14ac:dyDescent="0.2">
      <c r="A446" s="348"/>
      <c r="B446" s="348"/>
      <c r="C446" s="348"/>
      <c r="D446" s="348"/>
      <c r="E446" s="348"/>
      <c r="F446" s="348"/>
      <c r="G446" s="348"/>
      <c r="H446" s="348"/>
      <c r="I446" s="348"/>
      <c r="J446" s="348"/>
      <c r="K446" s="348"/>
      <c r="L446" s="372" t="s">
        <v>35</v>
      </c>
      <c r="M446" s="347"/>
      <c r="N446" s="347"/>
    </row>
    <row r="447" spans="1:14" x14ac:dyDescent="0.2">
      <c r="A447" s="355"/>
      <c r="B447" s="365"/>
      <c r="C447" s="365"/>
      <c r="D447" s="365"/>
      <c r="E447" s="365"/>
      <c r="F447" s="365"/>
      <c r="G447" s="365"/>
      <c r="H447" s="365"/>
      <c r="I447" s="365"/>
      <c r="J447" s="365"/>
      <c r="K447" s="365"/>
      <c r="L447" s="347"/>
      <c r="M447" s="347"/>
      <c r="N447" s="347"/>
    </row>
    <row r="448" spans="1:14" x14ac:dyDescent="0.2">
      <c r="A448" s="354" t="str">
        <f>name!A29</f>
        <v>Sewerage</v>
      </c>
      <c r="B448" s="517">
        <f>B$6</f>
        <v>2007</v>
      </c>
      <c r="C448" s="517"/>
      <c r="D448" s="517"/>
      <c r="E448" s="369"/>
      <c r="F448" s="517">
        <f>F431</f>
        <v>2017</v>
      </c>
      <c r="G448" s="517"/>
      <c r="H448" s="517"/>
      <c r="I448" s="369"/>
      <c r="J448" s="517">
        <f>J431</f>
        <v>2027</v>
      </c>
      <c r="K448" s="517"/>
      <c r="L448" s="517"/>
      <c r="M448" s="347"/>
      <c r="N448" s="347"/>
    </row>
    <row r="449" spans="1:14" x14ac:dyDescent="0.2">
      <c r="A449" s="370"/>
      <c r="B449" s="371" t="s">
        <v>387</v>
      </c>
      <c r="C449" s="371" t="s">
        <v>388</v>
      </c>
      <c r="D449" s="371" t="s">
        <v>32</v>
      </c>
      <c r="E449" s="371"/>
      <c r="F449" s="371" t="s">
        <v>387</v>
      </c>
      <c r="G449" s="371" t="s">
        <v>388</v>
      </c>
      <c r="H449" s="371" t="s">
        <v>32</v>
      </c>
      <c r="I449" s="371"/>
      <c r="J449" s="371" t="s">
        <v>387</v>
      </c>
      <c r="K449" s="371" t="s">
        <v>388</v>
      </c>
      <c r="L449" s="371" t="s">
        <v>32</v>
      </c>
      <c r="M449" s="347"/>
      <c r="N449" s="347"/>
    </row>
    <row r="450" spans="1:14" s="286" customFormat="1" x14ac:dyDescent="0.2">
      <c r="A450" s="374"/>
      <c r="B450" s="375"/>
      <c r="C450" s="375"/>
      <c r="D450" s="375"/>
      <c r="E450" s="375"/>
      <c r="F450" s="375"/>
      <c r="G450" s="375"/>
      <c r="H450" s="375"/>
      <c r="I450" s="375"/>
      <c r="J450" s="375"/>
      <c r="K450" s="375"/>
      <c r="L450" s="375"/>
      <c r="M450" s="347"/>
      <c r="N450" s="347"/>
    </row>
    <row r="451" spans="1:14" x14ac:dyDescent="0.2">
      <c r="A451" s="362" t="str">
        <f>name!E$4</f>
        <v>Managers, directors and senior officials</v>
      </c>
      <c r="B451" s="440">
        <v>6.6472715991728005E-3</v>
      </c>
      <c r="C451" s="440">
        <v>1.6427474051178045E-2</v>
      </c>
      <c r="D451" s="440">
        <f>SUM(B451:C451)</f>
        <v>2.3074745650350847E-2</v>
      </c>
      <c r="E451" s="441"/>
      <c r="F451" s="440">
        <v>1.4254885882664227E-2</v>
      </c>
      <c r="G451" s="440">
        <v>3.6115226467711495E-2</v>
      </c>
      <c r="H451" s="440">
        <f>SUM(F451:G451)</f>
        <v>5.0370112350375723E-2</v>
      </c>
      <c r="I451" s="441"/>
      <c r="J451" s="440">
        <v>1.5198588496405442E-2</v>
      </c>
      <c r="K451" s="440">
        <v>3.979406025597592E-2</v>
      </c>
      <c r="L451" s="440">
        <f>SUM(J451:K451)</f>
        <v>5.4992648752381364E-2</v>
      </c>
      <c r="M451" s="347"/>
      <c r="N451" s="347"/>
    </row>
    <row r="452" spans="1:14" x14ac:dyDescent="0.2">
      <c r="A452" s="362" t="str">
        <f>name!E$5</f>
        <v>Professional occupations</v>
      </c>
      <c r="B452" s="440">
        <v>1.0185293821555084E-2</v>
      </c>
      <c r="C452" s="440">
        <v>2.6738714623560519E-2</v>
      </c>
      <c r="D452" s="440">
        <f t="shared" ref="D452:D459" si="172">SUM(B452:C452)</f>
        <v>3.6924008445115605E-2</v>
      </c>
      <c r="E452" s="441"/>
      <c r="F452" s="440">
        <v>3.5559274397908659E-2</v>
      </c>
      <c r="G452" s="440">
        <v>3.0262800470762456E-2</v>
      </c>
      <c r="H452" s="440">
        <f t="shared" ref="H452:H459" si="173">SUM(F452:G452)</f>
        <v>6.5822074868671115E-2</v>
      </c>
      <c r="I452" s="441"/>
      <c r="J452" s="440">
        <v>4.402707291236288E-2</v>
      </c>
      <c r="K452" s="440">
        <v>3.4634638191169562E-2</v>
      </c>
      <c r="L452" s="440">
        <f t="shared" ref="L452:L459" si="174">SUM(J452:K452)</f>
        <v>7.8661711103532442E-2</v>
      </c>
      <c r="M452" s="347"/>
      <c r="N452" s="347"/>
    </row>
    <row r="453" spans="1:14" x14ac:dyDescent="0.2">
      <c r="A453" s="362" t="str">
        <f>name!E$6</f>
        <v>Associate professional and technical</v>
      </c>
      <c r="B453" s="440">
        <v>3.6827059823553214E-2</v>
      </c>
      <c r="C453" s="440">
        <v>2.2614268401115516E-2</v>
      </c>
      <c r="D453" s="440">
        <f t="shared" si="172"/>
        <v>5.944132822466873E-2</v>
      </c>
      <c r="E453" s="441"/>
      <c r="F453" s="440">
        <v>7.7844642959397123E-2</v>
      </c>
      <c r="G453" s="440">
        <v>3.4004556243474829E-2</v>
      </c>
      <c r="H453" s="440">
        <f t="shared" si="173"/>
        <v>0.11184919920287195</v>
      </c>
      <c r="I453" s="441"/>
      <c r="J453" s="440">
        <v>8.669399493793653E-2</v>
      </c>
      <c r="K453" s="440">
        <v>3.575082804254831E-2</v>
      </c>
      <c r="L453" s="440">
        <f t="shared" si="174"/>
        <v>0.12244482298048484</v>
      </c>
      <c r="M453" s="347"/>
      <c r="N453" s="347"/>
    </row>
    <row r="454" spans="1:14" x14ac:dyDescent="0.2">
      <c r="A454" s="362" t="str">
        <f>name!E$7</f>
        <v>Administrative and secretarial</v>
      </c>
      <c r="B454" s="440">
        <v>9.0434480265183428E-2</v>
      </c>
      <c r="C454" s="440">
        <v>1.0277223450056406E-2</v>
      </c>
      <c r="D454" s="440">
        <f t="shared" si="172"/>
        <v>0.10071170371523984</v>
      </c>
      <c r="E454" s="441"/>
      <c r="F454" s="440">
        <v>0.12286008921564266</v>
      </c>
      <c r="G454" s="440">
        <v>1.7244387904912742E-2</v>
      </c>
      <c r="H454" s="440">
        <f t="shared" si="173"/>
        <v>0.1401044771205554</v>
      </c>
      <c r="I454" s="441"/>
      <c r="J454" s="440">
        <v>8.0641531787992979E-2</v>
      </c>
      <c r="K454" s="440">
        <v>1.8823121128227087E-2</v>
      </c>
      <c r="L454" s="440">
        <f t="shared" si="174"/>
        <v>9.9464652916220059E-2</v>
      </c>
      <c r="M454" s="347"/>
      <c r="N454" s="347"/>
    </row>
    <row r="455" spans="1:14" x14ac:dyDescent="0.2">
      <c r="A455" s="362" t="str">
        <f>name!E$8</f>
        <v>Skilled trades occupations</v>
      </c>
      <c r="B455" s="440">
        <v>2.2322384017816857E-3</v>
      </c>
      <c r="C455" s="440">
        <v>2.4326931363290179E-2</v>
      </c>
      <c r="D455" s="440">
        <f t="shared" si="172"/>
        <v>2.6559169765071864E-2</v>
      </c>
      <c r="E455" s="441"/>
      <c r="F455" s="440">
        <v>4.037218507598808E-3</v>
      </c>
      <c r="G455" s="440">
        <v>2.6059811198534739E-2</v>
      </c>
      <c r="H455" s="440">
        <f t="shared" si="173"/>
        <v>3.0097029706133548E-2</v>
      </c>
      <c r="I455" s="441"/>
      <c r="J455" s="440">
        <v>4.7784228962275627E-3</v>
      </c>
      <c r="K455" s="440">
        <v>2.2451625092204094E-2</v>
      </c>
      <c r="L455" s="440">
        <f t="shared" si="174"/>
        <v>2.7230047988431656E-2</v>
      </c>
      <c r="M455" s="347"/>
      <c r="N455" s="347"/>
    </row>
    <row r="456" spans="1:14" x14ac:dyDescent="0.2">
      <c r="A456" s="362" t="str">
        <f>name!E$9</f>
        <v>Caring, leisure and other service</v>
      </c>
      <c r="B456" s="440">
        <v>1.2233464637412237E-2</v>
      </c>
      <c r="C456" s="440">
        <v>6.9552848032418315E-3</v>
      </c>
      <c r="D456" s="440">
        <f t="shared" si="172"/>
        <v>1.9188749440654067E-2</v>
      </c>
      <c r="E456" s="441"/>
      <c r="F456" s="440">
        <v>2.7258798941752111E-2</v>
      </c>
      <c r="G456" s="440">
        <v>7.2867364332162617E-3</v>
      </c>
      <c r="H456" s="440">
        <f t="shared" si="173"/>
        <v>3.4545535374968371E-2</v>
      </c>
      <c r="I456" s="441"/>
      <c r="J456" s="440">
        <v>3.0546665003011546E-2</v>
      </c>
      <c r="K456" s="440">
        <v>8.6073364253971153E-3</v>
      </c>
      <c r="L456" s="440">
        <f t="shared" si="174"/>
        <v>3.9154001428408663E-2</v>
      </c>
      <c r="M456" s="347"/>
      <c r="N456" s="347"/>
    </row>
    <row r="457" spans="1:14" x14ac:dyDescent="0.2">
      <c r="A457" s="362" t="str">
        <f>name!E$10</f>
        <v>Sales and customer service</v>
      </c>
      <c r="B457" s="440">
        <v>1.0994480160397812E-2</v>
      </c>
      <c r="C457" s="440">
        <v>5.6571672131787666E-3</v>
      </c>
      <c r="D457" s="440">
        <f t="shared" si="172"/>
        <v>1.6651647373576578E-2</v>
      </c>
      <c r="E457" s="441"/>
      <c r="F457" s="440">
        <v>2.1408533740449532E-2</v>
      </c>
      <c r="G457" s="440">
        <v>7.6179901874224342E-3</v>
      </c>
      <c r="H457" s="440">
        <f t="shared" si="173"/>
        <v>2.9026523927871965E-2</v>
      </c>
      <c r="I457" s="441"/>
      <c r="J457" s="440">
        <v>1.8972502345382027E-2</v>
      </c>
      <c r="K457" s="440">
        <v>8.251332542791541E-3</v>
      </c>
      <c r="L457" s="440">
        <f t="shared" si="174"/>
        <v>2.7223834888173568E-2</v>
      </c>
      <c r="M457" s="347"/>
      <c r="N457" s="347"/>
    </row>
    <row r="458" spans="1:14" x14ac:dyDescent="0.2">
      <c r="A458" s="362" t="str">
        <f>name!E$11</f>
        <v>Process, plant and machine operatives</v>
      </c>
      <c r="B458" s="440">
        <v>4.4512972274447079E-3</v>
      </c>
      <c r="C458" s="440">
        <v>0.13917322005338836</v>
      </c>
      <c r="D458" s="440">
        <f t="shared" si="172"/>
        <v>0.14362451728083306</v>
      </c>
      <c r="E458" s="441"/>
      <c r="F458" s="440">
        <v>6.947762750243943E-3</v>
      </c>
      <c r="G458" s="440">
        <v>0.13745069660519141</v>
      </c>
      <c r="H458" s="440">
        <f t="shared" si="173"/>
        <v>0.14439845935543535</v>
      </c>
      <c r="I458" s="441"/>
      <c r="J458" s="440">
        <v>5.071312387662996E-3</v>
      </c>
      <c r="K458" s="440">
        <v>0.14967210512564127</v>
      </c>
      <c r="L458" s="440">
        <f t="shared" si="174"/>
        <v>0.15474341751330428</v>
      </c>
      <c r="M458" s="347"/>
      <c r="N458" s="347"/>
    </row>
    <row r="459" spans="1:14" x14ac:dyDescent="0.2">
      <c r="A459" s="362" t="str">
        <f>name!E$12</f>
        <v>Elementary occupations</v>
      </c>
      <c r="B459" s="440">
        <v>2.3994414062508122E-2</v>
      </c>
      <c r="C459" s="440">
        <v>0.11982971604210049</v>
      </c>
      <c r="D459" s="440">
        <f t="shared" si="172"/>
        <v>0.14382413010460862</v>
      </c>
      <c r="E459" s="441"/>
      <c r="F459" s="440">
        <v>2.1828793599753354E-2</v>
      </c>
      <c r="G459" s="440">
        <v>0.1519577944900237</v>
      </c>
      <c r="H459" s="440">
        <f t="shared" si="173"/>
        <v>0.17378658808977704</v>
      </c>
      <c r="I459" s="441"/>
      <c r="J459" s="440">
        <v>1.406990922848554E-2</v>
      </c>
      <c r="K459" s="440">
        <v>0.17301495318974774</v>
      </c>
      <c r="L459" s="440">
        <f t="shared" si="174"/>
        <v>0.18708486241823327</v>
      </c>
      <c r="M459" s="347"/>
      <c r="N459" s="347"/>
    </row>
    <row r="460" spans="1:14" s="286" customFormat="1" x14ac:dyDescent="0.2">
      <c r="A460" s="362"/>
      <c r="B460" s="440"/>
      <c r="C460" s="440"/>
      <c r="D460" s="440"/>
      <c r="E460" s="441"/>
      <c r="F460" s="440"/>
      <c r="G460" s="440"/>
      <c r="H460" s="440"/>
      <c r="I460" s="441"/>
      <c r="J460" s="440"/>
      <c r="K460" s="440"/>
      <c r="L460" s="440"/>
      <c r="M460" s="347"/>
      <c r="N460" s="347"/>
    </row>
    <row r="461" spans="1:14" x14ac:dyDescent="0.2">
      <c r="A461" s="357" t="s">
        <v>32</v>
      </c>
      <c r="B461" s="450">
        <f>SUM(B451:B459)</f>
        <v>0.19799999999900908</v>
      </c>
      <c r="C461" s="450">
        <f t="shared" ref="C461:D461" si="175">SUM(C451:C459)</f>
        <v>0.37200000000111011</v>
      </c>
      <c r="D461" s="450">
        <f t="shared" si="175"/>
        <v>0.57000000000011919</v>
      </c>
      <c r="E461" s="450"/>
      <c r="F461" s="450">
        <f t="shared" ref="F461:H461" si="176">SUM(F451:F459)</f>
        <v>0.33199999999541041</v>
      </c>
      <c r="G461" s="450">
        <f t="shared" si="176"/>
        <v>0.44800000000125006</v>
      </c>
      <c r="H461" s="450">
        <f t="shared" si="176"/>
        <v>0.77999999999666048</v>
      </c>
      <c r="I461" s="450"/>
      <c r="J461" s="450">
        <f t="shared" ref="J461:L461" si="177">SUM(J451:J459)</f>
        <v>0.2999999999954675</v>
      </c>
      <c r="K461" s="450">
        <f t="shared" si="177"/>
        <v>0.49099999999370264</v>
      </c>
      <c r="L461" s="450">
        <f t="shared" si="177"/>
        <v>0.79099999998917014</v>
      </c>
      <c r="M461" s="347"/>
      <c r="N461" s="347"/>
    </row>
    <row r="462" spans="1:14" x14ac:dyDescent="0.2">
      <c r="A462" s="348"/>
      <c r="B462" s="348"/>
      <c r="C462" s="348"/>
      <c r="D462" s="348"/>
      <c r="E462" s="348"/>
      <c r="F462" s="348"/>
      <c r="G462" s="348"/>
      <c r="H462" s="348"/>
      <c r="I462" s="348"/>
      <c r="J462" s="348"/>
      <c r="K462" s="348"/>
      <c r="L462" s="353"/>
      <c r="M462" s="347"/>
      <c r="N462" s="347"/>
    </row>
    <row r="463" spans="1:14" x14ac:dyDescent="0.2">
      <c r="A463" s="348"/>
      <c r="B463" s="348"/>
      <c r="C463" s="348"/>
      <c r="D463" s="348"/>
      <c r="E463" s="348"/>
      <c r="F463" s="348"/>
      <c r="G463" s="348"/>
      <c r="H463" s="348"/>
      <c r="I463" s="348"/>
      <c r="J463" s="348"/>
      <c r="K463" s="348"/>
      <c r="L463" s="372" t="s">
        <v>35</v>
      </c>
      <c r="M463" s="347"/>
      <c r="N463" s="347"/>
    </row>
    <row r="464" spans="1:14" x14ac:dyDescent="0.2">
      <c r="A464" s="355"/>
      <c r="B464" s="365"/>
      <c r="C464" s="365"/>
      <c r="D464" s="365"/>
      <c r="E464" s="365"/>
      <c r="F464" s="365"/>
      <c r="G464" s="365"/>
      <c r="H464" s="365"/>
      <c r="I464" s="365"/>
      <c r="J464" s="365"/>
      <c r="K464" s="365"/>
      <c r="L464" s="347"/>
      <c r="M464" s="347"/>
      <c r="N464" s="347"/>
    </row>
    <row r="465" spans="1:14" x14ac:dyDescent="0.2">
      <c r="A465" s="354" t="str">
        <f>name!A30</f>
        <v>Waste management</v>
      </c>
      <c r="B465" s="517">
        <f>B$6</f>
        <v>2007</v>
      </c>
      <c r="C465" s="517"/>
      <c r="D465" s="517"/>
      <c r="E465" s="369"/>
      <c r="F465" s="517">
        <f>F448</f>
        <v>2017</v>
      </c>
      <c r="G465" s="517"/>
      <c r="H465" s="517"/>
      <c r="I465" s="369"/>
      <c r="J465" s="517">
        <f>J448</f>
        <v>2027</v>
      </c>
      <c r="K465" s="517"/>
      <c r="L465" s="517"/>
      <c r="M465" s="347"/>
      <c r="N465" s="347"/>
    </row>
    <row r="466" spans="1:14" x14ac:dyDescent="0.2">
      <c r="A466" s="370"/>
      <c r="B466" s="371" t="s">
        <v>387</v>
      </c>
      <c r="C466" s="371" t="s">
        <v>388</v>
      </c>
      <c r="D466" s="371" t="s">
        <v>32</v>
      </c>
      <c r="E466" s="371"/>
      <c r="F466" s="371" t="s">
        <v>387</v>
      </c>
      <c r="G466" s="371" t="s">
        <v>388</v>
      </c>
      <c r="H466" s="371" t="s">
        <v>32</v>
      </c>
      <c r="I466" s="371"/>
      <c r="J466" s="371" t="s">
        <v>387</v>
      </c>
      <c r="K466" s="371" t="s">
        <v>388</v>
      </c>
      <c r="L466" s="371" t="s">
        <v>32</v>
      </c>
      <c r="M466" s="347"/>
      <c r="N466" s="347"/>
    </row>
    <row r="467" spans="1:14" s="286" customFormat="1" x14ac:dyDescent="0.2">
      <c r="A467" s="374"/>
      <c r="B467" s="375"/>
      <c r="C467" s="375"/>
      <c r="D467" s="375"/>
      <c r="E467" s="375"/>
      <c r="F467" s="375"/>
      <c r="G467" s="375"/>
      <c r="H467" s="375"/>
      <c r="I467" s="375"/>
      <c r="J467" s="375"/>
      <c r="K467" s="375"/>
      <c r="L467" s="375"/>
      <c r="M467" s="347"/>
      <c r="N467" s="347"/>
    </row>
    <row r="468" spans="1:14" x14ac:dyDescent="0.2">
      <c r="A468" s="362" t="str">
        <f>name!E$4</f>
        <v>Managers, directors and senior officials</v>
      </c>
      <c r="B468" s="440">
        <v>4.825585458846389E-2</v>
      </c>
      <c r="C468" s="440">
        <v>0.23099688774629826</v>
      </c>
      <c r="D468" s="440">
        <f>SUM(B468:C468)</f>
        <v>0.27925274233476216</v>
      </c>
      <c r="E468" s="441"/>
      <c r="F468" s="440">
        <v>6.2516267914445034E-2</v>
      </c>
      <c r="G468" s="440">
        <v>0.46157077967917687</v>
      </c>
      <c r="H468" s="440">
        <f>SUM(F468:G468)</f>
        <v>0.5240870475936219</v>
      </c>
      <c r="I468" s="441"/>
      <c r="J468" s="440">
        <v>7.4599598454371113E-2</v>
      </c>
      <c r="K468" s="440">
        <v>0.60636922665640181</v>
      </c>
      <c r="L468" s="440">
        <f>SUM(J468:K468)</f>
        <v>0.68096882511077295</v>
      </c>
      <c r="M468" s="347"/>
      <c r="N468" s="347"/>
    </row>
    <row r="469" spans="1:14" x14ac:dyDescent="0.2">
      <c r="A469" s="362" t="str">
        <f>name!E$5</f>
        <v>Professional occupations</v>
      </c>
      <c r="B469" s="440">
        <v>7.7798492912129105E-2</v>
      </c>
      <c r="C469" s="440">
        <v>0.3109205851902318</v>
      </c>
      <c r="D469" s="440">
        <f t="shared" ref="D469:D476" si="178">SUM(B469:C469)</f>
        <v>0.38871907810236089</v>
      </c>
      <c r="E469" s="441"/>
      <c r="F469" s="440">
        <v>0.97295032039186169</v>
      </c>
      <c r="G469" s="440">
        <v>0.29352112466387925</v>
      </c>
      <c r="H469" s="440">
        <f t="shared" ref="H469:H476" si="179">SUM(F469:G469)</f>
        <v>1.2664714450557408</v>
      </c>
      <c r="I469" s="441"/>
      <c r="J469" s="440">
        <v>1.3231082706678698</v>
      </c>
      <c r="K469" s="440">
        <v>0.30164964544659001</v>
      </c>
      <c r="L469" s="440">
        <f t="shared" ref="L469:L476" si="180">SUM(J469:K469)</f>
        <v>1.6247579161144599</v>
      </c>
      <c r="M469" s="347"/>
      <c r="N469" s="347"/>
    </row>
    <row r="470" spans="1:14" x14ac:dyDescent="0.2">
      <c r="A470" s="362" t="str">
        <f>name!E$6</f>
        <v>Associate professional and technical</v>
      </c>
      <c r="B470" s="440">
        <v>0.2247815458148931</v>
      </c>
      <c r="C470" s="440">
        <v>0.26937417106082817</v>
      </c>
      <c r="D470" s="440">
        <f t="shared" si="178"/>
        <v>0.49415571687572124</v>
      </c>
      <c r="E470" s="441"/>
      <c r="F470" s="440">
        <v>0.34695789611533173</v>
      </c>
      <c r="G470" s="440">
        <v>0.31984111288016537</v>
      </c>
      <c r="H470" s="440">
        <f t="shared" si="179"/>
        <v>0.66679900899549716</v>
      </c>
      <c r="I470" s="441"/>
      <c r="J470" s="440">
        <v>0.42977935611779805</v>
      </c>
      <c r="K470" s="440">
        <v>0.2828107864063637</v>
      </c>
      <c r="L470" s="440">
        <f t="shared" si="180"/>
        <v>0.71259014252416175</v>
      </c>
      <c r="M470" s="347"/>
      <c r="N470" s="347"/>
    </row>
    <row r="471" spans="1:14" x14ac:dyDescent="0.2">
      <c r="A471" s="362" t="str">
        <f>name!E$7</f>
        <v>Administrative and secretarial</v>
      </c>
      <c r="B471" s="440">
        <v>0.61191192110887416</v>
      </c>
      <c r="C471" s="440">
        <v>0.12709473621966333</v>
      </c>
      <c r="D471" s="440">
        <f t="shared" si="178"/>
        <v>0.73900665732853743</v>
      </c>
      <c r="E471" s="441"/>
      <c r="F471" s="440">
        <v>0.50639244341983247</v>
      </c>
      <c r="G471" s="440">
        <v>0.23024537160984476</v>
      </c>
      <c r="H471" s="440">
        <f t="shared" si="179"/>
        <v>0.73663781502967729</v>
      </c>
      <c r="I471" s="441"/>
      <c r="J471" s="440">
        <v>0.35442502424007349</v>
      </c>
      <c r="K471" s="440">
        <v>0.26325982008058152</v>
      </c>
      <c r="L471" s="440">
        <f t="shared" si="180"/>
        <v>0.61768484432065507</v>
      </c>
      <c r="M471" s="347"/>
      <c r="N471" s="347"/>
    </row>
    <row r="472" spans="1:14" x14ac:dyDescent="0.2">
      <c r="A472" s="362" t="str">
        <f>name!E$8</f>
        <v>Skilled trades occupations</v>
      </c>
      <c r="B472" s="440">
        <v>2.4424294585486842E-2</v>
      </c>
      <c r="C472" s="440">
        <v>0.41041355602555463</v>
      </c>
      <c r="D472" s="440">
        <f t="shared" si="178"/>
        <v>0.43483785061104147</v>
      </c>
      <c r="E472" s="441"/>
      <c r="F472" s="440">
        <v>2.0848774763987919E-2</v>
      </c>
      <c r="G472" s="440">
        <v>0.73706767167515153</v>
      </c>
      <c r="H472" s="440">
        <f t="shared" si="179"/>
        <v>0.75791644643913947</v>
      </c>
      <c r="I472" s="441"/>
      <c r="J472" s="440">
        <v>2.6032531886025865E-2</v>
      </c>
      <c r="K472" s="440">
        <v>1.0951549625223007</v>
      </c>
      <c r="L472" s="440">
        <f t="shared" si="180"/>
        <v>1.1211874944083267</v>
      </c>
      <c r="M472" s="347"/>
      <c r="N472" s="347"/>
    </row>
    <row r="473" spans="1:14" x14ac:dyDescent="0.2">
      <c r="A473" s="362" t="str">
        <f>name!E$9</f>
        <v>Caring, leisure and other service</v>
      </c>
      <c r="B473" s="440">
        <v>8.7523933914556901E-2</v>
      </c>
      <c r="C473" s="440">
        <v>7.9623573539987516E-2</v>
      </c>
      <c r="D473" s="440">
        <f t="shared" si="178"/>
        <v>0.16714750745454443</v>
      </c>
      <c r="E473" s="441"/>
      <c r="F473" s="440">
        <v>0.10443153862878868</v>
      </c>
      <c r="G473" s="440">
        <v>7.0120356031824774E-2</v>
      </c>
      <c r="H473" s="440">
        <f t="shared" si="179"/>
        <v>0.17455189466061344</v>
      </c>
      <c r="I473" s="441"/>
      <c r="J473" s="440">
        <v>0.1362760044469204</v>
      </c>
      <c r="K473" s="440">
        <v>5.0493876683005798E-2</v>
      </c>
      <c r="L473" s="440">
        <f t="shared" si="180"/>
        <v>0.18676988112992621</v>
      </c>
      <c r="M473" s="347"/>
      <c r="N473" s="347"/>
    </row>
    <row r="474" spans="1:14" x14ac:dyDescent="0.2">
      <c r="A474" s="362" t="str">
        <f>name!E$10</f>
        <v>Sales and customer service</v>
      </c>
      <c r="B474" s="440">
        <v>8.0896638919157202E-2</v>
      </c>
      <c r="C474" s="440">
        <v>7.6291006988936844E-2</v>
      </c>
      <c r="D474" s="440">
        <f t="shared" si="178"/>
        <v>0.15718764590809403</v>
      </c>
      <c r="E474" s="441"/>
      <c r="F474" s="440">
        <v>9.2517822775396802E-2</v>
      </c>
      <c r="G474" s="440">
        <v>0.14563183200069335</v>
      </c>
      <c r="H474" s="440">
        <f t="shared" si="179"/>
        <v>0.23814965477609015</v>
      </c>
      <c r="I474" s="441"/>
      <c r="J474" s="440">
        <v>8.9025890084389395E-2</v>
      </c>
      <c r="K474" s="440">
        <v>0.13364410540735189</v>
      </c>
      <c r="L474" s="440">
        <f t="shared" si="180"/>
        <v>0.22266999549174127</v>
      </c>
      <c r="M474" s="347"/>
      <c r="N474" s="347"/>
    </row>
    <row r="475" spans="1:14" x14ac:dyDescent="0.2">
      <c r="A475" s="362" t="str">
        <f>name!E$11</f>
        <v>Process, plant and machine operatives</v>
      </c>
      <c r="B475" s="440">
        <v>8.2934389866954575E-2</v>
      </c>
      <c r="C475" s="440">
        <v>1.9028951290402123</v>
      </c>
      <c r="D475" s="440">
        <f t="shared" si="178"/>
        <v>1.9858295189071669</v>
      </c>
      <c r="E475" s="441"/>
      <c r="F475" s="440">
        <v>5.9953525922162756E-2</v>
      </c>
      <c r="G475" s="440">
        <v>1.9788834204911503</v>
      </c>
      <c r="H475" s="440">
        <f t="shared" si="179"/>
        <v>2.0388369464133129</v>
      </c>
      <c r="I475" s="441"/>
      <c r="J475" s="440">
        <v>4.7876594787611249E-2</v>
      </c>
      <c r="K475" s="440">
        <v>2.5134246235853488</v>
      </c>
      <c r="L475" s="440">
        <f t="shared" si="180"/>
        <v>2.56130121837296</v>
      </c>
      <c r="M475" s="347"/>
      <c r="N475" s="347"/>
    </row>
    <row r="476" spans="1:14" x14ac:dyDescent="0.2">
      <c r="A476" s="362" t="str">
        <f>name!E$12</f>
        <v>Elementary occupations</v>
      </c>
      <c r="B476" s="440">
        <v>0.30747292827872313</v>
      </c>
      <c r="C476" s="440">
        <v>1.4263903542001612</v>
      </c>
      <c r="D476" s="440">
        <f t="shared" si="178"/>
        <v>1.7338632824788844</v>
      </c>
      <c r="E476" s="441"/>
      <c r="F476" s="440">
        <v>0.16543140995135203</v>
      </c>
      <c r="G476" s="440">
        <v>1.3741183309794269</v>
      </c>
      <c r="H476" s="440">
        <f t="shared" si="179"/>
        <v>1.539549740930779</v>
      </c>
      <c r="I476" s="441"/>
      <c r="J476" s="440">
        <v>0.12387672920390259</v>
      </c>
      <c r="K476" s="440">
        <v>1.3001929531180307</v>
      </c>
      <c r="L476" s="440">
        <f t="shared" si="180"/>
        <v>1.4240696823219334</v>
      </c>
      <c r="M476" s="347"/>
      <c r="N476" s="347"/>
    </row>
    <row r="477" spans="1:14" s="286" customFormat="1" x14ac:dyDescent="0.2">
      <c r="A477" s="362"/>
      <c r="B477" s="440"/>
      <c r="C477" s="440"/>
      <c r="D477" s="440"/>
      <c r="E477" s="441"/>
      <c r="F477" s="440"/>
      <c r="G477" s="440"/>
      <c r="H477" s="440"/>
      <c r="I477" s="441"/>
      <c r="J477" s="440"/>
      <c r="K477" s="440"/>
      <c r="L477" s="440"/>
      <c r="M477" s="347"/>
      <c r="N477" s="347"/>
    </row>
    <row r="478" spans="1:14" x14ac:dyDescent="0.2">
      <c r="A478" s="357" t="s">
        <v>32</v>
      </c>
      <c r="B478" s="450">
        <f>SUM(B468:B476)</f>
        <v>1.5459999999892389</v>
      </c>
      <c r="C478" s="450">
        <f t="shared" ref="C478:D478" si="181">SUM(C468:C476)</f>
        <v>4.8340000000118746</v>
      </c>
      <c r="D478" s="450">
        <f t="shared" si="181"/>
        <v>6.3800000000011128</v>
      </c>
      <c r="E478" s="450"/>
      <c r="F478" s="450">
        <f t="shared" ref="F478:H478" si="182">SUM(F468:F476)</f>
        <v>2.3319999998831591</v>
      </c>
      <c r="G478" s="450">
        <f t="shared" si="182"/>
        <v>5.6110000000113134</v>
      </c>
      <c r="H478" s="450">
        <f t="shared" si="182"/>
        <v>7.9429999998944725</v>
      </c>
      <c r="I478" s="450"/>
      <c r="J478" s="450">
        <f t="shared" ref="J478:L478" si="183">SUM(J468:J476)</f>
        <v>2.6049999998889617</v>
      </c>
      <c r="K478" s="450">
        <f t="shared" si="183"/>
        <v>6.5469999999059754</v>
      </c>
      <c r="L478" s="450">
        <f t="shared" si="183"/>
        <v>9.1519999997949384</v>
      </c>
      <c r="M478" s="347"/>
      <c r="N478" s="347"/>
    </row>
    <row r="479" spans="1:14" x14ac:dyDescent="0.2">
      <c r="A479" s="348"/>
      <c r="B479" s="348"/>
      <c r="C479" s="348"/>
      <c r="D479" s="348"/>
      <c r="E479" s="348"/>
      <c r="F479" s="348"/>
      <c r="G479" s="348"/>
      <c r="H479" s="348"/>
      <c r="I479" s="348"/>
      <c r="J479" s="348"/>
      <c r="K479" s="348"/>
      <c r="L479" s="353"/>
      <c r="M479" s="347"/>
      <c r="N479" s="347"/>
    </row>
    <row r="480" spans="1:14" x14ac:dyDescent="0.2">
      <c r="A480" s="348"/>
      <c r="B480" s="348"/>
      <c r="C480" s="348"/>
      <c r="D480" s="348"/>
      <c r="E480" s="348"/>
      <c r="F480" s="348"/>
      <c r="G480" s="348"/>
      <c r="H480" s="348"/>
      <c r="I480" s="348"/>
      <c r="J480" s="348"/>
      <c r="K480" s="348"/>
      <c r="L480" s="372" t="s">
        <v>35</v>
      </c>
      <c r="M480" s="347"/>
      <c r="N480" s="347"/>
    </row>
    <row r="481" spans="1:14" x14ac:dyDescent="0.2">
      <c r="A481" s="355"/>
      <c r="B481" s="365"/>
      <c r="C481" s="365"/>
      <c r="D481" s="365"/>
      <c r="E481" s="365"/>
      <c r="F481" s="365"/>
      <c r="G481" s="365"/>
      <c r="H481" s="365"/>
      <c r="I481" s="365"/>
      <c r="J481" s="365"/>
      <c r="K481" s="365"/>
      <c r="L481" s="347"/>
      <c r="M481" s="347"/>
      <c r="N481" s="347"/>
    </row>
    <row r="482" spans="1:14" x14ac:dyDescent="0.2">
      <c r="A482" s="354" t="str">
        <f>name!A31</f>
        <v>Construction</v>
      </c>
      <c r="B482" s="517">
        <f>B$6</f>
        <v>2007</v>
      </c>
      <c r="C482" s="517"/>
      <c r="D482" s="517"/>
      <c r="E482" s="369"/>
      <c r="F482" s="517">
        <f>F465</f>
        <v>2017</v>
      </c>
      <c r="G482" s="517"/>
      <c r="H482" s="517"/>
      <c r="I482" s="369"/>
      <c r="J482" s="517">
        <f>J465</f>
        <v>2027</v>
      </c>
      <c r="K482" s="517"/>
      <c r="L482" s="517"/>
      <c r="M482" s="347"/>
      <c r="N482" s="347"/>
    </row>
    <row r="483" spans="1:14" x14ac:dyDescent="0.2">
      <c r="A483" s="370"/>
      <c r="B483" s="371" t="s">
        <v>387</v>
      </c>
      <c r="C483" s="371" t="s">
        <v>388</v>
      </c>
      <c r="D483" s="371" t="s">
        <v>32</v>
      </c>
      <c r="E483" s="371"/>
      <c r="F483" s="371" t="s">
        <v>387</v>
      </c>
      <c r="G483" s="371" t="s">
        <v>388</v>
      </c>
      <c r="H483" s="371" t="s">
        <v>32</v>
      </c>
      <c r="I483" s="371"/>
      <c r="J483" s="371" t="s">
        <v>387</v>
      </c>
      <c r="K483" s="371" t="s">
        <v>388</v>
      </c>
      <c r="L483" s="371" t="s">
        <v>32</v>
      </c>
      <c r="M483" s="347"/>
      <c r="N483" s="347"/>
    </row>
    <row r="484" spans="1:14" s="286" customFormat="1" x14ac:dyDescent="0.2">
      <c r="A484" s="374"/>
      <c r="B484" s="375"/>
      <c r="C484" s="375"/>
      <c r="D484" s="375"/>
      <c r="E484" s="375"/>
      <c r="F484" s="375"/>
      <c r="G484" s="375"/>
      <c r="H484" s="375"/>
      <c r="I484" s="375"/>
      <c r="J484" s="375"/>
      <c r="K484" s="375"/>
      <c r="L484" s="375"/>
      <c r="M484" s="347"/>
      <c r="N484" s="347"/>
    </row>
    <row r="485" spans="1:14" x14ac:dyDescent="0.2">
      <c r="A485" s="362" t="str">
        <f>name!E$4</f>
        <v>Managers, directors and senior officials</v>
      </c>
      <c r="B485" s="440">
        <v>0.20081122406780746</v>
      </c>
      <c r="C485" s="440">
        <v>1.4376935090397651</v>
      </c>
      <c r="D485" s="440">
        <f>SUM(B485:C485)</f>
        <v>1.6385047331075726</v>
      </c>
      <c r="E485" s="441"/>
      <c r="F485" s="440">
        <v>0.39720490687953547</v>
      </c>
      <c r="G485" s="440">
        <v>2.2445187702256617</v>
      </c>
      <c r="H485" s="440">
        <f>SUM(F485:G485)</f>
        <v>2.6417236771051971</v>
      </c>
      <c r="I485" s="441"/>
      <c r="J485" s="440">
        <v>0.51596008985782604</v>
      </c>
      <c r="K485" s="440">
        <v>2.5155522396179104</v>
      </c>
      <c r="L485" s="440">
        <f>SUM(J485:K485)</f>
        <v>3.0315123294757367</v>
      </c>
      <c r="M485" s="347"/>
      <c r="N485" s="347"/>
    </row>
    <row r="486" spans="1:14" x14ac:dyDescent="0.2">
      <c r="A486" s="362" t="str">
        <f>name!E$5</f>
        <v>Professional occupations</v>
      </c>
      <c r="B486" s="440">
        <v>0.15244263562469337</v>
      </c>
      <c r="C486" s="440">
        <v>1.688812207328956</v>
      </c>
      <c r="D486" s="440">
        <f t="shared" ref="D486:D493" si="184">SUM(B486:C486)</f>
        <v>1.8412548429536493</v>
      </c>
      <c r="E486" s="441"/>
      <c r="F486" s="440">
        <v>0.2854367912816711</v>
      </c>
      <c r="G486" s="440">
        <v>2.6509767034890119</v>
      </c>
      <c r="H486" s="440">
        <f t="shared" ref="H486:H493" si="185">SUM(F486:G486)</f>
        <v>2.936413494770683</v>
      </c>
      <c r="I486" s="441"/>
      <c r="J486" s="440">
        <v>0.36819807897310358</v>
      </c>
      <c r="K486" s="440">
        <v>2.9929922826053752</v>
      </c>
      <c r="L486" s="440">
        <f t="shared" ref="L486:L493" si="186">SUM(J486:K486)</f>
        <v>3.3611903615784788</v>
      </c>
      <c r="M486" s="347"/>
      <c r="N486" s="347"/>
    </row>
    <row r="487" spans="1:14" x14ac:dyDescent="0.2">
      <c r="A487" s="362" t="str">
        <f>name!E$6</f>
        <v>Associate professional and technical</v>
      </c>
      <c r="B487" s="440">
        <v>0.30610165388248811</v>
      </c>
      <c r="C487" s="440">
        <v>1.0450962945610418</v>
      </c>
      <c r="D487" s="440">
        <f t="shared" si="184"/>
        <v>1.3511979484435299</v>
      </c>
      <c r="E487" s="441"/>
      <c r="F487" s="440">
        <v>0.57021860009527991</v>
      </c>
      <c r="G487" s="440">
        <v>1.5275161045196464</v>
      </c>
      <c r="H487" s="440">
        <f t="shared" si="185"/>
        <v>2.0977347046149264</v>
      </c>
      <c r="I487" s="441"/>
      <c r="J487" s="440">
        <v>0.74334099591050606</v>
      </c>
      <c r="K487" s="440">
        <v>1.6700737037111117</v>
      </c>
      <c r="L487" s="440">
        <f t="shared" si="186"/>
        <v>2.4134146996216179</v>
      </c>
      <c r="M487" s="347"/>
      <c r="N487" s="347"/>
    </row>
    <row r="488" spans="1:14" x14ac:dyDescent="0.2">
      <c r="A488" s="362" t="str">
        <f>name!E$7</f>
        <v>Administrative and secretarial</v>
      </c>
      <c r="B488" s="440">
        <v>1.7875601889508821</v>
      </c>
      <c r="C488" s="440">
        <v>0.20982528614015314</v>
      </c>
      <c r="D488" s="440">
        <f t="shared" si="184"/>
        <v>1.9973854750910351</v>
      </c>
      <c r="E488" s="441"/>
      <c r="F488" s="440">
        <v>2.5139822438455255</v>
      </c>
      <c r="G488" s="440">
        <v>0.21220891218230711</v>
      </c>
      <c r="H488" s="440">
        <f t="shared" si="185"/>
        <v>2.7261911560278325</v>
      </c>
      <c r="I488" s="441"/>
      <c r="J488" s="440">
        <v>2.2134073326084605</v>
      </c>
      <c r="K488" s="440">
        <v>0.2033206761963629</v>
      </c>
      <c r="L488" s="440">
        <f t="shared" si="186"/>
        <v>2.4167280088048235</v>
      </c>
      <c r="M488" s="347"/>
      <c r="N488" s="347"/>
    </row>
    <row r="489" spans="1:14" x14ac:dyDescent="0.2">
      <c r="A489" s="362" t="str">
        <f>name!E$8</f>
        <v>Skilled trades occupations</v>
      </c>
      <c r="B489" s="440">
        <v>0.28421121773896357</v>
      </c>
      <c r="C489" s="440">
        <v>16.638777971900037</v>
      </c>
      <c r="D489" s="440">
        <f t="shared" si="184"/>
        <v>16.922989189639001</v>
      </c>
      <c r="E489" s="441"/>
      <c r="F489" s="440">
        <v>0.37918783275957102</v>
      </c>
      <c r="G489" s="440">
        <v>20.160548914171358</v>
      </c>
      <c r="H489" s="440">
        <f t="shared" si="185"/>
        <v>20.539736746930927</v>
      </c>
      <c r="I489" s="441"/>
      <c r="J489" s="440">
        <v>0.50679128095255321</v>
      </c>
      <c r="K489" s="440">
        <v>19.90405203331219</v>
      </c>
      <c r="L489" s="440">
        <f t="shared" si="186"/>
        <v>20.410843314264742</v>
      </c>
      <c r="M489" s="347"/>
      <c r="N489" s="347"/>
    </row>
    <row r="490" spans="1:14" x14ac:dyDescent="0.2">
      <c r="A490" s="362" t="str">
        <f>name!E$9</f>
        <v>Caring, leisure and other service</v>
      </c>
      <c r="B490" s="440">
        <v>2.6782718515542824E-2</v>
      </c>
      <c r="C490" s="440">
        <v>2.5337589173955809E-2</v>
      </c>
      <c r="D490" s="440">
        <f t="shared" si="184"/>
        <v>5.2120307689498629E-2</v>
      </c>
      <c r="E490" s="441"/>
      <c r="F490" s="440">
        <v>3.9444101794849286E-2</v>
      </c>
      <c r="G490" s="440">
        <v>8.7231675235374381E-2</v>
      </c>
      <c r="H490" s="440">
        <f t="shared" si="185"/>
        <v>0.12667577703022367</v>
      </c>
      <c r="I490" s="441"/>
      <c r="J490" s="440">
        <v>4.371308388746617E-2</v>
      </c>
      <c r="K490" s="440">
        <v>0.10231495550627384</v>
      </c>
      <c r="L490" s="440">
        <f t="shared" si="186"/>
        <v>0.14602803939374001</v>
      </c>
      <c r="M490" s="347"/>
      <c r="N490" s="347"/>
    </row>
    <row r="491" spans="1:14" x14ac:dyDescent="0.2">
      <c r="A491" s="362" t="str">
        <f>name!E$10</f>
        <v>Sales and customer service</v>
      </c>
      <c r="B491" s="440">
        <v>0.39817079519081999</v>
      </c>
      <c r="C491" s="440">
        <v>0.12366138125173508</v>
      </c>
      <c r="D491" s="440">
        <f t="shared" si="184"/>
        <v>0.52183217644255508</v>
      </c>
      <c r="E491" s="441"/>
      <c r="F491" s="440">
        <v>0.74559868989349298</v>
      </c>
      <c r="G491" s="440">
        <v>0.17568721629960363</v>
      </c>
      <c r="H491" s="440">
        <f t="shared" si="185"/>
        <v>0.92128590619309658</v>
      </c>
      <c r="I491" s="441"/>
      <c r="J491" s="440">
        <v>0.84243290815923522</v>
      </c>
      <c r="K491" s="440">
        <v>0.17476311164864961</v>
      </c>
      <c r="L491" s="440">
        <f t="shared" si="186"/>
        <v>1.0171960198078849</v>
      </c>
      <c r="M491" s="347"/>
      <c r="N491" s="347"/>
    </row>
    <row r="492" spans="1:14" x14ac:dyDescent="0.2">
      <c r="A492" s="362" t="str">
        <f>name!E$11</f>
        <v>Process, plant and machine operatives</v>
      </c>
      <c r="B492" s="440">
        <v>1.070965971549207E-2</v>
      </c>
      <c r="C492" s="440">
        <v>3.3019795619930963</v>
      </c>
      <c r="D492" s="440">
        <f t="shared" si="184"/>
        <v>3.3126892217085881</v>
      </c>
      <c r="E492" s="441"/>
      <c r="F492" s="440">
        <v>2.0071242052084704E-2</v>
      </c>
      <c r="G492" s="440">
        <v>4.0498410870504289</v>
      </c>
      <c r="H492" s="440">
        <f t="shared" si="185"/>
        <v>4.0699123291025137</v>
      </c>
      <c r="I492" s="441"/>
      <c r="J492" s="440">
        <v>1.7460233770739481E-2</v>
      </c>
      <c r="K492" s="440">
        <v>3.8767135889818083</v>
      </c>
      <c r="L492" s="440">
        <f t="shared" si="186"/>
        <v>3.8941738227525478</v>
      </c>
      <c r="M492" s="347"/>
      <c r="N492" s="347"/>
    </row>
    <row r="493" spans="1:14" x14ac:dyDescent="0.2">
      <c r="A493" s="362" t="str">
        <f>name!E$12</f>
        <v>Elementary occupations</v>
      </c>
      <c r="B493" s="440">
        <v>0.4152099062851039</v>
      </c>
      <c r="C493" s="440">
        <v>2.2878161989959378</v>
      </c>
      <c r="D493" s="440">
        <f t="shared" si="184"/>
        <v>2.7030261052810416</v>
      </c>
      <c r="E493" s="441"/>
      <c r="F493" s="440">
        <v>0.63185559148220494</v>
      </c>
      <c r="G493" s="440">
        <v>1.874470616969075</v>
      </c>
      <c r="H493" s="440">
        <f t="shared" si="185"/>
        <v>2.5063262084512798</v>
      </c>
      <c r="I493" s="441"/>
      <c r="J493" s="440">
        <v>0.64569599593921279</v>
      </c>
      <c r="K493" s="440">
        <v>1.6882174084851502</v>
      </c>
      <c r="L493" s="440">
        <f t="shared" si="186"/>
        <v>2.3339134044243632</v>
      </c>
      <c r="M493" s="347"/>
      <c r="N493" s="347"/>
    </row>
    <row r="494" spans="1:14" s="286" customFormat="1" x14ac:dyDescent="0.2">
      <c r="A494" s="362"/>
      <c r="B494" s="440"/>
      <c r="C494" s="440"/>
      <c r="D494" s="440"/>
      <c r="E494" s="441"/>
      <c r="F494" s="440"/>
      <c r="G494" s="440"/>
      <c r="H494" s="440"/>
      <c r="I494" s="441"/>
      <c r="J494" s="440"/>
      <c r="K494" s="440"/>
      <c r="L494" s="440"/>
      <c r="M494" s="347"/>
      <c r="N494" s="347"/>
    </row>
    <row r="495" spans="1:14" x14ac:dyDescent="0.2">
      <c r="A495" s="357" t="s">
        <v>32</v>
      </c>
      <c r="B495" s="450">
        <f>SUM(B485:B493)</f>
        <v>3.5819999999717935</v>
      </c>
      <c r="C495" s="450">
        <f t="shared" ref="C495:D495" si="187">SUM(C485:C493)</f>
        <v>26.759000000384678</v>
      </c>
      <c r="D495" s="450">
        <f t="shared" si="187"/>
        <v>30.34100000035647</v>
      </c>
      <c r="E495" s="450"/>
      <c r="F495" s="450">
        <f t="shared" ref="F495:H495" si="188">SUM(F485:F493)</f>
        <v>5.5830000000842155</v>
      </c>
      <c r="G495" s="450">
        <f t="shared" si="188"/>
        <v>32.983000000142468</v>
      </c>
      <c r="H495" s="450">
        <f t="shared" si="188"/>
        <v>38.566000000226673</v>
      </c>
      <c r="I495" s="450"/>
      <c r="J495" s="450">
        <f t="shared" ref="J495:L495" si="189">SUM(J485:J493)</f>
        <v>5.8970000000591032</v>
      </c>
      <c r="K495" s="450">
        <f t="shared" si="189"/>
        <v>33.12800000006483</v>
      </c>
      <c r="L495" s="450">
        <f t="shared" si="189"/>
        <v>39.025000000123939</v>
      </c>
      <c r="M495" s="347"/>
      <c r="N495" s="347"/>
    </row>
    <row r="496" spans="1:14" x14ac:dyDescent="0.2">
      <c r="A496" s="348"/>
      <c r="B496" s="348"/>
      <c r="C496" s="348"/>
      <c r="D496" s="348"/>
      <c r="E496" s="348"/>
      <c r="F496" s="348"/>
      <c r="G496" s="348"/>
      <c r="H496" s="348"/>
      <c r="I496" s="348"/>
      <c r="J496" s="348"/>
      <c r="K496" s="348"/>
      <c r="L496" s="353"/>
      <c r="M496" s="347"/>
      <c r="N496" s="347"/>
    </row>
    <row r="497" spans="1:14" x14ac:dyDescent="0.2">
      <c r="A497" s="348"/>
      <c r="B497" s="348"/>
      <c r="C497" s="348"/>
      <c r="D497" s="348"/>
      <c r="E497" s="348"/>
      <c r="F497" s="348"/>
      <c r="G497" s="348"/>
      <c r="H497" s="348"/>
      <c r="I497" s="348"/>
      <c r="J497" s="348"/>
      <c r="K497" s="348"/>
      <c r="L497" s="372" t="s">
        <v>35</v>
      </c>
      <c r="M497" s="347"/>
      <c r="N497" s="347"/>
    </row>
    <row r="498" spans="1:14" x14ac:dyDescent="0.2">
      <c r="A498" s="355"/>
      <c r="B498" s="365"/>
      <c r="C498" s="365"/>
      <c r="D498" s="365"/>
      <c r="E498" s="365"/>
      <c r="F498" s="365"/>
      <c r="G498" s="365"/>
      <c r="H498" s="365"/>
      <c r="I498" s="365"/>
      <c r="J498" s="365"/>
      <c r="K498" s="365"/>
      <c r="L498" s="347"/>
      <c r="M498" s="347"/>
      <c r="N498" s="347"/>
    </row>
    <row r="499" spans="1:14" x14ac:dyDescent="0.2">
      <c r="A499" s="354" t="str">
        <f>name!A32</f>
        <v>Civil engineering</v>
      </c>
      <c r="B499" s="517">
        <f>B$6</f>
        <v>2007</v>
      </c>
      <c r="C499" s="517"/>
      <c r="D499" s="517"/>
      <c r="E499" s="369"/>
      <c r="F499" s="517">
        <f>F482</f>
        <v>2017</v>
      </c>
      <c r="G499" s="517"/>
      <c r="H499" s="517"/>
      <c r="I499" s="369"/>
      <c r="J499" s="517">
        <f>J482</f>
        <v>2027</v>
      </c>
      <c r="K499" s="517"/>
      <c r="L499" s="517"/>
      <c r="M499" s="347"/>
      <c r="N499" s="347"/>
    </row>
    <row r="500" spans="1:14" x14ac:dyDescent="0.2">
      <c r="A500" s="370"/>
      <c r="B500" s="371" t="s">
        <v>387</v>
      </c>
      <c r="C500" s="371" t="s">
        <v>388</v>
      </c>
      <c r="D500" s="371" t="s">
        <v>32</v>
      </c>
      <c r="E500" s="371"/>
      <c r="F500" s="371" t="s">
        <v>387</v>
      </c>
      <c r="G500" s="371" t="s">
        <v>388</v>
      </c>
      <c r="H500" s="371" t="s">
        <v>32</v>
      </c>
      <c r="I500" s="371"/>
      <c r="J500" s="371" t="s">
        <v>387</v>
      </c>
      <c r="K500" s="371" t="s">
        <v>388</v>
      </c>
      <c r="L500" s="371" t="s">
        <v>32</v>
      </c>
      <c r="M500" s="347"/>
      <c r="N500" s="347"/>
    </row>
    <row r="501" spans="1:14" s="286" customFormat="1" x14ac:dyDescent="0.2">
      <c r="A501" s="374"/>
      <c r="B501" s="375"/>
      <c r="C501" s="375"/>
      <c r="D501" s="375"/>
      <c r="E501" s="375"/>
      <c r="F501" s="375"/>
      <c r="G501" s="375"/>
      <c r="H501" s="375"/>
      <c r="I501" s="375"/>
      <c r="J501" s="375"/>
      <c r="K501" s="375"/>
      <c r="L501" s="375"/>
      <c r="M501" s="347"/>
      <c r="N501" s="347"/>
    </row>
    <row r="502" spans="1:14" x14ac:dyDescent="0.2">
      <c r="A502" s="362" t="str">
        <f>name!E$4</f>
        <v>Managers, directors and senior officials</v>
      </c>
      <c r="B502" s="440">
        <v>8.778533065892051E-2</v>
      </c>
      <c r="C502" s="440">
        <v>1.1183225354592639</v>
      </c>
      <c r="D502" s="440">
        <f>SUM(B502:C502)</f>
        <v>1.2061078661181843</v>
      </c>
      <c r="E502" s="441"/>
      <c r="F502" s="440">
        <v>0.11158617242432846</v>
      </c>
      <c r="G502" s="440">
        <v>1.1639541824017721</v>
      </c>
      <c r="H502" s="440">
        <f>SUM(F502:G502)</f>
        <v>1.2755403548261006</v>
      </c>
      <c r="I502" s="441"/>
      <c r="J502" s="440">
        <v>0.14432248239433385</v>
      </c>
      <c r="K502" s="440">
        <v>1.3098398729786722</v>
      </c>
      <c r="L502" s="440">
        <f>SUM(J502:K502)</f>
        <v>1.4541623553730061</v>
      </c>
      <c r="M502" s="347"/>
      <c r="N502" s="347"/>
    </row>
    <row r="503" spans="1:14" x14ac:dyDescent="0.2">
      <c r="A503" s="362" t="str">
        <f>name!E$5</f>
        <v>Professional occupations</v>
      </c>
      <c r="B503" s="440">
        <v>7.8159527056207739E-2</v>
      </c>
      <c r="C503" s="440">
        <v>1.3140859187507083</v>
      </c>
      <c r="D503" s="440">
        <f t="shared" ref="D503:D510" si="190">SUM(B503:C503)</f>
        <v>1.392245445806916</v>
      </c>
      <c r="E503" s="441"/>
      <c r="F503" s="440">
        <v>9.110174954070259E-2</v>
      </c>
      <c r="G503" s="440">
        <v>1.3880163792563136</v>
      </c>
      <c r="H503" s="440">
        <f t="shared" ref="H503:H510" si="191">SUM(F503:G503)</f>
        <v>1.4791181287970161</v>
      </c>
      <c r="I503" s="441"/>
      <c r="J503" s="440">
        <v>0.11582235452970369</v>
      </c>
      <c r="K503" s="440">
        <v>1.572527181951636</v>
      </c>
      <c r="L503" s="440">
        <f t="shared" ref="L503:L510" si="192">SUM(J503:K503)</f>
        <v>1.6883495364813397</v>
      </c>
      <c r="M503" s="347"/>
      <c r="N503" s="347"/>
    </row>
    <row r="504" spans="1:14" x14ac:dyDescent="0.2">
      <c r="A504" s="362" t="str">
        <f>name!E$6</f>
        <v>Associate professional and technical</v>
      </c>
      <c r="B504" s="440">
        <v>0.13952235070923943</v>
      </c>
      <c r="C504" s="440">
        <v>0.80447784909057007</v>
      </c>
      <c r="D504" s="440">
        <f t="shared" si="190"/>
        <v>0.94400019979980954</v>
      </c>
      <c r="E504" s="441"/>
      <c r="F504" s="440">
        <v>0.161739945633886</v>
      </c>
      <c r="G504" s="440">
        <v>0.79479409243243393</v>
      </c>
      <c r="H504" s="440">
        <f t="shared" si="191"/>
        <v>0.95653403806631987</v>
      </c>
      <c r="I504" s="441"/>
      <c r="J504" s="440">
        <v>0.20507630591215631</v>
      </c>
      <c r="K504" s="440">
        <v>0.87223497730998656</v>
      </c>
      <c r="L504" s="440">
        <f t="shared" si="192"/>
        <v>1.077311283222143</v>
      </c>
      <c r="M504" s="347"/>
      <c r="N504" s="347"/>
    </row>
    <row r="505" spans="1:14" x14ac:dyDescent="0.2">
      <c r="A505" s="362" t="str">
        <f>name!E$7</f>
        <v>Administrative and secretarial</v>
      </c>
      <c r="B505" s="440">
        <v>0.68712899375879921</v>
      </c>
      <c r="C505" s="440">
        <v>0.15042403617475764</v>
      </c>
      <c r="D505" s="440">
        <f t="shared" si="190"/>
        <v>0.83755302993355685</v>
      </c>
      <c r="E505" s="441"/>
      <c r="F505" s="440">
        <v>0.57891872398230648</v>
      </c>
      <c r="G505" s="440">
        <v>0.10868661439315118</v>
      </c>
      <c r="H505" s="440">
        <f t="shared" si="191"/>
        <v>0.68760533837545768</v>
      </c>
      <c r="I505" s="441"/>
      <c r="J505" s="440">
        <v>0.47406102590882354</v>
      </c>
      <c r="K505" s="440">
        <v>0.10617211819499002</v>
      </c>
      <c r="L505" s="440">
        <f t="shared" si="192"/>
        <v>0.58023314410381355</v>
      </c>
      <c r="M505" s="347"/>
      <c r="N505" s="347"/>
    </row>
    <row r="506" spans="1:14" x14ac:dyDescent="0.2">
      <c r="A506" s="362" t="str">
        <f>name!E$8</f>
        <v>Skilled trades occupations</v>
      </c>
      <c r="B506" s="440">
        <v>0.12831800013514189</v>
      </c>
      <c r="C506" s="440">
        <v>13.187451844505301</v>
      </c>
      <c r="D506" s="440">
        <f t="shared" si="190"/>
        <v>13.315769844640442</v>
      </c>
      <c r="E506" s="441"/>
      <c r="F506" s="440">
        <v>0.10931579975440545</v>
      </c>
      <c r="G506" s="440">
        <v>10.552678698131777</v>
      </c>
      <c r="H506" s="440">
        <f t="shared" si="191"/>
        <v>10.661994497886182</v>
      </c>
      <c r="I506" s="441"/>
      <c r="J506" s="440">
        <v>0.14573320139006898</v>
      </c>
      <c r="K506" s="440">
        <v>10.414059557233442</v>
      </c>
      <c r="L506" s="440">
        <f t="shared" si="192"/>
        <v>10.559792758623511</v>
      </c>
      <c r="M506" s="347"/>
      <c r="N506" s="347"/>
    </row>
    <row r="507" spans="1:14" x14ac:dyDescent="0.2">
      <c r="A507" s="362" t="str">
        <f>name!E$9</f>
        <v>Caring, leisure and other service</v>
      </c>
      <c r="B507" s="440">
        <v>1.1071385084906219E-2</v>
      </c>
      <c r="C507" s="440">
        <v>1.5461260341787483E-2</v>
      </c>
      <c r="D507" s="440">
        <f t="shared" si="190"/>
        <v>2.6532645426693702E-2</v>
      </c>
      <c r="E507" s="441"/>
      <c r="F507" s="440">
        <v>9.8498461368921927E-3</v>
      </c>
      <c r="G507" s="440">
        <v>2.6390612592942897E-2</v>
      </c>
      <c r="H507" s="440">
        <f t="shared" si="191"/>
        <v>3.6240458729835091E-2</v>
      </c>
      <c r="I507" s="441"/>
      <c r="J507" s="440">
        <v>1.0969157002215322E-2</v>
      </c>
      <c r="K507" s="440">
        <v>3.0514558660728951E-2</v>
      </c>
      <c r="L507" s="440">
        <f t="shared" si="192"/>
        <v>4.1483715662944273E-2</v>
      </c>
      <c r="M507" s="347"/>
      <c r="N507" s="347"/>
    </row>
    <row r="508" spans="1:14" x14ac:dyDescent="0.2">
      <c r="A508" s="362" t="str">
        <f>name!E$10</f>
        <v>Sales and customer service</v>
      </c>
      <c r="B508" s="440">
        <v>0.15960802092192766</v>
      </c>
      <c r="C508" s="440">
        <v>8.4522951103428848E-2</v>
      </c>
      <c r="D508" s="440">
        <f t="shared" si="190"/>
        <v>0.2441309720253565</v>
      </c>
      <c r="E508" s="441"/>
      <c r="F508" s="440">
        <v>0.16105226050763777</v>
      </c>
      <c r="G508" s="440">
        <v>8.5040187653258215E-2</v>
      </c>
      <c r="H508" s="440">
        <f t="shared" si="191"/>
        <v>0.24609244816089598</v>
      </c>
      <c r="I508" s="441"/>
      <c r="J508" s="440">
        <v>0.17329474297328792</v>
      </c>
      <c r="K508" s="440">
        <v>8.7069321377110584E-2</v>
      </c>
      <c r="L508" s="440">
        <f t="shared" si="192"/>
        <v>0.26036406435039849</v>
      </c>
      <c r="M508" s="347"/>
      <c r="N508" s="347"/>
    </row>
    <row r="509" spans="1:14" x14ac:dyDescent="0.2">
      <c r="A509" s="362" t="str">
        <f>name!E$11</f>
        <v>Process, plant and machine operatives</v>
      </c>
      <c r="B509" s="440">
        <v>4.7903155617535229E-3</v>
      </c>
      <c r="C509" s="440">
        <v>2.5776697989248869</v>
      </c>
      <c r="D509" s="440">
        <f t="shared" si="190"/>
        <v>2.5824601144866404</v>
      </c>
      <c r="E509" s="441"/>
      <c r="F509" s="440">
        <v>5.7187605990145522E-3</v>
      </c>
      <c r="G509" s="440">
        <v>2.1141509160400118</v>
      </c>
      <c r="H509" s="440">
        <f t="shared" si="191"/>
        <v>2.1198696766390266</v>
      </c>
      <c r="I509" s="441"/>
      <c r="J509" s="440">
        <v>4.9342853978564328E-3</v>
      </c>
      <c r="K509" s="440">
        <v>2.0270565455695606</v>
      </c>
      <c r="L509" s="440">
        <f t="shared" si="192"/>
        <v>2.0319908309674171</v>
      </c>
      <c r="M509" s="347"/>
      <c r="N509" s="347"/>
    </row>
    <row r="510" spans="1:14" x14ac:dyDescent="0.2">
      <c r="A510" s="362" t="str">
        <f>name!E$12</f>
        <v>Elementary occupations</v>
      </c>
      <c r="B510" s="440">
        <v>0.11861607609945514</v>
      </c>
      <c r="C510" s="440">
        <v>1.7275838059582311</v>
      </c>
      <c r="D510" s="440">
        <f t="shared" si="190"/>
        <v>1.8461998820576864</v>
      </c>
      <c r="E510" s="441"/>
      <c r="F510" s="440">
        <v>8.8716741429313545E-2</v>
      </c>
      <c r="G510" s="440">
        <v>0.93128831717280192</v>
      </c>
      <c r="H510" s="440">
        <f t="shared" si="191"/>
        <v>1.0200050586021154</v>
      </c>
      <c r="I510" s="441"/>
      <c r="J510" s="440">
        <v>8.6786444493921824E-2</v>
      </c>
      <c r="K510" s="440">
        <v>0.84152586675995267</v>
      </c>
      <c r="L510" s="440">
        <f t="shared" si="192"/>
        <v>0.92831231125387448</v>
      </c>
      <c r="M510" s="347"/>
      <c r="N510" s="347"/>
    </row>
    <row r="511" spans="1:14" s="286" customFormat="1" x14ac:dyDescent="0.2">
      <c r="A511" s="362"/>
      <c r="B511" s="440"/>
      <c r="C511" s="440"/>
      <c r="D511" s="440"/>
      <c r="E511" s="441"/>
      <c r="F511" s="440"/>
      <c r="G511" s="440"/>
      <c r="H511" s="440"/>
      <c r="I511" s="441"/>
      <c r="J511" s="440"/>
      <c r="K511" s="440"/>
      <c r="L511" s="440"/>
      <c r="M511" s="347"/>
      <c r="N511" s="347"/>
    </row>
    <row r="512" spans="1:14" x14ac:dyDescent="0.2">
      <c r="A512" s="357" t="s">
        <v>32</v>
      </c>
      <c r="B512" s="450">
        <f>SUM(B502:B510)</f>
        <v>1.4149999999863514</v>
      </c>
      <c r="C512" s="450">
        <f t="shared" ref="C512:D512" si="193">SUM(C502:C510)</f>
        <v>20.980000000308937</v>
      </c>
      <c r="D512" s="450">
        <f t="shared" si="193"/>
        <v>22.395000000295287</v>
      </c>
      <c r="E512" s="450"/>
      <c r="F512" s="450">
        <f t="shared" ref="F512:H512" si="194">SUM(F502:F510)</f>
        <v>1.318000000008487</v>
      </c>
      <c r="G512" s="450">
        <f t="shared" si="194"/>
        <v>17.16500000007446</v>
      </c>
      <c r="H512" s="450">
        <f t="shared" si="194"/>
        <v>18.483000000082949</v>
      </c>
      <c r="I512" s="450"/>
      <c r="J512" s="450">
        <f t="shared" ref="J512:L512" si="195">SUM(J502:J510)</f>
        <v>1.3610000000023679</v>
      </c>
      <c r="K512" s="450">
        <f t="shared" si="195"/>
        <v>17.261000000036077</v>
      </c>
      <c r="L512" s="450">
        <f t="shared" si="195"/>
        <v>18.622000000038447</v>
      </c>
      <c r="M512" s="347"/>
      <c r="N512" s="347"/>
    </row>
    <row r="513" spans="1:14" x14ac:dyDescent="0.2">
      <c r="A513" s="348"/>
      <c r="B513" s="348"/>
      <c r="C513" s="348"/>
      <c r="D513" s="348"/>
      <c r="E513" s="348"/>
      <c r="F513" s="348"/>
      <c r="G513" s="348"/>
      <c r="H513" s="348"/>
      <c r="I513" s="348"/>
      <c r="J513" s="348"/>
      <c r="K513" s="348"/>
      <c r="L513" s="353"/>
      <c r="M513" s="347"/>
      <c r="N513" s="347"/>
    </row>
    <row r="514" spans="1:14" x14ac:dyDescent="0.2">
      <c r="A514" s="348"/>
      <c r="B514" s="348"/>
      <c r="C514" s="348"/>
      <c r="D514" s="348"/>
      <c r="E514" s="348"/>
      <c r="F514" s="348"/>
      <c r="G514" s="348"/>
      <c r="H514" s="348"/>
      <c r="I514" s="348"/>
      <c r="J514" s="348"/>
      <c r="K514" s="348"/>
      <c r="L514" s="372" t="s">
        <v>35</v>
      </c>
      <c r="M514" s="347"/>
      <c r="N514" s="347"/>
    </row>
    <row r="515" spans="1:14" x14ac:dyDescent="0.2">
      <c r="A515" s="355"/>
      <c r="B515" s="365"/>
      <c r="C515" s="365"/>
      <c r="D515" s="365"/>
      <c r="E515" s="365"/>
      <c r="F515" s="365"/>
      <c r="G515" s="365"/>
      <c r="H515" s="365"/>
      <c r="I515" s="365"/>
      <c r="J515" s="365"/>
      <c r="K515" s="365"/>
      <c r="L515" s="347"/>
      <c r="M515" s="347"/>
      <c r="N515" s="347"/>
    </row>
    <row r="516" spans="1:14" x14ac:dyDescent="0.2">
      <c r="A516" s="354" t="str">
        <f>name!A33</f>
        <v>Specialised construction</v>
      </c>
      <c r="B516" s="517">
        <f>B$6</f>
        <v>2007</v>
      </c>
      <c r="C516" s="517"/>
      <c r="D516" s="517"/>
      <c r="E516" s="369"/>
      <c r="F516" s="517">
        <f>F499</f>
        <v>2017</v>
      </c>
      <c r="G516" s="517"/>
      <c r="H516" s="517"/>
      <c r="I516" s="369"/>
      <c r="J516" s="517">
        <f>J499</f>
        <v>2027</v>
      </c>
      <c r="K516" s="517"/>
      <c r="L516" s="517"/>
      <c r="M516" s="347"/>
      <c r="N516" s="347"/>
    </row>
    <row r="517" spans="1:14" x14ac:dyDescent="0.2">
      <c r="A517" s="370"/>
      <c r="B517" s="371" t="s">
        <v>387</v>
      </c>
      <c r="C517" s="371" t="s">
        <v>388</v>
      </c>
      <c r="D517" s="371" t="s">
        <v>32</v>
      </c>
      <c r="E517" s="371"/>
      <c r="F517" s="371" t="s">
        <v>387</v>
      </c>
      <c r="G517" s="371" t="s">
        <v>388</v>
      </c>
      <c r="H517" s="371" t="s">
        <v>32</v>
      </c>
      <c r="I517" s="371"/>
      <c r="J517" s="371" t="s">
        <v>387</v>
      </c>
      <c r="K517" s="371" t="s">
        <v>388</v>
      </c>
      <c r="L517" s="371" t="s">
        <v>32</v>
      </c>
      <c r="M517" s="347"/>
      <c r="N517" s="347"/>
    </row>
    <row r="518" spans="1:14" s="286" customFormat="1" x14ac:dyDescent="0.2">
      <c r="A518" s="374"/>
      <c r="B518" s="375"/>
      <c r="C518" s="375"/>
      <c r="D518" s="375"/>
      <c r="E518" s="375"/>
      <c r="F518" s="375"/>
      <c r="G518" s="375"/>
      <c r="H518" s="375"/>
      <c r="I518" s="375"/>
      <c r="J518" s="375"/>
      <c r="K518" s="375"/>
      <c r="L518" s="375"/>
      <c r="M518" s="347"/>
      <c r="N518" s="347"/>
    </row>
    <row r="519" spans="1:14" x14ac:dyDescent="0.2">
      <c r="A519" s="362" t="str">
        <f>name!E$4</f>
        <v>Managers, directors and senior officials</v>
      </c>
      <c r="B519" s="440">
        <v>0.41556386937489842</v>
      </c>
      <c r="C519" s="440">
        <v>2.9144346205381719</v>
      </c>
      <c r="D519" s="440">
        <f>SUM(B519:C519)</f>
        <v>3.3299984899130703</v>
      </c>
      <c r="E519" s="441"/>
      <c r="F519" s="440">
        <v>0.56682329500643436</v>
      </c>
      <c r="G519" s="440">
        <v>2.8946030972220491</v>
      </c>
      <c r="H519" s="440">
        <f>SUM(F519:G519)</f>
        <v>3.4614263922284834</v>
      </c>
      <c r="I519" s="441"/>
      <c r="J519" s="440">
        <v>0.74528013697263795</v>
      </c>
      <c r="K519" s="440">
        <v>3.2355614136621433</v>
      </c>
      <c r="L519" s="440">
        <f>SUM(J519:K519)</f>
        <v>3.9808415506347812</v>
      </c>
      <c r="M519" s="347"/>
      <c r="N519" s="347"/>
    </row>
    <row r="520" spans="1:14" x14ac:dyDescent="0.2">
      <c r="A520" s="362" t="str">
        <f>name!E$5</f>
        <v>Professional occupations</v>
      </c>
      <c r="B520" s="440">
        <v>0.41356851784547971</v>
      </c>
      <c r="C520" s="440">
        <v>3.4025093365265704</v>
      </c>
      <c r="D520" s="440">
        <f t="shared" ref="D520:D527" si="196">SUM(B520:C520)</f>
        <v>3.8160778543720499</v>
      </c>
      <c r="E520" s="441"/>
      <c r="F520" s="440">
        <v>0.47383182036368521</v>
      </c>
      <c r="G520" s="440">
        <v>3.3889771749878528</v>
      </c>
      <c r="H520" s="440">
        <f t="shared" ref="H520:H527" si="197">SUM(F520:G520)</f>
        <v>3.8628089953515379</v>
      </c>
      <c r="I520" s="441"/>
      <c r="J520" s="440">
        <v>0.60318531039371126</v>
      </c>
      <c r="K520" s="440">
        <v>3.8213622257744659</v>
      </c>
      <c r="L520" s="440">
        <f t="shared" ref="L520:L527" si="198">SUM(J520:K520)</f>
        <v>4.424547536168177</v>
      </c>
      <c r="M520" s="347"/>
      <c r="N520" s="347"/>
    </row>
    <row r="521" spans="1:14" x14ac:dyDescent="0.2">
      <c r="A521" s="362" t="str">
        <f>name!E$6</f>
        <v>Associate professional and technical</v>
      </c>
      <c r="B521" s="440">
        <v>0.73074763124590292</v>
      </c>
      <c r="C521" s="440">
        <v>2.0989210322741054</v>
      </c>
      <c r="D521" s="440">
        <f t="shared" si="196"/>
        <v>2.8296686635200086</v>
      </c>
      <c r="E521" s="441"/>
      <c r="F521" s="440">
        <v>0.86273408503158</v>
      </c>
      <c r="G521" s="440">
        <v>1.9541022760800131</v>
      </c>
      <c r="H521" s="440">
        <f t="shared" si="197"/>
        <v>2.816836361111593</v>
      </c>
      <c r="I521" s="441"/>
      <c r="J521" s="440">
        <v>1.1026455027439284</v>
      </c>
      <c r="K521" s="440">
        <v>2.1341381488068372</v>
      </c>
      <c r="L521" s="440">
        <f t="shared" si="198"/>
        <v>3.2367836515507653</v>
      </c>
      <c r="M521" s="347"/>
      <c r="N521" s="347"/>
    </row>
    <row r="522" spans="1:14" x14ac:dyDescent="0.2">
      <c r="A522" s="362" t="str">
        <f>name!E$7</f>
        <v>Administrative and secretarial</v>
      </c>
      <c r="B522" s="440">
        <v>3.5059471623927485</v>
      </c>
      <c r="C522" s="440">
        <v>0.41127378590241126</v>
      </c>
      <c r="D522" s="440">
        <f t="shared" si="196"/>
        <v>3.9172209482951597</v>
      </c>
      <c r="E522" s="441"/>
      <c r="F522" s="440">
        <v>3.1952279607986536</v>
      </c>
      <c r="G522" s="440">
        <v>0.27162874356222255</v>
      </c>
      <c r="H522" s="440">
        <f t="shared" si="197"/>
        <v>3.4668567043608762</v>
      </c>
      <c r="I522" s="441"/>
      <c r="J522" s="440">
        <v>2.6777221595379275</v>
      </c>
      <c r="K522" s="440">
        <v>0.25992631150877926</v>
      </c>
      <c r="L522" s="440">
        <f t="shared" si="198"/>
        <v>2.9376484710467068</v>
      </c>
      <c r="M522" s="347"/>
      <c r="N522" s="347"/>
    </row>
    <row r="523" spans="1:14" x14ac:dyDescent="0.2">
      <c r="A523" s="362" t="str">
        <f>name!E$8</f>
        <v>Skilled trades occupations</v>
      </c>
      <c r="B523" s="440">
        <v>0.5443121838085635</v>
      </c>
      <c r="C523" s="440">
        <v>34.254585355145096</v>
      </c>
      <c r="D523" s="440">
        <f t="shared" si="196"/>
        <v>34.798897538953661</v>
      </c>
      <c r="E523" s="441"/>
      <c r="F523" s="440">
        <v>0.46231764541663606</v>
      </c>
      <c r="G523" s="440">
        <v>26.483358141674785</v>
      </c>
      <c r="H523" s="440">
        <f t="shared" si="197"/>
        <v>26.945675787091421</v>
      </c>
      <c r="I523" s="441"/>
      <c r="J523" s="440">
        <v>0.61851459371123996</v>
      </c>
      <c r="K523" s="440">
        <v>26.134419640813313</v>
      </c>
      <c r="L523" s="440">
        <f t="shared" si="198"/>
        <v>26.752934234524552</v>
      </c>
      <c r="M523" s="347"/>
      <c r="N523" s="347"/>
    </row>
    <row r="524" spans="1:14" x14ac:dyDescent="0.2">
      <c r="A524" s="362" t="str">
        <f>name!E$9</f>
        <v>Caring, leisure and other service</v>
      </c>
      <c r="B524" s="440">
        <v>5.226552429216743E-2</v>
      </c>
      <c r="C524" s="440">
        <v>4.7272852746367888E-2</v>
      </c>
      <c r="D524" s="440">
        <f t="shared" si="196"/>
        <v>9.9538377038535325E-2</v>
      </c>
      <c r="E524" s="441"/>
      <c r="F524" s="440">
        <v>5.042404023563251E-2</v>
      </c>
      <c r="G524" s="440">
        <v>0.11385702568721823</v>
      </c>
      <c r="H524" s="440">
        <f t="shared" si="197"/>
        <v>0.16428106592285074</v>
      </c>
      <c r="I524" s="441"/>
      <c r="J524" s="440">
        <v>5.7087313648385318E-2</v>
      </c>
      <c r="K524" s="440">
        <v>0.133601923072071</v>
      </c>
      <c r="L524" s="440">
        <f t="shared" si="198"/>
        <v>0.19068923672045632</v>
      </c>
      <c r="M524" s="347"/>
      <c r="N524" s="347"/>
    </row>
    <row r="525" spans="1:14" x14ac:dyDescent="0.2">
      <c r="A525" s="362" t="str">
        <f>name!E$10</f>
        <v>Sales and customer service</v>
      </c>
      <c r="B525" s="440">
        <v>0.83305385598354131</v>
      </c>
      <c r="C525" s="440">
        <v>0.23896342113446206</v>
      </c>
      <c r="D525" s="440">
        <f t="shared" si="196"/>
        <v>1.0720172771180034</v>
      </c>
      <c r="E525" s="441"/>
      <c r="F525" s="440">
        <v>0.90859560410536655</v>
      </c>
      <c r="G525" s="440">
        <v>0.22551496486357558</v>
      </c>
      <c r="H525" s="440">
        <f t="shared" si="197"/>
        <v>1.1341105689689421</v>
      </c>
      <c r="I525" s="441"/>
      <c r="J525" s="440">
        <v>0.99073763605597887</v>
      </c>
      <c r="K525" s="440">
        <v>0.22391518973553598</v>
      </c>
      <c r="L525" s="440">
        <f t="shared" si="198"/>
        <v>1.2146528257915148</v>
      </c>
      <c r="M525" s="347"/>
      <c r="N525" s="347"/>
    </row>
    <row r="526" spans="1:14" x14ac:dyDescent="0.2">
      <c r="A526" s="362" t="str">
        <f>name!E$11</f>
        <v>Process, plant and machine operatives</v>
      </c>
      <c r="B526" s="440">
        <v>2.3151856622285243E-2</v>
      </c>
      <c r="C526" s="440">
        <v>6.6824819703647096</v>
      </c>
      <c r="D526" s="440">
        <f t="shared" si="196"/>
        <v>6.7056338269869951</v>
      </c>
      <c r="E526" s="441"/>
      <c r="F526" s="440">
        <v>2.8424499300569828E-2</v>
      </c>
      <c r="G526" s="440">
        <v>5.207580606889497</v>
      </c>
      <c r="H526" s="440">
        <f t="shared" si="197"/>
        <v>5.236005106190067</v>
      </c>
      <c r="I526" s="441"/>
      <c r="J526" s="440">
        <v>2.453175513319588E-2</v>
      </c>
      <c r="K526" s="440">
        <v>4.9767993268621336</v>
      </c>
      <c r="L526" s="440">
        <f t="shared" si="198"/>
        <v>5.0013310819953292</v>
      </c>
      <c r="M526" s="347"/>
      <c r="N526" s="347"/>
    </row>
    <row r="527" spans="1:14" x14ac:dyDescent="0.2">
      <c r="A527" s="362" t="str">
        <f>name!E$12</f>
        <v>Elementary occupations</v>
      </c>
      <c r="B527" s="440">
        <v>0.52738939835780108</v>
      </c>
      <c r="C527" s="440">
        <v>4.5985576261728971</v>
      </c>
      <c r="D527" s="440">
        <f t="shared" si="196"/>
        <v>5.1259470245306984</v>
      </c>
      <c r="E527" s="441"/>
      <c r="F527" s="440">
        <v>0.51762104979109014</v>
      </c>
      <c r="G527" s="440">
        <v>2.4393779692239046</v>
      </c>
      <c r="H527" s="440">
        <f t="shared" si="197"/>
        <v>2.9569990190149946</v>
      </c>
      <c r="I527" s="441"/>
      <c r="J527" s="440">
        <v>0.52529559181988905</v>
      </c>
      <c r="K527" s="440">
        <v>2.1922758198734638</v>
      </c>
      <c r="L527" s="440">
        <f t="shared" si="198"/>
        <v>2.7175714116933527</v>
      </c>
      <c r="M527" s="347"/>
      <c r="N527" s="347"/>
    </row>
    <row r="528" spans="1:14" s="286" customFormat="1" x14ac:dyDescent="0.2">
      <c r="A528" s="362"/>
      <c r="B528" s="440"/>
      <c r="C528" s="440"/>
      <c r="D528" s="440"/>
      <c r="E528" s="441"/>
      <c r="F528" s="440"/>
      <c r="G528" s="440"/>
      <c r="H528" s="440"/>
      <c r="I528" s="441"/>
      <c r="J528" s="440"/>
      <c r="K528" s="440"/>
      <c r="L528" s="440"/>
      <c r="M528" s="347"/>
      <c r="N528" s="347"/>
    </row>
    <row r="529" spans="1:14" x14ac:dyDescent="0.2">
      <c r="A529" s="357" t="s">
        <v>32</v>
      </c>
      <c r="B529" s="450">
        <f>SUM(B519:B527)</f>
        <v>7.0459999999233887</v>
      </c>
      <c r="C529" s="450">
        <f t="shared" ref="C529:D529" si="199">SUM(C519:C527)</f>
        <v>54.649000000804797</v>
      </c>
      <c r="D529" s="450">
        <f t="shared" si="199"/>
        <v>61.695000000728179</v>
      </c>
      <c r="E529" s="450"/>
      <c r="F529" s="450">
        <f t="shared" ref="F529:H529" si="200">SUM(F519:F527)</f>
        <v>7.066000000049649</v>
      </c>
      <c r="G529" s="450">
        <f t="shared" si="200"/>
        <v>42.979000000191114</v>
      </c>
      <c r="H529" s="450">
        <f t="shared" si="200"/>
        <v>50.045000000240769</v>
      </c>
      <c r="I529" s="450"/>
      <c r="J529" s="450">
        <f t="shared" ref="J529:L529" si="201">SUM(J519:J527)</f>
        <v>7.3450000000168938</v>
      </c>
      <c r="K529" s="450">
        <f t="shared" si="201"/>
        <v>43.11200000010875</v>
      </c>
      <c r="L529" s="450">
        <f t="shared" si="201"/>
        <v>50.457000000125646</v>
      </c>
      <c r="M529" s="347"/>
      <c r="N529" s="347"/>
    </row>
    <row r="530" spans="1:14" x14ac:dyDescent="0.2">
      <c r="A530" s="348"/>
      <c r="B530" s="348"/>
      <c r="C530" s="348"/>
      <c r="D530" s="348"/>
      <c r="E530" s="348"/>
      <c r="F530" s="348"/>
      <c r="G530" s="348"/>
      <c r="H530" s="348"/>
      <c r="I530" s="348"/>
      <c r="J530" s="348"/>
      <c r="K530" s="348"/>
      <c r="L530" s="353"/>
      <c r="M530" s="347"/>
      <c r="N530" s="347"/>
    </row>
    <row r="531" spans="1:14" x14ac:dyDescent="0.2">
      <c r="A531" s="348"/>
      <c r="B531" s="348"/>
      <c r="C531" s="348"/>
      <c r="D531" s="348"/>
      <c r="E531" s="348"/>
      <c r="F531" s="348"/>
      <c r="G531" s="348"/>
      <c r="H531" s="348"/>
      <c r="I531" s="348"/>
      <c r="J531" s="348"/>
      <c r="K531" s="348"/>
      <c r="L531" s="372" t="s">
        <v>35</v>
      </c>
      <c r="M531" s="347"/>
      <c r="N531" s="347"/>
    </row>
    <row r="532" spans="1:14" x14ac:dyDescent="0.2">
      <c r="A532" s="355"/>
      <c r="B532" s="365"/>
      <c r="C532" s="365"/>
      <c r="D532" s="365"/>
      <c r="E532" s="365"/>
      <c r="F532" s="365"/>
      <c r="G532" s="365"/>
      <c r="H532" s="365"/>
      <c r="I532" s="365"/>
      <c r="J532" s="365"/>
      <c r="K532" s="365"/>
      <c r="L532" s="347"/>
      <c r="M532" s="347"/>
      <c r="N532" s="347"/>
    </row>
    <row r="533" spans="1:14" x14ac:dyDescent="0.2">
      <c r="A533" s="354" t="str">
        <f>name!A34</f>
        <v>Motor vehicle trade</v>
      </c>
      <c r="B533" s="517">
        <f>B$6</f>
        <v>2007</v>
      </c>
      <c r="C533" s="517"/>
      <c r="D533" s="517"/>
      <c r="E533" s="369"/>
      <c r="F533" s="517">
        <f>F516</f>
        <v>2017</v>
      </c>
      <c r="G533" s="517"/>
      <c r="H533" s="517"/>
      <c r="I533" s="369"/>
      <c r="J533" s="517">
        <f>J516</f>
        <v>2027</v>
      </c>
      <c r="K533" s="517"/>
      <c r="L533" s="517"/>
      <c r="M533" s="347"/>
      <c r="N533" s="347"/>
    </row>
    <row r="534" spans="1:14" x14ac:dyDescent="0.2">
      <c r="A534" s="370"/>
      <c r="B534" s="371" t="s">
        <v>387</v>
      </c>
      <c r="C534" s="371" t="s">
        <v>388</v>
      </c>
      <c r="D534" s="371" t="s">
        <v>32</v>
      </c>
      <c r="E534" s="371"/>
      <c r="F534" s="371" t="s">
        <v>387</v>
      </c>
      <c r="G534" s="371" t="s">
        <v>388</v>
      </c>
      <c r="H534" s="371" t="s">
        <v>32</v>
      </c>
      <c r="I534" s="371"/>
      <c r="J534" s="371" t="s">
        <v>387</v>
      </c>
      <c r="K534" s="371" t="s">
        <v>388</v>
      </c>
      <c r="L534" s="371" t="s">
        <v>32</v>
      </c>
      <c r="M534" s="347"/>
      <c r="N534" s="347"/>
    </row>
    <row r="535" spans="1:14" s="286" customFormat="1" x14ac:dyDescent="0.2">
      <c r="A535" s="374"/>
      <c r="B535" s="375"/>
      <c r="C535" s="375"/>
      <c r="D535" s="375"/>
      <c r="E535" s="375"/>
      <c r="F535" s="375"/>
      <c r="G535" s="375"/>
      <c r="H535" s="375"/>
      <c r="I535" s="375"/>
      <c r="J535" s="375"/>
      <c r="K535" s="375"/>
      <c r="L535" s="375"/>
      <c r="M535" s="347"/>
      <c r="N535" s="347"/>
    </row>
    <row r="536" spans="1:14" x14ac:dyDescent="0.2">
      <c r="A536" s="362" t="str">
        <f>name!E$4</f>
        <v>Managers, directors and senior officials</v>
      </c>
      <c r="B536" s="440">
        <v>0.30421643920728059</v>
      </c>
      <c r="C536" s="440">
        <v>2.5004891659362012</v>
      </c>
      <c r="D536" s="440">
        <f>SUM(B536:C536)</f>
        <v>2.8047056051434818</v>
      </c>
      <c r="E536" s="441"/>
      <c r="F536" s="440">
        <v>0.41050387131211891</v>
      </c>
      <c r="G536" s="440">
        <v>3.3337665019787965</v>
      </c>
      <c r="H536" s="440">
        <f>SUM(F536:G536)</f>
        <v>3.7442703732909153</v>
      </c>
      <c r="I536" s="441"/>
      <c r="J536" s="440">
        <v>0.58239386721033271</v>
      </c>
      <c r="K536" s="440">
        <v>3.5440645134374797</v>
      </c>
      <c r="L536" s="440">
        <f>SUM(J536:K536)</f>
        <v>4.1264583806478123</v>
      </c>
      <c r="M536" s="347"/>
      <c r="N536" s="347"/>
    </row>
    <row r="537" spans="1:14" x14ac:dyDescent="0.2">
      <c r="A537" s="362" t="str">
        <f>name!E$5</f>
        <v>Professional occupations</v>
      </c>
      <c r="B537" s="440">
        <v>0.18553983726379705</v>
      </c>
      <c r="C537" s="440">
        <v>0.70384627605269789</v>
      </c>
      <c r="D537" s="440">
        <f t="shared" ref="D537:D544" si="202">SUM(B537:C537)</f>
        <v>0.88938611331649498</v>
      </c>
      <c r="E537" s="441"/>
      <c r="F537" s="440">
        <v>0.17569396224348757</v>
      </c>
      <c r="G537" s="440">
        <v>0.89680395902291332</v>
      </c>
      <c r="H537" s="440">
        <f t="shared" ref="H537:H544" si="203">SUM(F537:G537)</f>
        <v>1.072497921266401</v>
      </c>
      <c r="I537" s="441"/>
      <c r="J537" s="440">
        <v>0.24451846400207602</v>
      </c>
      <c r="K537" s="440">
        <v>1.0285525804185358</v>
      </c>
      <c r="L537" s="440">
        <f t="shared" ref="L537:L544" si="204">SUM(J537:K537)</f>
        <v>1.2730710444206119</v>
      </c>
      <c r="M537" s="347"/>
      <c r="N537" s="347"/>
    </row>
    <row r="538" spans="1:14" x14ac:dyDescent="0.2">
      <c r="A538" s="362" t="str">
        <f>name!E$6</f>
        <v>Associate professional and technical</v>
      </c>
      <c r="B538" s="440">
        <v>0.34504869590198484</v>
      </c>
      <c r="C538" s="440">
        <v>1.1488662755305257</v>
      </c>
      <c r="D538" s="440">
        <f t="shared" si="202"/>
        <v>1.4939149714325106</v>
      </c>
      <c r="E538" s="441"/>
      <c r="F538" s="440">
        <v>0.29493583550358798</v>
      </c>
      <c r="G538" s="440">
        <v>1.427673224309342</v>
      </c>
      <c r="H538" s="440">
        <f t="shared" si="203"/>
        <v>1.72260905981293</v>
      </c>
      <c r="I538" s="441"/>
      <c r="J538" s="440">
        <v>0.37508094535716607</v>
      </c>
      <c r="K538" s="440">
        <v>1.5571266507710206</v>
      </c>
      <c r="L538" s="440">
        <f t="shared" si="204"/>
        <v>1.9322075961281868</v>
      </c>
      <c r="M538" s="347"/>
      <c r="N538" s="347"/>
    </row>
    <row r="539" spans="1:14" x14ac:dyDescent="0.2">
      <c r="A539" s="362" t="str">
        <f>name!E$7</f>
        <v>Administrative and secretarial</v>
      </c>
      <c r="B539" s="440">
        <v>2.799751140429803</v>
      </c>
      <c r="C539" s="440">
        <v>0.73620644527142143</v>
      </c>
      <c r="D539" s="440">
        <f t="shared" si="202"/>
        <v>3.5359575857012242</v>
      </c>
      <c r="E539" s="441"/>
      <c r="F539" s="440">
        <v>1.642705318034386</v>
      </c>
      <c r="G539" s="440">
        <v>1.5169038412631684</v>
      </c>
      <c r="H539" s="440">
        <f t="shared" si="203"/>
        <v>3.1596091592975544</v>
      </c>
      <c r="I539" s="441"/>
      <c r="J539" s="440">
        <v>1.3702680742247095</v>
      </c>
      <c r="K539" s="440">
        <v>1.6444244130693677</v>
      </c>
      <c r="L539" s="440">
        <f t="shared" si="204"/>
        <v>3.0146924872940772</v>
      </c>
      <c r="M539" s="347"/>
      <c r="N539" s="347"/>
    </row>
    <row r="540" spans="1:14" x14ac:dyDescent="0.2">
      <c r="A540" s="362" t="str">
        <f>name!E$8</f>
        <v>Skilled trades occupations</v>
      </c>
      <c r="B540" s="440">
        <v>0.15260778619161353</v>
      </c>
      <c r="C540" s="440">
        <v>8.2070816837578118</v>
      </c>
      <c r="D540" s="440">
        <f t="shared" si="202"/>
        <v>8.3596894699494246</v>
      </c>
      <c r="E540" s="441"/>
      <c r="F540" s="440">
        <v>0.12023745156892068</v>
      </c>
      <c r="G540" s="440">
        <v>9.4036097453545757</v>
      </c>
      <c r="H540" s="440">
        <f t="shared" si="203"/>
        <v>9.5238471969234961</v>
      </c>
      <c r="I540" s="441"/>
      <c r="J540" s="440">
        <v>0.13566920253243603</v>
      </c>
      <c r="K540" s="440">
        <v>8.4621208818699305</v>
      </c>
      <c r="L540" s="440">
        <f t="shared" si="204"/>
        <v>8.5977900844023658</v>
      </c>
      <c r="M540" s="347"/>
      <c r="N540" s="347"/>
    </row>
    <row r="541" spans="1:14" x14ac:dyDescent="0.2">
      <c r="A541" s="362" t="str">
        <f>name!E$9</f>
        <v>Caring, leisure and other service</v>
      </c>
      <c r="B541" s="440">
        <v>0.68737622817131305</v>
      </c>
      <c r="C541" s="440">
        <v>5.2897002120842036E-2</v>
      </c>
      <c r="D541" s="440">
        <f t="shared" si="202"/>
        <v>0.74027323029215508</v>
      </c>
      <c r="E541" s="441"/>
      <c r="F541" s="440">
        <v>0.683471736987877</v>
      </c>
      <c r="G541" s="440">
        <v>6.7977463471789693E-2</v>
      </c>
      <c r="H541" s="440">
        <f t="shared" si="203"/>
        <v>0.75144920045966668</v>
      </c>
      <c r="I541" s="441"/>
      <c r="J541" s="440">
        <v>0.97432546322890967</v>
      </c>
      <c r="K541" s="440">
        <v>8.2545034733892603E-2</v>
      </c>
      <c r="L541" s="440">
        <f t="shared" si="204"/>
        <v>1.0568704979628023</v>
      </c>
      <c r="M541" s="347"/>
      <c r="N541" s="347"/>
    </row>
    <row r="542" spans="1:14" x14ac:dyDescent="0.2">
      <c r="A542" s="362" t="str">
        <f>name!E$10</f>
        <v>Sales and customer service</v>
      </c>
      <c r="B542" s="440">
        <v>1.540803480284757</v>
      </c>
      <c r="C542" s="440">
        <v>1.8701851653934485</v>
      </c>
      <c r="D542" s="440">
        <f t="shared" si="202"/>
        <v>3.4109886456782057</v>
      </c>
      <c r="E542" s="441"/>
      <c r="F542" s="440">
        <v>0.96938312548888139</v>
      </c>
      <c r="G542" s="440">
        <v>1.9768887292678152</v>
      </c>
      <c r="H542" s="440">
        <f t="shared" si="203"/>
        <v>2.9462718547566968</v>
      </c>
      <c r="I542" s="441"/>
      <c r="J542" s="440">
        <v>0.92267048258110529</v>
      </c>
      <c r="K542" s="440">
        <v>1.7786641042527176</v>
      </c>
      <c r="L542" s="440">
        <f t="shared" si="204"/>
        <v>2.701334586833823</v>
      </c>
      <c r="M542" s="347"/>
      <c r="N542" s="347"/>
    </row>
    <row r="543" spans="1:14" x14ac:dyDescent="0.2">
      <c r="A543" s="362" t="str">
        <f>name!E$11</f>
        <v>Process, plant and machine operatives</v>
      </c>
      <c r="B543" s="440">
        <v>0.12982788250292082</v>
      </c>
      <c r="C543" s="440">
        <v>1.8160617441328581</v>
      </c>
      <c r="D543" s="440">
        <f t="shared" si="202"/>
        <v>1.945889626635779</v>
      </c>
      <c r="E543" s="441"/>
      <c r="F543" s="440">
        <v>9.4577572111009769E-2</v>
      </c>
      <c r="G543" s="440">
        <v>2.1198172619363751</v>
      </c>
      <c r="H543" s="440">
        <f t="shared" si="203"/>
        <v>2.2143948340473849</v>
      </c>
      <c r="I543" s="441"/>
      <c r="J543" s="440">
        <v>0.11229867761237985</v>
      </c>
      <c r="K543" s="440">
        <v>2.2136833282942145</v>
      </c>
      <c r="L543" s="440">
        <f t="shared" si="204"/>
        <v>2.3259820059065945</v>
      </c>
      <c r="M543" s="347"/>
      <c r="N543" s="347"/>
    </row>
    <row r="544" spans="1:14" x14ac:dyDescent="0.2">
      <c r="A544" s="362" t="str">
        <f>name!E$12</f>
        <v>Elementary occupations</v>
      </c>
      <c r="B544" s="440">
        <v>0.29382850998089177</v>
      </c>
      <c r="C544" s="440">
        <v>0.79536624184237137</v>
      </c>
      <c r="D544" s="440">
        <f t="shared" si="202"/>
        <v>1.0891947518232632</v>
      </c>
      <c r="E544" s="441"/>
      <c r="F544" s="440">
        <v>0.17849112684365728</v>
      </c>
      <c r="G544" s="440">
        <v>1.0285592734238249</v>
      </c>
      <c r="H544" s="440">
        <f t="shared" si="203"/>
        <v>1.2070504002674822</v>
      </c>
      <c r="I544" s="441"/>
      <c r="J544" s="440">
        <v>0.15277482332041309</v>
      </c>
      <c r="K544" s="440">
        <v>1.1208184928830418</v>
      </c>
      <c r="L544" s="440">
        <f t="shared" si="204"/>
        <v>1.273593316203455</v>
      </c>
      <c r="M544" s="347"/>
      <c r="N544" s="347"/>
    </row>
    <row r="545" spans="1:14" s="286" customFormat="1" x14ac:dyDescent="0.2">
      <c r="A545" s="362"/>
      <c r="B545" s="440"/>
      <c r="C545" s="440"/>
      <c r="D545" s="440"/>
      <c r="E545" s="441"/>
      <c r="F545" s="440"/>
      <c r="G545" s="440"/>
      <c r="H545" s="440"/>
      <c r="I545" s="441"/>
      <c r="J545" s="440"/>
      <c r="K545" s="440"/>
      <c r="L545" s="440"/>
      <c r="M545" s="347"/>
      <c r="N545" s="347"/>
    </row>
    <row r="546" spans="1:14" x14ac:dyDescent="0.2">
      <c r="A546" s="357" t="s">
        <v>32</v>
      </c>
      <c r="B546" s="450">
        <f>SUM(B536:B544)</f>
        <v>6.4389999999343628</v>
      </c>
      <c r="C546" s="450">
        <f t="shared" ref="C546:D546" si="205">SUM(C536:C544)</f>
        <v>17.831000000038177</v>
      </c>
      <c r="D546" s="450">
        <f t="shared" si="205"/>
        <v>24.269999999972541</v>
      </c>
      <c r="E546" s="450"/>
      <c r="F546" s="450">
        <f t="shared" ref="F546:H546" si="206">SUM(F536:F544)</f>
        <v>4.5700000000939269</v>
      </c>
      <c r="G546" s="450">
        <f t="shared" si="206"/>
        <v>21.772000000028601</v>
      </c>
      <c r="H546" s="450">
        <f t="shared" si="206"/>
        <v>26.342000000122528</v>
      </c>
      <c r="I546" s="450"/>
      <c r="J546" s="450">
        <f t="shared" ref="J546:L546" si="207">SUM(J536:J544)</f>
        <v>4.8700000000695276</v>
      </c>
      <c r="K546" s="450">
        <f t="shared" si="207"/>
        <v>21.431999999730206</v>
      </c>
      <c r="L546" s="450">
        <f t="shared" si="207"/>
        <v>26.301999999799733</v>
      </c>
      <c r="M546" s="347"/>
      <c r="N546" s="347"/>
    </row>
    <row r="547" spans="1:14" x14ac:dyDescent="0.2">
      <c r="A547" s="348"/>
      <c r="B547" s="348"/>
      <c r="C547" s="348"/>
      <c r="D547" s="348"/>
      <c r="E547" s="348"/>
      <c r="F547" s="348"/>
      <c r="G547" s="348"/>
      <c r="H547" s="348"/>
      <c r="I547" s="348"/>
      <c r="J547" s="348"/>
      <c r="K547" s="348"/>
      <c r="L547" s="353"/>
      <c r="M547" s="347"/>
      <c r="N547" s="347"/>
    </row>
    <row r="548" spans="1:14" x14ac:dyDescent="0.2">
      <c r="A548" s="348"/>
      <c r="B548" s="348"/>
      <c r="C548" s="348"/>
      <c r="D548" s="348"/>
      <c r="E548" s="348"/>
      <c r="F548" s="348"/>
      <c r="G548" s="348"/>
      <c r="H548" s="348"/>
      <c r="I548" s="348"/>
      <c r="J548" s="348"/>
      <c r="K548" s="348"/>
      <c r="L548" s="372" t="s">
        <v>35</v>
      </c>
      <c r="M548" s="347"/>
      <c r="N548" s="347"/>
    </row>
    <row r="549" spans="1:14" x14ac:dyDescent="0.2">
      <c r="A549" s="355"/>
      <c r="B549" s="365"/>
      <c r="C549" s="365"/>
      <c r="D549" s="365"/>
      <c r="E549" s="365"/>
      <c r="F549" s="365"/>
      <c r="G549" s="365"/>
      <c r="H549" s="365"/>
      <c r="I549" s="365"/>
      <c r="J549" s="365"/>
      <c r="K549" s="365"/>
      <c r="L549" s="347"/>
      <c r="M549" s="347"/>
      <c r="N549" s="347"/>
    </row>
    <row r="550" spans="1:14" x14ac:dyDescent="0.2">
      <c r="A550" s="354" t="str">
        <f>name!A35</f>
        <v>Wholesale trade</v>
      </c>
      <c r="B550" s="517">
        <f>B$6</f>
        <v>2007</v>
      </c>
      <c r="C550" s="517"/>
      <c r="D550" s="517"/>
      <c r="E550" s="369"/>
      <c r="F550" s="517">
        <f>F533</f>
        <v>2017</v>
      </c>
      <c r="G550" s="517"/>
      <c r="H550" s="517"/>
      <c r="I550" s="369"/>
      <c r="J550" s="517">
        <f>J533</f>
        <v>2027</v>
      </c>
      <c r="K550" s="517"/>
      <c r="L550" s="517"/>
      <c r="M550" s="347"/>
      <c r="N550" s="347"/>
    </row>
    <row r="551" spans="1:14" x14ac:dyDescent="0.2">
      <c r="A551" s="370"/>
      <c r="B551" s="371" t="s">
        <v>387</v>
      </c>
      <c r="C551" s="371" t="s">
        <v>388</v>
      </c>
      <c r="D551" s="371" t="s">
        <v>32</v>
      </c>
      <c r="E551" s="371"/>
      <c r="F551" s="371" t="s">
        <v>387</v>
      </c>
      <c r="G551" s="371" t="s">
        <v>388</v>
      </c>
      <c r="H551" s="371" t="s">
        <v>32</v>
      </c>
      <c r="I551" s="371"/>
      <c r="J551" s="371" t="s">
        <v>387</v>
      </c>
      <c r="K551" s="371" t="s">
        <v>388</v>
      </c>
      <c r="L551" s="371" t="s">
        <v>32</v>
      </c>
      <c r="M551" s="347"/>
      <c r="N551" s="347"/>
    </row>
    <row r="552" spans="1:14" s="286" customFormat="1" x14ac:dyDescent="0.2">
      <c r="A552" s="374"/>
      <c r="B552" s="375"/>
      <c r="C552" s="375"/>
      <c r="D552" s="375"/>
      <c r="E552" s="375"/>
      <c r="F552" s="375"/>
      <c r="G552" s="375"/>
      <c r="H552" s="375"/>
      <c r="I552" s="375"/>
      <c r="J552" s="375"/>
      <c r="K552" s="375"/>
      <c r="L552" s="375"/>
      <c r="M552" s="347"/>
      <c r="N552" s="347"/>
    </row>
    <row r="553" spans="1:14" x14ac:dyDescent="0.2">
      <c r="A553" s="362" t="str">
        <f>name!E$4</f>
        <v>Managers, directors and senior officials</v>
      </c>
      <c r="B553" s="440">
        <v>0.79064609911993555</v>
      </c>
      <c r="C553" s="440">
        <v>5.2781928322015217</v>
      </c>
      <c r="D553" s="440">
        <f>SUM(B553:C553)</f>
        <v>6.0688389313214568</v>
      </c>
      <c r="E553" s="441"/>
      <c r="F553" s="440">
        <v>0.96546477735102076</v>
      </c>
      <c r="G553" s="440">
        <v>5.4539559849466022</v>
      </c>
      <c r="H553" s="440">
        <f>SUM(F553:G553)</f>
        <v>6.4194207622976229</v>
      </c>
      <c r="I553" s="441"/>
      <c r="J553" s="440">
        <v>1.256110414595121</v>
      </c>
      <c r="K553" s="440">
        <v>5.1679214381804561</v>
      </c>
      <c r="L553" s="440">
        <f>SUM(J553:K553)</f>
        <v>6.4240318527755775</v>
      </c>
      <c r="M553" s="347"/>
      <c r="N553" s="347"/>
    </row>
    <row r="554" spans="1:14" x14ac:dyDescent="0.2">
      <c r="A554" s="362" t="str">
        <f>name!E$5</f>
        <v>Professional occupations</v>
      </c>
      <c r="B554" s="440">
        <v>0.49647176272533067</v>
      </c>
      <c r="C554" s="440">
        <v>1.9899980661178465</v>
      </c>
      <c r="D554" s="440">
        <f t="shared" ref="D554:D561" si="208">SUM(B554:C554)</f>
        <v>2.4864698288431772</v>
      </c>
      <c r="E554" s="441"/>
      <c r="F554" s="440">
        <v>0.53321270310296354</v>
      </c>
      <c r="G554" s="440">
        <v>1.8691004214971019</v>
      </c>
      <c r="H554" s="440">
        <f t="shared" ref="H554:H561" si="209">SUM(F554:G554)</f>
        <v>2.4023131246000653</v>
      </c>
      <c r="I554" s="441"/>
      <c r="J554" s="440">
        <v>0.68200279319360901</v>
      </c>
      <c r="K554" s="440">
        <v>1.7712070521295367</v>
      </c>
      <c r="L554" s="440">
        <f t="shared" ref="L554:L561" si="210">SUM(J554:K554)</f>
        <v>2.4532098453231459</v>
      </c>
      <c r="M554" s="347"/>
      <c r="N554" s="347"/>
    </row>
    <row r="555" spans="1:14" x14ac:dyDescent="0.2">
      <c r="A555" s="362" t="str">
        <f>name!E$6</f>
        <v>Associate professional and technical</v>
      </c>
      <c r="B555" s="440">
        <v>1.0987756953182388</v>
      </c>
      <c r="C555" s="440">
        <v>3.8621364991867302</v>
      </c>
      <c r="D555" s="440">
        <f t="shared" si="208"/>
        <v>4.960912194504969</v>
      </c>
      <c r="E555" s="441"/>
      <c r="F555" s="440">
        <v>1.3217652595404932</v>
      </c>
      <c r="G555" s="440">
        <v>3.6038569177360955</v>
      </c>
      <c r="H555" s="440">
        <f t="shared" si="209"/>
        <v>4.9256221772765887</v>
      </c>
      <c r="I555" s="441"/>
      <c r="J555" s="440">
        <v>1.5011423107750759</v>
      </c>
      <c r="K555" s="440">
        <v>3.4537852797463406</v>
      </c>
      <c r="L555" s="440">
        <f t="shared" si="210"/>
        <v>4.9549275905214163</v>
      </c>
      <c r="M555" s="347"/>
      <c r="N555" s="347"/>
    </row>
    <row r="556" spans="1:14" x14ac:dyDescent="0.2">
      <c r="A556" s="362" t="str">
        <f>name!E$7</f>
        <v>Administrative and secretarial</v>
      </c>
      <c r="B556" s="440">
        <v>3.9245243622012138</v>
      </c>
      <c r="C556" s="440">
        <v>2.1552678135384289</v>
      </c>
      <c r="D556" s="440">
        <f t="shared" si="208"/>
        <v>6.0797921757396427</v>
      </c>
      <c r="E556" s="441"/>
      <c r="F556" s="440">
        <v>3.5375840084806196</v>
      </c>
      <c r="G556" s="440">
        <v>2.0740216042012216</v>
      </c>
      <c r="H556" s="440">
        <f t="shared" si="209"/>
        <v>5.6116056126818412</v>
      </c>
      <c r="I556" s="441"/>
      <c r="J556" s="440">
        <v>2.8617012017090602</v>
      </c>
      <c r="K556" s="440">
        <v>2.0009617741450012</v>
      </c>
      <c r="L556" s="440">
        <f t="shared" si="210"/>
        <v>4.8626629758540609</v>
      </c>
      <c r="M556" s="347"/>
      <c r="N556" s="347"/>
    </row>
    <row r="557" spans="1:14" x14ac:dyDescent="0.2">
      <c r="A557" s="362" t="str">
        <f>name!E$8</f>
        <v>Skilled trades occupations</v>
      </c>
      <c r="B557" s="440">
        <v>0.14779991285801283</v>
      </c>
      <c r="C557" s="440">
        <v>2.1393159971675613</v>
      </c>
      <c r="D557" s="440">
        <f t="shared" si="208"/>
        <v>2.287115910025574</v>
      </c>
      <c r="E557" s="441"/>
      <c r="F557" s="440">
        <v>0.17531834118211459</v>
      </c>
      <c r="G557" s="440">
        <v>2.4594620425421438</v>
      </c>
      <c r="H557" s="440">
        <f t="shared" si="209"/>
        <v>2.6347803837242583</v>
      </c>
      <c r="I557" s="441"/>
      <c r="J557" s="440">
        <v>0.15931782091170663</v>
      </c>
      <c r="K557" s="440">
        <v>1.9998938699383264</v>
      </c>
      <c r="L557" s="440">
        <f t="shared" si="210"/>
        <v>2.1592116908500332</v>
      </c>
      <c r="M557" s="347"/>
      <c r="N557" s="347"/>
    </row>
    <row r="558" spans="1:14" x14ac:dyDescent="0.2">
      <c r="A558" s="362" t="str">
        <f>name!E$9</f>
        <v>Caring, leisure and other service</v>
      </c>
      <c r="B558" s="440">
        <v>8.3057035322263148E-2</v>
      </c>
      <c r="C558" s="440">
        <v>5.0162755073010518E-2</v>
      </c>
      <c r="D558" s="440">
        <f t="shared" si="208"/>
        <v>0.13321979039527365</v>
      </c>
      <c r="E558" s="441"/>
      <c r="F558" s="440">
        <v>9.4016449990634049E-2</v>
      </c>
      <c r="G558" s="440">
        <v>4.6839877712998822E-2</v>
      </c>
      <c r="H558" s="440">
        <f t="shared" si="209"/>
        <v>0.14085632770363288</v>
      </c>
      <c r="I558" s="441"/>
      <c r="J558" s="440">
        <v>0.11000766186022483</v>
      </c>
      <c r="K558" s="440">
        <v>5.4170352765127834E-2</v>
      </c>
      <c r="L558" s="440">
        <f t="shared" si="210"/>
        <v>0.16417801462535267</v>
      </c>
      <c r="M558" s="347"/>
      <c r="N558" s="347"/>
    </row>
    <row r="559" spans="1:14" x14ac:dyDescent="0.2">
      <c r="A559" s="362" t="str">
        <f>name!E$10</f>
        <v>Sales and customer service</v>
      </c>
      <c r="B559" s="440">
        <v>1.5901936552436988</v>
      </c>
      <c r="C559" s="440">
        <v>2.090605739688022</v>
      </c>
      <c r="D559" s="440">
        <f t="shared" si="208"/>
        <v>3.6807993949317206</v>
      </c>
      <c r="E559" s="441"/>
      <c r="F559" s="440">
        <v>1.5466817335028171</v>
      </c>
      <c r="G559" s="440">
        <v>1.7827355923660346</v>
      </c>
      <c r="H559" s="440">
        <f t="shared" si="209"/>
        <v>3.3294173258688518</v>
      </c>
      <c r="I559" s="441"/>
      <c r="J559" s="440">
        <v>1.3819487736890124</v>
      </c>
      <c r="K559" s="440">
        <v>1.5395011346802496</v>
      </c>
      <c r="L559" s="440">
        <f t="shared" si="210"/>
        <v>2.921449908369262</v>
      </c>
      <c r="M559" s="347"/>
      <c r="N559" s="347"/>
    </row>
    <row r="560" spans="1:14" x14ac:dyDescent="0.2">
      <c r="A560" s="362" t="str">
        <f>name!E$11</f>
        <v>Process, plant and machine operatives</v>
      </c>
      <c r="B560" s="440">
        <v>0.98546807151848237</v>
      </c>
      <c r="C560" s="440">
        <v>5.5723659722340955</v>
      </c>
      <c r="D560" s="440">
        <f t="shared" si="208"/>
        <v>6.5578340437525782</v>
      </c>
      <c r="E560" s="441"/>
      <c r="F560" s="440">
        <v>1.5911429140726239</v>
      </c>
      <c r="G560" s="440">
        <v>6.1013819368731479</v>
      </c>
      <c r="H560" s="440">
        <f t="shared" si="209"/>
        <v>7.6925248509457713</v>
      </c>
      <c r="I560" s="441"/>
      <c r="J560" s="440">
        <v>1.1102701820718686</v>
      </c>
      <c r="K560" s="440">
        <v>5.5006990159264921</v>
      </c>
      <c r="L560" s="440">
        <f t="shared" si="210"/>
        <v>6.6109691979983607</v>
      </c>
      <c r="M560" s="347"/>
      <c r="N560" s="347"/>
    </row>
    <row r="561" spans="1:14" x14ac:dyDescent="0.2">
      <c r="A561" s="362" t="str">
        <f>name!E$12</f>
        <v>Elementary occupations</v>
      </c>
      <c r="B561" s="440">
        <v>1.3040634055299678</v>
      </c>
      <c r="C561" s="440">
        <v>4.440954324823335</v>
      </c>
      <c r="D561" s="440">
        <f t="shared" si="208"/>
        <v>5.745017730353303</v>
      </c>
      <c r="E561" s="441"/>
      <c r="F561" s="440">
        <v>1.7078138129870899</v>
      </c>
      <c r="G561" s="440">
        <v>4.4046456221559458</v>
      </c>
      <c r="H561" s="440">
        <f t="shared" si="209"/>
        <v>6.1124594351430357</v>
      </c>
      <c r="I561" s="441"/>
      <c r="J561" s="440">
        <v>1.8224988412921208</v>
      </c>
      <c r="K561" s="440">
        <v>4.0528600821634173</v>
      </c>
      <c r="L561" s="440">
        <f t="shared" si="210"/>
        <v>5.8753589234555381</v>
      </c>
      <c r="M561" s="347"/>
      <c r="N561" s="347"/>
    </row>
    <row r="562" spans="1:14" s="286" customFormat="1" x14ac:dyDescent="0.2">
      <c r="A562" s="362"/>
      <c r="B562" s="440"/>
      <c r="C562" s="440"/>
      <c r="D562" s="440"/>
      <c r="E562" s="441"/>
      <c r="F562" s="440"/>
      <c r="G562" s="440"/>
      <c r="H562" s="440"/>
      <c r="I562" s="441"/>
      <c r="J562" s="440"/>
      <c r="K562" s="440"/>
      <c r="L562" s="440"/>
      <c r="M562" s="347"/>
      <c r="N562" s="347"/>
    </row>
    <row r="563" spans="1:14" x14ac:dyDescent="0.2">
      <c r="A563" s="357" t="s">
        <v>32</v>
      </c>
      <c r="B563" s="450">
        <f>SUM(B553:B561)</f>
        <v>10.420999999837145</v>
      </c>
      <c r="C563" s="450">
        <f t="shared" ref="C563:D563" si="211">SUM(C553:C561)</f>
        <v>27.57900000003055</v>
      </c>
      <c r="D563" s="450">
        <f t="shared" si="211"/>
        <v>37.999999999867697</v>
      </c>
      <c r="E563" s="450"/>
      <c r="F563" s="450">
        <f t="shared" ref="F563:H563" si="212">SUM(F553:F561)</f>
        <v>11.473000000210376</v>
      </c>
      <c r="G563" s="450">
        <f t="shared" si="212"/>
        <v>27.796000000031292</v>
      </c>
      <c r="H563" s="450">
        <f t="shared" si="212"/>
        <v>39.269000000241675</v>
      </c>
      <c r="I563" s="450"/>
      <c r="J563" s="450">
        <f t="shared" ref="J563:L563" si="213">SUM(J553:J561)</f>
        <v>10.885000000097801</v>
      </c>
      <c r="K563" s="450">
        <f t="shared" si="213"/>
        <v>25.540999999674948</v>
      </c>
      <c r="L563" s="450">
        <f t="shared" si="213"/>
        <v>36.425999999772749</v>
      </c>
      <c r="M563" s="347"/>
      <c r="N563" s="347"/>
    </row>
    <row r="564" spans="1:14" x14ac:dyDescent="0.2">
      <c r="A564" s="348"/>
      <c r="B564" s="348"/>
      <c r="C564" s="348"/>
      <c r="D564" s="348"/>
      <c r="E564" s="348"/>
      <c r="F564" s="348"/>
      <c r="G564" s="348"/>
      <c r="H564" s="348"/>
      <c r="I564" s="348"/>
      <c r="J564" s="348"/>
      <c r="K564" s="348"/>
      <c r="L564" s="353"/>
      <c r="M564" s="347"/>
      <c r="N564" s="347"/>
    </row>
    <row r="565" spans="1:14" x14ac:dyDescent="0.2">
      <c r="A565" s="348"/>
      <c r="B565" s="348"/>
      <c r="C565" s="348"/>
      <c r="D565" s="348"/>
      <c r="E565" s="348"/>
      <c r="F565" s="348"/>
      <c r="G565" s="348"/>
      <c r="H565" s="348"/>
      <c r="I565" s="348"/>
      <c r="J565" s="348"/>
      <c r="K565" s="348"/>
      <c r="L565" s="372" t="s">
        <v>35</v>
      </c>
      <c r="M565" s="347"/>
      <c r="N565" s="347"/>
    </row>
    <row r="566" spans="1:14" x14ac:dyDescent="0.2">
      <c r="A566" s="355"/>
      <c r="B566" s="365"/>
      <c r="C566" s="365"/>
      <c r="D566" s="365"/>
      <c r="E566" s="365"/>
      <c r="F566" s="365"/>
      <c r="G566" s="365"/>
      <c r="H566" s="365"/>
      <c r="I566" s="365"/>
      <c r="J566" s="365"/>
      <c r="K566" s="365"/>
      <c r="L566" s="347"/>
      <c r="M566" s="347"/>
      <c r="N566" s="347"/>
    </row>
    <row r="567" spans="1:14" x14ac:dyDescent="0.2">
      <c r="A567" s="354" t="str">
        <f>name!A36</f>
        <v>Retail trade</v>
      </c>
      <c r="B567" s="517">
        <f>B$6</f>
        <v>2007</v>
      </c>
      <c r="C567" s="517"/>
      <c r="D567" s="517"/>
      <c r="E567" s="369"/>
      <c r="F567" s="517">
        <f>F550</f>
        <v>2017</v>
      </c>
      <c r="G567" s="517"/>
      <c r="H567" s="517"/>
      <c r="I567" s="369"/>
      <c r="J567" s="517">
        <f>J550</f>
        <v>2027</v>
      </c>
      <c r="K567" s="517"/>
      <c r="L567" s="517"/>
      <c r="M567" s="347"/>
      <c r="N567" s="347"/>
    </row>
    <row r="568" spans="1:14" x14ac:dyDescent="0.2">
      <c r="A568" s="370"/>
      <c r="B568" s="371" t="s">
        <v>387</v>
      </c>
      <c r="C568" s="371" t="s">
        <v>388</v>
      </c>
      <c r="D568" s="371" t="s">
        <v>32</v>
      </c>
      <c r="E568" s="371"/>
      <c r="F568" s="371" t="s">
        <v>387</v>
      </c>
      <c r="G568" s="371" t="s">
        <v>388</v>
      </c>
      <c r="H568" s="371" t="s">
        <v>32</v>
      </c>
      <c r="I568" s="371"/>
      <c r="J568" s="371" t="s">
        <v>387</v>
      </c>
      <c r="K568" s="371" t="s">
        <v>388</v>
      </c>
      <c r="L568" s="371" t="s">
        <v>32</v>
      </c>
      <c r="M568" s="347"/>
      <c r="N568" s="347"/>
    </row>
    <row r="569" spans="1:14" s="286" customFormat="1" x14ac:dyDescent="0.2">
      <c r="A569" s="374"/>
      <c r="B569" s="375"/>
      <c r="C569" s="375"/>
      <c r="D569" s="375"/>
      <c r="E569" s="375"/>
      <c r="F569" s="375"/>
      <c r="G569" s="375"/>
      <c r="H569" s="375"/>
      <c r="I569" s="375"/>
      <c r="J569" s="375"/>
      <c r="K569" s="375"/>
      <c r="L569" s="375"/>
      <c r="M569" s="347"/>
      <c r="N569" s="347"/>
    </row>
    <row r="570" spans="1:14" x14ac:dyDescent="0.2">
      <c r="A570" s="362" t="str">
        <f>name!E$4</f>
        <v>Managers, directors and senior officials</v>
      </c>
      <c r="B570" s="440">
        <v>5.9514946539690703</v>
      </c>
      <c r="C570" s="440">
        <v>8.9017342453333992</v>
      </c>
      <c r="D570" s="440">
        <f>SUM(B570:C570)</f>
        <v>14.853228899302469</v>
      </c>
      <c r="E570" s="441"/>
      <c r="F570" s="440">
        <v>8.8862292849832549</v>
      </c>
      <c r="G570" s="440">
        <v>9.6002011313183573</v>
      </c>
      <c r="H570" s="440">
        <f>SUM(F570:G570)</f>
        <v>18.486430416301612</v>
      </c>
      <c r="I570" s="441"/>
      <c r="J570" s="440">
        <v>10.657961070166316</v>
      </c>
      <c r="K570" s="440">
        <v>9.2988040815933122</v>
      </c>
      <c r="L570" s="440">
        <f>SUM(J570:K570)</f>
        <v>19.956765151759626</v>
      </c>
      <c r="M570" s="347"/>
      <c r="N570" s="347"/>
    </row>
    <row r="571" spans="1:14" x14ac:dyDescent="0.2">
      <c r="A571" s="362" t="str">
        <f>name!E$5</f>
        <v>Professional occupations</v>
      </c>
      <c r="B571" s="440">
        <v>2.9453103436223365</v>
      </c>
      <c r="C571" s="440">
        <v>2.9581846560660368</v>
      </c>
      <c r="D571" s="440">
        <f t="shared" ref="D571:D578" si="214">SUM(B571:C571)</f>
        <v>5.9034949996883732</v>
      </c>
      <c r="E571" s="441"/>
      <c r="F571" s="440">
        <v>4.2590239486907908</v>
      </c>
      <c r="G571" s="440">
        <v>3.5689522859202856</v>
      </c>
      <c r="H571" s="440">
        <f t="shared" ref="H571:H578" si="215">SUM(F571:G571)</f>
        <v>7.8279762346110768</v>
      </c>
      <c r="I571" s="441"/>
      <c r="J571" s="440">
        <v>6.1048965793714514</v>
      </c>
      <c r="K571" s="440">
        <v>4.9006316608590117</v>
      </c>
      <c r="L571" s="440">
        <f t="shared" ref="L571:L578" si="216">SUM(J571:K571)</f>
        <v>11.005528240230463</v>
      </c>
      <c r="M571" s="347"/>
      <c r="N571" s="347"/>
    </row>
    <row r="572" spans="1:14" x14ac:dyDescent="0.2">
      <c r="A572" s="362" t="str">
        <f>name!E$6</f>
        <v>Associate professional and technical</v>
      </c>
      <c r="B572" s="440">
        <v>3.3071817491934907</v>
      </c>
      <c r="C572" s="440">
        <v>3.5367908218856456</v>
      </c>
      <c r="D572" s="440">
        <f t="shared" si="214"/>
        <v>6.8439725710791368</v>
      </c>
      <c r="E572" s="441"/>
      <c r="F572" s="440">
        <v>3.9075220846483654</v>
      </c>
      <c r="G572" s="440">
        <v>3.6038240055233772</v>
      </c>
      <c r="H572" s="440">
        <f t="shared" si="215"/>
        <v>7.5113460901717426</v>
      </c>
      <c r="I572" s="441"/>
      <c r="J572" s="440">
        <v>5.1492344794678377</v>
      </c>
      <c r="K572" s="440">
        <v>4.133832442276006</v>
      </c>
      <c r="L572" s="440">
        <f t="shared" si="216"/>
        <v>9.2830669217438437</v>
      </c>
      <c r="M572" s="347"/>
      <c r="N572" s="347"/>
    </row>
    <row r="573" spans="1:14" x14ac:dyDescent="0.2">
      <c r="A573" s="362" t="str">
        <f>name!E$7</f>
        <v>Administrative and secretarial</v>
      </c>
      <c r="B573" s="440">
        <v>7.6499394819374418</v>
      </c>
      <c r="C573" s="440">
        <v>2.1786654768361826</v>
      </c>
      <c r="D573" s="440">
        <f t="shared" si="214"/>
        <v>9.8286049587736244</v>
      </c>
      <c r="E573" s="441"/>
      <c r="F573" s="440">
        <v>5.9694351753540627</v>
      </c>
      <c r="G573" s="440">
        <v>2.506759079557797</v>
      </c>
      <c r="H573" s="440">
        <f t="shared" si="215"/>
        <v>8.4761942549118601</v>
      </c>
      <c r="I573" s="441"/>
      <c r="J573" s="440">
        <v>5.8941653864804415</v>
      </c>
      <c r="K573" s="440">
        <v>3.4039677039281697</v>
      </c>
      <c r="L573" s="440">
        <f t="shared" si="216"/>
        <v>9.2981330904086121</v>
      </c>
      <c r="M573" s="347"/>
      <c r="N573" s="347"/>
    </row>
    <row r="574" spans="1:14" x14ac:dyDescent="0.2">
      <c r="A574" s="362" t="str">
        <f>name!E$8</f>
        <v>Skilled trades occupations</v>
      </c>
      <c r="B574" s="440">
        <v>2.2179229136417224</v>
      </c>
      <c r="C574" s="440">
        <v>4.8299417330863879</v>
      </c>
      <c r="D574" s="440">
        <f t="shared" si="214"/>
        <v>7.0478646467281099</v>
      </c>
      <c r="E574" s="441"/>
      <c r="F574" s="440">
        <v>2.0131019981168072</v>
      </c>
      <c r="G574" s="440">
        <v>5.1882169124942372</v>
      </c>
      <c r="H574" s="440">
        <f t="shared" si="215"/>
        <v>7.2013189106110449</v>
      </c>
      <c r="I574" s="441"/>
      <c r="J574" s="440">
        <v>1.8105811115467907</v>
      </c>
      <c r="K574" s="440">
        <v>4.8862675906917632</v>
      </c>
      <c r="L574" s="440">
        <f t="shared" si="216"/>
        <v>6.6968487022385537</v>
      </c>
      <c r="M574" s="347"/>
      <c r="N574" s="347"/>
    </row>
    <row r="575" spans="1:14" x14ac:dyDescent="0.2">
      <c r="A575" s="362" t="str">
        <f>name!E$9</f>
        <v>Caring, leisure and other service</v>
      </c>
      <c r="B575" s="440">
        <v>0.43696166251876162</v>
      </c>
      <c r="C575" s="440">
        <v>0.25180881452145548</v>
      </c>
      <c r="D575" s="440">
        <f t="shared" si="214"/>
        <v>0.6887704770402171</v>
      </c>
      <c r="E575" s="441"/>
      <c r="F575" s="440">
        <v>0.50932769133335221</v>
      </c>
      <c r="G575" s="440">
        <v>0.23347269958920983</v>
      </c>
      <c r="H575" s="440">
        <f t="shared" si="215"/>
        <v>0.742800390922562</v>
      </c>
      <c r="I575" s="441"/>
      <c r="J575" s="440">
        <v>0.58831250267803492</v>
      </c>
      <c r="K575" s="440">
        <v>0.35819757255854573</v>
      </c>
      <c r="L575" s="440">
        <f t="shared" si="216"/>
        <v>0.94651007523658071</v>
      </c>
      <c r="M575" s="347"/>
      <c r="N575" s="347"/>
    </row>
    <row r="576" spans="1:14" x14ac:dyDescent="0.2">
      <c r="A576" s="362" t="str">
        <f>name!E$10</f>
        <v>Sales and customer service</v>
      </c>
      <c r="B576" s="440">
        <v>62.646036676205163</v>
      </c>
      <c r="C576" s="440">
        <v>20.879652066340846</v>
      </c>
      <c r="D576" s="440">
        <f t="shared" si="214"/>
        <v>83.525688742546009</v>
      </c>
      <c r="E576" s="441"/>
      <c r="F576" s="440">
        <v>51.543502748902505</v>
      </c>
      <c r="G576" s="440">
        <v>16.465331313702016</v>
      </c>
      <c r="H576" s="440">
        <f t="shared" si="215"/>
        <v>68.008834062604521</v>
      </c>
      <c r="I576" s="441"/>
      <c r="J576" s="440">
        <v>45.483018709539323</v>
      </c>
      <c r="K576" s="440">
        <v>16.24987068000399</v>
      </c>
      <c r="L576" s="440">
        <f t="shared" si="216"/>
        <v>61.732889389543317</v>
      </c>
      <c r="M576" s="347"/>
      <c r="N576" s="347"/>
    </row>
    <row r="577" spans="1:14" x14ac:dyDescent="0.2">
      <c r="A577" s="362" t="str">
        <f>name!E$11</f>
        <v>Process, plant and machine operatives</v>
      </c>
      <c r="B577" s="440">
        <v>1.4673639694106213</v>
      </c>
      <c r="C577" s="440">
        <v>3.2282212044167391</v>
      </c>
      <c r="D577" s="440">
        <f t="shared" si="214"/>
        <v>4.6955851738273608</v>
      </c>
      <c r="E577" s="441"/>
      <c r="F577" s="440">
        <v>1.3532709397871323</v>
      </c>
      <c r="G577" s="440">
        <v>3.0442435468051827</v>
      </c>
      <c r="H577" s="440">
        <f t="shared" si="215"/>
        <v>4.397514486592315</v>
      </c>
      <c r="I577" s="441"/>
      <c r="J577" s="440">
        <v>0.98754260256132831</v>
      </c>
      <c r="K577" s="440">
        <v>4.3517475715871772</v>
      </c>
      <c r="L577" s="440">
        <f t="shared" si="216"/>
        <v>5.3392901741485055</v>
      </c>
      <c r="M577" s="347"/>
      <c r="N577" s="347"/>
    </row>
    <row r="578" spans="1:14" x14ac:dyDescent="0.2">
      <c r="A578" s="362" t="str">
        <f>name!E$12</f>
        <v>Elementary occupations</v>
      </c>
      <c r="B578" s="440">
        <v>7.6927885499257593</v>
      </c>
      <c r="C578" s="440">
        <v>9.5510009813102954</v>
      </c>
      <c r="D578" s="440">
        <f t="shared" si="214"/>
        <v>17.243789531236054</v>
      </c>
      <c r="E578" s="441"/>
      <c r="F578" s="440">
        <v>6.5735861322135243</v>
      </c>
      <c r="G578" s="440">
        <v>7.1419990250410246</v>
      </c>
      <c r="H578" s="440">
        <f t="shared" si="215"/>
        <v>13.715585157254548</v>
      </c>
      <c r="I578" s="441"/>
      <c r="J578" s="440">
        <v>6.1432875605578303</v>
      </c>
      <c r="K578" s="440">
        <v>10.764680695828934</v>
      </c>
      <c r="L578" s="440">
        <f t="shared" si="216"/>
        <v>16.907968256386766</v>
      </c>
      <c r="M578" s="347"/>
      <c r="N578" s="347"/>
    </row>
    <row r="579" spans="1:14" s="286" customFormat="1" x14ac:dyDescent="0.2">
      <c r="A579" s="362"/>
      <c r="B579" s="440"/>
      <c r="C579" s="440"/>
      <c r="D579" s="440"/>
      <c r="E579" s="441"/>
      <c r="F579" s="440"/>
      <c r="G579" s="440"/>
      <c r="H579" s="440"/>
      <c r="I579" s="441"/>
      <c r="J579" s="440"/>
      <c r="K579" s="440"/>
      <c r="L579" s="440"/>
      <c r="M579" s="347"/>
      <c r="N579" s="347"/>
    </row>
    <row r="580" spans="1:14" x14ac:dyDescent="0.2">
      <c r="A580" s="357" t="s">
        <v>32</v>
      </c>
      <c r="B580" s="450">
        <f>SUM(B570:B578)</f>
        <v>94.315000000424376</v>
      </c>
      <c r="C580" s="450">
        <f t="shared" ref="C580:D580" si="217">SUM(C570:C578)</f>
        <v>56.315999999796986</v>
      </c>
      <c r="D580" s="450">
        <f t="shared" si="217"/>
        <v>150.63100000022135</v>
      </c>
      <c r="E580" s="450"/>
      <c r="F580" s="450">
        <f t="shared" ref="F580:H580" si="218">SUM(F570:F578)</f>
        <v>85.015000004029801</v>
      </c>
      <c r="G580" s="450">
        <f t="shared" si="218"/>
        <v>51.352999999951493</v>
      </c>
      <c r="H580" s="450">
        <f t="shared" si="218"/>
        <v>136.36800000398128</v>
      </c>
      <c r="I580" s="450"/>
      <c r="J580" s="450">
        <f t="shared" ref="J580:L580" si="219">SUM(J570:J578)</f>
        <v>82.819000002369364</v>
      </c>
      <c r="K580" s="450">
        <f t="shared" si="219"/>
        <v>58.347999999326909</v>
      </c>
      <c r="L580" s="450">
        <f t="shared" si="219"/>
        <v>141.16700000169627</v>
      </c>
      <c r="M580" s="347"/>
      <c r="N580" s="347"/>
    </row>
    <row r="581" spans="1:14" x14ac:dyDescent="0.2">
      <c r="A581" s="348"/>
      <c r="B581" s="348"/>
      <c r="C581" s="348"/>
      <c r="D581" s="348"/>
      <c r="E581" s="348"/>
      <c r="F581" s="348"/>
      <c r="G581" s="348"/>
      <c r="H581" s="348"/>
      <c r="I581" s="348"/>
      <c r="J581" s="348"/>
      <c r="K581" s="348"/>
      <c r="L581" s="353"/>
      <c r="M581" s="347"/>
      <c r="N581" s="347"/>
    </row>
    <row r="582" spans="1:14" x14ac:dyDescent="0.2">
      <c r="A582" s="348"/>
      <c r="B582" s="348"/>
      <c r="C582" s="348"/>
      <c r="D582" s="348"/>
      <c r="E582" s="348"/>
      <c r="F582" s="348"/>
      <c r="G582" s="348"/>
      <c r="H582" s="348"/>
      <c r="I582" s="348"/>
      <c r="J582" s="348"/>
      <c r="K582" s="348"/>
      <c r="L582" s="372" t="s">
        <v>35</v>
      </c>
      <c r="M582" s="347"/>
      <c r="N582" s="347"/>
    </row>
    <row r="583" spans="1:14" x14ac:dyDescent="0.2">
      <c r="A583" s="355"/>
      <c r="B583" s="365"/>
      <c r="C583" s="365"/>
      <c r="D583" s="365"/>
      <c r="E583" s="365"/>
      <c r="F583" s="365"/>
      <c r="G583" s="365"/>
      <c r="H583" s="365"/>
      <c r="I583" s="365"/>
      <c r="J583" s="365"/>
      <c r="K583" s="365"/>
      <c r="L583" s="347"/>
      <c r="M583" s="347"/>
      <c r="N583" s="347"/>
    </row>
    <row r="584" spans="1:14" x14ac:dyDescent="0.2">
      <c r="A584" s="354" t="str">
        <f>name!A37</f>
        <v>Land transport, etc</v>
      </c>
      <c r="B584" s="517">
        <f>B$6</f>
        <v>2007</v>
      </c>
      <c r="C584" s="517"/>
      <c r="D584" s="517"/>
      <c r="E584" s="369"/>
      <c r="F584" s="517">
        <f>F567</f>
        <v>2017</v>
      </c>
      <c r="G584" s="517"/>
      <c r="H584" s="517"/>
      <c r="I584" s="369"/>
      <c r="J584" s="517">
        <f>J567</f>
        <v>2027</v>
      </c>
      <c r="K584" s="517"/>
      <c r="L584" s="517"/>
      <c r="M584" s="347"/>
      <c r="N584" s="347"/>
    </row>
    <row r="585" spans="1:14" x14ac:dyDescent="0.2">
      <c r="A585" s="370"/>
      <c r="B585" s="371" t="s">
        <v>387</v>
      </c>
      <c r="C585" s="371" t="s">
        <v>388</v>
      </c>
      <c r="D585" s="371" t="s">
        <v>32</v>
      </c>
      <c r="E585" s="371"/>
      <c r="F585" s="371" t="s">
        <v>387</v>
      </c>
      <c r="G585" s="371" t="s">
        <v>388</v>
      </c>
      <c r="H585" s="371" t="s">
        <v>32</v>
      </c>
      <c r="I585" s="371"/>
      <c r="J585" s="371" t="s">
        <v>387</v>
      </c>
      <c r="K585" s="371" t="s">
        <v>388</v>
      </c>
      <c r="L585" s="371" t="s">
        <v>32</v>
      </c>
      <c r="M585" s="347"/>
      <c r="N585" s="347"/>
    </row>
    <row r="586" spans="1:14" s="286" customFormat="1" x14ac:dyDescent="0.2">
      <c r="A586" s="374"/>
      <c r="B586" s="375"/>
      <c r="C586" s="375"/>
      <c r="D586" s="375"/>
      <c r="E586" s="375"/>
      <c r="F586" s="375"/>
      <c r="G586" s="375"/>
      <c r="H586" s="375"/>
      <c r="I586" s="375"/>
      <c r="J586" s="375"/>
      <c r="K586" s="375"/>
      <c r="L586" s="375"/>
      <c r="M586" s="347"/>
      <c r="N586" s="347"/>
    </row>
    <row r="587" spans="1:14" x14ac:dyDescent="0.2">
      <c r="A587" s="362" t="str">
        <f>name!E$4</f>
        <v>Managers, directors and senior officials</v>
      </c>
      <c r="B587" s="440">
        <v>0.21555870037868197</v>
      </c>
      <c r="C587" s="440">
        <v>1.1231777973367942</v>
      </c>
      <c r="D587" s="440">
        <f>SUM(B587:C587)</f>
        <v>1.3387364977154763</v>
      </c>
      <c r="E587" s="441"/>
      <c r="F587" s="440">
        <v>0.37615345516532922</v>
      </c>
      <c r="G587" s="440">
        <v>1.0945895418160143</v>
      </c>
      <c r="H587" s="440">
        <f>SUM(F587:G587)</f>
        <v>1.4707429969813435</v>
      </c>
      <c r="I587" s="441"/>
      <c r="J587" s="440">
        <v>0.53006954994409217</v>
      </c>
      <c r="K587" s="440">
        <v>1.0706760856858009</v>
      </c>
      <c r="L587" s="440">
        <f>SUM(J587:K587)</f>
        <v>1.600745635629893</v>
      </c>
      <c r="M587" s="347"/>
      <c r="N587" s="347"/>
    </row>
    <row r="588" spans="1:14" x14ac:dyDescent="0.2">
      <c r="A588" s="362" t="str">
        <f>name!E$5</f>
        <v>Professional occupations</v>
      </c>
      <c r="B588" s="440">
        <v>0.15507091206876997</v>
      </c>
      <c r="C588" s="440">
        <v>0.75846282663737941</v>
      </c>
      <c r="D588" s="440">
        <f t="shared" ref="D588:D595" si="220">SUM(B588:C588)</f>
        <v>0.9135337387061494</v>
      </c>
      <c r="E588" s="441"/>
      <c r="F588" s="440">
        <v>0.18256457569809842</v>
      </c>
      <c r="G588" s="440">
        <v>0.58817311525158245</v>
      </c>
      <c r="H588" s="440">
        <f t="shared" ref="H588:H595" si="221">SUM(F588:G588)</f>
        <v>0.77073769094968081</v>
      </c>
      <c r="I588" s="441"/>
      <c r="J588" s="440">
        <v>0.34683830727630971</v>
      </c>
      <c r="K588" s="440">
        <v>0.56786319042714739</v>
      </c>
      <c r="L588" s="440">
        <f t="shared" ref="L588:L595" si="222">SUM(J588:K588)</f>
        <v>0.9147014977034571</v>
      </c>
      <c r="M588" s="347"/>
      <c r="N588" s="347"/>
    </row>
    <row r="589" spans="1:14" x14ac:dyDescent="0.2">
      <c r="A589" s="362" t="str">
        <f>name!E$6</f>
        <v>Associate professional and technical</v>
      </c>
      <c r="B589" s="440">
        <v>0.20390864291701769</v>
      </c>
      <c r="C589" s="440">
        <v>1.351989807517284</v>
      </c>
      <c r="D589" s="440">
        <f t="shared" si="220"/>
        <v>1.5558984504343016</v>
      </c>
      <c r="E589" s="441"/>
      <c r="F589" s="440">
        <v>0.22600641710288638</v>
      </c>
      <c r="G589" s="440">
        <v>1.3845267742989169</v>
      </c>
      <c r="H589" s="440">
        <f t="shared" si="221"/>
        <v>1.6105331914018033</v>
      </c>
      <c r="I589" s="441"/>
      <c r="J589" s="440">
        <v>0.39799046265900706</v>
      </c>
      <c r="K589" s="440">
        <v>1.3534236584192019</v>
      </c>
      <c r="L589" s="440">
        <f t="shared" si="222"/>
        <v>1.7514141210782088</v>
      </c>
      <c r="M589" s="347"/>
      <c r="N589" s="347"/>
    </row>
    <row r="590" spans="1:14" x14ac:dyDescent="0.2">
      <c r="A590" s="362" t="str">
        <f>name!E$7</f>
        <v>Administrative and secretarial</v>
      </c>
      <c r="B590" s="440">
        <v>1.0826172852041858</v>
      </c>
      <c r="C590" s="440">
        <v>0.99978333140185938</v>
      </c>
      <c r="D590" s="440">
        <f t="shared" si="220"/>
        <v>2.0824006166060451</v>
      </c>
      <c r="E590" s="441"/>
      <c r="F590" s="440">
        <v>0.96478692189116544</v>
      </c>
      <c r="G590" s="440">
        <v>1.1307314883470014</v>
      </c>
      <c r="H590" s="440">
        <f t="shared" si="221"/>
        <v>2.0955184102381668</v>
      </c>
      <c r="I590" s="441"/>
      <c r="J590" s="440">
        <v>1.207178974482636</v>
      </c>
      <c r="K590" s="440">
        <v>0.93401104553837544</v>
      </c>
      <c r="L590" s="440">
        <f t="shared" si="222"/>
        <v>2.1411900200210114</v>
      </c>
      <c r="M590" s="347"/>
      <c r="N590" s="347"/>
    </row>
    <row r="591" spans="1:14" x14ac:dyDescent="0.2">
      <c r="A591" s="362" t="str">
        <f>name!E$8</f>
        <v>Skilled trades occupations</v>
      </c>
      <c r="B591" s="440">
        <v>3.6975667215560407E-2</v>
      </c>
      <c r="C591" s="440">
        <v>1.7505351928104729</v>
      </c>
      <c r="D591" s="440">
        <f t="shared" si="220"/>
        <v>1.7875108600260332</v>
      </c>
      <c r="E591" s="441"/>
      <c r="F591" s="440">
        <v>4.1813207183487994E-2</v>
      </c>
      <c r="G591" s="440">
        <v>1.4458280349179027</v>
      </c>
      <c r="H591" s="440">
        <f t="shared" si="221"/>
        <v>1.4876412421013907</v>
      </c>
      <c r="I591" s="441"/>
      <c r="J591" s="440">
        <v>6.2892952753660747E-2</v>
      </c>
      <c r="K591" s="440">
        <v>1.1832973458103984</v>
      </c>
      <c r="L591" s="440">
        <f t="shared" si="222"/>
        <v>1.2461902985640592</v>
      </c>
      <c r="M591" s="347"/>
      <c r="N591" s="347"/>
    </row>
    <row r="592" spans="1:14" x14ac:dyDescent="0.2">
      <c r="A592" s="362" t="str">
        <f>name!E$9</f>
        <v>Caring, leisure and other service</v>
      </c>
      <c r="B592" s="440">
        <v>0.25190422794278045</v>
      </c>
      <c r="C592" s="440">
        <v>0.41057362660237157</v>
      </c>
      <c r="D592" s="440">
        <f t="shared" si="220"/>
        <v>0.66247785454515196</v>
      </c>
      <c r="E592" s="441"/>
      <c r="F592" s="440">
        <v>0.37447856681748393</v>
      </c>
      <c r="G592" s="440">
        <v>0.55935120712227338</v>
      </c>
      <c r="H592" s="440">
        <f t="shared" si="221"/>
        <v>0.9338297739397573</v>
      </c>
      <c r="I592" s="441"/>
      <c r="J592" s="440">
        <v>0.73258291780246654</v>
      </c>
      <c r="K592" s="440">
        <v>0.60526358935785729</v>
      </c>
      <c r="L592" s="440">
        <f t="shared" si="222"/>
        <v>1.3378465071603238</v>
      </c>
      <c r="M592" s="347"/>
      <c r="N592" s="347"/>
    </row>
    <row r="593" spans="1:14" x14ac:dyDescent="0.2">
      <c r="A593" s="362" t="str">
        <f>name!E$10</f>
        <v>Sales and customer service</v>
      </c>
      <c r="B593" s="440">
        <v>0.16209605397005439</v>
      </c>
      <c r="C593" s="440">
        <v>0.28033656575001559</v>
      </c>
      <c r="D593" s="440">
        <f t="shared" si="220"/>
        <v>0.44243261972006998</v>
      </c>
      <c r="E593" s="441"/>
      <c r="F593" s="440">
        <v>0.17230241057232695</v>
      </c>
      <c r="G593" s="440">
        <v>0.30245511289810245</v>
      </c>
      <c r="H593" s="440">
        <f t="shared" si="221"/>
        <v>0.47475752347042943</v>
      </c>
      <c r="I593" s="441"/>
      <c r="J593" s="440">
        <v>0.31224829051229908</v>
      </c>
      <c r="K593" s="440">
        <v>0.32251136634015193</v>
      </c>
      <c r="L593" s="440">
        <f t="shared" si="222"/>
        <v>0.63475965685245095</v>
      </c>
      <c r="M593" s="347"/>
      <c r="N593" s="347"/>
    </row>
    <row r="594" spans="1:14" x14ac:dyDescent="0.2">
      <c r="A594" s="362" t="str">
        <f>name!E$11</f>
        <v>Process, plant and machine operatives</v>
      </c>
      <c r="B594" s="440">
        <v>0.31947719327977336</v>
      </c>
      <c r="C594" s="440">
        <v>14.604349293097705</v>
      </c>
      <c r="D594" s="440">
        <f t="shared" si="220"/>
        <v>14.923826486377479</v>
      </c>
      <c r="E594" s="441"/>
      <c r="F594" s="440">
        <v>0.46919173910679352</v>
      </c>
      <c r="G594" s="440">
        <v>10.205011303301085</v>
      </c>
      <c r="H594" s="440">
        <f t="shared" si="221"/>
        <v>10.674203042407878</v>
      </c>
      <c r="I594" s="441"/>
      <c r="J594" s="440">
        <v>0.63392936904855524</v>
      </c>
      <c r="K594" s="440">
        <v>9.4459191433499665</v>
      </c>
      <c r="L594" s="440">
        <f t="shared" si="222"/>
        <v>10.079848512398522</v>
      </c>
      <c r="M594" s="347"/>
      <c r="N594" s="347"/>
    </row>
    <row r="595" spans="1:14" x14ac:dyDescent="0.2">
      <c r="A595" s="362" t="str">
        <f>name!E$12</f>
        <v>Elementary occupations</v>
      </c>
      <c r="B595" s="440">
        <v>0.17539131699037169</v>
      </c>
      <c r="C595" s="440">
        <v>1.0097915589440758</v>
      </c>
      <c r="D595" s="440">
        <f t="shared" si="220"/>
        <v>1.1851828759344474</v>
      </c>
      <c r="E595" s="441"/>
      <c r="F595" s="440">
        <v>0.14970270651767181</v>
      </c>
      <c r="G595" s="440">
        <v>0.88233342246257074</v>
      </c>
      <c r="H595" s="440">
        <f t="shared" si="221"/>
        <v>1.0320361289802427</v>
      </c>
      <c r="I595" s="441"/>
      <c r="J595" s="440">
        <v>0.20726917555849633</v>
      </c>
      <c r="K595" s="440">
        <v>0.68103457482277052</v>
      </c>
      <c r="L595" s="440">
        <f t="shared" si="222"/>
        <v>0.88830375038126685</v>
      </c>
      <c r="M595" s="347"/>
      <c r="N595" s="347"/>
    </row>
    <row r="596" spans="1:14" s="286" customFormat="1" x14ac:dyDescent="0.2">
      <c r="A596" s="362"/>
      <c r="B596" s="440"/>
      <c r="C596" s="440"/>
      <c r="D596" s="440"/>
      <c r="E596" s="441"/>
      <c r="F596" s="440"/>
      <c r="G596" s="440"/>
      <c r="H596" s="440"/>
      <c r="I596" s="441"/>
      <c r="J596" s="440"/>
      <c r="K596" s="440"/>
      <c r="L596" s="440"/>
      <c r="M596" s="347"/>
      <c r="N596" s="347"/>
    </row>
    <row r="597" spans="1:14" x14ac:dyDescent="0.2">
      <c r="A597" s="357" t="s">
        <v>32</v>
      </c>
      <c r="B597" s="450">
        <f>SUM(B587:B595)</f>
        <v>2.6029999999671958</v>
      </c>
      <c r="C597" s="450">
        <f t="shared" ref="C597:D597" si="223">SUM(C587:C595)</f>
        <v>22.28900000009796</v>
      </c>
      <c r="D597" s="450">
        <f t="shared" si="223"/>
        <v>24.892000000065153</v>
      </c>
      <c r="E597" s="450"/>
      <c r="F597" s="450">
        <f t="shared" ref="F597:H597" si="224">SUM(F587:F595)</f>
        <v>2.9570000000552437</v>
      </c>
      <c r="G597" s="450">
        <f t="shared" si="224"/>
        <v>17.593000000415451</v>
      </c>
      <c r="H597" s="450">
        <f t="shared" si="224"/>
        <v>20.550000000470693</v>
      </c>
      <c r="I597" s="450"/>
      <c r="J597" s="450">
        <f t="shared" ref="J597:L597" si="225">SUM(J587:J595)</f>
        <v>4.4310000000375229</v>
      </c>
      <c r="K597" s="450">
        <f t="shared" si="225"/>
        <v>16.16399999975167</v>
      </c>
      <c r="L597" s="450">
        <f t="shared" si="225"/>
        <v>20.594999999789191</v>
      </c>
      <c r="M597" s="347"/>
      <c r="N597" s="347"/>
    </row>
    <row r="598" spans="1:14" x14ac:dyDescent="0.2">
      <c r="A598" s="348"/>
      <c r="B598" s="348"/>
      <c r="C598" s="348"/>
      <c r="D598" s="348"/>
      <c r="E598" s="348"/>
      <c r="F598" s="348"/>
      <c r="G598" s="348"/>
      <c r="H598" s="348"/>
      <c r="I598" s="348"/>
      <c r="J598" s="348"/>
      <c r="K598" s="348"/>
      <c r="L598" s="353"/>
      <c r="M598" s="347"/>
      <c r="N598" s="347"/>
    </row>
    <row r="599" spans="1:14" x14ac:dyDescent="0.2">
      <c r="A599" s="348"/>
      <c r="B599" s="348"/>
      <c r="C599" s="348"/>
      <c r="D599" s="348"/>
      <c r="E599" s="348"/>
      <c r="F599" s="348"/>
      <c r="G599" s="348"/>
      <c r="H599" s="348"/>
      <c r="I599" s="348"/>
      <c r="J599" s="348"/>
      <c r="K599" s="348"/>
      <c r="L599" s="372" t="s">
        <v>35</v>
      </c>
      <c r="M599" s="347"/>
      <c r="N599" s="347"/>
    </row>
    <row r="600" spans="1:14" x14ac:dyDescent="0.2">
      <c r="A600" s="355"/>
      <c r="B600" s="365"/>
      <c r="C600" s="365"/>
      <c r="D600" s="365"/>
      <c r="E600" s="365"/>
      <c r="F600" s="365"/>
      <c r="G600" s="365"/>
      <c r="H600" s="365"/>
      <c r="I600" s="365"/>
      <c r="J600" s="365"/>
      <c r="K600" s="365"/>
      <c r="L600" s="347"/>
      <c r="M600" s="347"/>
      <c r="N600" s="347"/>
    </row>
    <row r="601" spans="1:14" x14ac:dyDescent="0.2">
      <c r="A601" s="354" t="str">
        <f>name!A38</f>
        <v>Water transport</v>
      </c>
      <c r="B601" s="517">
        <f>B$6</f>
        <v>2007</v>
      </c>
      <c r="C601" s="517"/>
      <c r="D601" s="517"/>
      <c r="E601" s="369"/>
      <c r="F601" s="517">
        <f>F584</f>
        <v>2017</v>
      </c>
      <c r="G601" s="517"/>
      <c r="H601" s="517"/>
      <c r="I601" s="369"/>
      <c r="J601" s="517">
        <f>J584</f>
        <v>2027</v>
      </c>
      <c r="K601" s="517"/>
      <c r="L601" s="517"/>
      <c r="M601" s="347"/>
      <c r="N601" s="347"/>
    </row>
    <row r="602" spans="1:14" x14ac:dyDescent="0.2">
      <c r="A602" s="370"/>
      <c r="B602" s="371" t="s">
        <v>387</v>
      </c>
      <c r="C602" s="371" t="s">
        <v>388</v>
      </c>
      <c r="D602" s="371" t="s">
        <v>32</v>
      </c>
      <c r="E602" s="371"/>
      <c r="F602" s="371" t="s">
        <v>387</v>
      </c>
      <c r="G602" s="371" t="s">
        <v>388</v>
      </c>
      <c r="H602" s="371" t="s">
        <v>32</v>
      </c>
      <c r="I602" s="371"/>
      <c r="J602" s="371" t="s">
        <v>387</v>
      </c>
      <c r="K602" s="371" t="s">
        <v>388</v>
      </c>
      <c r="L602" s="371" t="s">
        <v>32</v>
      </c>
      <c r="M602" s="347"/>
      <c r="N602" s="347"/>
    </row>
    <row r="603" spans="1:14" s="286" customFormat="1" x14ac:dyDescent="0.2">
      <c r="A603" s="374"/>
      <c r="B603" s="375"/>
      <c r="C603" s="375"/>
      <c r="D603" s="375"/>
      <c r="E603" s="375"/>
      <c r="F603" s="375"/>
      <c r="G603" s="375"/>
      <c r="H603" s="375"/>
      <c r="I603" s="375"/>
      <c r="J603" s="375"/>
      <c r="K603" s="375"/>
      <c r="L603" s="375"/>
      <c r="M603" s="347"/>
      <c r="N603" s="347"/>
    </row>
    <row r="604" spans="1:14" x14ac:dyDescent="0.2">
      <c r="A604" s="362" t="str">
        <f>name!E$4</f>
        <v>Managers, directors and senior officials</v>
      </c>
      <c r="B604" s="440">
        <v>1.868153126421946E-2</v>
      </c>
      <c r="C604" s="440">
        <v>0.13677198689536027</v>
      </c>
      <c r="D604" s="440">
        <f>SUM(B604:C604)</f>
        <v>0.15545351815957972</v>
      </c>
      <c r="E604" s="441"/>
      <c r="F604" s="440">
        <v>1.9100492716235529E-2</v>
      </c>
      <c r="G604" s="440">
        <v>0.13524953626020275</v>
      </c>
      <c r="H604" s="440">
        <f>SUM(F604:G604)</f>
        <v>0.15435002897643829</v>
      </c>
      <c r="I604" s="441"/>
      <c r="J604" s="440">
        <v>1.9437130103600483E-2</v>
      </c>
      <c r="K604" s="440">
        <v>0.11561467128915066</v>
      </c>
      <c r="L604" s="440">
        <f>SUM(J604:K604)</f>
        <v>0.13505180139275114</v>
      </c>
      <c r="M604" s="347"/>
      <c r="N604" s="347"/>
    </row>
    <row r="605" spans="1:14" x14ac:dyDescent="0.2">
      <c r="A605" s="362" t="str">
        <f>name!E$5</f>
        <v>Professional occupations</v>
      </c>
      <c r="B605" s="440">
        <v>2.1608018835866754E-2</v>
      </c>
      <c r="C605" s="440">
        <v>0.11443553427906707</v>
      </c>
      <c r="D605" s="440">
        <f t="shared" ref="D605:D612" si="226">SUM(B605:C605)</f>
        <v>0.13604355311493382</v>
      </c>
      <c r="E605" s="441"/>
      <c r="F605" s="440">
        <v>1.681456512957161E-2</v>
      </c>
      <c r="G605" s="440">
        <v>9.1689287826402621E-2</v>
      </c>
      <c r="H605" s="440">
        <f t="shared" ref="H605:H612" si="227">SUM(F605:G605)</f>
        <v>0.10850385295597423</v>
      </c>
      <c r="I605" s="441"/>
      <c r="J605" s="440">
        <v>1.6938851541106262E-2</v>
      </c>
      <c r="K605" s="440">
        <v>6.8844885861559985E-2</v>
      </c>
      <c r="L605" s="440">
        <f t="shared" ref="L605:L612" si="228">SUM(J605:K605)</f>
        <v>8.5783737402666246E-2</v>
      </c>
      <c r="M605" s="347"/>
      <c r="N605" s="347"/>
    </row>
    <row r="606" spans="1:14" x14ac:dyDescent="0.2">
      <c r="A606" s="362" t="str">
        <f>name!E$6</f>
        <v>Associate professional and technical</v>
      </c>
      <c r="B606" s="440">
        <v>3.3996647057454053E-2</v>
      </c>
      <c r="C606" s="440">
        <v>0.27096275815160359</v>
      </c>
      <c r="D606" s="440">
        <f t="shared" si="226"/>
        <v>0.30495940520905762</v>
      </c>
      <c r="E606" s="441"/>
      <c r="F606" s="440">
        <v>2.8809285145399793E-2</v>
      </c>
      <c r="G606" s="440">
        <v>0.20413051215736683</v>
      </c>
      <c r="H606" s="440">
        <f t="shared" si="227"/>
        <v>0.23293979730276662</v>
      </c>
      <c r="I606" s="441"/>
      <c r="J606" s="440">
        <v>2.6166850450503539E-2</v>
      </c>
      <c r="K606" s="440">
        <v>0.14060713981249121</v>
      </c>
      <c r="L606" s="440">
        <f t="shared" si="228"/>
        <v>0.16677399026299475</v>
      </c>
      <c r="M606" s="347"/>
      <c r="N606" s="347"/>
    </row>
    <row r="607" spans="1:14" x14ac:dyDescent="0.2">
      <c r="A607" s="362" t="str">
        <f>name!E$7</f>
        <v>Administrative and secretarial</v>
      </c>
      <c r="B607" s="440">
        <v>0.1315605057310624</v>
      </c>
      <c r="C607" s="440">
        <v>0.12205574052779063</v>
      </c>
      <c r="D607" s="440">
        <f t="shared" si="226"/>
        <v>0.25361624625885304</v>
      </c>
      <c r="E607" s="441"/>
      <c r="F607" s="440">
        <v>0.10620158470472629</v>
      </c>
      <c r="G607" s="440">
        <v>4.7294026123867461E-2</v>
      </c>
      <c r="H607" s="440">
        <f t="shared" si="227"/>
        <v>0.15349561082859375</v>
      </c>
      <c r="I607" s="441"/>
      <c r="J607" s="440">
        <v>7.4878243795237054E-2</v>
      </c>
      <c r="K607" s="440">
        <v>3.1170045582371221E-2</v>
      </c>
      <c r="L607" s="440">
        <f t="shared" si="228"/>
        <v>0.10604828937760827</v>
      </c>
      <c r="M607" s="347"/>
      <c r="N607" s="347"/>
    </row>
    <row r="608" spans="1:14" x14ac:dyDescent="0.2">
      <c r="A608" s="362" t="str">
        <f>name!E$8</f>
        <v>Skilled trades occupations</v>
      </c>
      <c r="B608" s="440">
        <v>3.7716664958733245E-3</v>
      </c>
      <c r="C608" s="440">
        <v>8.958678288020766E-2</v>
      </c>
      <c r="D608" s="440">
        <f t="shared" si="226"/>
        <v>9.3358449376080982E-2</v>
      </c>
      <c r="E608" s="441"/>
      <c r="F608" s="440">
        <v>6.5807631726554515E-3</v>
      </c>
      <c r="G608" s="440">
        <v>3.0312653095679657E-2</v>
      </c>
      <c r="H608" s="440">
        <f t="shared" si="227"/>
        <v>3.6893416268335109E-2</v>
      </c>
      <c r="I608" s="441"/>
      <c r="J608" s="440">
        <v>5.1161170175237861E-3</v>
      </c>
      <c r="K608" s="440">
        <v>1.3934910914607267E-2</v>
      </c>
      <c r="L608" s="440">
        <f t="shared" si="228"/>
        <v>1.9051027932131051E-2</v>
      </c>
      <c r="M608" s="347"/>
      <c r="N608" s="347"/>
    </row>
    <row r="609" spans="1:14" x14ac:dyDescent="0.2">
      <c r="A609" s="362" t="str">
        <f>name!E$9</f>
        <v>Caring, leisure and other service</v>
      </c>
      <c r="B609" s="440">
        <v>1.8556698986027121E-2</v>
      </c>
      <c r="C609" s="440">
        <v>2.7330072539435889E-2</v>
      </c>
      <c r="D609" s="440">
        <f t="shared" si="226"/>
        <v>4.5886771525463013E-2</v>
      </c>
      <c r="E609" s="441"/>
      <c r="F609" s="440">
        <v>3.7501961204661094E-2</v>
      </c>
      <c r="G609" s="440">
        <v>1.2226523881491399E-2</v>
      </c>
      <c r="H609" s="440">
        <f t="shared" si="227"/>
        <v>4.9728485086152491E-2</v>
      </c>
      <c r="I609" s="441"/>
      <c r="J609" s="440">
        <v>3.8468209371272995E-2</v>
      </c>
      <c r="K609" s="440">
        <v>8.7694447808533468E-3</v>
      </c>
      <c r="L609" s="440">
        <f t="shared" si="228"/>
        <v>4.7237654152126343E-2</v>
      </c>
      <c r="M609" s="347"/>
      <c r="N609" s="347"/>
    </row>
    <row r="610" spans="1:14" x14ac:dyDescent="0.2">
      <c r="A610" s="362" t="str">
        <f>name!E$10</f>
        <v>Sales and customer service</v>
      </c>
      <c r="B610" s="440">
        <v>2.7895956536661985E-2</v>
      </c>
      <c r="C610" s="440">
        <v>3.8081108210412731E-2</v>
      </c>
      <c r="D610" s="440">
        <f t="shared" si="226"/>
        <v>6.597706474707471E-2</v>
      </c>
      <c r="E610" s="441"/>
      <c r="F610" s="440">
        <v>2.6387733257980932E-2</v>
      </c>
      <c r="G610" s="440">
        <v>2.0777347014974513E-2</v>
      </c>
      <c r="H610" s="440">
        <f t="shared" si="227"/>
        <v>4.7165080272955448E-2</v>
      </c>
      <c r="I610" s="441"/>
      <c r="J610" s="440">
        <v>2.2664222340662142E-2</v>
      </c>
      <c r="K610" s="440">
        <v>1.3975291407808921E-2</v>
      </c>
      <c r="L610" s="440">
        <f t="shared" si="228"/>
        <v>3.6639513748471061E-2</v>
      </c>
      <c r="M610" s="347"/>
      <c r="N610" s="347"/>
    </row>
    <row r="611" spans="1:14" x14ac:dyDescent="0.2">
      <c r="A611" s="362" t="str">
        <f>name!E$11</f>
        <v>Process, plant and machine operatives</v>
      </c>
      <c r="B611" s="440">
        <v>5.3205835007417651E-3</v>
      </c>
      <c r="C611" s="440">
        <v>0.12768804493208311</v>
      </c>
      <c r="D611" s="440">
        <f t="shared" si="226"/>
        <v>0.13300862843282488</v>
      </c>
      <c r="E611" s="441"/>
      <c r="F611" s="440">
        <v>9.4866461279753244E-3</v>
      </c>
      <c r="G611" s="440">
        <v>4.132802880827189E-2</v>
      </c>
      <c r="H611" s="440">
        <f t="shared" si="227"/>
        <v>5.0814674936247216E-2</v>
      </c>
      <c r="I611" s="441"/>
      <c r="J611" s="440">
        <v>7.3157199638996598E-3</v>
      </c>
      <c r="K611" s="440">
        <v>2.3153244346424358E-2</v>
      </c>
      <c r="L611" s="440">
        <f t="shared" si="228"/>
        <v>3.0468964310324018E-2</v>
      </c>
      <c r="M611" s="347"/>
      <c r="N611" s="347"/>
    </row>
    <row r="612" spans="1:14" x14ac:dyDescent="0.2">
      <c r="A612" s="362" t="str">
        <f>name!E$12</f>
        <v>Elementary occupations</v>
      </c>
      <c r="B612" s="440">
        <v>4.6083915894344577E-3</v>
      </c>
      <c r="C612" s="440">
        <v>9.3087971583628609E-2</v>
      </c>
      <c r="D612" s="440">
        <f t="shared" si="226"/>
        <v>9.7696363173063072E-2</v>
      </c>
      <c r="E612" s="441"/>
      <c r="F612" s="440">
        <v>1.5116968543410044E-2</v>
      </c>
      <c r="G612" s="440">
        <v>4.199208483019766E-2</v>
      </c>
      <c r="H612" s="440">
        <f t="shared" si="227"/>
        <v>5.7109053373607707E-2</v>
      </c>
      <c r="I612" s="441"/>
      <c r="J612" s="440">
        <v>1.5014655417555027E-2</v>
      </c>
      <c r="K612" s="440">
        <v>2.193036600371321E-2</v>
      </c>
      <c r="L612" s="440">
        <f t="shared" si="228"/>
        <v>3.6945021421268237E-2</v>
      </c>
      <c r="M612" s="347"/>
      <c r="N612" s="347"/>
    </row>
    <row r="613" spans="1:14" s="286" customFormat="1" x14ac:dyDescent="0.2">
      <c r="A613" s="362"/>
      <c r="B613" s="440"/>
      <c r="C613" s="440"/>
      <c r="D613" s="440"/>
      <c r="E613" s="441"/>
      <c r="F613" s="440"/>
      <c r="G613" s="440"/>
      <c r="H613" s="440"/>
      <c r="I613" s="441"/>
      <c r="J613" s="440"/>
      <c r="K613" s="440"/>
      <c r="L613" s="440"/>
      <c r="M613" s="347"/>
      <c r="N613" s="347"/>
    </row>
    <row r="614" spans="1:14" x14ac:dyDescent="0.2">
      <c r="A614" s="357" t="s">
        <v>32</v>
      </c>
      <c r="B614" s="450">
        <f>SUM(B604:B612)</f>
        <v>0.26599999999734131</v>
      </c>
      <c r="C614" s="450">
        <f t="shared" ref="C614:D614" si="229">SUM(C604:C612)</f>
        <v>1.0199999999995897</v>
      </c>
      <c r="D614" s="450">
        <f t="shared" si="229"/>
        <v>1.2859999999969309</v>
      </c>
      <c r="E614" s="450"/>
      <c r="F614" s="450">
        <f t="shared" ref="F614:H614" si="230">SUM(F604:F612)</f>
        <v>0.26600000000261609</v>
      </c>
      <c r="G614" s="450">
        <f t="shared" si="230"/>
        <v>0.62499999999845479</v>
      </c>
      <c r="H614" s="450">
        <f t="shared" si="230"/>
        <v>0.89100000000107082</v>
      </c>
      <c r="I614" s="450"/>
      <c r="J614" s="450">
        <f t="shared" ref="J614:L614" si="231">SUM(J604:J612)</f>
        <v>0.22600000000136095</v>
      </c>
      <c r="K614" s="450">
        <f t="shared" si="231"/>
        <v>0.43799999999898021</v>
      </c>
      <c r="L614" s="450">
        <f t="shared" si="231"/>
        <v>0.6640000000003411</v>
      </c>
      <c r="M614" s="347"/>
      <c r="N614" s="347"/>
    </row>
    <row r="615" spans="1:14" x14ac:dyDescent="0.2">
      <c r="A615" s="348"/>
      <c r="B615" s="348"/>
      <c r="C615" s="348"/>
      <c r="D615" s="348"/>
      <c r="E615" s="348"/>
      <c r="F615" s="348"/>
      <c r="G615" s="348"/>
      <c r="H615" s="348"/>
      <c r="I615" s="348"/>
      <c r="J615" s="348"/>
      <c r="K615" s="348"/>
      <c r="L615" s="353"/>
      <c r="M615" s="347"/>
      <c r="N615" s="347"/>
    </row>
    <row r="616" spans="1:14" x14ac:dyDescent="0.2">
      <c r="A616" s="348"/>
      <c r="B616" s="348"/>
      <c r="C616" s="348"/>
      <c r="D616" s="348"/>
      <c r="E616" s="348"/>
      <c r="F616" s="348"/>
      <c r="G616" s="348"/>
      <c r="H616" s="348"/>
      <c r="I616" s="348"/>
      <c r="J616" s="348"/>
      <c r="K616" s="348"/>
      <c r="L616" s="372" t="s">
        <v>35</v>
      </c>
      <c r="M616" s="347"/>
      <c r="N616" s="347"/>
    </row>
    <row r="617" spans="1:14" x14ac:dyDescent="0.2">
      <c r="A617" s="355"/>
      <c r="B617" s="365"/>
      <c r="C617" s="365"/>
      <c r="D617" s="365"/>
      <c r="E617" s="365"/>
      <c r="F617" s="365"/>
      <c r="G617" s="365"/>
      <c r="H617" s="365"/>
      <c r="I617" s="365"/>
      <c r="J617" s="365"/>
      <c r="K617" s="365"/>
      <c r="L617" s="347"/>
      <c r="M617" s="347"/>
      <c r="N617" s="347"/>
    </row>
    <row r="618" spans="1:14" x14ac:dyDescent="0.2">
      <c r="A618" s="354" t="str">
        <f>name!A39</f>
        <v>Air transport</v>
      </c>
      <c r="B618" s="517">
        <f>B$6</f>
        <v>2007</v>
      </c>
      <c r="C618" s="517"/>
      <c r="D618" s="517"/>
      <c r="E618" s="369"/>
      <c r="F618" s="517">
        <f>F601</f>
        <v>2017</v>
      </c>
      <c r="G618" s="517"/>
      <c r="H618" s="517"/>
      <c r="I618" s="369"/>
      <c r="J618" s="517">
        <f>J601</f>
        <v>2027</v>
      </c>
      <c r="K618" s="517"/>
      <c r="L618" s="517"/>
      <c r="M618" s="347"/>
      <c r="N618" s="347"/>
    </row>
    <row r="619" spans="1:14" x14ac:dyDescent="0.2">
      <c r="A619" s="370"/>
      <c r="B619" s="371" t="s">
        <v>387</v>
      </c>
      <c r="C619" s="371" t="s">
        <v>388</v>
      </c>
      <c r="D619" s="371" t="s">
        <v>32</v>
      </c>
      <c r="E619" s="371"/>
      <c r="F619" s="371" t="s">
        <v>387</v>
      </c>
      <c r="G619" s="371" t="s">
        <v>388</v>
      </c>
      <c r="H619" s="371" t="s">
        <v>32</v>
      </c>
      <c r="I619" s="371"/>
      <c r="J619" s="371" t="s">
        <v>387</v>
      </c>
      <c r="K619" s="371" t="s">
        <v>388</v>
      </c>
      <c r="L619" s="371" t="s">
        <v>32</v>
      </c>
      <c r="M619" s="347"/>
      <c r="N619" s="347"/>
    </row>
    <row r="620" spans="1:14" s="286" customFormat="1" x14ac:dyDescent="0.2">
      <c r="A620" s="374"/>
      <c r="B620" s="375"/>
      <c r="C620" s="375"/>
      <c r="D620" s="375"/>
      <c r="E620" s="375"/>
      <c r="F620" s="375"/>
      <c r="G620" s="375"/>
      <c r="H620" s="375"/>
      <c r="I620" s="375"/>
      <c r="J620" s="375"/>
      <c r="K620" s="375"/>
      <c r="L620" s="375"/>
      <c r="M620" s="347"/>
      <c r="N620" s="347"/>
    </row>
    <row r="621" spans="1:14" x14ac:dyDescent="0.2">
      <c r="A621" s="362" t="str">
        <f>name!E$4</f>
        <v>Managers, directors and senior officials</v>
      </c>
      <c r="B621" s="440">
        <v>9.542407543826896E-3</v>
      </c>
      <c r="C621" s="440">
        <v>1.5155195950325709E-2</v>
      </c>
      <c r="D621" s="440">
        <f>SUM(B621:C621)</f>
        <v>2.4697603494152606E-2</v>
      </c>
      <c r="E621" s="441"/>
      <c r="F621" s="440">
        <v>7.4588629139805945E-3</v>
      </c>
      <c r="G621" s="440">
        <v>5.3873118002187373E-3</v>
      </c>
      <c r="H621" s="440">
        <f>SUM(F621:G621)</f>
        <v>1.2846174714199332E-2</v>
      </c>
      <c r="I621" s="441"/>
      <c r="J621" s="440">
        <v>1.2118404161192402E-2</v>
      </c>
      <c r="K621" s="440">
        <v>6.3996677574032048E-3</v>
      </c>
      <c r="L621" s="440">
        <f>SUM(J621:K621)</f>
        <v>1.8518071918595606E-2</v>
      </c>
      <c r="M621" s="347"/>
      <c r="N621" s="347"/>
    </row>
    <row r="622" spans="1:14" x14ac:dyDescent="0.2">
      <c r="A622" s="362" t="str">
        <f>name!E$5</f>
        <v>Professional occupations</v>
      </c>
      <c r="B622" s="440">
        <v>1.6794610963708524E-2</v>
      </c>
      <c r="C622" s="440">
        <v>1.5407270953665E-2</v>
      </c>
      <c r="D622" s="440">
        <f t="shared" ref="D622:D629" si="232">SUM(B622:C622)</f>
        <v>3.2201881917373526E-2</v>
      </c>
      <c r="E622" s="441"/>
      <c r="F622" s="440">
        <v>1.092178880769683E-2</v>
      </c>
      <c r="G622" s="440">
        <v>4.7489745160839486E-3</v>
      </c>
      <c r="H622" s="440">
        <f t="shared" ref="H622:H629" si="233">SUM(F622:G622)</f>
        <v>1.5670763323780777E-2</v>
      </c>
      <c r="I622" s="441"/>
      <c r="J622" s="440">
        <v>1.8155566346599986E-2</v>
      </c>
      <c r="K622" s="440">
        <v>5.6531294187709925E-3</v>
      </c>
      <c r="L622" s="440">
        <f t="shared" ref="L622:L629" si="234">SUM(J622:K622)</f>
        <v>2.380869576537098E-2</v>
      </c>
      <c r="M622" s="347"/>
      <c r="N622" s="347"/>
    </row>
    <row r="623" spans="1:14" x14ac:dyDescent="0.2">
      <c r="A623" s="362" t="str">
        <f>name!E$6</f>
        <v>Associate professional and technical</v>
      </c>
      <c r="B623" s="440">
        <v>3.2217727846535447E-2</v>
      </c>
      <c r="C623" s="440">
        <v>5.3946790252694686E-2</v>
      </c>
      <c r="D623" s="440">
        <f t="shared" si="232"/>
        <v>8.6164518099230133E-2</v>
      </c>
      <c r="E623" s="441"/>
      <c r="F623" s="440">
        <v>1.7804720641516732E-2</v>
      </c>
      <c r="G623" s="440">
        <v>2.9092110385310108E-2</v>
      </c>
      <c r="H623" s="440">
        <f t="shared" si="233"/>
        <v>4.6896831026826839E-2</v>
      </c>
      <c r="I623" s="441"/>
      <c r="J623" s="440">
        <v>2.7141681651516078E-2</v>
      </c>
      <c r="K623" s="440">
        <v>3.5879437779631547E-2</v>
      </c>
      <c r="L623" s="440">
        <f t="shared" si="234"/>
        <v>6.3021119431147632E-2</v>
      </c>
      <c r="M623" s="347"/>
      <c r="N623" s="347"/>
    </row>
    <row r="624" spans="1:14" x14ac:dyDescent="0.2">
      <c r="A624" s="362" t="str">
        <f>name!E$7</f>
        <v>Administrative and secretarial</v>
      </c>
      <c r="B624" s="440">
        <v>5.4424340764554477E-2</v>
      </c>
      <c r="C624" s="440">
        <v>8.7821443505149782E-2</v>
      </c>
      <c r="D624" s="440">
        <f t="shared" si="232"/>
        <v>0.14224578426970425</v>
      </c>
      <c r="E624" s="441"/>
      <c r="F624" s="440">
        <v>2.118945414912158E-2</v>
      </c>
      <c r="G624" s="440">
        <v>4.7079054864911069E-2</v>
      </c>
      <c r="H624" s="440">
        <f t="shared" si="233"/>
        <v>6.8268509014032641E-2</v>
      </c>
      <c r="I624" s="441"/>
      <c r="J624" s="440">
        <v>2.4445251442857956E-2</v>
      </c>
      <c r="K624" s="440">
        <v>5.5092681095699064E-2</v>
      </c>
      <c r="L624" s="440">
        <f t="shared" si="234"/>
        <v>7.9537932538557024E-2</v>
      </c>
      <c r="M624" s="347"/>
      <c r="N624" s="347"/>
    </row>
    <row r="625" spans="1:14" x14ac:dyDescent="0.2">
      <c r="A625" s="362" t="str">
        <f>name!E$8</f>
        <v>Skilled trades occupations</v>
      </c>
      <c r="B625" s="440">
        <v>4.6483365297708438E-3</v>
      </c>
      <c r="C625" s="440">
        <v>1.9763877136043759E-2</v>
      </c>
      <c r="D625" s="440">
        <f t="shared" si="232"/>
        <v>2.4412213665814603E-2</v>
      </c>
      <c r="E625" s="441"/>
      <c r="F625" s="440">
        <v>2.5457494318004343E-3</v>
      </c>
      <c r="G625" s="440">
        <v>3.8461526875766534E-3</v>
      </c>
      <c r="H625" s="440">
        <f t="shared" si="233"/>
        <v>6.3919021193770877E-3</v>
      </c>
      <c r="I625" s="441"/>
      <c r="J625" s="440">
        <v>3.0953183151203245E-3</v>
      </c>
      <c r="K625" s="440">
        <v>3.6477089156920304E-3</v>
      </c>
      <c r="L625" s="440">
        <f t="shared" si="234"/>
        <v>6.7430272308123549E-3</v>
      </c>
      <c r="M625" s="347"/>
      <c r="N625" s="347"/>
    </row>
    <row r="626" spans="1:14" x14ac:dyDescent="0.2">
      <c r="A626" s="362" t="str">
        <f>name!E$9</f>
        <v>Caring, leisure and other service</v>
      </c>
      <c r="B626" s="440">
        <v>0.19735971636123284</v>
      </c>
      <c r="C626" s="440">
        <v>2.8253138971795738E-2</v>
      </c>
      <c r="D626" s="440">
        <f t="shared" si="232"/>
        <v>0.22561285533302858</v>
      </c>
      <c r="E626" s="441"/>
      <c r="F626" s="440">
        <v>7.1765320597496005E-2</v>
      </c>
      <c r="G626" s="440">
        <v>1.6488664747231079E-2</v>
      </c>
      <c r="H626" s="440">
        <f t="shared" si="233"/>
        <v>8.8253985344727087E-2</v>
      </c>
      <c r="I626" s="441"/>
      <c r="J626" s="440">
        <v>8.7510436650110074E-2</v>
      </c>
      <c r="K626" s="440">
        <v>2.0901339455666915E-2</v>
      </c>
      <c r="L626" s="440">
        <f t="shared" si="234"/>
        <v>0.10841177610577699</v>
      </c>
      <c r="M626" s="347"/>
      <c r="N626" s="347"/>
    </row>
    <row r="627" spans="1:14" x14ac:dyDescent="0.2">
      <c r="A627" s="362" t="str">
        <f>name!E$10</f>
        <v>Sales and customer service</v>
      </c>
      <c r="B627" s="440">
        <v>2.7379965030431278E-2</v>
      </c>
      <c r="C627" s="440">
        <v>1.8756629846583932E-2</v>
      </c>
      <c r="D627" s="440">
        <f t="shared" si="232"/>
        <v>4.6136594877015213E-2</v>
      </c>
      <c r="E627" s="441"/>
      <c r="F627" s="440">
        <v>1.1989954481691085E-2</v>
      </c>
      <c r="G627" s="440">
        <v>1.3991554089337483E-2</v>
      </c>
      <c r="H627" s="440">
        <f t="shared" si="233"/>
        <v>2.5981508571028569E-2</v>
      </c>
      <c r="I627" s="441"/>
      <c r="J627" s="440">
        <v>1.6568268309925555E-2</v>
      </c>
      <c r="K627" s="440">
        <v>1.8291946056982065E-2</v>
      </c>
      <c r="L627" s="440">
        <f t="shared" si="234"/>
        <v>3.4860214366907616E-2</v>
      </c>
      <c r="M627" s="347"/>
      <c r="N627" s="347"/>
    </row>
    <row r="628" spans="1:14" x14ac:dyDescent="0.2">
      <c r="A628" s="362" t="str">
        <f>name!E$11</f>
        <v>Process, plant and machine operatives</v>
      </c>
      <c r="B628" s="440">
        <v>1.6139170762842683E-2</v>
      </c>
      <c r="C628" s="440">
        <v>1.7408751794741547E-2</v>
      </c>
      <c r="D628" s="440">
        <f t="shared" si="232"/>
        <v>3.354792255758423E-2</v>
      </c>
      <c r="E628" s="441"/>
      <c r="F628" s="440">
        <v>6.3740452559150097E-3</v>
      </c>
      <c r="G628" s="440">
        <v>8.0418329432956383E-3</v>
      </c>
      <c r="H628" s="440">
        <f t="shared" si="233"/>
        <v>1.4415878199210648E-2</v>
      </c>
      <c r="I628" s="441"/>
      <c r="J628" s="440">
        <v>6.7404518003914846E-3</v>
      </c>
      <c r="K628" s="440">
        <v>9.5822704066358313E-3</v>
      </c>
      <c r="L628" s="440">
        <f t="shared" si="234"/>
        <v>1.6322722207027317E-2</v>
      </c>
      <c r="M628" s="347"/>
      <c r="N628" s="347"/>
    </row>
    <row r="629" spans="1:14" x14ac:dyDescent="0.2">
      <c r="A629" s="362" t="str">
        <f>name!E$12</f>
        <v>Elementary occupations</v>
      </c>
      <c r="B629" s="440">
        <v>3.6493724191997298E-2</v>
      </c>
      <c r="C629" s="440">
        <v>2.2486901589246759E-2</v>
      </c>
      <c r="D629" s="440">
        <f t="shared" si="232"/>
        <v>5.8980625781244057E-2</v>
      </c>
      <c r="E629" s="441"/>
      <c r="F629" s="440">
        <v>2.0950103721740363E-2</v>
      </c>
      <c r="G629" s="440">
        <v>1.6324343966313791E-2</v>
      </c>
      <c r="H629" s="440">
        <f t="shared" si="233"/>
        <v>3.7274447688054158E-2</v>
      </c>
      <c r="I629" s="441"/>
      <c r="J629" s="440">
        <v>2.3224621322260018E-2</v>
      </c>
      <c r="K629" s="440">
        <v>1.855181911169905E-2</v>
      </c>
      <c r="L629" s="440">
        <f t="shared" si="234"/>
        <v>4.1776440433959068E-2</v>
      </c>
      <c r="M629" s="347"/>
      <c r="N629" s="347"/>
    </row>
    <row r="630" spans="1:14" s="286" customFormat="1" x14ac:dyDescent="0.2">
      <c r="A630" s="362"/>
      <c r="B630" s="440"/>
      <c r="C630" s="440"/>
      <c r="D630" s="440"/>
      <c r="E630" s="441"/>
      <c r="F630" s="440"/>
      <c r="G630" s="440"/>
      <c r="H630" s="440"/>
      <c r="I630" s="441"/>
      <c r="J630" s="440"/>
      <c r="K630" s="440"/>
      <c r="L630" s="440"/>
      <c r="M630" s="347"/>
      <c r="N630" s="347"/>
    </row>
    <row r="631" spans="1:14" x14ac:dyDescent="0.2">
      <c r="A631" s="357" t="s">
        <v>32</v>
      </c>
      <c r="B631" s="450">
        <f>SUM(B621:B629)</f>
        <v>0.39499999999490026</v>
      </c>
      <c r="C631" s="450">
        <f t="shared" ref="C631:D631" si="235">SUM(C621:C629)</f>
        <v>0.27900000000024688</v>
      </c>
      <c r="D631" s="450">
        <f t="shared" si="235"/>
        <v>0.67399999999514715</v>
      </c>
      <c r="E631" s="450"/>
      <c r="F631" s="450">
        <f t="shared" ref="F631:H631" si="236">SUM(F621:F629)</f>
        <v>0.17100000000095861</v>
      </c>
      <c r="G631" s="450">
        <f t="shared" si="236"/>
        <v>0.14500000000027852</v>
      </c>
      <c r="H631" s="450">
        <f t="shared" si="236"/>
        <v>0.31600000000123712</v>
      </c>
      <c r="I631" s="450"/>
      <c r="J631" s="450">
        <f t="shared" ref="J631:L631" si="237">SUM(J621:J629)</f>
        <v>0.21899999999997388</v>
      </c>
      <c r="K631" s="450">
        <f t="shared" si="237"/>
        <v>0.17399999999818072</v>
      </c>
      <c r="L631" s="450">
        <f t="shared" si="237"/>
        <v>0.39299999999815455</v>
      </c>
      <c r="M631" s="347"/>
      <c r="N631" s="347"/>
    </row>
    <row r="632" spans="1:14" x14ac:dyDescent="0.2">
      <c r="A632" s="348"/>
      <c r="B632" s="348"/>
      <c r="C632" s="348"/>
      <c r="D632" s="348"/>
      <c r="E632" s="348"/>
      <c r="F632" s="348"/>
      <c r="G632" s="348"/>
      <c r="H632" s="348"/>
      <c r="I632" s="348"/>
      <c r="J632" s="348"/>
      <c r="K632" s="348"/>
      <c r="L632" s="353"/>
      <c r="M632" s="347"/>
      <c r="N632" s="347"/>
    </row>
    <row r="633" spans="1:14" x14ac:dyDescent="0.2">
      <c r="A633" s="348"/>
      <c r="B633" s="348"/>
      <c r="C633" s="348"/>
      <c r="D633" s="348"/>
      <c r="E633" s="348"/>
      <c r="F633" s="348"/>
      <c r="G633" s="348"/>
      <c r="H633" s="348"/>
      <c r="I633" s="348"/>
      <c r="J633" s="348"/>
      <c r="K633" s="348"/>
      <c r="L633" s="372" t="s">
        <v>35</v>
      </c>
      <c r="M633" s="347"/>
      <c r="N633" s="347"/>
    </row>
    <row r="634" spans="1:14" x14ac:dyDescent="0.2">
      <c r="A634" s="355"/>
      <c r="B634" s="365"/>
      <c r="C634" s="365"/>
      <c r="D634" s="365"/>
      <c r="E634" s="365"/>
      <c r="F634" s="365"/>
      <c r="G634" s="365"/>
      <c r="H634" s="365"/>
      <c r="I634" s="365"/>
      <c r="J634" s="365"/>
      <c r="K634" s="365"/>
      <c r="L634" s="347"/>
      <c r="M634" s="347"/>
      <c r="N634" s="347"/>
    </row>
    <row r="635" spans="1:14" x14ac:dyDescent="0.2">
      <c r="A635" s="354" t="str">
        <f>name!A40</f>
        <v>Warehousing, etc</v>
      </c>
      <c r="B635" s="517">
        <f>B$6</f>
        <v>2007</v>
      </c>
      <c r="C635" s="517"/>
      <c r="D635" s="517"/>
      <c r="E635" s="369"/>
      <c r="F635" s="517">
        <f>F618</f>
        <v>2017</v>
      </c>
      <c r="G635" s="517"/>
      <c r="H635" s="517"/>
      <c r="I635" s="369"/>
      <c r="J635" s="517">
        <f>J618</f>
        <v>2027</v>
      </c>
      <c r="K635" s="517"/>
      <c r="L635" s="517"/>
      <c r="M635" s="347"/>
      <c r="N635" s="347"/>
    </row>
    <row r="636" spans="1:14" x14ac:dyDescent="0.2">
      <c r="A636" s="370"/>
      <c r="B636" s="371" t="s">
        <v>387</v>
      </c>
      <c r="C636" s="371" t="s">
        <v>388</v>
      </c>
      <c r="D636" s="371" t="s">
        <v>32</v>
      </c>
      <c r="E636" s="371"/>
      <c r="F636" s="371" t="s">
        <v>387</v>
      </c>
      <c r="G636" s="371" t="s">
        <v>388</v>
      </c>
      <c r="H636" s="371" t="s">
        <v>32</v>
      </c>
      <c r="I636" s="371"/>
      <c r="J636" s="371" t="s">
        <v>387</v>
      </c>
      <c r="K636" s="371" t="s">
        <v>388</v>
      </c>
      <c r="L636" s="371" t="s">
        <v>32</v>
      </c>
      <c r="M636" s="347"/>
      <c r="N636" s="347"/>
    </row>
    <row r="637" spans="1:14" s="286" customFormat="1" x14ac:dyDescent="0.2">
      <c r="A637" s="374"/>
      <c r="B637" s="375"/>
      <c r="C637" s="375"/>
      <c r="D637" s="375"/>
      <c r="E637" s="375"/>
      <c r="F637" s="375"/>
      <c r="G637" s="375"/>
      <c r="H637" s="375"/>
      <c r="I637" s="375"/>
      <c r="J637" s="375"/>
      <c r="K637" s="375"/>
      <c r="L637" s="375"/>
      <c r="M637" s="347"/>
      <c r="N637" s="347"/>
    </row>
    <row r="638" spans="1:14" x14ac:dyDescent="0.2">
      <c r="A638" s="362" t="str">
        <f>name!E$4</f>
        <v>Managers, directors and senior officials</v>
      </c>
      <c r="B638" s="440">
        <v>8.4995876091738948E-2</v>
      </c>
      <c r="C638" s="440">
        <v>0.92041726362373222</v>
      </c>
      <c r="D638" s="440">
        <f>SUM(B638:C638)</f>
        <v>1.0054131397154711</v>
      </c>
      <c r="E638" s="441"/>
      <c r="F638" s="440">
        <v>0.12435299723557687</v>
      </c>
      <c r="G638" s="440">
        <v>1.2617412284353204</v>
      </c>
      <c r="H638" s="440">
        <f>SUM(F638:G638)</f>
        <v>1.3860942256708972</v>
      </c>
      <c r="I638" s="441"/>
      <c r="J638" s="440">
        <v>0.16304070535033241</v>
      </c>
      <c r="K638" s="440">
        <v>1.3350285890237938</v>
      </c>
      <c r="L638" s="440">
        <f>SUM(J638:K638)</f>
        <v>1.4980692943741263</v>
      </c>
      <c r="M638" s="347"/>
      <c r="N638" s="347"/>
    </row>
    <row r="639" spans="1:14" x14ac:dyDescent="0.2">
      <c r="A639" s="362" t="str">
        <f>name!E$5</f>
        <v>Professional occupations</v>
      </c>
      <c r="B639" s="440">
        <v>3.3350748972821781E-2</v>
      </c>
      <c r="C639" s="440">
        <v>0.49762615791174691</v>
      </c>
      <c r="D639" s="440">
        <f t="shared" ref="D639:D646" si="238">SUM(B639:C639)</f>
        <v>0.53097690688456867</v>
      </c>
      <c r="E639" s="441"/>
      <c r="F639" s="440">
        <v>6.3602478574558682E-2</v>
      </c>
      <c r="G639" s="440">
        <v>0.55487136699386974</v>
      </c>
      <c r="H639" s="440">
        <f t="shared" ref="H639:H646" si="239">SUM(F639:G639)</f>
        <v>0.61847384556842844</v>
      </c>
      <c r="I639" s="441"/>
      <c r="J639" s="440">
        <v>8.6022863762982307E-2</v>
      </c>
      <c r="K639" s="440">
        <v>0.55588218104636333</v>
      </c>
      <c r="L639" s="440">
        <f t="shared" ref="L639:L646" si="240">SUM(J639:K639)</f>
        <v>0.64190504480934563</v>
      </c>
      <c r="M639" s="347"/>
      <c r="N639" s="347"/>
    </row>
    <row r="640" spans="1:14" x14ac:dyDescent="0.2">
      <c r="A640" s="362" t="str">
        <f>name!E$6</f>
        <v>Associate professional and technical</v>
      </c>
      <c r="B640" s="440">
        <v>5.9750363797173349E-2</v>
      </c>
      <c r="C640" s="440">
        <v>0.91138430410281113</v>
      </c>
      <c r="D640" s="440">
        <f t="shared" si="238"/>
        <v>0.97113466789998448</v>
      </c>
      <c r="E640" s="441"/>
      <c r="F640" s="440">
        <v>8.5049513247335312E-2</v>
      </c>
      <c r="G640" s="440">
        <v>0.72075880775098544</v>
      </c>
      <c r="H640" s="440">
        <f t="shared" si="239"/>
        <v>0.80580832099832078</v>
      </c>
      <c r="I640" s="441"/>
      <c r="J640" s="440">
        <v>0.10561043954152362</v>
      </c>
      <c r="K640" s="440">
        <v>0.68446422863498357</v>
      </c>
      <c r="L640" s="440">
        <f t="shared" si="240"/>
        <v>0.79007466817650718</v>
      </c>
      <c r="M640" s="347"/>
      <c r="N640" s="347"/>
    </row>
    <row r="641" spans="1:14" x14ac:dyDescent="0.2">
      <c r="A641" s="362" t="str">
        <f>name!E$7</f>
        <v>Administrative and secretarial</v>
      </c>
      <c r="B641" s="440">
        <v>0.19996669552839985</v>
      </c>
      <c r="C641" s="440">
        <v>0.76048822814590011</v>
      </c>
      <c r="D641" s="440">
        <f t="shared" si="238"/>
        <v>0.96045492367429997</v>
      </c>
      <c r="E641" s="441"/>
      <c r="F641" s="440">
        <v>0.32133198832454268</v>
      </c>
      <c r="G641" s="440">
        <v>0.83860984185600485</v>
      </c>
      <c r="H641" s="440">
        <f t="shared" si="239"/>
        <v>1.1599418301805475</v>
      </c>
      <c r="I641" s="441"/>
      <c r="J641" s="440">
        <v>0.30178780300622488</v>
      </c>
      <c r="K641" s="440">
        <v>0.81762650945251747</v>
      </c>
      <c r="L641" s="440">
        <f t="shared" si="240"/>
        <v>1.1194143124587423</v>
      </c>
      <c r="M641" s="347"/>
      <c r="N641" s="347"/>
    </row>
    <row r="642" spans="1:14" x14ac:dyDescent="0.2">
      <c r="A642" s="362" t="str">
        <f>name!E$8</f>
        <v>Skilled trades occupations</v>
      </c>
      <c r="B642" s="440">
        <v>7.3276161353708971E-3</v>
      </c>
      <c r="C642" s="440">
        <v>0.5221351919714774</v>
      </c>
      <c r="D642" s="440">
        <f t="shared" si="238"/>
        <v>0.52946280810684831</v>
      </c>
      <c r="E642" s="441"/>
      <c r="F642" s="440">
        <v>1.112633597629473E-2</v>
      </c>
      <c r="G642" s="440">
        <v>0.35108787760311838</v>
      </c>
      <c r="H642" s="440">
        <f t="shared" si="239"/>
        <v>0.36221421357941314</v>
      </c>
      <c r="I642" s="441"/>
      <c r="J642" s="440">
        <v>1.4748943288884184E-2</v>
      </c>
      <c r="K642" s="440">
        <v>0.28789076721376111</v>
      </c>
      <c r="L642" s="440">
        <f t="shared" si="240"/>
        <v>0.30263971050264532</v>
      </c>
      <c r="M642" s="347"/>
      <c r="N642" s="347"/>
    </row>
    <row r="643" spans="1:14" x14ac:dyDescent="0.2">
      <c r="A643" s="362" t="str">
        <f>name!E$9</f>
        <v>Caring, leisure and other service</v>
      </c>
      <c r="B643" s="440">
        <v>0.32722747768021859</v>
      </c>
      <c r="C643" s="440">
        <v>0.55779913992207431</v>
      </c>
      <c r="D643" s="440">
        <f t="shared" si="238"/>
        <v>0.88502661760229295</v>
      </c>
      <c r="E643" s="441"/>
      <c r="F643" s="440">
        <v>0.4878065385466463</v>
      </c>
      <c r="G643" s="440">
        <v>0.73647648733335802</v>
      </c>
      <c r="H643" s="440">
        <f t="shared" si="239"/>
        <v>1.2242830258800044</v>
      </c>
      <c r="I643" s="441"/>
      <c r="J643" s="440">
        <v>0.48885445921409709</v>
      </c>
      <c r="K643" s="440">
        <v>0.71128125433210287</v>
      </c>
      <c r="L643" s="440">
        <f t="shared" si="240"/>
        <v>1.2001357135461999</v>
      </c>
      <c r="M643" s="347"/>
      <c r="N643" s="347"/>
    </row>
    <row r="644" spans="1:14" x14ac:dyDescent="0.2">
      <c r="A644" s="362" t="str">
        <f>name!E$10</f>
        <v>Sales and customer service</v>
      </c>
      <c r="B644" s="440">
        <v>6.6996449162698493E-2</v>
      </c>
      <c r="C644" s="440">
        <v>0.33813313980763371</v>
      </c>
      <c r="D644" s="440">
        <f t="shared" si="238"/>
        <v>0.40512958897033219</v>
      </c>
      <c r="E644" s="441"/>
      <c r="F644" s="440">
        <v>0.12235315370223369</v>
      </c>
      <c r="G644" s="440">
        <v>0.49830916774996287</v>
      </c>
      <c r="H644" s="440">
        <f t="shared" si="239"/>
        <v>0.62066232145219657</v>
      </c>
      <c r="I644" s="441"/>
      <c r="J644" s="440">
        <v>0.13369511446822802</v>
      </c>
      <c r="K644" s="440">
        <v>0.47544740033385569</v>
      </c>
      <c r="L644" s="440">
        <f t="shared" si="240"/>
        <v>0.6091425148020837</v>
      </c>
      <c r="M644" s="347"/>
      <c r="N644" s="347"/>
    </row>
    <row r="645" spans="1:14" x14ac:dyDescent="0.2">
      <c r="A645" s="362" t="str">
        <f>name!E$11</f>
        <v>Process, plant and machine operatives</v>
      </c>
      <c r="B645" s="440">
        <v>2.0318140628836603E-2</v>
      </c>
      <c r="C645" s="440">
        <v>2.1400244430244508</v>
      </c>
      <c r="D645" s="440">
        <f t="shared" si="238"/>
        <v>2.1603425836532875</v>
      </c>
      <c r="E645" s="441"/>
      <c r="F645" s="440">
        <v>3.3236569625666519E-2</v>
      </c>
      <c r="G645" s="440">
        <v>1.567827661355403</v>
      </c>
      <c r="H645" s="440">
        <f t="shared" si="239"/>
        <v>1.6010642309810694</v>
      </c>
      <c r="I645" s="441"/>
      <c r="J645" s="440">
        <v>3.5583404214591996E-2</v>
      </c>
      <c r="K645" s="440">
        <v>1.4066037879389408</v>
      </c>
      <c r="L645" s="440">
        <f t="shared" si="240"/>
        <v>1.4421871921535327</v>
      </c>
      <c r="M645" s="347"/>
      <c r="N645" s="347"/>
    </row>
    <row r="646" spans="1:14" x14ac:dyDescent="0.2">
      <c r="A646" s="362" t="str">
        <f>name!E$12</f>
        <v>Elementary occupations</v>
      </c>
      <c r="B646" s="440">
        <v>0.12106663199545153</v>
      </c>
      <c r="C646" s="440">
        <v>2.447992131498117</v>
      </c>
      <c r="D646" s="440">
        <f t="shared" si="238"/>
        <v>2.5690587634935684</v>
      </c>
      <c r="E646" s="441"/>
      <c r="F646" s="440">
        <v>0.2311404247911038</v>
      </c>
      <c r="G646" s="440">
        <v>2.8423175609398541</v>
      </c>
      <c r="H646" s="440">
        <f t="shared" si="239"/>
        <v>3.0734579857309581</v>
      </c>
      <c r="I646" s="441"/>
      <c r="J646" s="440">
        <v>0.2966562671698782</v>
      </c>
      <c r="K646" s="440">
        <v>2.5977752818961739</v>
      </c>
      <c r="L646" s="440">
        <f t="shared" si="240"/>
        <v>2.8944315490660522</v>
      </c>
      <c r="M646" s="347"/>
      <c r="N646" s="347"/>
    </row>
    <row r="647" spans="1:14" s="286" customFormat="1" x14ac:dyDescent="0.2">
      <c r="A647" s="362"/>
      <c r="B647" s="440"/>
      <c r="C647" s="440"/>
      <c r="D647" s="440"/>
      <c r="E647" s="441"/>
      <c r="F647" s="440"/>
      <c r="G647" s="440"/>
      <c r="H647" s="440"/>
      <c r="I647" s="441"/>
      <c r="J647" s="440"/>
      <c r="K647" s="440"/>
      <c r="L647" s="440"/>
      <c r="M647" s="347"/>
      <c r="N647" s="347"/>
    </row>
    <row r="648" spans="1:14" x14ac:dyDescent="0.2">
      <c r="A648" s="357" t="s">
        <v>32</v>
      </c>
      <c r="B648" s="450">
        <f>SUM(B638:B646)</f>
        <v>0.92099999999271009</v>
      </c>
      <c r="C648" s="450">
        <f t="shared" ref="C648:D648" si="241">SUM(C638:C646)</f>
        <v>9.096000000007944</v>
      </c>
      <c r="D648" s="450">
        <f t="shared" si="241"/>
        <v>10.017000000000653</v>
      </c>
      <c r="E648" s="450"/>
      <c r="F648" s="450">
        <f t="shared" ref="F648:H648" si="242">SUM(F638:F646)</f>
        <v>1.4800000000239586</v>
      </c>
      <c r="G648" s="450">
        <f t="shared" si="242"/>
        <v>9.3720000000178771</v>
      </c>
      <c r="H648" s="450">
        <f t="shared" si="242"/>
        <v>10.852000000041835</v>
      </c>
      <c r="I648" s="450"/>
      <c r="J648" s="450">
        <f t="shared" ref="J648:L648" si="243">SUM(J638:J646)</f>
        <v>1.6260000000167429</v>
      </c>
      <c r="K648" s="450">
        <f t="shared" si="243"/>
        <v>8.871999999872493</v>
      </c>
      <c r="L648" s="450">
        <f t="shared" si="243"/>
        <v>10.497999999889236</v>
      </c>
      <c r="M648" s="347"/>
      <c r="N648" s="347"/>
    </row>
    <row r="649" spans="1:14" x14ac:dyDescent="0.2">
      <c r="A649" s="348"/>
      <c r="B649" s="348"/>
      <c r="C649" s="348"/>
      <c r="D649" s="348"/>
      <c r="E649" s="348"/>
      <c r="F649" s="348"/>
      <c r="G649" s="348"/>
      <c r="H649" s="348"/>
      <c r="I649" s="348"/>
      <c r="J649" s="348"/>
      <c r="K649" s="348"/>
      <c r="L649" s="353"/>
      <c r="M649" s="347"/>
      <c r="N649" s="347"/>
    </row>
    <row r="650" spans="1:14" x14ac:dyDescent="0.2">
      <c r="A650" s="348"/>
      <c r="B650" s="348"/>
      <c r="C650" s="348"/>
      <c r="D650" s="348"/>
      <c r="E650" s="348"/>
      <c r="F650" s="348"/>
      <c r="G650" s="348"/>
      <c r="H650" s="348"/>
      <c r="I650" s="348"/>
      <c r="J650" s="348"/>
      <c r="K650" s="348"/>
      <c r="L650" s="372" t="s">
        <v>35</v>
      </c>
      <c r="M650" s="347"/>
      <c r="N650" s="347"/>
    </row>
    <row r="651" spans="1:14" x14ac:dyDescent="0.2">
      <c r="A651" s="355"/>
      <c r="B651" s="365"/>
      <c r="C651" s="365"/>
      <c r="D651" s="365"/>
      <c r="E651" s="365"/>
      <c r="F651" s="365"/>
      <c r="G651" s="365"/>
      <c r="H651" s="365"/>
      <c r="I651" s="365"/>
      <c r="J651" s="365"/>
      <c r="K651" s="365"/>
      <c r="L651" s="347"/>
      <c r="M651" s="347"/>
      <c r="N651" s="347"/>
    </row>
    <row r="652" spans="1:14" x14ac:dyDescent="0.2">
      <c r="A652" s="354" t="str">
        <f>name!A41</f>
        <v>Postal and courier</v>
      </c>
      <c r="B652" s="517">
        <f>B$6</f>
        <v>2007</v>
      </c>
      <c r="C652" s="517"/>
      <c r="D652" s="517"/>
      <c r="E652" s="369"/>
      <c r="F652" s="517">
        <f>F635</f>
        <v>2017</v>
      </c>
      <c r="G652" s="517"/>
      <c r="H652" s="517"/>
      <c r="I652" s="369"/>
      <c r="J652" s="517">
        <f>J635</f>
        <v>2027</v>
      </c>
      <c r="K652" s="517"/>
      <c r="L652" s="517"/>
      <c r="M652" s="347"/>
      <c r="N652" s="347"/>
    </row>
    <row r="653" spans="1:14" x14ac:dyDescent="0.2">
      <c r="A653" s="370"/>
      <c r="B653" s="371" t="s">
        <v>387</v>
      </c>
      <c r="C653" s="371" t="s">
        <v>388</v>
      </c>
      <c r="D653" s="371" t="s">
        <v>32</v>
      </c>
      <c r="E653" s="371"/>
      <c r="F653" s="371" t="s">
        <v>387</v>
      </c>
      <c r="G653" s="371" t="s">
        <v>388</v>
      </c>
      <c r="H653" s="371" t="s">
        <v>32</v>
      </c>
      <c r="I653" s="371"/>
      <c r="J653" s="371" t="s">
        <v>387</v>
      </c>
      <c r="K653" s="371" t="s">
        <v>388</v>
      </c>
      <c r="L653" s="371" t="s">
        <v>32</v>
      </c>
      <c r="M653" s="347"/>
      <c r="N653" s="347"/>
    </row>
    <row r="654" spans="1:14" s="286" customFormat="1" x14ac:dyDescent="0.2">
      <c r="A654" s="374"/>
      <c r="B654" s="375"/>
      <c r="C654" s="375"/>
      <c r="D654" s="375"/>
      <c r="E654" s="375"/>
      <c r="F654" s="375"/>
      <c r="G654" s="375"/>
      <c r="H654" s="375"/>
      <c r="I654" s="375"/>
      <c r="J654" s="375"/>
      <c r="K654" s="375"/>
      <c r="L654" s="375"/>
      <c r="M654" s="347"/>
      <c r="N654" s="347"/>
    </row>
    <row r="655" spans="1:14" x14ac:dyDescent="0.2">
      <c r="A655" s="362" t="str">
        <f>name!E$4</f>
        <v>Managers, directors and senior officials</v>
      </c>
      <c r="B655" s="440">
        <v>0.3247131573842636</v>
      </c>
      <c r="C655" s="440">
        <v>0.45979932345147717</v>
      </c>
      <c r="D655" s="440">
        <f>SUM(B655:C655)</f>
        <v>0.78451248083574077</v>
      </c>
      <c r="E655" s="441"/>
      <c r="F655" s="440">
        <v>0.39736744824247056</v>
      </c>
      <c r="G655" s="440">
        <v>0.3806571684247656</v>
      </c>
      <c r="H655" s="440">
        <f>SUM(F655:G655)</f>
        <v>0.77802461666723621</v>
      </c>
      <c r="I655" s="441"/>
      <c r="J655" s="440">
        <v>0.52613388065195132</v>
      </c>
      <c r="K655" s="440">
        <v>0.38211711709558166</v>
      </c>
      <c r="L655" s="440">
        <f>SUM(J655:K655)</f>
        <v>0.90825099774753304</v>
      </c>
      <c r="M655" s="347"/>
      <c r="N655" s="347"/>
    </row>
    <row r="656" spans="1:14" x14ac:dyDescent="0.2">
      <c r="A656" s="362" t="str">
        <f>name!E$5</f>
        <v>Professional occupations</v>
      </c>
      <c r="B656" s="440">
        <v>0.19113838200751779</v>
      </c>
      <c r="C656" s="440">
        <v>0.26794572317470794</v>
      </c>
      <c r="D656" s="440">
        <f t="shared" ref="D656:D663" si="244">SUM(B656:C656)</f>
        <v>0.45908410518222575</v>
      </c>
      <c r="E656" s="441"/>
      <c r="F656" s="440">
        <v>0.21029305047731525</v>
      </c>
      <c r="G656" s="440">
        <v>0.15869188789243413</v>
      </c>
      <c r="H656" s="440">
        <f t="shared" ref="H656:H663" si="245">SUM(F656:G656)</f>
        <v>0.36898493836974938</v>
      </c>
      <c r="I656" s="441"/>
      <c r="J656" s="440">
        <v>0.27376525177177685</v>
      </c>
      <c r="K656" s="440">
        <v>0.15321946552290455</v>
      </c>
      <c r="L656" s="440">
        <f t="shared" ref="L656:L663" si="246">SUM(J656:K656)</f>
        <v>0.4269847172946814</v>
      </c>
      <c r="M656" s="347"/>
      <c r="N656" s="347"/>
    </row>
    <row r="657" spans="1:14" x14ac:dyDescent="0.2">
      <c r="A657" s="362" t="str">
        <f>name!E$6</f>
        <v>Associate professional and technical</v>
      </c>
      <c r="B657" s="440">
        <v>0.25661206631207051</v>
      </c>
      <c r="C657" s="440">
        <v>0.4604382059856591</v>
      </c>
      <c r="D657" s="440">
        <f t="shared" si="244"/>
        <v>0.71705027229772966</v>
      </c>
      <c r="E657" s="441"/>
      <c r="F657" s="440">
        <v>0.24667398694265899</v>
      </c>
      <c r="G657" s="440">
        <v>0.25228154105008777</v>
      </c>
      <c r="H657" s="440">
        <f t="shared" si="245"/>
        <v>0.49895552799274678</v>
      </c>
      <c r="I657" s="441"/>
      <c r="J657" s="440">
        <v>0.30082889629739978</v>
      </c>
      <c r="K657" s="440">
        <v>0.23168637987133076</v>
      </c>
      <c r="L657" s="440">
        <f t="shared" si="246"/>
        <v>0.53251527616873051</v>
      </c>
      <c r="M657" s="347"/>
      <c r="N657" s="347"/>
    </row>
    <row r="658" spans="1:14" x14ac:dyDescent="0.2">
      <c r="A658" s="362" t="str">
        <f>name!E$7</f>
        <v>Administrative and secretarial</v>
      </c>
      <c r="B658" s="440">
        <v>1.524766125076835</v>
      </c>
      <c r="C658" s="440">
        <v>0.48441020168015836</v>
      </c>
      <c r="D658" s="440">
        <f t="shared" si="244"/>
        <v>2.0091763267569931</v>
      </c>
      <c r="E658" s="441"/>
      <c r="F658" s="440">
        <v>0.98886081399169456</v>
      </c>
      <c r="G658" s="440">
        <v>0.32055933160196398</v>
      </c>
      <c r="H658" s="440">
        <f t="shared" si="245"/>
        <v>1.3094201455936585</v>
      </c>
      <c r="I658" s="441"/>
      <c r="J658" s="440">
        <v>0.98465160853855593</v>
      </c>
      <c r="K658" s="440">
        <v>0.29321183136923196</v>
      </c>
      <c r="L658" s="440">
        <f t="shared" si="246"/>
        <v>1.2778634399077879</v>
      </c>
      <c r="M658" s="347"/>
      <c r="N658" s="347"/>
    </row>
    <row r="659" spans="1:14" x14ac:dyDescent="0.2">
      <c r="A659" s="362" t="str">
        <f>name!E$8</f>
        <v>Skilled trades occupations</v>
      </c>
      <c r="B659" s="440">
        <v>4.2785696875034189E-2</v>
      </c>
      <c r="C659" s="440">
        <v>0.81376049453959065</v>
      </c>
      <c r="D659" s="440">
        <f t="shared" si="244"/>
        <v>0.85654619141462485</v>
      </c>
      <c r="E659" s="441"/>
      <c r="F659" s="440">
        <v>3.0330511484554824E-2</v>
      </c>
      <c r="G659" s="440">
        <v>0.35489159168660001</v>
      </c>
      <c r="H659" s="440">
        <f t="shared" si="245"/>
        <v>0.38522210317115485</v>
      </c>
      <c r="I659" s="441"/>
      <c r="J659" s="440">
        <v>2.7806445490404251E-2</v>
      </c>
      <c r="K659" s="440">
        <v>0.28967831340549277</v>
      </c>
      <c r="L659" s="440">
        <f t="shared" si="246"/>
        <v>0.317484758895897</v>
      </c>
      <c r="M659" s="347"/>
      <c r="N659" s="347"/>
    </row>
    <row r="660" spans="1:14" x14ac:dyDescent="0.2">
      <c r="A660" s="362" t="str">
        <f>name!E$9</f>
        <v>Caring, leisure and other service</v>
      </c>
      <c r="B660" s="440">
        <v>0.13837794795292371</v>
      </c>
      <c r="C660" s="440">
        <v>0.16986762359604546</v>
      </c>
      <c r="D660" s="440">
        <f t="shared" si="244"/>
        <v>0.30824557154896914</v>
      </c>
      <c r="E660" s="441"/>
      <c r="F660" s="440">
        <v>7.2767120609826069E-2</v>
      </c>
      <c r="G660" s="440">
        <v>0.12266669562462894</v>
      </c>
      <c r="H660" s="440">
        <f t="shared" si="245"/>
        <v>0.19543381623445499</v>
      </c>
      <c r="I660" s="441"/>
      <c r="J660" s="440">
        <v>7.4034082125771616E-2</v>
      </c>
      <c r="K660" s="440">
        <v>0.14012452902938774</v>
      </c>
      <c r="L660" s="440">
        <f t="shared" si="246"/>
        <v>0.21415861115515936</v>
      </c>
      <c r="M660" s="347"/>
      <c r="N660" s="347"/>
    </row>
    <row r="661" spans="1:14" x14ac:dyDescent="0.2">
      <c r="A661" s="362" t="str">
        <f>name!E$10</f>
        <v>Sales and customer service</v>
      </c>
      <c r="B661" s="440">
        <v>0.52295320134277179</v>
      </c>
      <c r="C661" s="440">
        <v>0.18854566263309597</v>
      </c>
      <c r="D661" s="440">
        <f t="shared" si="244"/>
        <v>0.7114988639758677</v>
      </c>
      <c r="E661" s="441"/>
      <c r="F661" s="440">
        <v>0.36742621342922271</v>
      </c>
      <c r="G661" s="440">
        <v>0.17883367664960612</v>
      </c>
      <c r="H661" s="440">
        <f t="shared" si="245"/>
        <v>0.5462598900788288</v>
      </c>
      <c r="I661" s="441"/>
      <c r="J661" s="440">
        <v>0.43197693737643961</v>
      </c>
      <c r="K661" s="440">
        <v>0.18122661195956322</v>
      </c>
      <c r="L661" s="440">
        <f t="shared" si="246"/>
        <v>0.61320354933600285</v>
      </c>
      <c r="M661" s="347"/>
      <c r="N661" s="347"/>
    </row>
    <row r="662" spans="1:14" x14ac:dyDescent="0.2">
      <c r="A662" s="362" t="str">
        <f>name!E$11</f>
        <v>Process, plant and machine operatives</v>
      </c>
      <c r="B662" s="440">
        <v>7.8437204453158618E-2</v>
      </c>
      <c r="C662" s="440">
        <v>1.4397115601484622</v>
      </c>
      <c r="D662" s="440">
        <f t="shared" si="244"/>
        <v>1.518148764601621</v>
      </c>
      <c r="E662" s="441"/>
      <c r="F662" s="440">
        <v>7.9429015394141517E-2</v>
      </c>
      <c r="G662" s="440">
        <v>0.85121076275870289</v>
      </c>
      <c r="H662" s="440">
        <f t="shared" si="245"/>
        <v>0.93063977815284438</v>
      </c>
      <c r="I662" s="441"/>
      <c r="J662" s="440">
        <v>8.9774002859205101E-2</v>
      </c>
      <c r="K662" s="440">
        <v>0.78879920622386823</v>
      </c>
      <c r="L662" s="440">
        <f t="shared" si="246"/>
        <v>0.87857320908307335</v>
      </c>
      <c r="M662" s="347"/>
      <c r="N662" s="347"/>
    </row>
    <row r="663" spans="1:14" x14ac:dyDescent="0.2">
      <c r="A663" s="362" t="str">
        <f>name!E$12</f>
        <v>Elementary occupations</v>
      </c>
      <c r="B663" s="440">
        <v>1.3092162185418832</v>
      </c>
      <c r="C663" s="440">
        <v>3.5595212048129143</v>
      </c>
      <c r="D663" s="440">
        <f t="shared" si="244"/>
        <v>4.8687374233547978</v>
      </c>
      <c r="E663" s="441"/>
      <c r="F663" s="440">
        <v>0.80585183947327932</v>
      </c>
      <c r="G663" s="440">
        <v>2.014207344346874</v>
      </c>
      <c r="H663" s="440">
        <f t="shared" si="245"/>
        <v>2.8200591838201534</v>
      </c>
      <c r="I663" s="441"/>
      <c r="J663" s="440">
        <v>0.79002889492049833</v>
      </c>
      <c r="K663" s="440">
        <v>1.9279365454505568</v>
      </c>
      <c r="L663" s="440">
        <f t="shared" si="246"/>
        <v>2.7179654403710551</v>
      </c>
      <c r="M663" s="347"/>
      <c r="N663" s="347"/>
    </row>
    <row r="664" spans="1:14" s="286" customFormat="1" x14ac:dyDescent="0.2">
      <c r="A664" s="362"/>
      <c r="B664" s="440"/>
      <c r="C664" s="440"/>
      <c r="D664" s="440"/>
      <c r="E664" s="441"/>
      <c r="F664" s="440"/>
      <c r="G664" s="440"/>
      <c r="H664" s="440"/>
      <c r="I664" s="441"/>
      <c r="J664" s="440"/>
      <c r="K664" s="440"/>
      <c r="L664" s="440"/>
      <c r="M664" s="347"/>
      <c r="N664" s="347"/>
    </row>
    <row r="665" spans="1:14" x14ac:dyDescent="0.2">
      <c r="A665" s="357" t="s">
        <v>32</v>
      </c>
      <c r="B665" s="450">
        <f>SUM(B655:B663)</f>
        <v>4.3889999999464582</v>
      </c>
      <c r="C665" s="450">
        <f t="shared" ref="C665:D665" si="247">SUM(C655:C663)</f>
        <v>7.8440000000221106</v>
      </c>
      <c r="D665" s="450">
        <f t="shared" si="247"/>
        <v>12.23299999996857</v>
      </c>
      <c r="E665" s="450"/>
      <c r="F665" s="450">
        <f t="shared" ref="F665:H665" si="248">SUM(F655:F663)</f>
        <v>3.1990000000451642</v>
      </c>
      <c r="G665" s="450">
        <f t="shared" si="248"/>
        <v>4.6340000000356634</v>
      </c>
      <c r="H665" s="450">
        <f t="shared" si="248"/>
        <v>7.833000000080828</v>
      </c>
      <c r="I665" s="450"/>
      <c r="J665" s="450">
        <f t="shared" ref="J665:L665" si="249">SUM(J655:J663)</f>
        <v>3.4990000000320025</v>
      </c>
      <c r="K665" s="450">
        <f t="shared" si="249"/>
        <v>4.3879999999279171</v>
      </c>
      <c r="L665" s="450">
        <f t="shared" si="249"/>
        <v>7.8869999999599205</v>
      </c>
      <c r="M665" s="347"/>
      <c r="N665" s="347"/>
    </row>
    <row r="666" spans="1:14" x14ac:dyDescent="0.2">
      <c r="A666" s="348"/>
      <c r="B666" s="348"/>
      <c r="C666" s="348"/>
      <c r="D666" s="348"/>
      <c r="E666" s="348"/>
      <c r="F666" s="348"/>
      <c r="G666" s="348"/>
      <c r="H666" s="348"/>
      <c r="I666" s="348"/>
      <c r="J666" s="348"/>
      <c r="K666" s="348"/>
      <c r="L666" s="353"/>
      <c r="M666" s="347"/>
      <c r="N666" s="347"/>
    </row>
    <row r="667" spans="1:14" x14ac:dyDescent="0.2">
      <c r="A667" s="348"/>
      <c r="B667" s="348"/>
      <c r="C667" s="348"/>
      <c r="D667" s="348"/>
      <c r="E667" s="348"/>
      <c r="F667" s="348"/>
      <c r="G667" s="348"/>
      <c r="H667" s="348"/>
      <c r="I667" s="348"/>
      <c r="J667" s="348"/>
      <c r="K667" s="348"/>
      <c r="L667" s="372" t="s">
        <v>35</v>
      </c>
      <c r="M667" s="347"/>
      <c r="N667" s="347"/>
    </row>
    <row r="668" spans="1:14" x14ac:dyDescent="0.2">
      <c r="A668" s="355"/>
      <c r="B668" s="365"/>
      <c r="C668" s="365"/>
      <c r="D668" s="365"/>
      <c r="E668" s="365"/>
      <c r="F668" s="365"/>
      <c r="G668" s="365"/>
      <c r="H668" s="365"/>
      <c r="I668" s="365"/>
      <c r="J668" s="365"/>
      <c r="K668" s="365"/>
      <c r="L668" s="347"/>
      <c r="M668" s="347"/>
      <c r="N668" s="347"/>
    </row>
    <row r="669" spans="1:14" x14ac:dyDescent="0.2">
      <c r="A669" s="354" t="str">
        <f>name!A42</f>
        <v>Accommodation</v>
      </c>
      <c r="B669" s="517">
        <f>B$6</f>
        <v>2007</v>
      </c>
      <c r="C669" s="517"/>
      <c r="D669" s="517"/>
      <c r="E669" s="369"/>
      <c r="F669" s="517">
        <f>F652</f>
        <v>2017</v>
      </c>
      <c r="G669" s="517"/>
      <c r="H669" s="517"/>
      <c r="I669" s="369"/>
      <c r="J669" s="517">
        <f>J652</f>
        <v>2027</v>
      </c>
      <c r="K669" s="517"/>
      <c r="L669" s="517"/>
      <c r="M669" s="347"/>
      <c r="N669" s="347"/>
    </row>
    <row r="670" spans="1:14" x14ac:dyDescent="0.2">
      <c r="A670" s="370"/>
      <c r="B670" s="371" t="s">
        <v>387</v>
      </c>
      <c r="C670" s="371" t="s">
        <v>388</v>
      </c>
      <c r="D670" s="371" t="s">
        <v>32</v>
      </c>
      <c r="E670" s="371"/>
      <c r="F670" s="371" t="s">
        <v>387</v>
      </c>
      <c r="G670" s="371" t="s">
        <v>388</v>
      </c>
      <c r="H670" s="371" t="s">
        <v>32</v>
      </c>
      <c r="I670" s="371"/>
      <c r="J670" s="371" t="s">
        <v>387</v>
      </c>
      <c r="K670" s="371" t="s">
        <v>388</v>
      </c>
      <c r="L670" s="371" t="s">
        <v>32</v>
      </c>
      <c r="M670" s="347"/>
      <c r="N670" s="347"/>
    </row>
    <row r="671" spans="1:14" s="286" customFormat="1" x14ac:dyDescent="0.2">
      <c r="A671" s="374"/>
      <c r="B671" s="375"/>
      <c r="C671" s="375"/>
      <c r="D671" s="375"/>
      <c r="E671" s="375"/>
      <c r="F671" s="375"/>
      <c r="G671" s="375"/>
      <c r="H671" s="375"/>
      <c r="I671" s="375"/>
      <c r="J671" s="375"/>
      <c r="K671" s="375"/>
      <c r="L671" s="375"/>
      <c r="M671" s="347"/>
      <c r="N671" s="347"/>
    </row>
    <row r="672" spans="1:14" x14ac:dyDescent="0.2">
      <c r="A672" s="362" t="str">
        <f>name!E$4</f>
        <v>Managers, directors and senior officials</v>
      </c>
      <c r="B672" s="440">
        <v>1.4843455188478545</v>
      </c>
      <c r="C672" s="440">
        <v>2.0977762938714331</v>
      </c>
      <c r="D672" s="440">
        <f>SUM(B672:C672)</f>
        <v>3.5821218127192873</v>
      </c>
      <c r="E672" s="441"/>
      <c r="F672" s="440">
        <v>3.0498151159890665</v>
      </c>
      <c r="G672" s="440">
        <v>2.8044523395794854</v>
      </c>
      <c r="H672" s="440">
        <f>SUM(F672:G672)</f>
        <v>5.8542674555685519</v>
      </c>
      <c r="I672" s="441"/>
      <c r="J672" s="440">
        <v>3.729425286911666</v>
      </c>
      <c r="K672" s="440">
        <v>3.4596867231186645</v>
      </c>
      <c r="L672" s="440">
        <f>SUM(J672:K672)</f>
        <v>7.1891120100303301</v>
      </c>
      <c r="M672" s="347"/>
      <c r="N672" s="347"/>
    </row>
    <row r="673" spans="1:14" x14ac:dyDescent="0.2">
      <c r="A673" s="362" t="str">
        <f>name!E$5</f>
        <v>Professional occupations</v>
      </c>
      <c r="B673" s="440">
        <v>0.27189999355029365</v>
      </c>
      <c r="C673" s="440">
        <v>0.2403104711947697</v>
      </c>
      <c r="D673" s="440">
        <f t="shared" ref="D673:D680" si="250">SUM(B673:C673)</f>
        <v>0.51221046474506338</v>
      </c>
      <c r="E673" s="441"/>
      <c r="F673" s="440">
        <v>0.55825628824834783</v>
      </c>
      <c r="G673" s="440">
        <v>0.37225123278508043</v>
      </c>
      <c r="H673" s="440">
        <f t="shared" ref="H673:H680" si="251">SUM(F673:G673)</f>
        <v>0.93050752103342826</v>
      </c>
      <c r="I673" s="441"/>
      <c r="J673" s="440">
        <v>0.73374132547440218</v>
      </c>
      <c r="K673" s="440">
        <v>0.45079766063834242</v>
      </c>
      <c r="L673" s="440">
        <f t="shared" ref="L673:L680" si="252">SUM(J673:K673)</f>
        <v>1.1845389861127447</v>
      </c>
      <c r="M673" s="347"/>
      <c r="N673" s="347"/>
    </row>
    <row r="674" spans="1:14" x14ac:dyDescent="0.2">
      <c r="A674" s="362" t="str">
        <f>name!E$6</f>
        <v>Associate professional and technical</v>
      </c>
      <c r="B674" s="440">
        <v>0.27792968220276598</v>
      </c>
      <c r="C674" s="440">
        <v>0.24996913487088479</v>
      </c>
      <c r="D674" s="440">
        <f t="shared" si="250"/>
        <v>0.52789881707365072</v>
      </c>
      <c r="E674" s="441"/>
      <c r="F674" s="440">
        <v>0.75129135597917296</v>
      </c>
      <c r="G674" s="440">
        <v>0.37392838692849556</v>
      </c>
      <c r="H674" s="440">
        <f t="shared" si="251"/>
        <v>1.1252197429076685</v>
      </c>
      <c r="I674" s="441"/>
      <c r="J674" s="440">
        <v>1.0504297064073445</v>
      </c>
      <c r="K674" s="440">
        <v>0.44653100267432905</v>
      </c>
      <c r="L674" s="440">
        <f t="shared" si="252"/>
        <v>1.4969607090816734</v>
      </c>
      <c r="M674" s="347"/>
      <c r="N674" s="347"/>
    </row>
    <row r="675" spans="1:14" x14ac:dyDescent="0.2">
      <c r="A675" s="362" t="str">
        <f>name!E$7</f>
        <v>Administrative and secretarial</v>
      </c>
      <c r="B675" s="440">
        <v>1.1116002225063757</v>
      </c>
      <c r="C675" s="440">
        <v>0.24359607326901744</v>
      </c>
      <c r="D675" s="440">
        <f t="shared" si="250"/>
        <v>1.3551962957753931</v>
      </c>
      <c r="E675" s="441"/>
      <c r="F675" s="440">
        <v>2.0680861240544122</v>
      </c>
      <c r="G675" s="440">
        <v>0.33723833951342874</v>
      </c>
      <c r="H675" s="440">
        <f t="shared" si="251"/>
        <v>2.4053244635678408</v>
      </c>
      <c r="I675" s="441"/>
      <c r="J675" s="440">
        <v>1.9837174087077301</v>
      </c>
      <c r="K675" s="440">
        <v>0.37847112098738656</v>
      </c>
      <c r="L675" s="440">
        <f t="shared" si="252"/>
        <v>2.3621885296951168</v>
      </c>
      <c r="M675" s="347"/>
      <c r="N675" s="347"/>
    </row>
    <row r="676" spans="1:14" x14ac:dyDescent="0.2">
      <c r="A676" s="362" t="str">
        <f>name!E$8</f>
        <v>Skilled trades occupations</v>
      </c>
      <c r="B676" s="440">
        <v>1.4144745110135899</v>
      </c>
      <c r="C676" s="440">
        <v>3.4430545458035176</v>
      </c>
      <c r="D676" s="440">
        <f t="shared" si="250"/>
        <v>4.857529056817107</v>
      </c>
      <c r="E676" s="441"/>
      <c r="F676" s="440">
        <v>2.2362670986928439</v>
      </c>
      <c r="G676" s="440">
        <v>6.0247194194155362</v>
      </c>
      <c r="H676" s="440">
        <f t="shared" si="251"/>
        <v>8.2609865181083801</v>
      </c>
      <c r="I676" s="441"/>
      <c r="J676" s="440">
        <v>2.1722231566477266</v>
      </c>
      <c r="K676" s="440">
        <v>5.5418406627328682</v>
      </c>
      <c r="L676" s="440">
        <f t="shared" si="252"/>
        <v>7.7140638193805948</v>
      </c>
      <c r="M676" s="347"/>
      <c r="N676" s="347"/>
    </row>
    <row r="677" spans="1:14" x14ac:dyDescent="0.2">
      <c r="A677" s="362" t="str">
        <f>name!E$9</f>
        <v>Caring, leisure and other service</v>
      </c>
      <c r="B677" s="440">
        <v>0.67774712281792204</v>
      </c>
      <c r="C677" s="440">
        <v>0.25322527880601858</v>
      </c>
      <c r="D677" s="440">
        <f t="shared" si="250"/>
        <v>0.93097240162394068</v>
      </c>
      <c r="E677" s="441"/>
      <c r="F677" s="440">
        <v>1.6226152430014633</v>
      </c>
      <c r="G677" s="440">
        <v>0.23847434574421425</v>
      </c>
      <c r="H677" s="440">
        <f t="shared" si="251"/>
        <v>1.8610895887456775</v>
      </c>
      <c r="I677" s="441"/>
      <c r="J677" s="440">
        <v>1.961654837170429</v>
      </c>
      <c r="K677" s="440">
        <v>0.29477102973821295</v>
      </c>
      <c r="L677" s="440">
        <f t="shared" si="252"/>
        <v>2.2564258669086419</v>
      </c>
      <c r="M677" s="347"/>
      <c r="N677" s="347"/>
    </row>
    <row r="678" spans="1:14" x14ac:dyDescent="0.2">
      <c r="A678" s="362" t="str">
        <f>name!E$10</f>
        <v>Sales and customer service</v>
      </c>
      <c r="B678" s="440">
        <v>1.1129878046621364</v>
      </c>
      <c r="C678" s="440">
        <v>0.59128022837211613</v>
      </c>
      <c r="D678" s="440">
        <f t="shared" si="250"/>
        <v>1.7042680330342526</v>
      </c>
      <c r="E678" s="441"/>
      <c r="F678" s="440">
        <v>1.7263266223912717</v>
      </c>
      <c r="G678" s="440">
        <v>0.8393817095081535</v>
      </c>
      <c r="H678" s="440">
        <f t="shared" si="251"/>
        <v>2.5657083318994252</v>
      </c>
      <c r="I678" s="441"/>
      <c r="J678" s="440">
        <v>2.0754043268957689</v>
      </c>
      <c r="K678" s="440">
        <v>0.81520098025400067</v>
      </c>
      <c r="L678" s="440">
        <f t="shared" si="252"/>
        <v>2.8906053071497695</v>
      </c>
      <c r="M678" s="347"/>
      <c r="N678" s="347"/>
    </row>
    <row r="679" spans="1:14" x14ac:dyDescent="0.2">
      <c r="A679" s="362" t="str">
        <f>name!E$11</f>
        <v>Process, plant and machine operatives</v>
      </c>
      <c r="B679" s="440">
        <v>0.11068982020943509</v>
      </c>
      <c r="C679" s="440">
        <v>0.53531232419509178</v>
      </c>
      <c r="D679" s="440">
        <f t="shared" si="250"/>
        <v>0.64600214440452686</v>
      </c>
      <c r="E679" s="441"/>
      <c r="F679" s="440">
        <v>0.34010747300433913</v>
      </c>
      <c r="G679" s="440">
        <v>1.0420234739938077</v>
      </c>
      <c r="H679" s="440">
        <f t="shared" si="251"/>
        <v>1.3821309469981469</v>
      </c>
      <c r="I679" s="441"/>
      <c r="J679" s="440">
        <v>0.28541808271553332</v>
      </c>
      <c r="K679" s="440">
        <v>1.0505213688190045</v>
      </c>
      <c r="L679" s="440">
        <f t="shared" si="252"/>
        <v>1.3359394515345377</v>
      </c>
      <c r="M679" s="347"/>
      <c r="N679" s="347"/>
    </row>
    <row r="680" spans="1:14" x14ac:dyDescent="0.2">
      <c r="A680" s="362" t="str">
        <f>name!E$12</f>
        <v>Elementary occupations</v>
      </c>
      <c r="B680" s="440">
        <v>8.7873253240516309</v>
      </c>
      <c r="C680" s="440">
        <v>3.9114756495898799</v>
      </c>
      <c r="D680" s="440">
        <f t="shared" si="250"/>
        <v>12.698800973641511</v>
      </c>
      <c r="E680" s="441"/>
      <c r="F680" s="440">
        <v>11.524234679257139</v>
      </c>
      <c r="G680" s="440">
        <v>6.6705307524968571</v>
      </c>
      <c r="H680" s="440">
        <f t="shared" si="251"/>
        <v>18.194765431753996</v>
      </c>
      <c r="I680" s="441"/>
      <c r="J680" s="440">
        <v>12.547985869534575</v>
      </c>
      <c r="K680" s="440">
        <v>8.1551794508246349</v>
      </c>
      <c r="L680" s="440">
        <f t="shared" si="252"/>
        <v>20.703165320359211</v>
      </c>
      <c r="M680" s="347"/>
      <c r="N680" s="347"/>
    </row>
    <row r="681" spans="1:14" s="286" customFormat="1" x14ac:dyDescent="0.2">
      <c r="A681" s="362"/>
      <c r="B681" s="440"/>
      <c r="C681" s="440"/>
      <c r="D681" s="440"/>
      <c r="E681" s="441"/>
      <c r="F681" s="440"/>
      <c r="G681" s="440"/>
      <c r="H681" s="440"/>
      <c r="I681" s="441"/>
      <c r="J681" s="440"/>
      <c r="K681" s="440"/>
      <c r="L681" s="440"/>
      <c r="M681" s="347"/>
      <c r="N681" s="347"/>
    </row>
    <row r="682" spans="1:14" x14ac:dyDescent="0.2">
      <c r="A682" s="357" t="s">
        <v>32</v>
      </c>
      <c r="B682" s="450">
        <f>SUM(B672:B680)</f>
        <v>15.248999999862004</v>
      </c>
      <c r="C682" s="450">
        <f t="shared" ref="C682:D682" si="253">SUM(C672:C680)</f>
        <v>11.565999999972728</v>
      </c>
      <c r="D682" s="450">
        <f t="shared" si="253"/>
        <v>26.814999999834733</v>
      </c>
      <c r="E682" s="450"/>
      <c r="F682" s="450">
        <f t="shared" ref="F682:H682" si="254">SUM(F672:F680)</f>
        <v>23.877000000618057</v>
      </c>
      <c r="G682" s="450">
        <f t="shared" si="254"/>
        <v>18.702999999965058</v>
      </c>
      <c r="H682" s="450">
        <f t="shared" si="254"/>
        <v>42.580000000583112</v>
      </c>
      <c r="I682" s="450"/>
      <c r="J682" s="450">
        <f t="shared" ref="J682:L682" si="255">SUM(J672:J680)</f>
        <v>26.540000000465174</v>
      </c>
      <c r="K682" s="450">
        <f t="shared" si="255"/>
        <v>20.592999999787445</v>
      </c>
      <c r="L682" s="450">
        <f t="shared" si="255"/>
        <v>47.133000000252622</v>
      </c>
      <c r="M682" s="347"/>
      <c r="N682" s="347"/>
    </row>
    <row r="683" spans="1:14" x14ac:dyDescent="0.2">
      <c r="A683" s="348"/>
      <c r="B683" s="348"/>
      <c r="C683" s="348"/>
      <c r="D683" s="348"/>
      <c r="E683" s="348"/>
      <c r="F683" s="348"/>
      <c r="G683" s="348"/>
      <c r="H683" s="348"/>
      <c r="I683" s="348"/>
      <c r="J683" s="348"/>
      <c r="K683" s="348"/>
      <c r="L683" s="353"/>
      <c r="M683" s="347"/>
      <c r="N683" s="347"/>
    </row>
    <row r="684" spans="1:14" x14ac:dyDescent="0.2">
      <c r="A684" s="348"/>
      <c r="B684" s="348"/>
      <c r="C684" s="348"/>
      <c r="D684" s="348"/>
      <c r="E684" s="348"/>
      <c r="F684" s="348"/>
      <c r="G684" s="348"/>
      <c r="H684" s="348"/>
      <c r="I684" s="348"/>
      <c r="J684" s="348"/>
      <c r="K684" s="348"/>
      <c r="L684" s="372" t="s">
        <v>35</v>
      </c>
      <c r="M684" s="347"/>
      <c r="N684" s="347"/>
    </row>
    <row r="685" spans="1:14" x14ac:dyDescent="0.2">
      <c r="A685" s="355"/>
      <c r="B685" s="365"/>
      <c r="C685" s="365"/>
      <c r="D685" s="365"/>
      <c r="E685" s="365"/>
      <c r="F685" s="365"/>
      <c r="G685" s="365"/>
      <c r="H685" s="365"/>
      <c r="I685" s="365"/>
      <c r="J685" s="365"/>
      <c r="K685" s="365"/>
      <c r="L685" s="347"/>
      <c r="M685" s="347"/>
      <c r="N685" s="347"/>
    </row>
    <row r="686" spans="1:14" x14ac:dyDescent="0.2">
      <c r="A686" s="354" t="str">
        <f>name!A43</f>
        <v>Food and beverage services</v>
      </c>
      <c r="B686" s="517">
        <f>B$6</f>
        <v>2007</v>
      </c>
      <c r="C686" s="517"/>
      <c r="D686" s="517"/>
      <c r="E686" s="369"/>
      <c r="F686" s="517">
        <f>F669</f>
        <v>2017</v>
      </c>
      <c r="G686" s="517"/>
      <c r="H686" s="517"/>
      <c r="I686" s="369"/>
      <c r="J686" s="517">
        <f>J669</f>
        <v>2027</v>
      </c>
      <c r="K686" s="517"/>
      <c r="L686" s="517"/>
      <c r="M686" s="347"/>
      <c r="N686" s="347"/>
    </row>
    <row r="687" spans="1:14" x14ac:dyDescent="0.2">
      <c r="A687" s="370"/>
      <c r="B687" s="371" t="s">
        <v>387</v>
      </c>
      <c r="C687" s="371" t="s">
        <v>388</v>
      </c>
      <c r="D687" s="371" t="s">
        <v>32</v>
      </c>
      <c r="E687" s="371"/>
      <c r="F687" s="371" t="s">
        <v>387</v>
      </c>
      <c r="G687" s="371" t="s">
        <v>388</v>
      </c>
      <c r="H687" s="371" t="s">
        <v>32</v>
      </c>
      <c r="I687" s="371"/>
      <c r="J687" s="371" t="s">
        <v>387</v>
      </c>
      <c r="K687" s="371" t="s">
        <v>388</v>
      </c>
      <c r="L687" s="371" t="s">
        <v>32</v>
      </c>
      <c r="M687" s="347"/>
      <c r="N687" s="347"/>
    </row>
    <row r="688" spans="1:14" s="286" customFormat="1" x14ac:dyDescent="0.2">
      <c r="A688" s="374"/>
      <c r="B688" s="375"/>
      <c r="C688" s="375"/>
      <c r="D688" s="375"/>
      <c r="E688" s="375"/>
      <c r="F688" s="375"/>
      <c r="G688" s="375"/>
      <c r="H688" s="375"/>
      <c r="I688" s="375"/>
      <c r="J688" s="375"/>
      <c r="K688" s="375"/>
      <c r="L688" s="375"/>
      <c r="M688" s="347"/>
      <c r="N688" s="347"/>
    </row>
    <row r="689" spans="1:14" x14ac:dyDescent="0.2">
      <c r="A689" s="362" t="str">
        <f>name!E$4</f>
        <v>Managers, directors and senior officials</v>
      </c>
      <c r="B689" s="440">
        <v>2.8862458732604246</v>
      </c>
      <c r="C689" s="440">
        <v>5.26793700601901</v>
      </c>
      <c r="D689" s="440">
        <f>SUM(B689:C689)</f>
        <v>8.1541828792794355</v>
      </c>
      <c r="E689" s="441"/>
      <c r="F689" s="440">
        <v>3.7660950689604622</v>
      </c>
      <c r="G689" s="440">
        <v>5.2996522140504565</v>
      </c>
      <c r="H689" s="440">
        <f>SUM(F689:G689)</f>
        <v>9.0657472830109178</v>
      </c>
      <c r="I689" s="441"/>
      <c r="J689" s="440">
        <v>4.7022029060957662</v>
      </c>
      <c r="K689" s="440">
        <v>6.0033592021137059</v>
      </c>
      <c r="L689" s="440">
        <f>SUM(J689:K689)</f>
        <v>10.705562108209472</v>
      </c>
      <c r="M689" s="347"/>
      <c r="N689" s="347"/>
    </row>
    <row r="690" spans="1:14" x14ac:dyDescent="0.2">
      <c r="A690" s="362" t="str">
        <f>name!E$5</f>
        <v>Professional occupations</v>
      </c>
      <c r="B690" s="440">
        <v>0.5966506447054355</v>
      </c>
      <c r="C690" s="440">
        <v>0.54476646077151369</v>
      </c>
      <c r="D690" s="440">
        <f t="shared" ref="D690:D697" si="256">SUM(B690:C690)</f>
        <v>1.1414171054769491</v>
      </c>
      <c r="E690" s="441"/>
      <c r="F690" s="440">
        <v>0.82362273941674946</v>
      </c>
      <c r="G690" s="440">
        <v>0.71759864947912255</v>
      </c>
      <c r="H690" s="440">
        <f t="shared" ref="H690:H697" si="257">SUM(F690:G690)</f>
        <v>1.5412213888958721</v>
      </c>
      <c r="I690" s="441"/>
      <c r="J690" s="440">
        <v>1.0352614822899289</v>
      </c>
      <c r="K690" s="440">
        <v>0.77587798816178144</v>
      </c>
      <c r="L690" s="440">
        <f t="shared" ref="L690:L697" si="258">SUM(J690:K690)</f>
        <v>1.8111394704517103</v>
      </c>
      <c r="M690" s="347"/>
      <c r="N690" s="347"/>
    </row>
    <row r="691" spans="1:14" x14ac:dyDescent="0.2">
      <c r="A691" s="362" t="str">
        <f>name!E$6</f>
        <v>Associate professional and technical</v>
      </c>
      <c r="B691" s="440">
        <v>0.64071982080128109</v>
      </c>
      <c r="C691" s="440">
        <v>0.60805155584926251</v>
      </c>
      <c r="D691" s="440">
        <f t="shared" si="256"/>
        <v>1.2487713766505437</v>
      </c>
      <c r="E691" s="441"/>
      <c r="F691" s="440">
        <v>1.2762668822909418</v>
      </c>
      <c r="G691" s="440">
        <v>0.80071574303118931</v>
      </c>
      <c r="H691" s="440">
        <f t="shared" si="257"/>
        <v>2.0769826253221311</v>
      </c>
      <c r="I691" s="441"/>
      <c r="J691" s="440">
        <v>1.6772011492522831</v>
      </c>
      <c r="K691" s="440">
        <v>0.82944874976789085</v>
      </c>
      <c r="L691" s="440">
        <f t="shared" si="258"/>
        <v>2.5066498990201742</v>
      </c>
      <c r="M691" s="347"/>
      <c r="N691" s="347"/>
    </row>
    <row r="692" spans="1:14" x14ac:dyDescent="0.2">
      <c r="A692" s="362" t="str">
        <f>name!E$7</f>
        <v>Administrative and secretarial</v>
      </c>
      <c r="B692" s="440">
        <v>2.592928256323932</v>
      </c>
      <c r="C692" s="440">
        <v>0.51241587385672194</v>
      </c>
      <c r="D692" s="440">
        <f t="shared" si="256"/>
        <v>3.1053441301806539</v>
      </c>
      <c r="E692" s="441"/>
      <c r="F692" s="440">
        <v>3.4081293468570801</v>
      </c>
      <c r="G692" s="440">
        <v>0.94029868299678265</v>
      </c>
      <c r="H692" s="440">
        <f t="shared" si="257"/>
        <v>4.3484280298538627</v>
      </c>
      <c r="I692" s="441"/>
      <c r="J692" s="440">
        <v>3.1050432014542495</v>
      </c>
      <c r="K692" s="440">
        <v>0.90191236967349719</v>
      </c>
      <c r="L692" s="440">
        <f t="shared" si="258"/>
        <v>4.0069555711277465</v>
      </c>
      <c r="M692" s="347"/>
      <c r="N692" s="347"/>
    </row>
    <row r="693" spans="1:14" x14ac:dyDescent="0.2">
      <c r="A693" s="362" t="str">
        <f>name!E$8</f>
        <v>Skilled trades occupations</v>
      </c>
      <c r="B693" s="440">
        <v>3.3461952104111914</v>
      </c>
      <c r="C693" s="440">
        <v>7.6103321781339135</v>
      </c>
      <c r="D693" s="440">
        <f t="shared" si="256"/>
        <v>10.956527388545105</v>
      </c>
      <c r="E693" s="441"/>
      <c r="F693" s="440">
        <v>3.6052708586032187</v>
      </c>
      <c r="G693" s="440">
        <v>12.362001148841545</v>
      </c>
      <c r="H693" s="440">
        <f t="shared" si="257"/>
        <v>15.967272007444762</v>
      </c>
      <c r="I693" s="441"/>
      <c r="J693" s="440">
        <v>3.3342499254495115</v>
      </c>
      <c r="K693" s="440">
        <v>10.018898251679417</v>
      </c>
      <c r="L693" s="440">
        <f t="shared" si="258"/>
        <v>13.353148177128929</v>
      </c>
      <c r="M693" s="347"/>
      <c r="N693" s="347"/>
    </row>
    <row r="694" spans="1:14" x14ac:dyDescent="0.2">
      <c r="A694" s="362" t="str">
        <f>name!E$9</f>
        <v>Caring, leisure and other service</v>
      </c>
      <c r="B694" s="440">
        <v>1.6568733799958479</v>
      </c>
      <c r="C694" s="440">
        <v>0.73165754733854393</v>
      </c>
      <c r="D694" s="440">
        <f t="shared" si="256"/>
        <v>2.3885309273343918</v>
      </c>
      <c r="E694" s="441"/>
      <c r="F694" s="440">
        <v>2.8398034395202445</v>
      </c>
      <c r="G694" s="440">
        <v>0.64164261629407804</v>
      </c>
      <c r="H694" s="440">
        <f t="shared" si="257"/>
        <v>3.4814460558143225</v>
      </c>
      <c r="I694" s="441"/>
      <c r="J694" s="440">
        <v>3.1716145293382763</v>
      </c>
      <c r="K694" s="440">
        <v>0.69672516494968428</v>
      </c>
      <c r="L694" s="440">
        <f t="shared" si="258"/>
        <v>3.8683396942879607</v>
      </c>
      <c r="M694" s="347"/>
      <c r="N694" s="347"/>
    </row>
    <row r="695" spans="1:14" x14ac:dyDescent="0.2">
      <c r="A695" s="362" t="str">
        <f>name!E$10</f>
        <v>Sales and customer service</v>
      </c>
      <c r="B695" s="440">
        <v>2.9966202251317751</v>
      </c>
      <c r="C695" s="440">
        <v>1.8132646170253703</v>
      </c>
      <c r="D695" s="440">
        <f t="shared" si="256"/>
        <v>4.8098848421571452</v>
      </c>
      <c r="E695" s="441"/>
      <c r="F695" s="440">
        <v>4.323354527881353</v>
      </c>
      <c r="G695" s="440">
        <v>2.8600099982486946</v>
      </c>
      <c r="H695" s="440">
        <f t="shared" si="257"/>
        <v>7.1833645261300472</v>
      </c>
      <c r="I695" s="441"/>
      <c r="J695" s="440">
        <v>4.9924324798259958</v>
      </c>
      <c r="K695" s="440">
        <v>2.3076501003697847</v>
      </c>
      <c r="L695" s="440">
        <f t="shared" si="258"/>
        <v>7.3000825801957809</v>
      </c>
      <c r="M695" s="347"/>
      <c r="N695" s="347"/>
    </row>
    <row r="696" spans="1:14" x14ac:dyDescent="0.2">
      <c r="A696" s="362" t="str">
        <f>name!E$11</f>
        <v>Process, plant and machine operatives</v>
      </c>
      <c r="B696" s="440">
        <v>0.29625944249201486</v>
      </c>
      <c r="C696" s="440">
        <v>1.3617839944431283</v>
      </c>
      <c r="D696" s="440">
        <f t="shared" si="256"/>
        <v>1.6580434369351431</v>
      </c>
      <c r="E696" s="441"/>
      <c r="F696" s="440">
        <v>0.56544345276177277</v>
      </c>
      <c r="G696" s="440">
        <v>2.8469879945391168</v>
      </c>
      <c r="H696" s="440">
        <f t="shared" si="257"/>
        <v>3.4124314473008894</v>
      </c>
      <c r="I696" s="441"/>
      <c r="J696" s="440">
        <v>0.44622911403410881</v>
      </c>
      <c r="K696" s="440">
        <v>2.5008019349173454</v>
      </c>
      <c r="L696" s="440">
        <f t="shared" si="258"/>
        <v>2.9470310489514544</v>
      </c>
      <c r="M696" s="347"/>
      <c r="N696" s="347"/>
    </row>
    <row r="697" spans="1:14" x14ac:dyDescent="0.2">
      <c r="A697" s="362" t="str">
        <f>name!E$12</f>
        <v>Elementary occupations</v>
      </c>
      <c r="B697" s="440">
        <v>24.469507146559039</v>
      </c>
      <c r="C697" s="440">
        <v>11.352790766475175</v>
      </c>
      <c r="D697" s="440">
        <f t="shared" si="256"/>
        <v>35.822297913034213</v>
      </c>
      <c r="E697" s="441"/>
      <c r="F697" s="440">
        <v>27.873013685291827</v>
      </c>
      <c r="G697" s="440">
        <v>20.543092952432648</v>
      </c>
      <c r="H697" s="440">
        <f t="shared" si="257"/>
        <v>48.416106637724475</v>
      </c>
      <c r="I697" s="441"/>
      <c r="J697" s="440">
        <v>28.695765213422561</v>
      </c>
      <c r="K697" s="440">
        <v>21.609326237865208</v>
      </c>
      <c r="L697" s="440">
        <f t="shared" si="258"/>
        <v>50.305091451287765</v>
      </c>
      <c r="M697" s="347"/>
      <c r="N697" s="347"/>
    </row>
    <row r="698" spans="1:14" s="286" customFormat="1" x14ac:dyDescent="0.2">
      <c r="A698" s="362"/>
      <c r="B698" s="440"/>
      <c r="C698" s="440"/>
      <c r="D698" s="440"/>
      <c r="E698" s="441"/>
      <c r="F698" s="440"/>
      <c r="G698" s="440"/>
      <c r="H698" s="440"/>
      <c r="I698" s="441"/>
      <c r="J698" s="440"/>
      <c r="K698" s="440"/>
      <c r="L698" s="440"/>
      <c r="M698" s="347"/>
      <c r="N698" s="347"/>
    </row>
    <row r="699" spans="1:14" x14ac:dyDescent="0.2">
      <c r="A699" s="357" t="s">
        <v>32</v>
      </c>
      <c r="B699" s="450">
        <f>SUM(B689:B697)</f>
        <v>39.481999999680937</v>
      </c>
      <c r="C699" s="450">
        <f t="shared" ref="C699:D699" si="259">SUM(C689:C697)</f>
        <v>29.802999999912643</v>
      </c>
      <c r="D699" s="450">
        <f t="shared" si="259"/>
        <v>69.28499999959358</v>
      </c>
      <c r="E699" s="450"/>
      <c r="F699" s="450">
        <f t="shared" ref="F699:H699" si="260">SUM(F689:F697)</f>
        <v>48.481000001583652</v>
      </c>
      <c r="G699" s="450">
        <f t="shared" si="260"/>
        <v>47.011999999913634</v>
      </c>
      <c r="H699" s="450">
        <f t="shared" si="260"/>
        <v>95.493000001497279</v>
      </c>
      <c r="I699" s="450"/>
      <c r="J699" s="450">
        <f t="shared" ref="J699:L699" si="261">SUM(J689:J697)</f>
        <v>51.160000001162679</v>
      </c>
      <c r="K699" s="450">
        <f t="shared" si="261"/>
        <v>45.643999999498313</v>
      </c>
      <c r="L699" s="450">
        <f t="shared" si="261"/>
        <v>96.804000000661006</v>
      </c>
      <c r="M699" s="347"/>
      <c r="N699" s="347"/>
    </row>
    <row r="700" spans="1:14" x14ac:dyDescent="0.2">
      <c r="A700" s="348"/>
      <c r="B700" s="348"/>
      <c r="C700" s="348"/>
      <c r="D700" s="348"/>
      <c r="E700" s="348"/>
      <c r="F700" s="348"/>
      <c r="G700" s="348"/>
      <c r="H700" s="348"/>
      <c r="I700" s="348"/>
      <c r="J700" s="348"/>
      <c r="K700" s="348"/>
      <c r="L700" s="353"/>
      <c r="M700" s="347"/>
      <c r="N700" s="347"/>
    </row>
    <row r="701" spans="1:14" x14ac:dyDescent="0.2">
      <c r="A701" s="348"/>
      <c r="B701" s="348"/>
      <c r="C701" s="348"/>
      <c r="D701" s="348"/>
      <c r="E701" s="348"/>
      <c r="F701" s="348"/>
      <c r="G701" s="348"/>
      <c r="H701" s="348"/>
      <c r="I701" s="348"/>
      <c r="J701" s="348"/>
      <c r="K701" s="348"/>
      <c r="L701" s="372" t="s">
        <v>35</v>
      </c>
      <c r="M701" s="347"/>
      <c r="N701" s="347"/>
    </row>
    <row r="702" spans="1:14" x14ac:dyDescent="0.2">
      <c r="A702" s="355"/>
      <c r="B702" s="365"/>
      <c r="C702" s="365"/>
      <c r="D702" s="365"/>
      <c r="E702" s="365"/>
      <c r="F702" s="365"/>
      <c r="G702" s="365"/>
      <c r="H702" s="365"/>
      <c r="I702" s="365"/>
      <c r="J702" s="365"/>
      <c r="K702" s="365"/>
      <c r="L702" s="347"/>
      <c r="M702" s="347"/>
      <c r="N702" s="347"/>
    </row>
    <row r="703" spans="1:14" x14ac:dyDescent="0.2">
      <c r="A703" s="354" t="str">
        <f>name!A44</f>
        <v>Publishing activities</v>
      </c>
      <c r="B703" s="517">
        <f>B$6</f>
        <v>2007</v>
      </c>
      <c r="C703" s="517"/>
      <c r="D703" s="517"/>
      <c r="E703" s="369"/>
      <c r="F703" s="517">
        <f>F686</f>
        <v>2017</v>
      </c>
      <c r="G703" s="517"/>
      <c r="H703" s="517"/>
      <c r="I703" s="369"/>
      <c r="J703" s="517">
        <f>J686</f>
        <v>2027</v>
      </c>
      <c r="K703" s="517"/>
      <c r="L703" s="517"/>
      <c r="M703" s="347"/>
      <c r="N703" s="347"/>
    </row>
    <row r="704" spans="1:14" x14ac:dyDescent="0.2">
      <c r="A704" s="370"/>
      <c r="B704" s="371" t="s">
        <v>387</v>
      </c>
      <c r="C704" s="371" t="s">
        <v>388</v>
      </c>
      <c r="D704" s="371" t="s">
        <v>32</v>
      </c>
      <c r="E704" s="371"/>
      <c r="F704" s="371" t="s">
        <v>387</v>
      </c>
      <c r="G704" s="371" t="s">
        <v>388</v>
      </c>
      <c r="H704" s="371" t="s">
        <v>32</v>
      </c>
      <c r="I704" s="371"/>
      <c r="J704" s="371" t="s">
        <v>387</v>
      </c>
      <c r="K704" s="371" t="s">
        <v>388</v>
      </c>
      <c r="L704" s="371" t="s">
        <v>32</v>
      </c>
      <c r="M704" s="347"/>
      <c r="N704" s="347"/>
    </row>
    <row r="705" spans="1:14" s="286" customFormat="1" x14ac:dyDescent="0.2">
      <c r="A705" s="374"/>
      <c r="B705" s="375"/>
      <c r="C705" s="375"/>
      <c r="D705" s="375"/>
      <c r="E705" s="375"/>
      <c r="F705" s="375"/>
      <c r="G705" s="375"/>
      <c r="H705" s="375"/>
      <c r="I705" s="375"/>
      <c r="J705" s="375"/>
      <c r="K705" s="375"/>
      <c r="L705" s="375"/>
      <c r="M705" s="347"/>
      <c r="N705" s="347"/>
    </row>
    <row r="706" spans="1:14" x14ac:dyDescent="0.2">
      <c r="A706" s="362" t="str">
        <f>name!E$4</f>
        <v>Managers, directors and senior officials</v>
      </c>
      <c r="B706" s="440">
        <v>0.13309119764347957</v>
      </c>
      <c r="C706" s="440">
        <v>0.30211272545501888</v>
      </c>
      <c r="D706" s="440">
        <f>SUM(B706:C706)</f>
        <v>0.43520392309849842</v>
      </c>
      <c r="E706" s="441"/>
      <c r="F706" s="440">
        <v>8.2882622832878922E-2</v>
      </c>
      <c r="G706" s="440">
        <v>0.26514460180412025</v>
      </c>
      <c r="H706" s="440">
        <f>SUM(F706:G706)</f>
        <v>0.3480272246369992</v>
      </c>
      <c r="I706" s="441"/>
      <c r="J706" s="440">
        <v>0.10139066746084038</v>
      </c>
      <c r="K706" s="440">
        <v>0.30495660360103255</v>
      </c>
      <c r="L706" s="440">
        <f>SUM(J706:K706)</f>
        <v>0.40634727106187296</v>
      </c>
      <c r="M706" s="347"/>
      <c r="N706" s="347"/>
    </row>
    <row r="707" spans="1:14" x14ac:dyDescent="0.2">
      <c r="A707" s="362" t="str">
        <f>name!E$5</f>
        <v>Professional occupations</v>
      </c>
      <c r="B707" s="440">
        <v>0.19192105810373047</v>
      </c>
      <c r="C707" s="440">
        <v>0.37871075260805237</v>
      </c>
      <c r="D707" s="440">
        <f t="shared" ref="D707:D714" si="262">SUM(B707:C707)</f>
        <v>0.57063181071178282</v>
      </c>
      <c r="E707" s="441"/>
      <c r="F707" s="440">
        <v>0.15043045195921331</v>
      </c>
      <c r="G707" s="440">
        <v>0.4056110987271509</v>
      </c>
      <c r="H707" s="440">
        <f t="shared" ref="H707:H714" si="263">SUM(F707:G707)</f>
        <v>0.55604155068636418</v>
      </c>
      <c r="I707" s="441"/>
      <c r="J707" s="440">
        <v>0.19597894646090447</v>
      </c>
      <c r="K707" s="440">
        <v>0.43667834710809544</v>
      </c>
      <c r="L707" s="440">
        <f t="shared" ref="L707:L714" si="264">SUM(J707:K707)</f>
        <v>0.63265729356899991</v>
      </c>
      <c r="M707" s="347"/>
      <c r="N707" s="347"/>
    </row>
    <row r="708" spans="1:14" x14ac:dyDescent="0.2">
      <c r="A708" s="362" t="str">
        <f>name!E$6</f>
        <v>Associate professional and technical</v>
      </c>
      <c r="B708" s="440">
        <v>0.49803826272475427</v>
      </c>
      <c r="C708" s="440">
        <v>0.34759226739290544</v>
      </c>
      <c r="D708" s="440">
        <f t="shared" si="262"/>
        <v>0.84563053011765965</v>
      </c>
      <c r="E708" s="441"/>
      <c r="F708" s="440">
        <v>0.33286613835440426</v>
      </c>
      <c r="G708" s="440">
        <v>0.24666331578643005</v>
      </c>
      <c r="H708" s="440">
        <f t="shared" si="263"/>
        <v>0.57952945414083434</v>
      </c>
      <c r="I708" s="441"/>
      <c r="J708" s="440">
        <v>0.38163417375053632</v>
      </c>
      <c r="K708" s="440">
        <v>0.28422498486261505</v>
      </c>
      <c r="L708" s="440">
        <f t="shared" si="264"/>
        <v>0.66585915861315137</v>
      </c>
      <c r="M708" s="347"/>
      <c r="N708" s="347"/>
    </row>
    <row r="709" spans="1:14" x14ac:dyDescent="0.2">
      <c r="A709" s="362" t="str">
        <f>name!E$7</f>
        <v>Administrative and secretarial</v>
      </c>
      <c r="B709" s="440">
        <v>1.095635945313687</v>
      </c>
      <c r="C709" s="440">
        <v>6.3478519158891647E-2</v>
      </c>
      <c r="D709" s="440">
        <f t="shared" si="262"/>
        <v>1.1591144644725786</v>
      </c>
      <c r="E709" s="441"/>
      <c r="F709" s="440">
        <v>0.58992967459757717</v>
      </c>
      <c r="G709" s="440">
        <v>6.1484168025259259E-2</v>
      </c>
      <c r="H709" s="440">
        <f t="shared" si="263"/>
        <v>0.65141384262283641</v>
      </c>
      <c r="I709" s="441"/>
      <c r="J709" s="440">
        <v>0.4904691640656782</v>
      </c>
      <c r="K709" s="440">
        <v>9.7125076409101035E-2</v>
      </c>
      <c r="L709" s="440">
        <f t="shared" si="264"/>
        <v>0.58759424047477926</v>
      </c>
      <c r="M709" s="347"/>
      <c r="N709" s="347"/>
    </row>
    <row r="710" spans="1:14" x14ac:dyDescent="0.2">
      <c r="A710" s="362" t="str">
        <f>name!E$8</f>
        <v>Skilled trades occupations</v>
      </c>
      <c r="B710" s="440">
        <v>0.10414009970637542</v>
      </c>
      <c r="C710" s="440">
        <v>0.65716673018198901</v>
      </c>
      <c r="D710" s="440">
        <f t="shared" si="262"/>
        <v>0.7613068298883644</v>
      </c>
      <c r="E710" s="441"/>
      <c r="F710" s="440">
        <v>1.8163635607102036E-2</v>
      </c>
      <c r="G710" s="440">
        <v>0.52537739578027409</v>
      </c>
      <c r="H710" s="440">
        <f t="shared" si="263"/>
        <v>0.54354103138737608</v>
      </c>
      <c r="I710" s="441"/>
      <c r="J710" s="440">
        <v>1.5166421264835467E-2</v>
      </c>
      <c r="K710" s="440">
        <v>0.42773759561835728</v>
      </c>
      <c r="L710" s="440">
        <f t="shared" si="264"/>
        <v>0.44290401688319275</v>
      </c>
      <c r="M710" s="347"/>
      <c r="N710" s="347"/>
    </row>
    <row r="711" spans="1:14" x14ac:dyDescent="0.2">
      <c r="A711" s="362" t="str">
        <f>name!E$9</f>
        <v>Caring, leisure and other service</v>
      </c>
      <c r="B711" s="440">
        <v>6.0931438144619862E-2</v>
      </c>
      <c r="C711" s="440">
        <v>1.9750417817142433E-2</v>
      </c>
      <c r="D711" s="440">
        <f t="shared" si="262"/>
        <v>8.0681855961762292E-2</v>
      </c>
      <c r="E711" s="441"/>
      <c r="F711" s="440">
        <v>2.3388103817422647E-2</v>
      </c>
      <c r="G711" s="440">
        <v>1.9380227626403242E-2</v>
      </c>
      <c r="H711" s="440">
        <f t="shared" si="263"/>
        <v>4.2768331443825885E-2</v>
      </c>
      <c r="I711" s="441"/>
      <c r="J711" s="440">
        <v>3.0919445748195301E-2</v>
      </c>
      <c r="K711" s="440">
        <v>3.2696952214394732E-2</v>
      </c>
      <c r="L711" s="440">
        <f t="shared" si="264"/>
        <v>6.3616397962590027E-2</v>
      </c>
      <c r="M711" s="347"/>
      <c r="N711" s="347"/>
    </row>
    <row r="712" spans="1:14" x14ac:dyDescent="0.2">
      <c r="A712" s="362" t="str">
        <f>name!E$10</f>
        <v>Sales and customer service</v>
      </c>
      <c r="B712" s="440">
        <v>0.20251226927249208</v>
      </c>
      <c r="C712" s="440">
        <v>6.339070623960591E-2</v>
      </c>
      <c r="D712" s="440">
        <f t="shared" si="262"/>
        <v>0.26590297551209796</v>
      </c>
      <c r="E712" s="441"/>
      <c r="F712" s="440">
        <v>0.16909316980527056</v>
      </c>
      <c r="G712" s="440">
        <v>4.6335805228539854E-2</v>
      </c>
      <c r="H712" s="440">
        <f t="shared" si="263"/>
        <v>0.21542897503381042</v>
      </c>
      <c r="I712" s="441"/>
      <c r="J712" s="440">
        <v>0.16109492325472202</v>
      </c>
      <c r="K712" s="440">
        <v>7.0600964320991014E-2</v>
      </c>
      <c r="L712" s="440">
        <f t="shared" si="264"/>
        <v>0.23169588757571302</v>
      </c>
      <c r="M712" s="347"/>
      <c r="N712" s="347"/>
    </row>
    <row r="713" spans="1:14" x14ac:dyDescent="0.2">
      <c r="A713" s="362" t="str">
        <f>name!E$11</f>
        <v>Process, plant and machine operatives</v>
      </c>
      <c r="B713" s="440">
        <v>0.19752308997748938</v>
      </c>
      <c r="C713" s="440">
        <v>0.17722474405977579</v>
      </c>
      <c r="D713" s="440">
        <f t="shared" si="262"/>
        <v>0.37474783403726519</v>
      </c>
      <c r="E713" s="441"/>
      <c r="F713" s="440">
        <v>8.9382145421850884E-2</v>
      </c>
      <c r="G713" s="440">
        <v>0.13327885708503817</v>
      </c>
      <c r="H713" s="440">
        <f t="shared" si="263"/>
        <v>0.22266100250688906</v>
      </c>
      <c r="I713" s="441"/>
      <c r="J713" s="440">
        <v>4.9120365112349913E-2</v>
      </c>
      <c r="K713" s="440">
        <v>0.12485564634409232</v>
      </c>
      <c r="L713" s="440">
        <f t="shared" si="264"/>
        <v>0.17397601145644223</v>
      </c>
      <c r="M713" s="347"/>
      <c r="N713" s="347"/>
    </row>
    <row r="714" spans="1:14" x14ac:dyDescent="0.2">
      <c r="A714" s="362" t="str">
        <f>name!E$12</f>
        <v>Elementary occupations</v>
      </c>
      <c r="B714" s="440">
        <v>0.49420663910413004</v>
      </c>
      <c r="C714" s="440">
        <v>0.39857313707151332</v>
      </c>
      <c r="D714" s="440">
        <f t="shared" si="262"/>
        <v>0.8927797761756433</v>
      </c>
      <c r="E714" s="441"/>
      <c r="F714" s="440">
        <v>0.27686405760274557</v>
      </c>
      <c r="G714" s="440">
        <v>0.24872452992446561</v>
      </c>
      <c r="H714" s="440">
        <f t="shared" si="263"/>
        <v>0.52558858752721116</v>
      </c>
      <c r="I714" s="441"/>
      <c r="J714" s="440">
        <v>0.26222589287568021</v>
      </c>
      <c r="K714" s="440">
        <v>0.20012382951995453</v>
      </c>
      <c r="L714" s="440">
        <f t="shared" si="264"/>
        <v>0.46234972239563477</v>
      </c>
      <c r="M714" s="347"/>
      <c r="N714" s="347"/>
    </row>
    <row r="715" spans="1:14" s="286" customFormat="1" x14ac:dyDescent="0.2">
      <c r="A715" s="362"/>
      <c r="B715" s="440"/>
      <c r="C715" s="440"/>
      <c r="D715" s="440"/>
      <c r="E715" s="441"/>
      <c r="F715" s="440"/>
      <c r="G715" s="440"/>
      <c r="H715" s="440"/>
      <c r="I715" s="441"/>
      <c r="J715" s="440"/>
      <c r="K715" s="440"/>
      <c r="L715" s="440"/>
      <c r="M715" s="347"/>
      <c r="N715" s="347"/>
    </row>
    <row r="716" spans="1:14" x14ac:dyDescent="0.2">
      <c r="A716" s="357" t="s">
        <v>32</v>
      </c>
      <c r="B716" s="450">
        <f>SUM(B706:B714)</f>
        <v>2.9779999999907578</v>
      </c>
      <c r="C716" s="450">
        <f t="shared" ref="C716:D716" si="265">SUM(C706:C714)</f>
        <v>2.4079999999848951</v>
      </c>
      <c r="D716" s="450">
        <f t="shared" si="265"/>
        <v>5.3859999999756525</v>
      </c>
      <c r="E716" s="450"/>
      <c r="F716" s="450">
        <f t="shared" ref="F716:H716" si="266">SUM(F706:F714)</f>
        <v>1.7329999999984653</v>
      </c>
      <c r="G716" s="450">
        <f t="shared" si="266"/>
        <v>1.9519999999876816</v>
      </c>
      <c r="H716" s="450">
        <f t="shared" si="266"/>
        <v>3.6849999999861462</v>
      </c>
      <c r="I716" s="450"/>
      <c r="J716" s="450">
        <f t="shared" ref="J716:L716" si="267">SUM(J706:J714)</f>
        <v>1.6879999999937425</v>
      </c>
      <c r="K716" s="450">
        <f t="shared" si="267"/>
        <v>1.9789999999986341</v>
      </c>
      <c r="L716" s="450">
        <f t="shared" si="267"/>
        <v>3.6669999999923766</v>
      </c>
      <c r="M716" s="347"/>
      <c r="N716" s="347"/>
    </row>
    <row r="717" spans="1:14" x14ac:dyDescent="0.2">
      <c r="A717" s="348"/>
      <c r="B717" s="348"/>
      <c r="C717" s="348"/>
      <c r="D717" s="348"/>
      <c r="E717" s="348"/>
      <c r="F717" s="348"/>
      <c r="G717" s="348"/>
      <c r="H717" s="348"/>
      <c r="I717" s="348"/>
      <c r="J717" s="348"/>
      <c r="K717" s="348"/>
      <c r="L717" s="353"/>
      <c r="M717" s="347"/>
      <c r="N717" s="347"/>
    </row>
    <row r="718" spans="1:14" x14ac:dyDescent="0.2">
      <c r="A718" s="348"/>
      <c r="B718" s="348"/>
      <c r="C718" s="348"/>
      <c r="D718" s="348"/>
      <c r="E718" s="348"/>
      <c r="F718" s="348"/>
      <c r="G718" s="348"/>
      <c r="H718" s="348"/>
      <c r="I718" s="348"/>
      <c r="J718" s="348"/>
      <c r="K718" s="348"/>
      <c r="L718" s="372" t="s">
        <v>35</v>
      </c>
      <c r="M718" s="347"/>
      <c r="N718" s="347"/>
    </row>
    <row r="719" spans="1:14" x14ac:dyDescent="0.2">
      <c r="A719" s="355"/>
      <c r="B719" s="365"/>
      <c r="C719" s="365"/>
      <c r="D719" s="365"/>
      <c r="E719" s="365"/>
      <c r="F719" s="365"/>
      <c r="G719" s="365"/>
      <c r="H719" s="365"/>
      <c r="I719" s="365"/>
      <c r="J719" s="365"/>
      <c r="K719" s="365"/>
      <c r="L719" s="347"/>
      <c r="M719" s="347"/>
      <c r="N719" s="347"/>
    </row>
    <row r="720" spans="1:14" x14ac:dyDescent="0.2">
      <c r="A720" s="354" t="str">
        <f>name!A45</f>
        <v>Film and music</v>
      </c>
      <c r="B720" s="517">
        <f>B$6</f>
        <v>2007</v>
      </c>
      <c r="C720" s="517"/>
      <c r="D720" s="517"/>
      <c r="E720" s="369"/>
      <c r="F720" s="517">
        <f>F703</f>
        <v>2017</v>
      </c>
      <c r="G720" s="517"/>
      <c r="H720" s="517"/>
      <c r="I720" s="369"/>
      <c r="J720" s="517">
        <f>J703</f>
        <v>2027</v>
      </c>
      <c r="K720" s="517"/>
      <c r="L720" s="517"/>
      <c r="M720" s="347"/>
      <c r="N720" s="347"/>
    </row>
    <row r="721" spans="1:14" x14ac:dyDescent="0.2">
      <c r="A721" s="370"/>
      <c r="B721" s="371" t="s">
        <v>387</v>
      </c>
      <c r="C721" s="371" t="s">
        <v>388</v>
      </c>
      <c r="D721" s="371" t="s">
        <v>32</v>
      </c>
      <c r="E721" s="371"/>
      <c r="F721" s="371" t="s">
        <v>387</v>
      </c>
      <c r="G721" s="371" t="s">
        <v>388</v>
      </c>
      <c r="H721" s="371" t="s">
        <v>32</v>
      </c>
      <c r="I721" s="371"/>
      <c r="J721" s="371" t="s">
        <v>387</v>
      </c>
      <c r="K721" s="371" t="s">
        <v>388</v>
      </c>
      <c r="L721" s="371" t="s">
        <v>32</v>
      </c>
      <c r="M721" s="347"/>
      <c r="N721" s="347"/>
    </row>
    <row r="722" spans="1:14" s="286" customFormat="1" x14ac:dyDescent="0.2">
      <c r="A722" s="374"/>
      <c r="B722" s="375"/>
      <c r="C722" s="375"/>
      <c r="D722" s="375"/>
      <c r="E722" s="375"/>
      <c r="F722" s="375"/>
      <c r="G722" s="375"/>
      <c r="H722" s="375"/>
      <c r="I722" s="375"/>
      <c r="J722" s="375"/>
      <c r="K722" s="375"/>
      <c r="L722" s="375"/>
      <c r="M722" s="347"/>
      <c r="N722" s="347"/>
    </row>
    <row r="723" spans="1:14" x14ac:dyDescent="0.2">
      <c r="A723" s="362" t="str">
        <f>name!E$4</f>
        <v>Managers, directors and senior officials</v>
      </c>
      <c r="B723" s="440">
        <v>0.11637559415694244</v>
      </c>
      <c r="C723" s="440">
        <v>0.23881603426580447</v>
      </c>
      <c r="D723" s="440">
        <f>SUM(B723:C723)</f>
        <v>0.35519162842274693</v>
      </c>
      <c r="E723" s="441"/>
      <c r="F723" s="440">
        <v>7.587139557413887E-2</v>
      </c>
      <c r="G723" s="440">
        <v>0.1638169731248732</v>
      </c>
      <c r="H723" s="440">
        <f>SUM(F723:G723)</f>
        <v>0.23968836869901206</v>
      </c>
      <c r="I723" s="441"/>
      <c r="J723" s="440">
        <v>8.6059633289327336E-2</v>
      </c>
      <c r="K723" s="440">
        <v>0.17331965079778575</v>
      </c>
      <c r="L723" s="440">
        <f>SUM(J723:K723)</f>
        <v>0.25937928408711308</v>
      </c>
      <c r="M723" s="347"/>
      <c r="N723" s="347"/>
    </row>
    <row r="724" spans="1:14" x14ac:dyDescent="0.2">
      <c r="A724" s="362" t="str">
        <f>name!E$5</f>
        <v>Professional occupations</v>
      </c>
      <c r="B724" s="440">
        <v>0.30494549707082519</v>
      </c>
      <c r="C724" s="440">
        <v>0.20697208183696922</v>
      </c>
      <c r="D724" s="440">
        <f t="shared" ref="D724:D731" si="268">SUM(B724:C724)</f>
        <v>0.51191757890779443</v>
      </c>
      <c r="E724" s="441"/>
      <c r="F724" s="440">
        <v>0.16969428808565079</v>
      </c>
      <c r="G724" s="440">
        <v>0.15381334570502253</v>
      </c>
      <c r="H724" s="440">
        <f t="shared" ref="H724:H731" si="269">SUM(F724:G724)</f>
        <v>0.32350763379067332</v>
      </c>
      <c r="I724" s="441"/>
      <c r="J724" s="440">
        <v>0.19481892778791945</v>
      </c>
      <c r="K724" s="440">
        <v>0.17059131575319197</v>
      </c>
      <c r="L724" s="440">
        <f t="shared" ref="L724:L731" si="270">SUM(J724:K724)</f>
        <v>0.3654102435411114</v>
      </c>
      <c r="M724" s="347"/>
      <c r="N724" s="347"/>
    </row>
    <row r="725" spans="1:14" x14ac:dyDescent="0.2">
      <c r="A725" s="362" t="str">
        <f>name!E$6</f>
        <v>Associate professional and technical</v>
      </c>
      <c r="B725" s="440">
        <v>0.56981032614211891</v>
      </c>
      <c r="C725" s="440">
        <v>0.69234534423222815</v>
      </c>
      <c r="D725" s="440">
        <f t="shared" si="268"/>
        <v>1.2621556703743471</v>
      </c>
      <c r="E725" s="441"/>
      <c r="F725" s="440">
        <v>0.20640014481400215</v>
      </c>
      <c r="G725" s="440">
        <v>0.42058695706581967</v>
      </c>
      <c r="H725" s="440">
        <f t="shared" si="269"/>
        <v>0.62698710187982187</v>
      </c>
      <c r="I725" s="441"/>
      <c r="J725" s="440">
        <v>0.22878348301659857</v>
      </c>
      <c r="K725" s="440">
        <v>0.41775213315677989</v>
      </c>
      <c r="L725" s="440">
        <f t="shared" si="270"/>
        <v>0.6465356161733784</v>
      </c>
      <c r="M725" s="347"/>
      <c r="N725" s="347"/>
    </row>
    <row r="726" spans="1:14" x14ac:dyDescent="0.2">
      <c r="A726" s="362" t="str">
        <f>name!E$7</f>
        <v>Administrative and secretarial</v>
      </c>
      <c r="B726" s="440">
        <v>0.74088978414956674</v>
      </c>
      <c r="C726" s="440">
        <v>0.21147025881690504</v>
      </c>
      <c r="D726" s="440">
        <f t="shared" si="268"/>
        <v>0.95236004296647181</v>
      </c>
      <c r="E726" s="441"/>
      <c r="F726" s="440">
        <v>0.45415216891977495</v>
      </c>
      <c r="G726" s="440">
        <v>0.20041978683494027</v>
      </c>
      <c r="H726" s="440">
        <f t="shared" si="269"/>
        <v>0.65457195575471516</v>
      </c>
      <c r="I726" s="441"/>
      <c r="J726" s="440">
        <v>0.39525646952645943</v>
      </c>
      <c r="K726" s="440">
        <v>0.19740755010381925</v>
      </c>
      <c r="L726" s="440">
        <f t="shared" si="270"/>
        <v>0.5926640196302787</v>
      </c>
      <c r="M726" s="347"/>
      <c r="N726" s="347"/>
    </row>
    <row r="727" spans="1:14" x14ac:dyDescent="0.2">
      <c r="A727" s="362" t="str">
        <f>name!E$8</f>
        <v>Skilled trades occupations</v>
      </c>
      <c r="B727" s="440">
        <v>5.0100814915479235E-2</v>
      </c>
      <c r="C727" s="440">
        <v>0.31705689458571179</v>
      </c>
      <c r="D727" s="440">
        <f t="shared" si="268"/>
        <v>0.36715770950119103</v>
      </c>
      <c r="E727" s="441"/>
      <c r="F727" s="440">
        <v>2.7664862249869988E-2</v>
      </c>
      <c r="G727" s="440">
        <v>0.17839603980445351</v>
      </c>
      <c r="H727" s="440">
        <f t="shared" si="269"/>
        <v>0.20606090205432351</v>
      </c>
      <c r="I727" s="441"/>
      <c r="J727" s="440">
        <v>2.7983116969744974E-2</v>
      </c>
      <c r="K727" s="440">
        <v>0.17571945442471318</v>
      </c>
      <c r="L727" s="440">
        <f t="shared" si="270"/>
        <v>0.20370257139445816</v>
      </c>
      <c r="M727" s="347"/>
      <c r="N727" s="347"/>
    </row>
    <row r="728" spans="1:14" x14ac:dyDescent="0.2">
      <c r="A728" s="362" t="str">
        <f>name!E$9</f>
        <v>Caring, leisure and other service</v>
      </c>
      <c r="B728" s="440">
        <v>0.28161310992060712</v>
      </c>
      <c r="C728" s="440">
        <v>0.28473172313618428</v>
      </c>
      <c r="D728" s="440">
        <f t="shared" si="268"/>
        <v>0.5663448330567914</v>
      </c>
      <c r="E728" s="441"/>
      <c r="F728" s="440">
        <v>0.22343109945672762</v>
      </c>
      <c r="G728" s="440">
        <v>0.16533391227000638</v>
      </c>
      <c r="H728" s="440">
        <f t="shared" si="269"/>
        <v>0.388765011726734</v>
      </c>
      <c r="I728" s="441"/>
      <c r="J728" s="440">
        <v>0.24877902234537091</v>
      </c>
      <c r="K728" s="440">
        <v>0.20343041130005068</v>
      </c>
      <c r="L728" s="440">
        <f t="shared" si="270"/>
        <v>0.4522094336454216</v>
      </c>
      <c r="M728" s="347"/>
      <c r="N728" s="347"/>
    </row>
    <row r="729" spans="1:14" x14ac:dyDescent="0.2">
      <c r="A729" s="362" t="str">
        <f>name!E$10</f>
        <v>Sales and customer service</v>
      </c>
      <c r="B729" s="440">
        <v>0.19232525257460456</v>
      </c>
      <c r="C729" s="440">
        <v>0.14650371129778492</v>
      </c>
      <c r="D729" s="440">
        <f t="shared" si="268"/>
        <v>0.33882896387238948</v>
      </c>
      <c r="E729" s="441"/>
      <c r="F729" s="440">
        <v>0.14741101838070642</v>
      </c>
      <c r="G729" s="440">
        <v>0.19852115364486958</v>
      </c>
      <c r="H729" s="440">
        <f t="shared" si="269"/>
        <v>0.34593217202557602</v>
      </c>
      <c r="I729" s="441"/>
      <c r="J729" s="440">
        <v>0.15067273914352772</v>
      </c>
      <c r="K729" s="440">
        <v>0.21517985288604946</v>
      </c>
      <c r="L729" s="440">
        <f t="shared" si="270"/>
        <v>0.36585259202957721</v>
      </c>
      <c r="M729" s="347"/>
      <c r="N729" s="347"/>
    </row>
    <row r="730" spans="1:14" x14ac:dyDescent="0.2">
      <c r="A730" s="362" t="str">
        <f>name!E$11</f>
        <v>Process, plant and machine operatives</v>
      </c>
      <c r="B730" s="440">
        <v>1.2229924211239694E-2</v>
      </c>
      <c r="C730" s="440">
        <v>0.11248061342385839</v>
      </c>
      <c r="D730" s="440">
        <f t="shared" si="268"/>
        <v>0.12471053763509808</v>
      </c>
      <c r="E730" s="441"/>
      <c r="F730" s="440">
        <v>5.3456489279890464E-3</v>
      </c>
      <c r="G730" s="440">
        <v>6.9558176626798224E-2</v>
      </c>
      <c r="H730" s="440">
        <f t="shared" si="269"/>
        <v>7.4903825554787265E-2</v>
      </c>
      <c r="I730" s="441"/>
      <c r="J730" s="440">
        <v>2.3696637856088659E-3</v>
      </c>
      <c r="K730" s="440">
        <v>7.3951308287103612E-2</v>
      </c>
      <c r="L730" s="440">
        <f t="shared" si="270"/>
        <v>7.6320972072712476E-2</v>
      </c>
      <c r="M730" s="347"/>
      <c r="N730" s="347"/>
    </row>
    <row r="731" spans="1:14" x14ac:dyDescent="0.2">
      <c r="A731" s="362" t="str">
        <f>name!E$12</f>
        <v>Elementary occupations</v>
      </c>
      <c r="B731" s="440">
        <v>0.40570969686704639</v>
      </c>
      <c r="C731" s="440">
        <v>0.61362333838262118</v>
      </c>
      <c r="D731" s="440">
        <f t="shared" si="268"/>
        <v>1.0193330352496677</v>
      </c>
      <c r="E731" s="441"/>
      <c r="F731" s="440">
        <v>0.14702937359149207</v>
      </c>
      <c r="G731" s="440">
        <v>0.48955365491275643</v>
      </c>
      <c r="H731" s="440">
        <f t="shared" si="269"/>
        <v>0.63658302850424853</v>
      </c>
      <c r="I731" s="441"/>
      <c r="J731" s="440">
        <v>0.12527694413646223</v>
      </c>
      <c r="K731" s="440">
        <v>0.59964832326671036</v>
      </c>
      <c r="L731" s="440">
        <f t="shared" si="270"/>
        <v>0.72492526740317254</v>
      </c>
      <c r="M731" s="347"/>
      <c r="N731" s="347"/>
    </row>
    <row r="732" spans="1:14" s="286" customFormat="1" x14ac:dyDescent="0.2">
      <c r="A732" s="362"/>
      <c r="B732" s="440"/>
      <c r="C732" s="440"/>
      <c r="D732" s="440"/>
      <c r="E732" s="441"/>
      <c r="F732" s="440"/>
      <c r="G732" s="440"/>
      <c r="H732" s="440"/>
      <c r="I732" s="441"/>
      <c r="J732" s="440"/>
      <c r="K732" s="440"/>
      <c r="L732" s="440"/>
      <c r="M732" s="347"/>
      <c r="N732" s="347"/>
    </row>
    <row r="733" spans="1:14" x14ac:dyDescent="0.2">
      <c r="A733" s="357" t="s">
        <v>32</v>
      </c>
      <c r="B733" s="450">
        <f>SUM(B723:B731)</f>
        <v>2.6740000000084301</v>
      </c>
      <c r="C733" s="450">
        <f t="shared" ref="C733:D733" si="271">SUM(C723:C731)</f>
        <v>2.8239999999780676</v>
      </c>
      <c r="D733" s="450">
        <f t="shared" si="271"/>
        <v>5.4979999999864972</v>
      </c>
      <c r="E733" s="450"/>
      <c r="F733" s="450">
        <f t="shared" ref="F733:H733" si="272">SUM(F723:F731)</f>
        <v>1.4570000000003518</v>
      </c>
      <c r="G733" s="450">
        <f t="shared" si="272"/>
        <v>2.03999999998954</v>
      </c>
      <c r="H733" s="450">
        <f t="shared" si="272"/>
        <v>3.4969999999898915</v>
      </c>
      <c r="I733" s="450"/>
      <c r="J733" s="450">
        <f t="shared" ref="J733:L733" si="273">SUM(J723:J731)</f>
        <v>1.4600000000010194</v>
      </c>
      <c r="K733" s="450">
        <f t="shared" si="273"/>
        <v>2.2269999999762042</v>
      </c>
      <c r="L733" s="450">
        <f t="shared" si="273"/>
        <v>3.6869999999772238</v>
      </c>
      <c r="M733" s="347"/>
      <c r="N733" s="347"/>
    </row>
    <row r="734" spans="1:14" x14ac:dyDescent="0.2">
      <c r="A734" s="348"/>
      <c r="B734" s="348"/>
      <c r="C734" s="348"/>
      <c r="D734" s="348"/>
      <c r="E734" s="348"/>
      <c r="F734" s="348"/>
      <c r="G734" s="348"/>
      <c r="H734" s="348"/>
      <c r="I734" s="348"/>
      <c r="J734" s="348"/>
      <c r="K734" s="348"/>
      <c r="L734" s="353"/>
      <c r="M734" s="347"/>
      <c r="N734" s="347"/>
    </row>
    <row r="735" spans="1:14" x14ac:dyDescent="0.2">
      <c r="A735" s="348"/>
      <c r="B735" s="348"/>
      <c r="C735" s="348"/>
      <c r="D735" s="348"/>
      <c r="E735" s="348"/>
      <c r="F735" s="348"/>
      <c r="G735" s="348"/>
      <c r="H735" s="348"/>
      <c r="I735" s="348"/>
      <c r="J735" s="348"/>
      <c r="K735" s="348"/>
      <c r="L735" s="372" t="s">
        <v>35</v>
      </c>
      <c r="M735" s="347"/>
      <c r="N735" s="347"/>
    </row>
    <row r="736" spans="1:14" x14ac:dyDescent="0.2">
      <c r="A736" s="355"/>
      <c r="B736" s="365"/>
      <c r="C736" s="365"/>
      <c r="D736" s="365"/>
      <c r="E736" s="365"/>
      <c r="F736" s="365"/>
      <c r="G736" s="365"/>
      <c r="H736" s="365"/>
      <c r="I736" s="365"/>
      <c r="J736" s="365"/>
      <c r="K736" s="365"/>
      <c r="L736" s="347"/>
      <c r="M736" s="347"/>
      <c r="N736" s="347"/>
    </row>
    <row r="737" spans="1:14" x14ac:dyDescent="0.2">
      <c r="A737" s="354" t="str">
        <f>name!A46</f>
        <v>Broadcasting</v>
      </c>
      <c r="B737" s="517">
        <f>B$6</f>
        <v>2007</v>
      </c>
      <c r="C737" s="517"/>
      <c r="D737" s="517"/>
      <c r="E737" s="369"/>
      <c r="F737" s="517">
        <f>F720</f>
        <v>2017</v>
      </c>
      <c r="G737" s="517"/>
      <c r="H737" s="517"/>
      <c r="I737" s="369"/>
      <c r="J737" s="517">
        <f>J720</f>
        <v>2027</v>
      </c>
      <c r="K737" s="517"/>
      <c r="L737" s="517"/>
      <c r="M737" s="347"/>
      <c r="N737" s="347"/>
    </row>
    <row r="738" spans="1:14" x14ac:dyDescent="0.2">
      <c r="A738" s="370"/>
      <c r="B738" s="371" t="s">
        <v>387</v>
      </c>
      <c r="C738" s="371" t="s">
        <v>388</v>
      </c>
      <c r="D738" s="371" t="s">
        <v>32</v>
      </c>
      <c r="E738" s="371"/>
      <c r="F738" s="371" t="s">
        <v>387</v>
      </c>
      <c r="G738" s="371" t="s">
        <v>388</v>
      </c>
      <c r="H738" s="371" t="s">
        <v>32</v>
      </c>
      <c r="I738" s="371"/>
      <c r="J738" s="371" t="s">
        <v>387</v>
      </c>
      <c r="K738" s="371" t="s">
        <v>388</v>
      </c>
      <c r="L738" s="371" t="s">
        <v>32</v>
      </c>
      <c r="M738" s="347"/>
      <c r="N738" s="347"/>
    </row>
    <row r="739" spans="1:14" s="286" customFormat="1" x14ac:dyDescent="0.2">
      <c r="A739" s="374"/>
      <c r="B739" s="375"/>
      <c r="C739" s="375"/>
      <c r="D739" s="375"/>
      <c r="E739" s="375"/>
      <c r="F739" s="375"/>
      <c r="G739" s="375"/>
      <c r="H739" s="375"/>
      <c r="I739" s="375"/>
      <c r="J739" s="375"/>
      <c r="K739" s="375"/>
      <c r="L739" s="375"/>
      <c r="M739" s="347"/>
      <c r="N739" s="347"/>
    </row>
    <row r="740" spans="1:14" x14ac:dyDescent="0.2">
      <c r="A740" s="362" t="str">
        <f>name!E$4</f>
        <v>Managers, directors and senior officials</v>
      </c>
      <c r="B740" s="440">
        <v>1.8000389082294437E-2</v>
      </c>
      <c r="C740" s="440">
        <v>7.2628155860723465E-2</v>
      </c>
      <c r="D740" s="440">
        <f>SUM(B740:C740)</f>
        <v>9.0628544943017905E-2</v>
      </c>
      <c r="E740" s="441"/>
      <c r="F740" s="440">
        <v>1.6004697190969815E-2</v>
      </c>
      <c r="G740" s="440">
        <v>0.16734402123099829</v>
      </c>
      <c r="H740" s="440">
        <f>SUM(F740:G740)</f>
        <v>0.18334871842196809</v>
      </c>
      <c r="I740" s="441"/>
      <c r="J740" s="440">
        <v>1.6746882436678476E-2</v>
      </c>
      <c r="K740" s="440">
        <v>0.16248128560525582</v>
      </c>
      <c r="L740" s="440">
        <f>SUM(J740:K740)</f>
        <v>0.17922816804193431</v>
      </c>
      <c r="M740" s="347"/>
      <c r="N740" s="347"/>
    </row>
    <row r="741" spans="1:14" x14ac:dyDescent="0.2">
      <c r="A741" s="362" t="str">
        <f>name!E$5</f>
        <v>Professional occupations</v>
      </c>
      <c r="B741" s="440">
        <v>3.1919193415419149E-2</v>
      </c>
      <c r="C741" s="440">
        <v>7.4814515609256671E-2</v>
      </c>
      <c r="D741" s="440">
        <f t="shared" ref="D741:D748" si="274">SUM(B741:C741)</f>
        <v>0.10673370902467583</v>
      </c>
      <c r="E741" s="441"/>
      <c r="F741" s="440">
        <v>3.0337387141301519E-2</v>
      </c>
      <c r="G741" s="440">
        <v>0.16626323204192409</v>
      </c>
      <c r="H741" s="440">
        <f t="shared" ref="H741:H748" si="275">SUM(F741:G741)</f>
        <v>0.19660061918322561</v>
      </c>
      <c r="I741" s="441"/>
      <c r="J741" s="440">
        <v>3.2541439735679349E-2</v>
      </c>
      <c r="K741" s="440">
        <v>0.14392414833050121</v>
      </c>
      <c r="L741" s="440">
        <f t="shared" ref="L741:L748" si="276">SUM(J741:K741)</f>
        <v>0.17646558806618057</v>
      </c>
      <c r="M741" s="347"/>
      <c r="N741" s="347"/>
    </row>
    <row r="742" spans="1:14" x14ac:dyDescent="0.2">
      <c r="A742" s="362" t="str">
        <f>name!E$6</f>
        <v>Associate professional and technical</v>
      </c>
      <c r="B742" s="440">
        <v>9.1510599263232906E-2</v>
      </c>
      <c r="C742" s="440">
        <v>0.16033174337984821</v>
      </c>
      <c r="D742" s="440">
        <f t="shared" si="274"/>
        <v>0.25184234264308114</v>
      </c>
      <c r="E742" s="441"/>
      <c r="F742" s="440">
        <v>3.6028644029040706E-2</v>
      </c>
      <c r="G742" s="440">
        <v>0.30783435121036185</v>
      </c>
      <c r="H742" s="440">
        <f t="shared" si="275"/>
        <v>0.34386299523940256</v>
      </c>
      <c r="I742" s="441"/>
      <c r="J742" s="440">
        <v>3.6144448720032175E-2</v>
      </c>
      <c r="K742" s="440">
        <v>0.29665007860083942</v>
      </c>
      <c r="L742" s="440">
        <f t="shared" si="276"/>
        <v>0.33279452732087161</v>
      </c>
      <c r="M742" s="347"/>
      <c r="N742" s="347"/>
    </row>
    <row r="743" spans="1:14" x14ac:dyDescent="0.2">
      <c r="A743" s="362" t="str">
        <f>name!E$7</f>
        <v>Administrative and secretarial</v>
      </c>
      <c r="B743" s="440">
        <v>3.6804859543144448E-2</v>
      </c>
      <c r="C743" s="440">
        <v>5.530773826505183E-2</v>
      </c>
      <c r="D743" s="440">
        <f t="shared" si="274"/>
        <v>9.2112597808196278E-2</v>
      </c>
      <c r="E743" s="441"/>
      <c r="F743" s="440">
        <v>5.8407712987208996E-2</v>
      </c>
      <c r="G743" s="440">
        <v>0.12977832482391899</v>
      </c>
      <c r="H743" s="440">
        <f t="shared" si="275"/>
        <v>0.18818603781112797</v>
      </c>
      <c r="I743" s="441"/>
      <c r="J743" s="440">
        <v>4.540271496356961E-2</v>
      </c>
      <c r="K743" s="440">
        <v>0.12649892024341267</v>
      </c>
      <c r="L743" s="440">
        <f t="shared" si="276"/>
        <v>0.17190163520698226</v>
      </c>
      <c r="M743" s="347"/>
      <c r="N743" s="347"/>
    </row>
    <row r="744" spans="1:14" x14ac:dyDescent="0.2">
      <c r="A744" s="362" t="str">
        <f>name!E$8</f>
        <v>Skilled trades occupations</v>
      </c>
      <c r="B744" s="440">
        <v>8.4682150516036132E-3</v>
      </c>
      <c r="C744" s="440">
        <v>9.8629624731633614E-2</v>
      </c>
      <c r="D744" s="440">
        <f t="shared" si="274"/>
        <v>0.10709783978323723</v>
      </c>
      <c r="E744" s="441"/>
      <c r="F744" s="440">
        <v>5.3433479389176546E-3</v>
      </c>
      <c r="G744" s="440">
        <v>0.15960840472897939</v>
      </c>
      <c r="H744" s="440">
        <f t="shared" si="275"/>
        <v>0.16495175266789705</v>
      </c>
      <c r="I744" s="441"/>
      <c r="J744" s="440">
        <v>4.3947480823581502E-3</v>
      </c>
      <c r="K744" s="440">
        <v>0.12768287063154485</v>
      </c>
      <c r="L744" s="440">
        <f t="shared" si="276"/>
        <v>0.132077618713903</v>
      </c>
      <c r="M744" s="347"/>
      <c r="N744" s="347"/>
    </row>
    <row r="745" spans="1:14" x14ac:dyDescent="0.2">
      <c r="A745" s="362" t="str">
        <f>name!E$9</f>
        <v>Caring, leisure and other service</v>
      </c>
      <c r="B745" s="440">
        <v>1.6117661095944182E-2</v>
      </c>
      <c r="C745" s="440">
        <v>4.901816459960294E-2</v>
      </c>
      <c r="D745" s="440">
        <f t="shared" si="274"/>
        <v>6.5135825695547128E-2</v>
      </c>
      <c r="E745" s="441"/>
      <c r="F745" s="440">
        <v>3.0939569246841211E-2</v>
      </c>
      <c r="G745" s="440">
        <v>9.5796702909103235E-2</v>
      </c>
      <c r="H745" s="440">
        <f t="shared" si="275"/>
        <v>0.12673627215594443</v>
      </c>
      <c r="I745" s="441"/>
      <c r="J745" s="440">
        <v>3.1216031324223424E-2</v>
      </c>
      <c r="K745" s="440">
        <v>0.1079658143642481</v>
      </c>
      <c r="L745" s="440">
        <f t="shared" si="276"/>
        <v>0.13918184568847153</v>
      </c>
      <c r="M745" s="347"/>
      <c r="N745" s="347"/>
    </row>
    <row r="746" spans="1:14" x14ac:dyDescent="0.2">
      <c r="A746" s="362" t="str">
        <f>name!E$10</f>
        <v>Sales and customer service</v>
      </c>
      <c r="B746" s="440">
        <v>1.5560310679954174E-2</v>
      </c>
      <c r="C746" s="440">
        <v>4.2828906131208856E-2</v>
      </c>
      <c r="D746" s="440">
        <f t="shared" si="274"/>
        <v>5.8389216811163033E-2</v>
      </c>
      <c r="E746" s="441"/>
      <c r="F746" s="440">
        <v>3.0234749438293233E-2</v>
      </c>
      <c r="G746" s="440">
        <v>0.12598006096553385</v>
      </c>
      <c r="H746" s="440">
        <f t="shared" si="275"/>
        <v>0.15621481040382709</v>
      </c>
      <c r="I746" s="441"/>
      <c r="J746" s="440">
        <v>3.047401253726478E-2</v>
      </c>
      <c r="K746" s="440">
        <v>0.14817329701667489</v>
      </c>
      <c r="L746" s="440">
        <f t="shared" si="276"/>
        <v>0.17864730955393968</v>
      </c>
      <c r="M746" s="347"/>
      <c r="N746" s="347"/>
    </row>
    <row r="747" spans="1:14" x14ac:dyDescent="0.2">
      <c r="A747" s="362" t="str">
        <f>name!E$11</f>
        <v>Process, plant and machine operatives</v>
      </c>
      <c r="B747" s="440">
        <v>5.6343785691818102E-4</v>
      </c>
      <c r="C747" s="440">
        <v>1.7950758904673656E-2</v>
      </c>
      <c r="D747" s="440">
        <f t="shared" si="274"/>
        <v>1.8514196761591838E-2</v>
      </c>
      <c r="E747" s="441"/>
      <c r="F747" s="440">
        <v>6.690989082712254E-4</v>
      </c>
      <c r="G747" s="440">
        <v>3.8104378041184689E-2</v>
      </c>
      <c r="H747" s="440">
        <f t="shared" si="275"/>
        <v>3.8773476949455911E-2</v>
      </c>
      <c r="I747" s="441"/>
      <c r="J747" s="440">
        <v>6.4069023370925504E-4</v>
      </c>
      <c r="K747" s="440">
        <v>3.5277795271552601E-2</v>
      </c>
      <c r="L747" s="440">
        <f t="shared" si="276"/>
        <v>3.5918485505261853E-2</v>
      </c>
      <c r="M747" s="347"/>
      <c r="N747" s="347"/>
    </row>
    <row r="748" spans="1:14" x14ac:dyDescent="0.2">
      <c r="A748" s="362" t="str">
        <f>name!E$12</f>
        <v>Elementary occupations</v>
      </c>
      <c r="B748" s="440">
        <v>2.1055334015744019E-2</v>
      </c>
      <c r="C748" s="440">
        <v>5.949039251268378E-2</v>
      </c>
      <c r="D748" s="440">
        <f t="shared" si="274"/>
        <v>8.05457265284278E-2</v>
      </c>
      <c r="E748" s="441"/>
      <c r="F748" s="440">
        <v>1.1034793118366257E-2</v>
      </c>
      <c r="G748" s="440">
        <v>0.13229052403855035</v>
      </c>
      <c r="H748" s="440">
        <f t="shared" si="275"/>
        <v>0.1433253171569166</v>
      </c>
      <c r="I748" s="441"/>
      <c r="J748" s="440">
        <v>1.043903196608797E-2</v>
      </c>
      <c r="K748" s="440">
        <v>0.14434578992950603</v>
      </c>
      <c r="L748" s="440">
        <f t="shared" si="276"/>
        <v>0.154784821895594</v>
      </c>
      <c r="M748" s="347"/>
      <c r="N748" s="347"/>
    </row>
    <row r="749" spans="1:14" s="286" customFormat="1" x14ac:dyDescent="0.2">
      <c r="A749" s="362"/>
      <c r="B749" s="440"/>
      <c r="C749" s="440"/>
      <c r="D749" s="440"/>
      <c r="E749" s="441"/>
      <c r="F749" s="440"/>
      <c r="G749" s="440"/>
      <c r="H749" s="440"/>
      <c r="I749" s="441"/>
      <c r="J749" s="440"/>
      <c r="K749" s="440"/>
      <c r="L749" s="440"/>
      <c r="M749" s="347"/>
      <c r="N749" s="347"/>
    </row>
    <row r="750" spans="1:14" x14ac:dyDescent="0.2">
      <c r="A750" s="357" t="s">
        <v>32</v>
      </c>
      <c r="B750" s="450">
        <f>SUM(B740:B748)</f>
        <v>0.24000000000425509</v>
      </c>
      <c r="C750" s="450">
        <f t="shared" ref="C750:D750" si="277">SUM(C740:C748)</f>
        <v>0.63099999999468293</v>
      </c>
      <c r="D750" s="450">
        <f t="shared" si="277"/>
        <v>0.87099999999893818</v>
      </c>
      <c r="E750" s="450"/>
      <c r="F750" s="450">
        <f t="shared" ref="F750:H750" si="278">SUM(F740:F748)</f>
        <v>0.2189999999992106</v>
      </c>
      <c r="G750" s="450">
        <f t="shared" si="278"/>
        <v>1.3229999999905548</v>
      </c>
      <c r="H750" s="450">
        <f t="shared" si="278"/>
        <v>1.5419999999897651</v>
      </c>
      <c r="I750" s="450"/>
      <c r="J750" s="450">
        <f t="shared" ref="J750:L750" si="279">SUM(J740:J748)</f>
        <v>0.2079999999996032</v>
      </c>
      <c r="K750" s="450">
        <f t="shared" si="279"/>
        <v>1.2929999999935355</v>
      </c>
      <c r="L750" s="450">
        <f t="shared" si="279"/>
        <v>1.5009999999931387</v>
      </c>
      <c r="M750" s="347"/>
      <c r="N750" s="347"/>
    </row>
    <row r="751" spans="1:14" x14ac:dyDescent="0.2">
      <c r="A751" s="348"/>
      <c r="B751" s="348"/>
      <c r="C751" s="348"/>
      <c r="D751" s="348"/>
      <c r="E751" s="348"/>
      <c r="F751" s="348"/>
      <c r="G751" s="348"/>
      <c r="H751" s="348"/>
      <c r="I751" s="348"/>
      <c r="J751" s="348"/>
      <c r="K751" s="348"/>
      <c r="L751" s="353"/>
      <c r="M751" s="347"/>
      <c r="N751" s="347"/>
    </row>
    <row r="752" spans="1:14" x14ac:dyDescent="0.2">
      <c r="A752" s="348"/>
      <c r="B752" s="348"/>
      <c r="C752" s="348"/>
      <c r="D752" s="348"/>
      <c r="E752" s="348"/>
      <c r="F752" s="348"/>
      <c r="G752" s="348"/>
      <c r="H752" s="348"/>
      <c r="I752" s="348"/>
      <c r="J752" s="348"/>
      <c r="K752" s="348"/>
      <c r="L752" s="372" t="s">
        <v>35</v>
      </c>
      <c r="M752" s="347"/>
      <c r="N752" s="347"/>
    </row>
    <row r="753" spans="1:14" x14ac:dyDescent="0.2">
      <c r="A753" s="355"/>
      <c r="B753" s="365"/>
      <c r="C753" s="365"/>
      <c r="D753" s="365"/>
      <c r="E753" s="365"/>
      <c r="F753" s="365"/>
      <c r="G753" s="365"/>
      <c r="H753" s="365"/>
      <c r="I753" s="365"/>
      <c r="J753" s="365"/>
      <c r="K753" s="365"/>
      <c r="L753" s="347"/>
      <c r="M753" s="347"/>
      <c r="N753" s="347"/>
    </row>
    <row r="754" spans="1:14" x14ac:dyDescent="0.2">
      <c r="A754" s="354" t="str">
        <f>name!A47</f>
        <v>Telecommunications</v>
      </c>
      <c r="B754" s="517">
        <f>B$6</f>
        <v>2007</v>
      </c>
      <c r="C754" s="517"/>
      <c r="D754" s="517"/>
      <c r="E754" s="369"/>
      <c r="F754" s="517">
        <f>F737</f>
        <v>2017</v>
      </c>
      <c r="G754" s="517"/>
      <c r="H754" s="517"/>
      <c r="I754" s="369"/>
      <c r="J754" s="517">
        <f>J737</f>
        <v>2027</v>
      </c>
      <c r="K754" s="517"/>
      <c r="L754" s="517"/>
      <c r="M754" s="347"/>
      <c r="N754" s="347"/>
    </row>
    <row r="755" spans="1:14" x14ac:dyDescent="0.2">
      <c r="A755" s="370"/>
      <c r="B755" s="371" t="s">
        <v>387</v>
      </c>
      <c r="C755" s="371" t="s">
        <v>388</v>
      </c>
      <c r="D755" s="371" t="s">
        <v>32</v>
      </c>
      <c r="E755" s="371"/>
      <c r="F755" s="371" t="s">
        <v>387</v>
      </c>
      <c r="G755" s="371" t="s">
        <v>388</v>
      </c>
      <c r="H755" s="371" t="s">
        <v>32</v>
      </c>
      <c r="I755" s="371"/>
      <c r="J755" s="371" t="s">
        <v>387</v>
      </c>
      <c r="K755" s="371" t="s">
        <v>388</v>
      </c>
      <c r="L755" s="371" t="s">
        <v>32</v>
      </c>
      <c r="M755" s="347"/>
      <c r="N755" s="347"/>
    </row>
    <row r="756" spans="1:14" s="286" customFormat="1" x14ac:dyDescent="0.2">
      <c r="A756" s="374"/>
      <c r="B756" s="375"/>
      <c r="C756" s="375"/>
      <c r="D756" s="375"/>
      <c r="E756" s="375"/>
      <c r="F756" s="375"/>
      <c r="G756" s="375"/>
      <c r="H756" s="375"/>
      <c r="I756" s="375"/>
      <c r="J756" s="375"/>
      <c r="K756" s="375"/>
      <c r="L756" s="375"/>
      <c r="M756" s="347"/>
      <c r="N756" s="347"/>
    </row>
    <row r="757" spans="1:14" x14ac:dyDescent="0.2">
      <c r="A757" s="362" t="str">
        <f>name!E$4</f>
        <v>Managers, directors and senior officials</v>
      </c>
      <c r="B757" s="440">
        <v>0.21208032563436749</v>
      </c>
      <c r="C757" s="440">
        <v>1.0582220141370653</v>
      </c>
      <c r="D757" s="440">
        <f>SUM(B757:C757)</f>
        <v>1.2703023397714328</v>
      </c>
      <c r="E757" s="441"/>
      <c r="F757" s="440">
        <v>0.12235344313699387</v>
      </c>
      <c r="G757" s="440">
        <v>0.75656055099263897</v>
      </c>
      <c r="H757" s="440">
        <f>SUM(F757:G757)</f>
        <v>0.87891399412963289</v>
      </c>
      <c r="I757" s="441"/>
      <c r="J757" s="440">
        <v>0.15651214174284045</v>
      </c>
      <c r="K757" s="440">
        <v>0.77423304377241953</v>
      </c>
      <c r="L757" s="440">
        <f>SUM(J757:K757)</f>
        <v>0.93074518551525998</v>
      </c>
      <c r="M757" s="347"/>
      <c r="N757" s="347"/>
    </row>
    <row r="758" spans="1:14" x14ac:dyDescent="0.2">
      <c r="A758" s="362" t="str">
        <f>name!E$5</f>
        <v>Professional occupations</v>
      </c>
      <c r="B758" s="440">
        <v>0.19352992970896132</v>
      </c>
      <c r="C758" s="440">
        <v>1.3992463579543268</v>
      </c>
      <c r="D758" s="440">
        <f t="shared" ref="D758:D765" si="280">SUM(B758:C758)</f>
        <v>1.592776287663288</v>
      </c>
      <c r="E758" s="441"/>
      <c r="F758" s="440">
        <v>9.5690646138324495E-2</v>
      </c>
      <c r="G758" s="440">
        <v>1.1141906752730411</v>
      </c>
      <c r="H758" s="440">
        <f t="shared" ref="H758:H765" si="281">SUM(F758:G758)</f>
        <v>1.2098813214113655</v>
      </c>
      <c r="I758" s="441"/>
      <c r="J758" s="440">
        <v>0.11345858412154958</v>
      </c>
      <c r="K758" s="440">
        <v>1.1179016247770623</v>
      </c>
      <c r="L758" s="440">
        <f t="shared" ref="L758:L765" si="282">SUM(J758:K758)</f>
        <v>1.231360208898612</v>
      </c>
      <c r="M758" s="347"/>
      <c r="N758" s="347"/>
    </row>
    <row r="759" spans="1:14" x14ac:dyDescent="0.2">
      <c r="A759" s="362" t="str">
        <f>name!E$6</f>
        <v>Associate professional and technical</v>
      </c>
      <c r="B759" s="440">
        <v>0.29746576817330322</v>
      </c>
      <c r="C759" s="440">
        <v>0.96701557513055258</v>
      </c>
      <c r="D759" s="440">
        <f t="shared" si="280"/>
        <v>1.2644813433038558</v>
      </c>
      <c r="E759" s="441"/>
      <c r="F759" s="440">
        <v>0.13839663357185086</v>
      </c>
      <c r="G759" s="440">
        <v>0.64682203106695857</v>
      </c>
      <c r="H759" s="440">
        <f t="shared" si="281"/>
        <v>0.7852186646388094</v>
      </c>
      <c r="I759" s="441"/>
      <c r="J759" s="440">
        <v>0.15700763659252592</v>
      </c>
      <c r="K759" s="440">
        <v>0.65107788568879665</v>
      </c>
      <c r="L759" s="440">
        <f t="shared" si="282"/>
        <v>0.80808552228132258</v>
      </c>
      <c r="M759" s="347"/>
      <c r="N759" s="347"/>
    </row>
    <row r="760" spans="1:14" x14ac:dyDescent="0.2">
      <c r="A760" s="362" t="str">
        <f>name!E$7</f>
        <v>Administrative and secretarial</v>
      </c>
      <c r="B760" s="440">
        <v>0.36795934256732221</v>
      </c>
      <c r="C760" s="440">
        <v>0.25128454782637405</v>
      </c>
      <c r="D760" s="440">
        <f t="shared" si="280"/>
        <v>0.61924389039369632</v>
      </c>
      <c r="E760" s="441"/>
      <c r="F760" s="440">
        <v>8.9909506770171704E-2</v>
      </c>
      <c r="G760" s="440">
        <v>0.1537486258348903</v>
      </c>
      <c r="H760" s="440">
        <f t="shared" si="281"/>
        <v>0.243658132605062</v>
      </c>
      <c r="I760" s="441"/>
      <c r="J760" s="440">
        <v>8.2355121083329888E-2</v>
      </c>
      <c r="K760" s="440">
        <v>0.14723696789593146</v>
      </c>
      <c r="L760" s="440">
        <f t="shared" si="282"/>
        <v>0.22959208897926137</v>
      </c>
      <c r="M760" s="347"/>
      <c r="N760" s="347"/>
    </row>
    <row r="761" spans="1:14" x14ac:dyDescent="0.2">
      <c r="A761" s="362" t="str">
        <f>name!E$8</f>
        <v>Skilled trades occupations</v>
      </c>
      <c r="B761" s="440">
        <v>3.6476119957425626E-2</v>
      </c>
      <c r="C761" s="440">
        <v>1.3930420215231341</v>
      </c>
      <c r="D761" s="440">
        <f t="shared" si="280"/>
        <v>1.4295181414805598</v>
      </c>
      <c r="E761" s="441"/>
      <c r="F761" s="440">
        <v>1.6419308196962933E-2</v>
      </c>
      <c r="G761" s="440">
        <v>0.56541950850225908</v>
      </c>
      <c r="H761" s="440">
        <f t="shared" si="281"/>
        <v>0.58183881669922199</v>
      </c>
      <c r="I761" s="441"/>
      <c r="J761" s="440">
        <v>1.2807950903788145E-2</v>
      </c>
      <c r="K761" s="440">
        <v>0.4208427679147696</v>
      </c>
      <c r="L761" s="440">
        <f t="shared" si="282"/>
        <v>0.43365071881855777</v>
      </c>
      <c r="M761" s="347"/>
      <c r="N761" s="347"/>
    </row>
    <row r="762" spans="1:14" x14ac:dyDescent="0.2">
      <c r="A762" s="362" t="str">
        <f>name!E$9</f>
        <v>Caring, leisure and other service</v>
      </c>
      <c r="B762" s="440">
        <v>3.4406330366893022E-2</v>
      </c>
      <c r="C762" s="440">
        <v>0.13618870210751027</v>
      </c>
      <c r="D762" s="440">
        <f t="shared" si="280"/>
        <v>0.1705950324744033</v>
      </c>
      <c r="E762" s="441"/>
      <c r="F762" s="440">
        <v>4.3486888425739228E-3</v>
      </c>
      <c r="G762" s="440">
        <v>0.12538988450588492</v>
      </c>
      <c r="H762" s="440">
        <f t="shared" si="281"/>
        <v>0.12973857334845884</v>
      </c>
      <c r="I762" s="441"/>
      <c r="J762" s="440">
        <v>5.3754834185261689E-3</v>
      </c>
      <c r="K762" s="440">
        <v>0.14284319498300765</v>
      </c>
      <c r="L762" s="440">
        <f t="shared" si="282"/>
        <v>0.14821867840153383</v>
      </c>
      <c r="M762" s="347"/>
      <c r="N762" s="347"/>
    </row>
    <row r="763" spans="1:14" x14ac:dyDescent="0.2">
      <c r="A763" s="362" t="str">
        <f>name!E$10</f>
        <v>Sales and customer service</v>
      </c>
      <c r="B763" s="440">
        <v>0.52806203044275235</v>
      </c>
      <c r="C763" s="440">
        <v>0.71526314841352068</v>
      </c>
      <c r="D763" s="440">
        <f t="shared" si="280"/>
        <v>1.2433251788562729</v>
      </c>
      <c r="E763" s="441"/>
      <c r="F763" s="440">
        <v>0.19917154565442913</v>
      </c>
      <c r="G763" s="440">
        <v>0.36750965955609999</v>
      </c>
      <c r="H763" s="440">
        <f t="shared" si="281"/>
        <v>0.56668120521052912</v>
      </c>
      <c r="I763" s="441"/>
      <c r="J763" s="440">
        <v>0.23431412214755942</v>
      </c>
      <c r="K763" s="440">
        <v>0.41695019810449158</v>
      </c>
      <c r="L763" s="440">
        <f t="shared" si="282"/>
        <v>0.65126432025205094</v>
      </c>
      <c r="M763" s="347"/>
      <c r="N763" s="347"/>
    </row>
    <row r="764" spans="1:14" x14ac:dyDescent="0.2">
      <c r="A764" s="362" t="str">
        <f>name!E$11</f>
        <v>Process, plant and machine operatives</v>
      </c>
      <c r="B764" s="440">
        <v>1.1143975506890778E-2</v>
      </c>
      <c r="C764" s="440">
        <v>0.16008923224326829</v>
      </c>
      <c r="D764" s="440">
        <f t="shared" si="280"/>
        <v>0.17123320775015907</v>
      </c>
      <c r="E764" s="441"/>
      <c r="F764" s="440">
        <v>4.5377044155689352E-3</v>
      </c>
      <c r="G764" s="440">
        <v>6.6856067440873607E-2</v>
      </c>
      <c r="H764" s="440">
        <f t="shared" si="281"/>
        <v>7.1393771856442537E-2</v>
      </c>
      <c r="I764" s="441"/>
      <c r="J764" s="440">
        <v>5.5149607650467622E-3</v>
      </c>
      <c r="K764" s="440">
        <v>6.7447504106937436E-2</v>
      </c>
      <c r="L764" s="440">
        <f t="shared" si="282"/>
        <v>7.2962464871984198E-2</v>
      </c>
      <c r="M764" s="347"/>
      <c r="N764" s="347"/>
    </row>
    <row r="765" spans="1:14" x14ac:dyDescent="0.2">
      <c r="A765" s="362" t="str">
        <f>name!E$12</f>
        <v>Elementary occupations</v>
      </c>
      <c r="B765" s="440">
        <v>3.0876177636334611E-2</v>
      </c>
      <c r="C765" s="440">
        <v>0.22364840061616015</v>
      </c>
      <c r="D765" s="440">
        <f t="shared" si="280"/>
        <v>0.25452457825249475</v>
      </c>
      <c r="E765" s="441"/>
      <c r="F765" s="440">
        <v>6.1725232682037284E-3</v>
      </c>
      <c r="G765" s="440">
        <v>8.2502996784314941E-2</v>
      </c>
      <c r="H765" s="440">
        <f t="shared" si="281"/>
        <v>8.8675520052518664E-2</v>
      </c>
      <c r="I765" s="441"/>
      <c r="J765" s="440">
        <v>8.6539992189954475E-3</v>
      </c>
      <c r="K765" s="440">
        <v>8.7466812797461185E-2</v>
      </c>
      <c r="L765" s="440">
        <f t="shared" si="282"/>
        <v>9.6120812016456628E-2</v>
      </c>
      <c r="M765" s="347"/>
      <c r="N765" s="347"/>
    </row>
    <row r="766" spans="1:14" s="286" customFormat="1" x14ac:dyDescent="0.2">
      <c r="A766" s="362"/>
      <c r="B766" s="440"/>
      <c r="C766" s="440"/>
      <c r="D766" s="440"/>
      <c r="E766" s="441"/>
      <c r="F766" s="440"/>
      <c r="G766" s="440"/>
      <c r="H766" s="440"/>
      <c r="I766" s="441"/>
      <c r="J766" s="440"/>
      <c r="K766" s="440"/>
      <c r="L766" s="440"/>
      <c r="M766" s="347"/>
      <c r="N766" s="347"/>
    </row>
    <row r="767" spans="1:14" x14ac:dyDescent="0.2">
      <c r="A767" s="357" t="s">
        <v>32</v>
      </c>
      <c r="B767" s="450">
        <f>SUM(B757:B765)</f>
        <v>1.7119999999942508</v>
      </c>
      <c r="C767" s="450">
        <f t="shared" ref="C767:D767" si="283">SUM(C757:C765)</f>
        <v>6.3039999999519125</v>
      </c>
      <c r="D767" s="450">
        <f t="shared" si="283"/>
        <v>8.0159999999461622</v>
      </c>
      <c r="E767" s="450"/>
      <c r="F767" s="450">
        <f t="shared" ref="F767:H767" si="284">SUM(F757:F765)</f>
        <v>0.67699999999507954</v>
      </c>
      <c r="G767" s="450">
        <f t="shared" si="284"/>
        <v>3.8789999999569611</v>
      </c>
      <c r="H767" s="450">
        <f t="shared" si="284"/>
        <v>4.5559999999520411</v>
      </c>
      <c r="I767" s="450"/>
      <c r="J767" s="450">
        <f t="shared" ref="J767:L767" si="285">SUM(J757:J765)</f>
        <v>0.7759999999941618</v>
      </c>
      <c r="K767" s="450">
        <f t="shared" si="285"/>
        <v>3.8260000000408776</v>
      </c>
      <c r="L767" s="450">
        <f t="shared" si="285"/>
        <v>4.602000000035039</v>
      </c>
      <c r="M767" s="347"/>
      <c r="N767" s="347"/>
    </row>
    <row r="768" spans="1:14" x14ac:dyDescent="0.2">
      <c r="A768" s="348"/>
      <c r="B768" s="348"/>
      <c r="C768" s="348"/>
      <c r="D768" s="348"/>
      <c r="E768" s="348"/>
      <c r="F768" s="348"/>
      <c r="G768" s="348"/>
      <c r="H768" s="348"/>
      <c r="I768" s="348"/>
      <c r="J768" s="348"/>
      <c r="K768" s="348"/>
      <c r="L768" s="353"/>
      <c r="M768" s="347"/>
      <c r="N768" s="347"/>
    </row>
    <row r="769" spans="1:14" x14ac:dyDescent="0.2">
      <c r="A769" s="348"/>
      <c r="B769" s="348"/>
      <c r="C769" s="348"/>
      <c r="D769" s="348"/>
      <c r="E769" s="348"/>
      <c r="F769" s="348"/>
      <c r="G769" s="348"/>
      <c r="H769" s="348"/>
      <c r="I769" s="348"/>
      <c r="J769" s="348"/>
      <c r="K769" s="348"/>
      <c r="L769" s="372" t="s">
        <v>35</v>
      </c>
      <c r="M769" s="347"/>
      <c r="N769" s="347"/>
    </row>
    <row r="770" spans="1:14" x14ac:dyDescent="0.2">
      <c r="A770" s="355"/>
      <c r="B770" s="365"/>
      <c r="C770" s="365"/>
      <c r="D770" s="365"/>
      <c r="E770" s="365"/>
      <c r="F770" s="365"/>
      <c r="G770" s="365"/>
      <c r="H770" s="365"/>
      <c r="I770" s="365"/>
      <c r="J770" s="365"/>
      <c r="K770" s="365"/>
      <c r="L770" s="347"/>
      <c r="M770" s="347"/>
      <c r="N770" s="347"/>
    </row>
    <row r="771" spans="1:14" x14ac:dyDescent="0.2">
      <c r="A771" s="354" t="str">
        <f>name!A48</f>
        <v>Computing services</v>
      </c>
      <c r="B771" s="517">
        <f>B$6</f>
        <v>2007</v>
      </c>
      <c r="C771" s="517"/>
      <c r="D771" s="517"/>
      <c r="E771" s="369"/>
      <c r="F771" s="517">
        <f>F$6</f>
        <v>2017</v>
      </c>
      <c r="G771" s="517"/>
      <c r="H771" s="517"/>
      <c r="I771" s="369"/>
      <c r="J771" s="517">
        <f>J$6</f>
        <v>2027</v>
      </c>
      <c r="K771" s="517"/>
      <c r="L771" s="517"/>
      <c r="M771" s="347"/>
      <c r="N771" s="347"/>
    </row>
    <row r="772" spans="1:14" x14ac:dyDescent="0.2">
      <c r="A772" s="370"/>
      <c r="B772" s="371" t="s">
        <v>387</v>
      </c>
      <c r="C772" s="371" t="s">
        <v>388</v>
      </c>
      <c r="D772" s="371" t="s">
        <v>32</v>
      </c>
      <c r="E772" s="371"/>
      <c r="F772" s="371" t="s">
        <v>387</v>
      </c>
      <c r="G772" s="371" t="s">
        <v>388</v>
      </c>
      <c r="H772" s="371" t="s">
        <v>32</v>
      </c>
      <c r="I772" s="371"/>
      <c r="J772" s="371" t="s">
        <v>387</v>
      </c>
      <c r="K772" s="371" t="s">
        <v>388</v>
      </c>
      <c r="L772" s="371" t="s">
        <v>32</v>
      </c>
      <c r="M772" s="347"/>
      <c r="N772" s="347"/>
    </row>
    <row r="773" spans="1:14" s="286" customFormat="1" x14ac:dyDescent="0.2">
      <c r="A773" s="374"/>
      <c r="B773" s="375"/>
      <c r="C773" s="375"/>
      <c r="D773" s="375"/>
      <c r="E773" s="375"/>
      <c r="F773" s="375"/>
      <c r="G773" s="375"/>
      <c r="H773" s="375"/>
      <c r="I773" s="375"/>
      <c r="J773" s="375"/>
      <c r="K773" s="375"/>
      <c r="L773" s="375"/>
      <c r="M773" s="347"/>
      <c r="N773" s="347"/>
    </row>
    <row r="774" spans="1:14" x14ac:dyDescent="0.2">
      <c r="A774" s="362" t="str">
        <f>name!E$4</f>
        <v>Managers, directors and senior officials</v>
      </c>
      <c r="B774" s="440">
        <v>0.35081036453404685</v>
      </c>
      <c r="C774" s="440">
        <v>1.1194661613500609</v>
      </c>
      <c r="D774" s="440">
        <f>SUM(B774:C774)</f>
        <v>1.4702765258841077</v>
      </c>
      <c r="E774" s="441"/>
      <c r="F774" s="440">
        <v>0.63274200048836959</v>
      </c>
      <c r="G774" s="440">
        <v>2.2845172420596258</v>
      </c>
      <c r="H774" s="440">
        <f>SUM(F774:G774)</f>
        <v>2.9172592425479955</v>
      </c>
      <c r="I774" s="441"/>
      <c r="J774" s="440">
        <v>0.87511214913581248</v>
      </c>
      <c r="K774" s="440">
        <v>2.3082425071326207</v>
      </c>
      <c r="L774" s="440">
        <f>SUM(J774:K774)</f>
        <v>3.1833546562684329</v>
      </c>
      <c r="M774" s="347"/>
      <c r="N774" s="347"/>
    </row>
    <row r="775" spans="1:14" x14ac:dyDescent="0.2">
      <c r="A775" s="362" t="str">
        <f>name!E$5</f>
        <v>Professional occupations</v>
      </c>
      <c r="B775" s="440">
        <v>0.94075212862839863</v>
      </c>
      <c r="C775" s="440">
        <v>3.2387460140979587</v>
      </c>
      <c r="D775" s="440">
        <f t="shared" ref="D775:D782" si="286">SUM(B775:C775)</f>
        <v>4.1794981427263576</v>
      </c>
      <c r="E775" s="441"/>
      <c r="F775" s="440">
        <v>1.5645965568905393</v>
      </c>
      <c r="G775" s="440">
        <v>7.64797542798543</v>
      </c>
      <c r="H775" s="440">
        <f t="shared" ref="H775:H782" si="287">SUM(F775:G775)</f>
        <v>9.2125719848759697</v>
      </c>
      <c r="I775" s="441"/>
      <c r="J775" s="440">
        <v>2.0391641933264668</v>
      </c>
      <c r="K775" s="440">
        <v>7.3835246325833408</v>
      </c>
      <c r="L775" s="440">
        <f t="shared" ref="L775:L782" si="288">SUM(J775:K775)</f>
        <v>9.4226888259098072</v>
      </c>
      <c r="M775" s="347"/>
      <c r="N775" s="347"/>
    </row>
    <row r="776" spans="1:14" x14ac:dyDescent="0.2">
      <c r="A776" s="362" t="str">
        <f>name!E$6</f>
        <v>Associate professional and technical</v>
      </c>
      <c r="B776" s="440">
        <v>0.70848431432282899</v>
      </c>
      <c r="C776" s="440">
        <v>1.782229142174633</v>
      </c>
      <c r="D776" s="440">
        <f t="shared" si="286"/>
        <v>2.490713456497462</v>
      </c>
      <c r="E776" s="441"/>
      <c r="F776" s="440">
        <v>1.1720261950782382</v>
      </c>
      <c r="G776" s="440">
        <v>4.4221527111808792</v>
      </c>
      <c r="H776" s="440">
        <f t="shared" si="287"/>
        <v>5.594178906259117</v>
      </c>
      <c r="I776" s="441"/>
      <c r="J776" s="440">
        <v>1.4189028759450797</v>
      </c>
      <c r="K776" s="440">
        <v>4.4360058434908538</v>
      </c>
      <c r="L776" s="440">
        <f t="shared" si="288"/>
        <v>5.8549087194359331</v>
      </c>
      <c r="M776" s="347"/>
      <c r="N776" s="347"/>
    </row>
    <row r="777" spans="1:14" x14ac:dyDescent="0.2">
      <c r="A777" s="362" t="str">
        <f>name!E$7</f>
        <v>Administrative and secretarial</v>
      </c>
      <c r="B777" s="440">
        <v>1.345682427207086</v>
      </c>
      <c r="C777" s="440">
        <v>0.29280493142360803</v>
      </c>
      <c r="D777" s="440">
        <f t="shared" si="286"/>
        <v>1.6384873586306941</v>
      </c>
      <c r="E777" s="441"/>
      <c r="F777" s="440">
        <v>1.4862593008657059</v>
      </c>
      <c r="G777" s="440">
        <v>1.2317198563475884</v>
      </c>
      <c r="H777" s="440">
        <f t="shared" si="287"/>
        <v>2.7179791572132945</v>
      </c>
      <c r="I777" s="441"/>
      <c r="J777" s="440">
        <v>1.5535941019497301</v>
      </c>
      <c r="K777" s="440">
        <v>1.229223280454474</v>
      </c>
      <c r="L777" s="440">
        <f t="shared" si="288"/>
        <v>2.782817382404204</v>
      </c>
      <c r="M777" s="347"/>
      <c r="N777" s="347"/>
    </row>
    <row r="778" spans="1:14" x14ac:dyDescent="0.2">
      <c r="A778" s="362" t="str">
        <f>name!E$8</f>
        <v>Skilled trades occupations</v>
      </c>
      <c r="B778" s="440">
        <v>5.54521676077077E-2</v>
      </c>
      <c r="C778" s="440">
        <v>1.0852984018466769</v>
      </c>
      <c r="D778" s="440">
        <f t="shared" si="286"/>
        <v>1.1407505694543847</v>
      </c>
      <c r="E778" s="441"/>
      <c r="F778" s="440">
        <v>6.8536712888516524E-2</v>
      </c>
      <c r="G778" s="440">
        <v>1.1582090630059445</v>
      </c>
      <c r="H778" s="440">
        <f t="shared" si="287"/>
        <v>1.2267457758944611</v>
      </c>
      <c r="I778" s="441"/>
      <c r="J778" s="440">
        <v>6.3773313751880556E-2</v>
      </c>
      <c r="K778" s="440">
        <v>1.1283431852808374</v>
      </c>
      <c r="L778" s="440">
        <f t="shared" si="288"/>
        <v>1.192116499032718</v>
      </c>
      <c r="M778" s="347"/>
      <c r="N778" s="347"/>
    </row>
    <row r="779" spans="1:14" x14ac:dyDescent="0.2">
      <c r="A779" s="362" t="str">
        <f>name!E$9</f>
        <v>Caring, leisure and other service</v>
      </c>
      <c r="B779" s="440">
        <v>0.1705770220871666</v>
      </c>
      <c r="C779" s="440">
        <v>0.12181223838118403</v>
      </c>
      <c r="D779" s="440">
        <f t="shared" si="286"/>
        <v>0.29238926046835062</v>
      </c>
      <c r="E779" s="441"/>
      <c r="F779" s="440">
        <v>0.28917288207285086</v>
      </c>
      <c r="G779" s="440">
        <v>0.40040116087804528</v>
      </c>
      <c r="H779" s="440">
        <f t="shared" si="287"/>
        <v>0.68957404295089608</v>
      </c>
      <c r="I779" s="441"/>
      <c r="J779" s="440">
        <v>0.39046772311762878</v>
      </c>
      <c r="K779" s="440">
        <v>0.49417355806261443</v>
      </c>
      <c r="L779" s="440">
        <f t="shared" si="288"/>
        <v>0.88464128118024321</v>
      </c>
      <c r="M779" s="347"/>
      <c r="N779" s="347"/>
    </row>
    <row r="780" spans="1:14" x14ac:dyDescent="0.2">
      <c r="A780" s="362" t="str">
        <f>name!E$10</f>
        <v>Sales and customer service</v>
      </c>
      <c r="B780" s="440">
        <v>0.33773965815196128</v>
      </c>
      <c r="C780" s="440">
        <v>0.18629522618176356</v>
      </c>
      <c r="D780" s="440">
        <f t="shared" si="286"/>
        <v>0.5240348843337248</v>
      </c>
      <c r="E780" s="441"/>
      <c r="F780" s="440">
        <v>0.46033071806450471</v>
      </c>
      <c r="G780" s="440">
        <v>0.28891374022335148</v>
      </c>
      <c r="H780" s="440">
        <f t="shared" si="287"/>
        <v>0.74924445828785613</v>
      </c>
      <c r="I780" s="441"/>
      <c r="J780" s="440">
        <v>0.54709375481637446</v>
      </c>
      <c r="K780" s="440">
        <v>0.34930645139214694</v>
      </c>
      <c r="L780" s="440">
        <f t="shared" si="288"/>
        <v>0.89640020620852146</v>
      </c>
      <c r="M780" s="347"/>
      <c r="N780" s="347"/>
    </row>
    <row r="781" spans="1:14" x14ac:dyDescent="0.2">
      <c r="A781" s="362" t="str">
        <f>name!E$11</f>
        <v>Process, plant and machine operatives</v>
      </c>
      <c r="B781" s="440">
        <v>2.0862262700977859E-2</v>
      </c>
      <c r="C781" s="440">
        <v>0.22075402387088619</v>
      </c>
      <c r="D781" s="440">
        <f t="shared" si="286"/>
        <v>0.24161628657186404</v>
      </c>
      <c r="E781" s="441"/>
      <c r="F781" s="440">
        <v>2.6040840252939144E-2</v>
      </c>
      <c r="G781" s="440">
        <v>0.21472878469137971</v>
      </c>
      <c r="H781" s="440">
        <f t="shared" si="287"/>
        <v>0.24076962494431886</v>
      </c>
      <c r="I781" s="441"/>
      <c r="J781" s="440">
        <v>2.0086477224703553E-2</v>
      </c>
      <c r="K781" s="440">
        <v>0.24027535578250706</v>
      </c>
      <c r="L781" s="440">
        <f t="shared" si="288"/>
        <v>0.26036183300721061</v>
      </c>
      <c r="M781" s="347"/>
      <c r="N781" s="347"/>
    </row>
    <row r="782" spans="1:14" x14ac:dyDescent="0.2">
      <c r="A782" s="362" t="str">
        <f>name!E$12</f>
        <v>Elementary occupations</v>
      </c>
      <c r="B782" s="440">
        <v>5.363965476098613E-2</v>
      </c>
      <c r="C782" s="440">
        <v>7.9593860577794523E-2</v>
      </c>
      <c r="D782" s="440">
        <f t="shared" si="286"/>
        <v>0.13323351533878064</v>
      </c>
      <c r="E782" s="441"/>
      <c r="F782" s="440">
        <v>4.6294793326785121E-2</v>
      </c>
      <c r="G782" s="440">
        <v>0.22738201340234224</v>
      </c>
      <c r="H782" s="440">
        <f t="shared" si="287"/>
        <v>0.27367680672912736</v>
      </c>
      <c r="I782" s="441"/>
      <c r="J782" s="440">
        <v>5.0805410669493678E-2</v>
      </c>
      <c r="K782" s="440">
        <v>0.22590518609623861</v>
      </c>
      <c r="L782" s="440">
        <f t="shared" si="288"/>
        <v>0.27671059676573229</v>
      </c>
      <c r="M782" s="347"/>
      <c r="N782" s="347"/>
    </row>
    <row r="783" spans="1:14" s="286" customFormat="1" x14ac:dyDescent="0.2">
      <c r="A783" s="362"/>
      <c r="B783" s="440"/>
      <c r="C783" s="440"/>
      <c r="D783" s="440"/>
      <c r="E783" s="441"/>
      <c r="F783" s="440"/>
      <c r="G783" s="440"/>
      <c r="H783" s="440"/>
      <c r="I783" s="441"/>
      <c r="J783" s="440"/>
      <c r="K783" s="440"/>
      <c r="L783" s="440"/>
      <c r="M783" s="347"/>
      <c r="N783" s="347"/>
    </row>
    <row r="784" spans="1:14" x14ac:dyDescent="0.2">
      <c r="A784" s="357" t="s">
        <v>32</v>
      </c>
      <c r="B784" s="450">
        <f>SUM(B774:B782)</f>
        <v>3.9840000000011599</v>
      </c>
      <c r="C784" s="450">
        <f t="shared" ref="C784:D784" si="289">SUM(C774:C782)</f>
        <v>8.1269999999045659</v>
      </c>
      <c r="D784" s="450">
        <f t="shared" si="289"/>
        <v>12.110999999905726</v>
      </c>
      <c r="E784" s="450"/>
      <c r="F784" s="450">
        <f t="shared" ref="F784:H784" si="290">SUM(F774:F782)</f>
        <v>5.7459999999284497</v>
      </c>
      <c r="G784" s="450">
        <f t="shared" si="290"/>
        <v>17.875999999774585</v>
      </c>
      <c r="H784" s="450">
        <f t="shared" si="290"/>
        <v>23.621999999703032</v>
      </c>
      <c r="I784" s="450"/>
      <c r="J784" s="450">
        <f t="shared" ref="J784:L784" si="291">SUM(J774:J782)</f>
        <v>6.9589999999371699</v>
      </c>
      <c r="K784" s="450">
        <f t="shared" si="291"/>
        <v>17.795000000275632</v>
      </c>
      <c r="L784" s="450">
        <f t="shared" si="291"/>
        <v>24.754000000212802</v>
      </c>
      <c r="M784" s="347"/>
      <c r="N784" s="347"/>
    </row>
    <row r="785" spans="1:14" x14ac:dyDescent="0.2">
      <c r="A785" s="348"/>
      <c r="B785" s="348"/>
      <c r="C785" s="348"/>
      <c r="D785" s="348"/>
      <c r="E785" s="348"/>
      <c r="F785" s="348"/>
      <c r="G785" s="348"/>
      <c r="H785" s="348"/>
      <c r="I785" s="348"/>
      <c r="J785" s="348"/>
      <c r="K785" s="348"/>
      <c r="L785" s="353"/>
      <c r="M785" s="347"/>
      <c r="N785" s="347"/>
    </row>
    <row r="786" spans="1:14" x14ac:dyDescent="0.2">
      <c r="A786" s="348"/>
      <c r="B786" s="348"/>
      <c r="C786" s="348"/>
      <c r="D786" s="348"/>
      <c r="E786" s="348"/>
      <c r="F786" s="348"/>
      <c r="G786" s="348"/>
      <c r="H786" s="348"/>
      <c r="I786" s="348"/>
      <c r="J786" s="348"/>
      <c r="K786" s="348"/>
      <c r="L786" s="372" t="s">
        <v>35</v>
      </c>
      <c r="M786" s="347"/>
      <c r="N786" s="347"/>
    </row>
    <row r="787" spans="1:14" x14ac:dyDescent="0.2">
      <c r="A787" s="355"/>
      <c r="B787" s="365"/>
      <c r="C787" s="365"/>
      <c r="D787" s="365"/>
      <c r="E787" s="365"/>
      <c r="F787" s="365"/>
      <c r="G787" s="365"/>
      <c r="H787" s="365"/>
      <c r="I787" s="365"/>
      <c r="J787" s="365"/>
      <c r="K787" s="365"/>
      <c r="L787" s="347"/>
      <c r="M787" s="347"/>
      <c r="N787" s="347"/>
    </row>
    <row r="788" spans="1:14" x14ac:dyDescent="0.2">
      <c r="A788" s="354" t="str">
        <f>name!A49</f>
        <v>Information services</v>
      </c>
      <c r="B788" s="517">
        <f>B$6</f>
        <v>2007</v>
      </c>
      <c r="C788" s="517"/>
      <c r="D788" s="517"/>
      <c r="E788" s="369"/>
      <c r="F788" s="517">
        <f>F$6</f>
        <v>2017</v>
      </c>
      <c r="G788" s="517"/>
      <c r="H788" s="517"/>
      <c r="I788" s="369"/>
      <c r="J788" s="517">
        <f>J$6</f>
        <v>2027</v>
      </c>
      <c r="K788" s="517"/>
      <c r="L788" s="517"/>
      <c r="M788" s="347"/>
      <c r="N788" s="347"/>
    </row>
    <row r="789" spans="1:14" x14ac:dyDescent="0.2">
      <c r="A789" s="370"/>
      <c r="B789" s="371" t="s">
        <v>387</v>
      </c>
      <c r="C789" s="371" t="s">
        <v>388</v>
      </c>
      <c r="D789" s="371" t="s">
        <v>32</v>
      </c>
      <c r="E789" s="371"/>
      <c r="F789" s="371" t="s">
        <v>387</v>
      </c>
      <c r="G789" s="371" t="s">
        <v>388</v>
      </c>
      <c r="H789" s="371" t="s">
        <v>32</v>
      </c>
      <c r="I789" s="371"/>
      <c r="J789" s="371" t="s">
        <v>387</v>
      </c>
      <c r="K789" s="371" t="s">
        <v>388</v>
      </c>
      <c r="L789" s="371" t="s">
        <v>32</v>
      </c>
      <c r="M789" s="347"/>
      <c r="N789" s="347"/>
    </row>
    <row r="790" spans="1:14" s="286" customFormat="1" x14ac:dyDescent="0.2">
      <c r="A790" s="374"/>
      <c r="B790" s="375"/>
      <c r="C790" s="375"/>
      <c r="D790" s="375"/>
      <c r="E790" s="375"/>
      <c r="F790" s="375"/>
      <c r="G790" s="375"/>
      <c r="H790" s="375"/>
      <c r="I790" s="375"/>
      <c r="J790" s="375"/>
      <c r="K790" s="375"/>
      <c r="L790" s="375"/>
      <c r="M790" s="347"/>
      <c r="N790" s="347"/>
    </row>
    <row r="791" spans="1:14" x14ac:dyDescent="0.2">
      <c r="A791" s="362" t="str">
        <f>name!E$4</f>
        <v>Managers, directors and senior officials</v>
      </c>
      <c r="B791" s="440">
        <v>1.6406593161188563E-2</v>
      </c>
      <c r="C791" s="440">
        <v>6.0192376582843835E-2</v>
      </c>
      <c r="D791" s="440">
        <f>SUM(B791:C791)</f>
        <v>7.6598969744032394E-2</v>
      </c>
      <c r="E791" s="441"/>
      <c r="F791" s="440">
        <v>1.248956865789619E-2</v>
      </c>
      <c r="G791" s="440">
        <v>4.4748507032602775E-2</v>
      </c>
      <c r="H791" s="440">
        <f>SUM(F791:G791)</f>
        <v>5.7238075690498963E-2</v>
      </c>
      <c r="I791" s="441"/>
      <c r="J791" s="440">
        <v>1.8203748306263399E-2</v>
      </c>
      <c r="K791" s="440">
        <v>4.4606215283452433E-2</v>
      </c>
      <c r="L791" s="440">
        <f>SUM(J791:K791)</f>
        <v>6.2809963589715828E-2</v>
      </c>
      <c r="M791" s="347"/>
      <c r="N791" s="347"/>
    </row>
    <row r="792" spans="1:14" x14ac:dyDescent="0.2">
      <c r="A792" s="362" t="str">
        <f>name!E$5</f>
        <v>Professional occupations</v>
      </c>
      <c r="B792" s="440">
        <v>3.3290222423414055E-2</v>
      </c>
      <c r="C792" s="440">
        <v>0.13229373847941908</v>
      </c>
      <c r="D792" s="440">
        <f t="shared" ref="D792:D799" si="292">SUM(B792:C792)</f>
        <v>0.16558396090283314</v>
      </c>
      <c r="E792" s="441"/>
      <c r="F792" s="440">
        <v>2.4451041635415328E-2</v>
      </c>
      <c r="G792" s="440">
        <v>8.6562736852911368E-2</v>
      </c>
      <c r="H792" s="440">
        <f t="shared" ref="H792:H799" si="293">SUM(F792:G792)</f>
        <v>0.11101377848832669</v>
      </c>
      <c r="I792" s="441"/>
      <c r="J792" s="440">
        <v>3.3755843579765216E-2</v>
      </c>
      <c r="K792" s="440">
        <v>7.7819399987748006E-2</v>
      </c>
      <c r="L792" s="440">
        <f t="shared" ref="L792:L799" si="294">SUM(J792:K792)</f>
        <v>0.11157524356751322</v>
      </c>
      <c r="M792" s="347"/>
      <c r="N792" s="347"/>
    </row>
    <row r="793" spans="1:14" x14ac:dyDescent="0.2">
      <c r="A793" s="362" t="str">
        <f>name!E$6</f>
        <v>Associate professional and technical</v>
      </c>
      <c r="B793" s="440">
        <v>5.0610769857121991E-2</v>
      </c>
      <c r="C793" s="440">
        <v>9.1694739310186915E-2</v>
      </c>
      <c r="D793" s="440">
        <f t="shared" si="292"/>
        <v>0.14230550916730891</v>
      </c>
      <c r="E793" s="441"/>
      <c r="F793" s="440">
        <v>2.5635182825618073E-2</v>
      </c>
      <c r="G793" s="440">
        <v>8.1138906115176587E-2</v>
      </c>
      <c r="H793" s="440">
        <f t="shared" si="293"/>
        <v>0.10677408894079465</v>
      </c>
      <c r="I793" s="441"/>
      <c r="J793" s="440">
        <v>3.2577964839350916E-2</v>
      </c>
      <c r="K793" s="440">
        <v>7.5548477301459235E-2</v>
      </c>
      <c r="L793" s="440">
        <f t="shared" si="294"/>
        <v>0.10812644214081016</v>
      </c>
      <c r="M793" s="347"/>
      <c r="N793" s="347"/>
    </row>
    <row r="794" spans="1:14" x14ac:dyDescent="0.2">
      <c r="A794" s="362" t="str">
        <f>name!E$7</f>
        <v>Administrative and secretarial</v>
      </c>
      <c r="B794" s="440">
        <v>7.0944778194991343E-2</v>
      </c>
      <c r="C794" s="440">
        <v>2.8011695251480992E-2</v>
      </c>
      <c r="D794" s="440">
        <f t="shared" si="292"/>
        <v>9.8956473446472334E-2</v>
      </c>
      <c r="E794" s="441"/>
      <c r="F794" s="440">
        <v>5.000860430279451E-2</v>
      </c>
      <c r="G794" s="440">
        <v>6.1263660271969417E-2</v>
      </c>
      <c r="H794" s="440">
        <f t="shared" si="293"/>
        <v>0.11127226457476393</v>
      </c>
      <c r="I794" s="441"/>
      <c r="J794" s="440">
        <v>4.3179366024785594E-2</v>
      </c>
      <c r="K794" s="440">
        <v>5.7854254260064401E-2</v>
      </c>
      <c r="L794" s="440">
        <f t="shared" si="294"/>
        <v>0.10103362028485</v>
      </c>
      <c r="M794" s="347"/>
      <c r="N794" s="347"/>
    </row>
    <row r="795" spans="1:14" x14ac:dyDescent="0.2">
      <c r="A795" s="362" t="str">
        <f>name!E$8</f>
        <v>Skilled trades occupations</v>
      </c>
      <c r="B795" s="440">
        <v>3.7194684498567678E-3</v>
      </c>
      <c r="C795" s="440">
        <v>5.8667015255550008E-2</v>
      </c>
      <c r="D795" s="440">
        <f t="shared" si="292"/>
        <v>6.2386483705406774E-2</v>
      </c>
      <c r="E795" s="441"/>
      <c r="F795" s="440">
        <v>1.6030681043803932E-3</v>
      </c>
      <c r="G795" s="440">
        <v>2.6558096537437893E-2</v>
      </c>
      <c r="H795" s="440">
        <f t="shared" si="293"/>
        <v>2.8161164641818285E-2</v>
      </c>
      <c r="I795" s="441"/>
      <c r="J795" s="440">
        <v>2.3203071531110514E-3</v>
      </c>
      <c r="K795" s="440">
        <v>2.4984860191416641E-2</v>
      </c>
      <c r="L795" s="440">
        <f t="shared" si="294"/>
        <v>2.7305167344527693E-2</v>
      </c>
      <c r="M795" s="347"/>
      <c r="N795" s="347"/>
    </row>
    <row r="796" spans="1:14" x14ac:dyDescent="0.2">
      <c r="A796" s="362" t="str">
        <f>name!E$9</f>
        <v>Caring, leisure and other service</v>
      </c>
      <c r="B796" s="440">
        <v>2.0497976288096353E-2</v>
      </c>
      <c r="C796" s="440">
        <v>9.6933521450059713E-3</v>
      </c>
      <c r="D796" s="440">
        <f t="shared" si="292"/>
        <v>3.0191328433102325E-2</v>
      </c>
      <c r="E796" s="441"/>
      <c r="F796" s="440">
        <v>2.2071432654665976E-2</v>
      </c>
      <c r="G796" s="440">
        <v>1.5466754713122309E-2</v>
      </c>
      <c r="H796" s="440">
        <f t="shared" si="293"/>
        <v>3.7538187367788287E-2</v>
      </c>
      <c r="I796" s="441"/>
      <c r="J796" s="440">
        <v>3.0414273519672495E-2</v>
      </c>
      <c r="K796" s="440">
        <v>1.7355060131229179E-2</v>
      </c>
      <c r="L796" s="440">
        <f t="shared" si="294"/>
        <v>4.7769333650901677E-2</v>
      </c>
      <c r="M796" s="347"/>
      <c r="N796" s="347"/>
    </row>
    <row r="797" spans="1:14" x14ac:dyDescent="0.2">
      <c r="A797" s="362" t="str">
        <f>name!E$10</f>
        <v>Sales and customer service</v>
      </c>
      <c r="B797" s="440">
        <v>1.9547239129326079E-2</v>
      </c>
      <c r="C797" s="440">
        <v>2.2398653559505897E-2</v>
      </c>
      <c r="D797" s="440">
        <f t="shared" si="292"/>
        <v>4.1945892688831976E-2</v>
      </c>
      <c r="E797" s="441"/>
      <c r="F797" s="440">
        <v>2.0697120088865723E-2</v>
      </c>
      <c r="G797" s="440">
        <v>6.3289253816976768E-2</v>
      </c>
      <c r="H797" s="440">
        <f t="shared" si="293"/>
        <v>8.3986373905842487E-2</v>
      </c>
      <c r="I797" s="441"/>
      <c r="J797" s="440">
        <v>2.3822572288031699E-2</v>
      </c>
      <c r="K797" s="440">
        <v>6.6732547122818606E-2</v>
      </c>
      <c r="L797" s="440">
        <f t="shared" si="294"/>
        <v>9.0555119410850302E-2</v>
      </c>
      <c r="M797" s="347"/>
      <c r="N797" s="347"/>
    </row>
    <row r="798" spans="1:14" x14ac:dyDescent="0.2">
      <c r="A798" s="362" t="str">
        <f>name!E$11</f>
        <v>Process, plant and machine operatives</v>
      </c>
      <c r="B798" s="440">
        <v>3.4202461272694507E-3</v>
      </c>
      <c r="C798" s="440">
        <v>2.8409572173044538E-2</v>
      </c>
      <c r="D798" s="440">
        <f t="shared" si="292"/>
        <v>3.1829818300313992E-2</v>
      </c>
      <c r="E798" s="441"/>
      <c r="F798" s="440">
        <v>2.3212582976773919E-3</v>
      </c>
      <c r="G798" s="440">
        <v>2.2879385995634542E-2</v>
      </c>
      <c r="H798" s="440">
        <f t="shared" si="293"/>
        <v>2.5200644293311935E-2</v>
      </c>
      <c r="I798" s="441"/>
      <c r="J798" s="440">
        <v>1.5152433475648589E-3</v>
      </c>
      <c r="K798" s="440">
        <v>2.4128225780250461E-2</v>
      </c>
      <c r="L798" s="440">
        <f t="shared" si="294"/>
        <v>2.5643469127815319E-2</v>
      </c>
      <c r="M798" s="347"/>
      <c r="N798" s="347"/>
    </row>
    <row r="799" spans="1:14" x14ac:dyDescent="0.2">
      <c r="A799" s="362" t="str">
        <f>name!E$12</f>
        <v>Elementary occupations</v>
      </c>
      <c r="B799" s="440">
        <v>0.13556270636700349</v>
      </c>
      <c r="C799" s="440">
        <v>0.11263885723925779</v>
      </c>
      <c r="D799" s="440">
        <f t="shared" si="292"/>
        <v>0.24820156360626128</v>
      </c>
      <c r="E799" s="441"/>
      <c r="F799" s="440">
        <v>2.6722723432666576E-2</v>
      </c>
      <c r="G799" s="440">
        <v>0.20909269866183081</v>
      </c>
      <c r="H799" s="440">
        <f t="shared" si="293"/>
        <v>0.23581542209449738</v>
      </c>
      <c r="I799" s="441"/>
      <c r="J799" s="440">
        <v>2.021068094092443E-2</v>
      </c>
      <c r="K799" s="440">
        <v>0.22197095994042432</v>
      </c>
      <c r="L799" s="440">
        <f t="shared" si="294"/>
        <v>0.24218164088134875</v>
      </c>
      <c r="M799" s="347"/>
      <c r="N799" s="347"/>
    </row>
    <row r="800" spans="1:14" s="286" customFormat="1" x14ac:dyDescent="0.2">
      <c r="A800" s="362"/>
      <c r="B800" s="440"/>
      <c r="C800" s="440"/>
      <c r="D800" s="440"/>
      <c r="E800" s="441"/>
      <c r="F800" s="440"/>
      <c r="G800" s="440"/>
      <c r="H800" s="440"/>
      <c r="I800" s="441"/>
      <c r="J800" s="440"/>
      <c r="K800" s="440"/>
      <c r="L800" s="440"/>
      <c r="M800" s="347"/>
      <c r="N800" s="347"/>
    </row>
    <row r="801" spans="1:14" x14ac:dyDescent="0.2">
      <c r="A801" s="357" t="s">
        <v>32</v>
      </c>
      <c r="B801" s="450">
        <f>SUM(B791:B799)</f>
        <v>0.35399999999826809</v>
      </c>
      <c r="C801" s="450">
        <f t="shared" ref="C801:D801" si="295">SUM(C791:C799)</f>
        <v>0.543999999996295</v>
      </c>
      <c r="D801" s="450">
        <f t="shared" si="295"/>
        <v>0.89799999999456315</v>
      </c>
      <c r="E801" s="450"/>
      <c r="F801" s="450">
        <f t="shared" ref="F801:H801" si="296">SUM(F791:F799)</f>
        <v>0.18599999999998018</v>
      </c>
      <c r="G801" s="450">
        <f t="shared" si="296"/>
        <v>0.61099999999766252</v>
      </c>
      <c r="H801" s="450">
        <f t="shared" si="296"/>
        <v>0.79699999999764259</v>
      </c>
      <c r="I801" s="450"/>
      <c r="J801" s="450">
        <f t="shared" ref="J801:L801" si="297">SUM(J791:J799)</f>
        <v>0.20599999999946964</v>
      </c>
      <c r="K801" s="450">
        <f t="shared" si="297"/>
        <v>0.61099999999886334</v>
      </c>
      <c r="L801" s="450">
        <f t="shared" si="297"/>
        <v>0.81699999999833295</v>
      </c>
      <c r="M801" s="347"/>
      <c r="N801" s="347"/>
    </row>
    <row r="802" spans="1:14" x14ac:dyDescent="0.2">
      <c r="A802" s="348"/>
      <c r="B802" s="348"/>
      <c r="C802" s="348"/>
      <c r="D802" s="348"/>
      <c r="E802" s="348"/>
      <c r="F802" s="348"/>
      <c r="G802" s="348"/>
      <c r="H802" s="348"/>
      <c r="I802" s="348"/>
      <c r="J802" s="348"/>
      <c r="K802" s="348"/>
      <c r="L802" s="353"/>
      <c r="M802" s="347"/>
      <c r="N802" s="347"/>
    </row>
    <row r="803" spans="1:14" x14ac:dyDescent="0.2">
      <c r="A803" s="348"/>
      <c r="B803" s="348"/>
      <c r="C803" s="348"/>
      <c r="D803" s="348"/>
      <c r="E803" s="348"/>
      <c r="F803" s="348"/>
      <c r="G803" s="348"/>
      <c r="H803" s="348"/>
      <c r="I803" s="348"/>
      <c r="J803" s="348"/>
      <c r="K803" s="348"/>
      <c r="L803" s="372" t="s">
        <v>35</v>
      </c>
      <c r="M803" s="347"/>
      <c r="N803" s="347"/>
    </row>
    <row r="804" spans="1:14" x14ac:dyDescent="0.2">
      <c r="A804" s="355"/>
      <c r="B804" s="365"/>
      <c r="C804" s="365"/>
      <c r="D804" s="365"/>
      <c r="E804" s="365"/>
      <c r="F804" s="365"/>
      <c r="G804" s="365"/>
      <c r="H804" s="365"/>
      <c r="I804" s="365"/>
      <c r="J804" s="365"/>
      <c r="K804" s="365"/>
      <c r="L804" s="347"/>
      <c r="M804" s="347"/>
      <c r="N804" s="347"/>
    </row>
    <row r="805" spans="1:14" x14ac:dyDescent="0.2">
      <c r="A805" s="354" t="str">
        <f>name!A50</f>
        <v>Financial services</v>
      </c>
      <c r="B805" s="517">
        <f>B$6</f>
        <v>2007</v>
      </c>
      <c r="C805" s="517"/>
      <c r="D805" s="517"/>
      <c r="E805" s="369"/>
      <c r="F805" s="517">
        <f>F$6</f>
        <v>2017</v>
      </c>
      <c r="G805" s="517"/>
      <c r="H805" s="517"/>
      <c r="I805" s="369"/>
      <c r="J805" s="517">
        <f>J$6</f>
        <v>2027</v>
      </c>
      <c r="K805" s="517"/>
      <c r="L805" s="517"/>
      <c r="M805" s="347"/>
      <c r="N805" s="347"/>
    </row>
    <row r="806" spans="1:14" x14ac:dyDescent="0.2">
      <c r="A806" s="370"/>
      <c r="B806" s="371" t="s">
        <v>387</v>
      </c>
      <c r="C806" s="371" t="s">
        <v>388</v>
      </c>
      <c r="D806" s="371" t="s">
        <v>32</v>
      </c>
      <c r="E806" s="371"/>
      <c r="F806" s="371" t="s">
        <v>387</v>
      </c>
      <c r="G806" s="371" t="s">
        <v>388</v>
      </c>
      <c r="H806" s="371" t="s">
        <v>32</v>
      </c>
      <c r="I806" s="371"/>
      <c r="J806" s="371" t="s">
        <v>387</v>
      </c>
      <c r="K806" s="371" t="s">
        <v>388</v>
      </c>
      <c r="L806" s="371" t="s">
        <v>32</v>
      </c>
      <c r="M806" s="347"/>
      <c r="N806" s="347"/>
    </row>
    <row r="807" spans="1:14" s="286" customFormat="1" x14ac:dyDescent="0.2">
      <c r="A807" s="374"/>
      <c r="B807" s="375"/>
      <c r="C807" s="375"/>
      <c r="D807" s="375"/>
      <c r="E807" s="375"/>
      <c r="F807" s="375"/>
      <c r="G807" s="375"/>
      <c r="H807" s="375"/>
      <c r="I807" s="375"/>
      <c r="J807" s="375"/>
      <c r="K807" s="375"/>
      <c r="L807" s="375"/>
      <c r="M807" s="347"/>
      <c r="N807" s="347"/>
    </row>
    <row r="808" spans="1:14" x14ac:dyDescent="0.2">
      <c r="A808" s="362" t="str">
        <f>name!E$4</f>
        <v>Managers, directors and senior officials</v>
      </c>
      <c r="B808" s="440">
        <v>0.6652273250866787</v>
      </c>
      <c r="C808" s="440">
        <v>1.658445095865525</v>
      </c>
      <c r="D808" s="440">
        <f>SUM(B808:C808)</f>
        <v>2.3236724209522039</v>
      </c>
      <c r="E808" s="441"/>
      <c r="F808" s="440">
        <v>0.94854033039759611</v>
      </c>
      <c r="G808" s="440">
        <v>1.1486241841721487</v>
      </c>
      <c r="H808" s="440">
        <f>SUM(F808:G808)</f>
        <v>2.0971645145697448</v>
      </c>
      <c r="I808" s="441"/>
      <c r="J808" s="440">
        <v>1.3080585665794142</v>
      </c>
      <c r="K808" s="440">
        <v>1.3419897468882349</v>
      </c>
      <c r="L808" s="440">
        <f>SUM(J808:K808)</f>
        <v>2.6500483134676491</v>
      </c>
      <c r="M808" s="347"/>
      <c r="N808" s="347"/>
    </row>
    <row r="809" spans="1:14" x14ac:dyDescent="0.2">
      <c r="A809" s="362" t="str">
        <f>name!E$5</f>
        <v>Professional occupations</v>
      </c>
      <c r="B809" s="440">
        <v>0.73777215312226008</v>
      </c>
      <c r="C809" s="440">
        <v>1.4206684924593243</v>
      </c>
      <c r="D809" s="440">
        <f t="shared" ref="D809:D816" si="298">SUM(B809:C809)</f>
        <v>2.1584406455815843</v>
      </c>
      <c r="E809" s="441"/>
      <c r="F809" s="440">
        <v>0.71440924957287744</v>
      </c>
      <c r="G809" s="440">
        <v>1.046219589423306</v>
      </c>
      <c r="H809" s="440">
        <f t="shared" ref="H809:H816" si="299">SUM(F809:G809)</f>
        <v>1.7606288389961833</v>
      </c>
      <c r="I809" s="441"/>
      <c r="J809" s="440">
        <v>0.9455860870313969</v>
      </c>
      <c r="K809" s="440">
        <v>1.2264397501750777</v>
      </c>
      <c r="L809" s="440">
        <f t="shared" ref="L809:L816" si="300">SUM(J809:K809)</f>
        <v>2.1720258372064745</v>
      </c>
      <c r="M809" s="347"/>
      <c r="N809" s="347"/>
    </row>
    <row r="810" spans="1:14" x14ac:dyDescent="0.2">
      <c r="A810" s="362" t="str">
        <f>name!E$6</f>
        <v>Associate professional and technical</v>
      </c>
      <c r="B810" s="440">
        <v>1.6608931220077081</v>
      </c>
      <c r="C810" s="440">
        <v>2.335219731734532</v>
      </c>
      <c r="D810" s="440">
        <f t="shared" si="298"/>
        <v>3.9961128537422401</v>
      </c>
      <c r="E810" s="441"/>
      <c r="F810" s="440">
        <v>1.5286939373444999</v>
      </c>
      <c r="G810" s="440">
        <v>1.4758350150753239</v>
      </c>
      <c r="H810" s="440">
        <f t="shared" si="299"/>
        <v>3.0045289524198235</v>
      </c>
      <c r="I810" s="441"/>
      <c r="J810" s="440">
        <v>1.9259452552587684</v>
      </c>
      <c r="K810" s="440">
        <v>1.6942232817706651</v>
      </c>
      <c r="L810" s="440">
        <f t="shared" si="300"/>
        <v>3.6201685370294334</v>
      </c>
      <c r="M810" s="347"/>
      <c r="N810" s="347"/>
    </row>
    <row r="811" spans="1:14" x14ac:dyDescent="0.2">
      <c r="A811" s="362" t="str">
        <f>name!E$7</f>
        <v>Administrative and secretarial</v>
      </c>
      <c r="B811" s="440">
        <v>6.1123840171008057</v>
      </c>
      <c r="C811" s="440">
        <v>1.5982471999742924</v>
      </c>
      <c r="D811" s="440">
        <f t="shared" si="298"/>
        <v>7.7106312170750986</v>
      </c>
      <c r="E811" s="441"/>
      <c r="F811" s="440">
        <v>4.9164742872122229</v>
      </c>
      <c r="G811" s="440">
        <v>1.1458814275025155</v>
      </c>
      <c r="H811" s="440">
        <f t="shared" si="299"/>
        <v>6.0623557147147382</v>
      </c>
      <c r="I811" s="441"/>
      <c r="J811" s="440">
        <v>4.4382579365332253</v>
      </c>
      <c r="K811" s="440">
        <v>1.2749338508933654</v>
      </c>
      <c r="L811" s="440">
        <f t="shared" si="300"/>
        <v>5.7131917874265907</v>
      </c>
      <c r="M811" s="347"/>
      <c r="N811" s="347"/>
    </row>
    <row r="812" spans="1:14" x14ac:dyDescent="0.2">
      <c r="A812" s="362" t="str">
        <f>name!E$8</f>
        <v>Skilled trades occupations</v>
      </c>
      <c r="B812" s="440">
        <v>2.4317113558521213E-2</v>
      </c>
      <c r="C812" s="440">
        <v>0.17584285527176349</v>
      </c>
      <c r="D812" s="440">
        <f t="shared" si="298"/>
        <v>0.2001599688302847</v>
      </c>
      <c r="E812" s="441"/>
      <c r="F812" s="440">
        <v>1.8950426762463821E-2</v>
      </c>
      <c r="G812" s="440">
        <v>0.14224005261198347</v>
      </c>
      <c r="H812" s="440">
        <f t="shared" si="299"/>
        <v>0.1611904793744473</v>
      </c>
      <c r="I812" s="441"/>
      <c r="J812" s="440">
        <v>2.1262086540587026E-2</v>
      </c>
      <c r="K812" s="440">
        <v>0.15223132234960465</v>
      </c>
      <c r="L812" s="440">
        <f t="shared" si="300"/>
        <v>0.17349340889019169</v>
      </c>
      <c r="M812" s="347"/>
      <c r="N812" s="347"/>
    </row>
    <row r="813" spans="1:14" x14ac:dyDescent="0.2">
      <c r="A813" s="362" t="str">
        <f>name!E$9</f>
        <v>Caring, leisure and other service</v>
      </c>
      <c r="B813" s="440">
        <v>3.6663468443486939E-2</v>
      </c>
      <c r="C813" s="440">
        <v>4.1753146669173721E-2</v>
      </c>
      <c r="D813" s="440">
        <f t="shared" si="298"/>
        <v>7.8416615112660654E-2</v>
      </c>
      <c r="E813" s="441"/>
      <c r="F813" s="440">
        <v>2.2539766833992749E-2</v>
      </c>
      <c r="G813" s="440">
        <v>3.6867598731091952E-2</v>
      </c>
      <c r="H813" s="440">
        <f t="shared" si="299"/>
        <v>5.9407365565084705E-2</v>
      </c>
      <c r="I813" s="441"/>
      <c r="J813" s="440">
        <v>2.7380107127380152E-2</v>
      </c>
      <c r="K813" s="440">
        <v>4.1564368078405509E-2</v>
      </c>
      <c r="L813" s="440">
        <f t="shared" si="300"/>
        <v>6.8944475205785657E-2</v>
      </c>
      <c r="M813" s="347"/>
      <c r="N813" s="347"/>
    </row>
    <row r="814" spans="1:14" x14ac:dyDescent="0.2">
      <c r="A814" s="362" t="str">
        <f>name!E$10</f>
        <v>Sales and customer service</v>
      </c>
      <c r="B814" s="440">
        <v>1.6047775758148792</v>
      </c>
      <c r="C814" s="440">
        <v>0.81728403838545105</v>
      </c>
      <c r="D814" s="440">
        <f t="shared" si="298"/>
        <v>2.4220616142003304</v>
      </c>
      <c r="E814" s="441"/>
      <c r="F814" s="440">
        <v>1.2963022961046777</v>
      </c>
      <c r="G814" s="440">
        <v>0.31991744524424842</v>
      </c>
      <c r="H814" s="440">
        <f t="shared" si="299"/>
        <v>1.6162197413489261</v>
      </c>
      <c r="I814" s="441"/>
      <c r="J814" s="440">
        <v>1.5114013931092869</v>
      </c>
      <c r="K814" s="440">
        <v>0.37683247705729855</v>
      </c>
      <c r="L814" s="440">
        <f t="shared" si="300"/>
        <v>1.8882338701665855</v>
      </c>
      <c r="M814" s="347"/>
      <c r="N814" s="347"/>
    </row>
    <row r="815" spans="1:14" x14ac:dyDescent="0.2">
      <c r="A815" s="362" t="str">
        <f>name!E$11</f>
        <v>Process, plant and machine operatives</v>
      </c>
      <c r="B815" s="440">
        <v>1.782820564820372E-2</v>
      </c>
      <c r="C815" s="440">
        <v>9.2437185027744798E-2</v>
      </c>
      <c r="D815" s="440">
        <f t="shared" si="298"/>
        <v>0.11026539067594851</v>
      </c>
      <c r="E815" s="441"/>
      <c r="F815" s="440">
        <v>1.0479916899336358E-2</v>
      </c>
      <c r="G815" s="440">
        <v>5.0129188557349935E-2</v>
      </c>
      <c r="H815" s="440">
        <f t="shared" si="299"/>
        <v>6.0609105456686296E-2</v>
      </c>
      <c r="I815" s="441"/>
      <c r="J815" s="440">
        <v>8.7453486358951404E-3</v>
      </c>
      <c r="K815" s="440">
        <v>5.8378796995982106E-2</v>
      </c>
      <c r="L815" s="440">
        <f t="shared" si="300"/>
        <v>6.7124145631877241E-2</v>
      </c>
      <c r="M815" s="347"/>
      <c r="N815" s="347"/>
    </row>
    <row r="816" spans="1:14" x14ac:dyDescent="0.2">
      <c r="A816" s="362" t="str">
        <f>name!E$12</f>
        <v>Elementary occupations</v>
      </c>
      <c r="B816" s="440">
        <v>0.28413701912464706</v>
      </c>
      <c r="C816" s="440">
        <v>0.10810225453563267</v>
      </c>
      <c r="D816" s="440">
        <f t="shared" si="298"/>
        <v>0.39223927366027972</v>
      </c>
      <c r="E816" s="441"/>
      <c r="F816" s="440">
        <v>2.3609788854799457E-2</v>
      </c>
      <c r="G816" s="440">
        <v>5.7285498621321866E-2</v>
      </c>
      <c r="H816" s="440">
        <f t="shared" si="299"/>
        <v>8.0895287476121319E-2</v>
      </c>
      <c r="I816" s="441"/>
      <c r="J816" s="440">
        <v>2.2363219126620416E-2</v>
      </c>
      <c r="K816" s="440">
        <v>6.7406405832218963E-2</v>
      </c>
      <c r="L816" s="440">
        <f t="shared" si="300"/>
        <v>8.9769624958839375E-2</v>
      </c>
      <c r="M816" s="347"/>
      <c r="N816" s="347"/>
    </row>
    <row r="817" spans="1:14" s="286" customFormat="1" x14ac:dyDescent="0.2">
      <c r="A817" s="362"/>
      <c r="B817" s="440"/>
      <c r="C817" s="440"/>
      <c r="D817" s="440"/>
      <c r="E817" s="441"/>
      <c r="F817" s="440"/>
      <c r="G817" s="440"/>
      <c r="H817" s="440"/>
      <c r="I817" s="441"/>
      <c r="J817" s="440"/>
      <c r="K817" s="440"/>
      <c r="L817" s="440"/>
      <c r="M817" s="347"/>
      <c r="N817" s="347"/>
    </row>
    <row r="818" spans="1:14" x14ac:dyDescent="0.2">
      <c r="A818" s="357" t="s">
        <v>32</v>
      </c>
      <c r="B818" s="450">
        <f>SUM(B808:B816)</f>
        <v>11.143999999907191</v>
      </c>
      <c r="C818" s="450">
        <f t="shared" ref="C818:D818" si="301">SUM(C808:C816)</f>
        <v>8.2479999999234384</v>
      </c>
      <c r="D818" s="450">
        <f t="shared" si="301"/>
        <v>19.391999999830634</v>
      </c>
      <c r="E818" s="450"/>
      <c r="F818" s="450">
        <f t="shared" ref="F818:H818" si="302">SUM(F808:F816)</f>
        <v>9.479999999982466</v>
      </c>
      <c r="G818" s="450">
        <f t="shared" si="302"/>
        <v>5.4229999999392913</v>
      </c>
      <c r="H818" s="450">
        <f t="shared" si="302"/>
        <v>14.902999999921756</v>
      </c>
      <c r="I818" s="450"/>
      <c r="J818" s="450">
        <f t="shared" ref="J818:L818" si="303">SUM(J808:J816)</f>
        <v>10.208999999942574</v>
      </c>
      <c r="K818" s="450">
        <f t="shared" si="303"/>
        <v>6.2340000000408526</v>
      </c>
      <c r="L818" s="450">
        <f t="shared" si="303"/>
        <v>16.442999999983424</v>
      </c>
      <c r="M818" s="347"/>
      <c r="N818" s="347"/>
    </row>
    <row r="819" spans="1:14" x14ac:dyDescent="0.2">
      <c r="A819" s="348"/>
      <c r="B819" s="348"/>
      <c r="C819" s="348"/>
      <c r="D819" s="348"/>
      <c r="E819" s="348"/>
      <c r="F819" s="348"/>
      <c r="G819" s="348"/>
      <c r="H819" s="348"/>
      <c r="I819" s="348"/>
      <c r="J819" s="348"/>
      <c r="K819" s="348"/>
      <c r="L819" s="353"/>
      <c r="M819" s="347"/>
      <c r="N819" s="347"/>
    </row>
    <row r="820" spans="1:14" x14ac:dyDescent="0.2">
      <c r="A820" s="348"/>
      <c r="B820" s="348"/>
      <c r="C820" s="348"/>
      <c r="D820" s="348"/>
      <c r="E820" s="348"/>
      <c r="F820" s="348"/>
      <c r="G820" s="348"/>
      <c r="H820" s="348"/>
      <c r="I820" s="348"/>
      <c r="J820" s="348"/>
      <c r="K820" s="348"/>
      <c r="L820" s="372" t="s">
        <v>35</v>
      </c>
      <c r="M820" s="347"/>
      <c r="N820" s="347"/>
    </row>
    <row r="821" spans="1:14" x14ac:dyDescent="0.2">
      <c r="A821" s="355"/>
      <c r="B821" s="365"/>
      <c r="C821" s="365"/>
      <c r="D821" s="365"/>
      <c r="E821" s="365"/>
      <c r="F821" s="365"/>
      <c r="G821" s="365"/>
      <c r="H821" s="365"/>
      <c r="I821" s="365"/>
      <c r="J821" s="365"/>
      <c r="K821" s="365"/>
      <c r="L821" s="347"/>
      <c r="M821" s="347"/>
      <c r="N821" s="347"/>
    </row>
    <row r="822" spans="1:14" x14ac:dyDescent="0.2">
      <c r="A822" s="354" t="str">
        <f>name!A51</f>
        <v>Insurance and pensions</v>
      </c>
      <c r="B822" s="517">
        <f>B$6</f>
        <v>2007</v>
      </c>
      <c r="C822" s="517"/>
      <c r="D822" s="517"/>
      <c r="E822" s="369"/>
      <c r="F822" s="517">
        <f>F$6</f>
        <v>2017</v>
      </c>
      <c r="G822" s="517"/>
      <c r="H822" s="517"/>
      <c r="I822" s="369"/>
      <c r="J822" s="517">
        <f>J$6</f>
        <v>2027</v>
      </c>
      <c r="K822" s="517"/>
      <c r="L822" s="517"/>
      <c r="M822" s="347"/>
      <c r="N822" s="347"/>
    </row>
    <row r="823" spans="1:14" x14ac:dyDescent="0.2">
      <c r="A823" s="370"/>
      <c r="B823" s="371" t="s">
        <v>387</v>
      </c>
      <c r="C823" s="371" t="s">
        <v>388</v>
      </c>
      <c r="D823" s="371" t="s">
        <v>32</v>
      </c>
      <c r="E823" s="371"/>
      <c r="F823" s="371" t="s">
        <v>387</v>
      </c>
      <c r="G823" s="371" t="s">
        <v>388</v>
      </c>
      <c r="H823" s="371" t="s">
        <v>32</v>
      </c>
      <c r="I823" s="371"/>
      <c r="J823" s="371" t="s">
        <v>387</v>
      </c>
      <c r="K823" s="371" t="s">
        <v>388</v>
      </c>
      <c r="L823" s="371" t="s">
        <v>32</v>
      </c>
      <c r="M823" s="347"/>
      <c r="N823" s="347"/>
    </row>
    <row r="824" spans="1:14" s="286" customFormat="1" x14ac:dyDescent="0.2">
      <c r="A824" s="374"/>
      <c r="B824" s="375"/>
      <c r="C824" s="375"/>
      <c r="D824" s="375"/>
      <c r="E824" s="375"/>
      <c r="F824" s="375"/>
      <c r="G824" s="375"/>
      <c r="H824" s="375"/>
      <c r="I824" s="375"/>
      <c r="J824" s="375"/>
      <c r="K824" s="375"/>
      <c r="L824" s="375"/>
      <c r="M824" s="347"/>
      <c r="N824" s="347"/>
    </row>
    <row r="825" spans="1:14" x14ac:dyDescent="0.2">
      <c r="A825" s="362" t="str">
        <f>name!E$4</f>
        <v>Managers, directors and senior officials</v>
      </c>
      <c r="B825" s="440">
        <v>9.0354914990733573E-2</v>
      </c>
      <c r="C825" s="440">
        <v>0.35178790413944361</v>
      </c>
      <c r="D825" s="440">
        <f>SUM(B825:C825)</f>
        <v>0.44214281913017717</v>
      </c>
      <c r="E825" s="441"/>
      <c r="F825" s="440">
        <v>0.15853769895136249</v>
      </c>
      <c r="G825" s="440">
        <v>0.45432628517470602</v>
      </c>
      <c r="H825" s="440">
        <f>SUM(F825:G825)</f>
        <v>0.61286398412606857</v>
      </c>
      <c r="I825" s="441"/>
      <c r="J825" s="440">
        <v>0.21152179187117767</v>
      </c>
      <c r="K825" s="440">
        <v>0.4751034185677111</v>
      </c>
      <c r="L825" s="440">
        <f>SUM(J825:K825)</f>
        <v>0.6866252104388888</v>
      </c>
      <c r="M825" s="347"/>
      <c r="N825" s="347"/>
    </row>
    <row r="826" spans="1:14" x14ac:dyDescent="0.2">
      <c r="A826" s="362" t="str">
        <f>name!E$5</f>
        <v>Professional occupations</v>
      </c>
      <c r="B826" s="440">
        <v>0.21534613104589936</v>
      </c>
      <c r="C826" s="440">
        <v>0.44425842601435533</v>
      </c>
      <c r="D826" s="440">
        <f t="shared" ref="D826:D833" si="304">SUM(B826:C826)</f>
        <v>0.65960455706025467</v>
      </c>
      <c r="E826" s="441"/>
      <c r="F826" s="440">
        <v>0.3288813493898714</v>
      </c>
      <c r="G826" s="440">
        <v>0.50064864049567182</v>
      </c>
      <c r="H826" s="440">
        <f t="shared" ref="H826:H833" si="305">SUM(F826:G826)</f>
        <v>0.82952998988554327</v>
      </c>
      <c r="I826" s="441"/>
      <c r="J826" s="440">
        <v>0.42914658521864635</v>
      </c>
      <c r="K826" s="440">
        <v>0.5684335900466998</v>
      </c>
      <c r="L826" s="440">
        <f t="shared" ref="L826:L833" si="306">SUM(J826:K826)</f>
        <v>0.99758017526534615</v>
      </c>
      <c r="M826" s="347"/>
      <c r="N826" s="347"/>
    </row>
    <row r="827" spans="1:14" x14ac:dyDescent="0.2">
      <c r="A827" s="362" t="str">
        <f>name!E$6</f>
        <v>Associate professional and technical</v>
      </c>
      <c r="B827" s="440">
        <v>0.43285987645933788</v>
      </c>
      <c r="C827" s="440">
        <v>1.0430167867781024</v>
      </c>
      <c r="D827" s="440">
        <f t="shared" si="304"/>
        <v>1.4758766632374403</v>
      </c>
      <c r="E827" s="441"/>
      <c r="F827" s="440">
        <v>0.60805053582627855</v>
      </c>
      <c r="G827" s="440">
        <v>1.3542590798644853</v>
      </c>
      <c r="H827" s="440">
        <f t="shared" si="305"/>
        <v>1.962309615690764</v>
      </c>
      <c r="I827" s="441"/>
      <c r="J827" s="440">
        <v>0.75985017013549627</v>
      </c>
      <c r="K827" s="440">
        <v>1.3565267636017049</v>
      </c>
      <c r="L827" s="440">
        <f t="shared" si="306"/>
        <v>2.1163769337372011</v>
      </c>
      <c r="M827" s="347"/>
      <c r="N827" s="347"/>
    </row>
    <row r="828" spans="1:14" x14ac:dyDescent="0.2">
      <c r="A828" s="362" t="str">
        <f>name!E$7</f>
        <v>Administrative and secretarial</v>
      </c>
      <c r="B828" s="440">
        <v>0.7239069334800774</v>
      </c>
      <c r="C828" s="440">
        <v>0.73626116849400192</v>
      </c>
      <c r="D828" s="440">
        <f t="shared" si="304"/>
        <v>1.4601681019740793</v>
      </c>
      <c r="E828" s="441"/>
      <c r="F828" s="440">
        <v>0.86111431141234174</v>
      </c>
      <c r="G828" s="440">
        <v>1.0746145628726294</v>
      </c>
      <c r="H828" s="440">
        <f t="shared" si="305"/>
        <v>1.9357288742849712</v>
      </c>
      <c r="I828" s="441"/>
      <c r="J828" s="440">
        <v>0.71905590331155034</v>
      </c>
      <c r="K828" s="440">
        <v>1.193212709128413</v>
      </c>
      <c r="L828" s="440">
        <f t="shared" si="306"/>
        <v>1.9122686124399633</v>
      </c>
      <c r="M828" s="347"/>
      <c r="N828" s="347"/>
    </row>
    <row r="829" spans="1:14" x14ac:dyDescent="0.2">
      <c r="A829" s="362" t="str">
        <f>name!E$8</f>
        <v>Skilled trades occupations</v>
      </c>
      <c r="B829" s="440">
        <v>1.3796736329395628E-2</v>
      </c>
      <c r="C829" s="440">
        <v>0.22759543797631251</v>
      </c>
      <c r="D829" s="440">
        <f t="shared" si="304"/>
        <v>0.24139217430570814</v>
      </c>
      <c r="E829" s="441"/>
      <c r="F829" s="440">
        <v>1.2718009871084223E-2</v>
      </c>
      <c r="G829" s="440">
        <v>0.32810878876559085</v>
      </c>
      <c r="H829" s="440">
        <f t="shared" si="305"/>
        <v>0.34082679863667509</v>
      </c>
      <c r="I829" s="441"/>
      <c r="J829" s="440">
        <v>1.0115632736836517E-2</v>
      </c>
      <c r="K829" s="440">
        <v>0.31709753117762601</v>
      </c>
      <c r="L829" s="440">
        <f t="shared" si="306"/>
        <v>0.32721316391446253</v>
      </c>
      <c r="M829" s="347"/>
      <c r="N829" s="347"/>
    </row>
    <row r="830" spans="1:14" x14ac:dyDescent="0.2">
      <c r="A830" s="362" t="str">
        <f>name!E$9</f>
        <v>Caring, leisure and other service</v>
      </c>
      <c r="B830" s="440">
        <v>5.2599274925298985E-2</v>
      </c>
      <c r="C830" s="440">
        <v>8.7303309314075705E-2</v>
      </c>
      <c r="D830" s="440">
        <f t="shared" si="304"/>
        <v>0.13990258423937468</v>
      </c>
      <c r="E830" s="441"/>
      <c r="F830" s="440">
        <v>7.5407540985179558E-2</v>
      </c>
      <c r="G830" s="440">
        <v>0.12869546885369801</v>
      </c>
      <c r="H830" s="440">
        <f t="shared" si="305"/>
        <v>0.20410300983887758</v>
      </c>
      <c r="I830" s="441"/>
      <c r="J830" s="440">
        <v>9.222332331426715E-2</v>
      </c>
      <c r="K830" s="440">
        <v>0.16872677853726939</v>
      </c>
      <c r="L830" s="440">
        <f t="shared" si="306"/>
        <v>0.26095010185153655</v>
      </c>
      <c r="M830" s="347"/>
      <c r="N830" s="347"/>
    </row>
    <row r="831" spans="1:14" x14ac:dyDescent="0.2">
      <c r="A831" s="362" t="str">
        <f>name!E$10</f>
        <v>Sales and customer service</v>
      </c>
      <c r="B831" s="440">
        <v>0.31075052256841856</v>
      </c>
      <c r="C831" s="440">
        <v>0.44079619834540085</v>
      </c>
      <c r="D831" s="440">
        <f t="shared" si="304"/>
        <v>0.75154672091381935</v>
      </c>
      <c r="E831" s="441"/>
      <c r="F831" s="440">
        <v>0.52585532496933418</v>
      </c>
      <c r="G831" s="440">
        <v>0.57621122580079431</v>
      </c>
      <c r="H831" s="440">
        <f t="shared" si="305"/>
        <v>1.1020665507701284</v>
      </c>
      <c r="I831" s="441"/>
      <c r="J831" s="440">
        <v>0.55896397970543221</v>
      </c>
      <c r="K831" s="440">
        <v>0.66404008140510751</v>
      </c>
      <c r="L831" s="440">
        <f t="shared" si="306"/>
        <v>1.2230040611105397</v>
      </c>
      <c r="M831" s="347"/>
      <c r="N831" s="347"/>
    </row>
    <row r="832" spans="1:14" x14ac:dyDescent="0.2">
      <c r="A832" s="362" t="str">
        <f>name!E$11</f>
        <v>Process, plant and machine operatives</v>
      </c>
      <c r="B832" s="440">
        <v>5.7798515328903706E-3</v>
      </c>
      <c r="C832" s="440">
        <v>4.4747973559923535E-2</v>
      </c>
      <c r="D832" s="440">
        <f t="shared" si="304"/>
        <v>5.0527825092813908E-2</v>
      </c>
      <c r="E832" s="441"/>
      <c r="F832" s="440">
        <v>7.4247344117582548E-3</v>
      </c>
      <c r="G832" s="440">
        <v>6.1466326518749781E-2</v>
      </c>
      <c r="H832" s="440">
        <f t="shared" si="305"/>
        <v>6.8891060930508036E-2</v>
      </c>
      <c r="I832" s="441"/>
      <c r="J832" s="440">
        <v>6.5963279609427298E-3</v>
      </c>
      <c r="K832" s="440">
        <v>6.0867138314214711E-2</v>
      </c>
      <c r="L832" s="440">
        <f t="shared" si="306"/>
        <v>6.7463466275157438E-2</v>
      </c>
      <c r="M832" s="347"/>
      <c r="N832" s="347"/>
    </row>
    <row r="833" spans="1:14" x14ac:dyDescent="0.2">
      <c r="A833" s="362" t="str">
        <f>name!E$12</f>
        <v>Elementary occupations</v>
      </c>
      <c r="B833" s="440">
        <v>5.7605758657905098E-2</v>
      </c>
      <c r="C833" s="440">
        <v>4.6232795349140078E-2</v>
      </c>
      <c r="D833" s="440">
        <f t="shared" si="304"/>
        <v>0.10383855400704517</v>
      </c>
      <c r="E833" s="441"/>
      <c r="F833" s="440">
        <v>2.9010494167853933E-2</v>
      </c>
      <c r="G833" s="440">
        <v>7.0669621607733532E-2</v>
      </c>
      <c r="H833" s="440">
        <f t="shared" si="305"/>
        <v>9.9680115775587469E-2</v>
      </c>
      <c r="I833" s="441"/>
      <c r="J833" s="440">
        <v>2.9526285719342765E-2</v>
      </c>
      <c r="K833" s="440">
        <v>7.8991989245223854E-2</v>
      </c>
      <c r="L833" s="440">
        <f t="shared" si="306"/>
        <v>0.10851827496456662</v>
      </c>
      <c r="M833" s="347"/>
      <c r="N833" s="347"/>
    </row>
    <row r="834" spans="1:14" s="286" customFormat="1" x14ac:dyDescent="0.2">
      <c r="A834" s="362"/>
      <c r="B834" s="440"/>
      <c r="C834" s="440"/>
      <c r="D834" s="440"/>
      <c r="E834" s="441"/>
      <c r="F834" s="440"/>
      <c r="G834" s="440"/>
      <c r="H834" s="440"/>
      <c r="I834" s="441"/>
      <c r="J834" s="440"/>
      <c r="K834" s="440"/>
      <c r="L834" s="440"/>
      <c r="M834" s="347"/>
      <c r="N834" s="347"/>
    </row>
    <row r="835" spans="1:14" x14ac:dyDescent="0.2">
      <c r="A835" s="357" t="s">
        <v>32</v>
      </c>
      <c r="B835" s="450">
        <f>SUM(B825:B833)</f>
        <v>1.9029999999899569</v>
      </c>
      <c r="C835" s="450">
        <f t="shared" ref="C835:D835" si="307">SUM(C825:C833)</f>
        <v>3.421999999970756</v>
      </c>
      <c r="D835" s="450">
        <f t="shared" si="307"/>
        <v>5.3249999999607125</v>
      </c>
      <c r="E835" s="450"/>
      <c r="F835" s="450">
        <f t="shared" ref="F835:H835" si="308">SUM(F825:F833)</f>
        <v>2.6069999999850642</v>
      </c>
      <c r="G835" s="450">
        <f t="shared" si="308"/>
        <v>4.5489999999540593</v>
      </c>
      <c r="H835" s="450">
        <f t="shared" si="308"/>
        <v>7.1559999999391239</v>
      </c>
      <c r="I835" s="450"/>
      <c r="J835" s="450">
        <f t="shared" ref="J835:L835" si="309">SUM(J825:J833)</f>
        <v>2.8169999999736919</v>
      </c>
      <c r="K835" s="450">
        <f t="shared" si="309"/>
        <v>4.8830000000239702</v>
      </c>
      <c r="L835" s="450">
        <f t="shared" si="309"/>
        <v>7.6999999999976634</v>
      </c>
      <c r="M835" s="347"/>
      <c r="N835" s="347"/>
    </row>
    <row r="836" spans="1:14" x14ac:dyDescent="0.2">
      <c r="A836" s="348"/>
      <c r="B836" s="348"/>
      <c r="C836" s="348"/>
      <c r="D836" s="348"/>
      <c r="E836" s="348"/>
      <c r="F836" s="348"/>
      <c r="G836" s="348"/>
      <c r="H836" s="348"/>
      <c r="I836" s="348"/>
      <c r="J836" s="348"/>
      <c r="K836" s="348"/>
      <c r="L836" s="353"/>
      <c r="M836" s="347"/>
      <c r="N836" s="347"/>
    </row>
    <row r="837" spans="1:14" x14ac:dyDescent="0.2">
      <c r="A837" s="348"/>
      <c r="B837" s="348"/>
      <c r="C837" s="348"/>
      <c r="D837" s="348"/>
      <c r="E837" s="348"/>
      <c r="F837" s="348"/>
      <c r="G837" s="348"/>
      <c r="H837" s="348"/>
      <c r="I837" s="348"/>
      <c r="J837" s="348"/>
      <c r="K837" s="348"/>
      <c r="L837" s="372" t="s">
        <v>35</v>
      </c>
      <c r="M837" s="347"/>
      <c r="N837" s="347"/>
    </row>
    <row r="838" spans="1:14" x14ac:dyDescent="0.2">
      <c r="A838" s="355"/>
      <c r="B838" s="365"/>
      <c r="C838" s="365"/>
      <c r="D838" s="365"/>
      <c r="E838" s="365"/>
      <c r="F838" s="365"/>
      <c r="G838" s="365"/>
      <c r="H838" s="365"/>
      <c r="I838" s="365"/>
      <c r="J838" s="365"/>
      <c r="K838" s="365"/>
      <c r="L838" s="347"/>
      <c r="M838" s="347"/>
      <c r="N838" s="347"/>
    </row>
    <row r="839" spans="1:14" x14ac:dyDescent="0.2">
      <c r="A839" s="354" t="str">
        <f>name!A52</f>
        <v>Auxiliary financial services</v>
      </c>
      <c r="B839" s="517">
        <f>B$6</f>
        <v>2007</v>
      </c>
      <c r="C839" s="517"/>
      <c r="D839" s="517"/>
      <c r="E839" s="369"/>
      <c r="F839" s="517">
        <f>F$6</f>
        <v>2017</v>
      </c>
      <c r="G839" s="517"/>
      <c r="H839" s="517"/>
      <c r="I839" s="369"/>
      <c r="J839" s="517">
        <f>J$6</f>
        <v>2027</v>
      </c>
      <c r="K839" s="517"/>
      <c r="L839" s="517"/>
      <c r="M839" s="347"/>
      <c r="N839" s="347"/>
    </row>
    <row r="840" spans="1:14" x14ac:dyDescent="0.2">
      <c r="A840" s="370"/>
      <c r="B840" s="371" t="s">
        <v>387</v>
      </c>
      <c r="C840" s="371" t="s">
        <v>388</v>
      </c>
      <c r="D840" s="371" t="s">
        <v>32</v>
      </c>
      <c r="E840" s="371"/>
      <c r="F840" s="371" t="s">
        <v>387</v>
      </c>
      <c r="G840" s="371" t="s">
        <v>388</v>
      </c>
      <c r="H840" s="371" t="s">
        <v>32</v>
      </c>
      <c r="I840" s="371"/>
      <c r="J840" s="371" t="s">
        <v>387</v>
      </c>
      <c r="K840" s="371" t="s">
        <v>388</v>
      </c>
      <c r="L840" s="371" t="s">
        <v>32</v>
      </c>
      <c r="M840" s="347"/>
      <c r="N840" s="347"/>
    </row>
    <row r="841" spans="1:14" s="286" customFormat="1" x14ac:dyDescent="0.2">
      <c r="A841" s="374"/>
      <c r="B841" s="375"/>
      <c r="C841" s="375"/>
      <c r="D841" s="375"/>
      <c r="E841" s="375"/>
      <c r="F841" s="375"/>
      <c r="G841" s="375"/>
      <c r="H841" s="375"/>
      <c r="I841" s="375"/>
      <c r="J841" s="375"/>
      <c r="K841" s="375"/>
      <c r="L841" s="375"/>
      <c r="M841" s="347"/>
      <c r="N841" s="347"/>
    </row>
    <row r="842" spans="1:14" x14ac:dyDescent="0.2">
      <c r="A842" s="362" t="str">
        <f>name!E$4</f>
        <v>Managers, directors and senior officials</v>
      </c>
      <c r="B842" s="440">
        <v>0.31559728377152652</v>
      </c>
      <c r="C842" s="440">
        <v>0.61680379937942886</v>
      </c>
      <c r="D842" s="440">
        <f>SUM(B842:C842)</f>
        <v>0.93240108315095538</v>
      </c>
      <c r="E842" s="441"/>
      <c r="F842" s="440">
        <v>0.37778840888473669</v>
      </c>
      <c r="G842" s="440">
        <v>0.62225091561660595</v>
      </c>
      <c r="H842" s="440">
        <f>SUM(F842:G842)</f>
        <v>1.0000393245013426</v>
      </c>
      <c r="I842" s="441"/>
      <c r="J842" s="440">
        <v>0.53313301465563512</v>
      </c>
      <c r="K842" s="440">
        <v>0.72985645767793927</v>
      </c>
      <c r="L842" s="440">
        <f>SUM(J842:K842)</f>
        <v>1.2629894723335744</v>
      </c>
      <c r="M842" s="347"/>
      <c r="N842" s="347"/>
    </row>
    <row r="843" spans="1:14" x14ac:dyDescent="0.2">
      <c r="A843" s="362" t="str">
        <f>name!E$5</f>
        <v>Professional occupations</v>
      </c>
      <c r="B843" s="440">
        <v>0.44502922735201184</v>
      </c>
      <c r="C843" s="440">
        <v>0.5815896814505761</v>
      </c>
      <c r="D843" s="440">
        <f t="shared" ref="D843:D850" si="310">SUM(B843:C843)</f>
        <v>1.0266189088025879</v>
      </c>
      <c r="E843" s="441"/>
      <c r="F843" s="440">
        <v>0.64211109612353079</v>
      </c>
      <c r="G843" s="440">
        <v>0.43036724778170637</v>
      </c>
      <c r="H843" s="440">
        <f t="shared" ref="H843:H850" si="311">SUM(F843:G843)</f>
        <v>1.0724783439052372</v>
      </c>
      <c r="I843" s="441"/>
      <c r="J843" s="440">
        <v>0.89594217127067233</v>
      </c>
      <c r="K843" s="440">
        <v>0.48916744855737215</v>
      </c>
      <c r="L843" s="440">
        <f t="shared" ref="L843:L850" si="312">SUM(J843:K843)</f>
        <v>1.3851096198280444</v>
      </c>
      <c r="M843" s="347"/>
      <c r="N843" s="347"/>
    </row>
    <row r="844" spans="1:14" x14ac:dyDescent="0.2">
      <c r="A844" s="362" t="str">
        <f>name!E$6</f>
        <v>Associate professional and technical</v>
      </c>
      <c r="B844" s="440">
        <v>1.2697538755545861</v>
      </c>
      <c r="C844" s="440">
        <v>1.2548216271910171</v>
      </c>
      <c r="D844" s="440">
        <f t="shared" si="310"/>
        <v>2.5245755027456029</v>
      </c>
      <c r="E844" s="441"/>
      <c r="F844" s="440">
        <v>1.3028710039180522</v>
      </c>
      <c r="G844" s="440">
        <v>1.2081777239166973</v>
      </c>
      <c r="H844" s="440">
        <f t="shared" si="311"/>
        <v>2.5110487278347495</v>
      </c>
      <c r="I844" s="441"/>
      <c r="J844" s="440">
        <v>1.7439164431221588</v>
      </c>
      <c r="K844" s="440">
        <v>1.3436812033882075</v>
      </c>
      <c r="L844" s="440">
        <f t="shared" si="312"/>
        <v>3.0875976465103663</v>
      </c>
      <c r="M844" s="347"/>
      <c r="N844" s="347"/>
    </row>
    <row r="845" spans="1:14" x14ac:dyDescent="0.2">
      <c r="A845" s="362" t="str">
        <f>name!E$7</f>
        <v>Administrative and secretarial</v>
      </c>
      <c r="B845" s="440">
        <v>4.4957966722078764</v>
      </c>
      <c r="C845" s="440">
        <v>1.0585959473384234</v>
      </c>
      <c r="D845" s="440">
        <f t="shared" si="310"/>
        <v>5.5543926195462996</v>
      </c>
      <c r="E845" s="441"/>
      <c r="F845" s="440">
        <v>3.3353270925017893</v>
      </c>
      <c r="G845" s="440">
        <v>0.75504764025824567</v>
      </c>
      <c r="H845" s="440">
        <f t="shared" si="311"/>
        <v>4.0903747327600346</v>
      </c>
      <c r="I845" s="441"/>
      <c r="J845" s="440">
        <v>2.9160428767081532</v>
      </c>
      <c r="K845" s="440">
        <v>0.86376476063648611</v>
      </c>
      <c r="L845" s="440">
        <f t="shared" si="312"/>
        <v>3.7798076373446392</v>
      </c>
      <c r="M845" s="347"/>
      <c r="N845" s="347"/>
    </row>
    <row r="846" spans="1:14" x14ac:dyDescent="0.2">
      <c r="A846" s="362" t="str">
        <f>name!E$8</f>
        <v>Skilled trades occupations</v>
      </c>
      <c r="B846" s="440">
        <v>8.849137694190487E-2</v>
      </c>
      <c r="C846" s="440">
        <v>0.11924525770933726</v>
      </c>
      <c r="D846" s="440">
        <f t="shared" si="310"/>
        <v>0.20773663465124215</v>
      </c>
      <c r="E846" s="441"/>
      <c r="F846" s="440">
        <v>3.2528602770417192E-2</v>
      </c>
      <c r="G846" s="440">
        <v>0.17199907159198527</v>
      </c>
      <c r="H846" s="440">
        <f t="shared" si="311"/>
        <v>0.20452767436240246</v>
      </c>
      <c r="I846" s="441"/>
      <c r="J846" s="440">
        <v>3.001866055524385E-2</v>
      </c>
      <c r="K846" s="440">
        <v>0.19993058402574423</v>
      </c>
      <c r="L846" s="440">
        <f t="shared" si="312"/>
        <v>0.22994924458098809</v>
      </c>
      <c r="M846" s="347"/>
      <c r="N846" s="347"/>
    </row>
    <row r="847" spans="1:14" x14ac:dyDescent="0.2">
      <c r="A847" s="362" t="str">
        <f>name!E$9</f>
        <v>Caring, leisure and other service</v>
      </c>
      <c r="B847" s="440">
        <v>2.061766413169033E-2</v>
      </c>
      <c r="C847" s="440">
        <v>2.2726236099507156E-2</v>
      </c>
      <c r="D847" s="440">
        <f t="shared" si="310"/>
        <v>4.3343900231197482E-2</v>
      </c>
      <c r="E847" s="441"/>
      <c r="F847" s="440">
        <v>1.365994417197253E-2</v>
      </c>
      <c r="G847" s="440">
        <v>3.189908893883852E-2</v>
      </c>
      <c r="H847" s="440">
        <f t="shared" si="311"/>
        <v>4.5559033110811054E-2</v>
      </c>
      <c r="I847" s="441"/>
      <c r="J847" s="440">
        <v>1.5718000489639266E-2</v>
      </c>
      <c r="K847" s="440">
        <v>3.8798605514785638E-2</v>
      </c>
      <c r="L847" s="440">
        <f t="shared" si="312"/>
        <v>5.45166060044249E-2</v>
      </c>
      <c r="M847" s="347"/>
      <c r="N847" s="347"/>
    </row>
    <row r="848" spans="1:14" x14ac:dyDescent="0.2">
      <c r="A848" s="362" t="str">
        <f>name!E$10</f>
        <v>Sales and customer service</v>
      </c>
      <c r="B848" s="440">
        <v>1.1563900282720108</v>
      </c>
      <c r="C848" s="440">
        <v>0.56027409356268254</v>
      </c>
      <c r="D848" s="440">
        <f t="shared" si="310"/>
        <v>1.7166641218346932</v>
      </c>
      <c r="E848" s="441"/>
      <c r="F848" s="440">
        <v>0.59526313713061807</v>
      </c>
      <c r="G848" s="440">
        <v>0.29079154729616702</v>
      </c>
      <c r="H848" s="440">
        <f t="shared" si="311"/>
        <v>0.88605468442678514</v>
      </c>
      <c r="I848" s="441"/>
      <c r="J848" s="440">
        <v>0.67612079412212966</v>
      </c>
      <c r="K848" s="440">
        <v>0.37534199217455366</v>
      </c>
      <c r="L848" s="440">
        <f t="shared" si="312"/>
        <v>1.0514627862966832</v>
      </c>
      <c r="M848" s="347"/>
      <c r="N848" s="347"/>
    </row>
    <row r="849" spans="1:14" x14ac:dyDescent="0.2">
      <c r="A849" s="362" t="str">
        <f>name!E$11</f>
        <v>Process, plant and machine operatives</v>
      </c>
      <c r="B849" s="440">
        <v>1.6776604535412992E-2</v>
      </c>
      <c r="C849" s="440">
        <v>0.13212321449487016</v>
      </c>
      <c r="D849" s="440">
        <f t="shared" si="310"/>
        <v>0.14889981903028315</v>
      </c>
      <c r="E849" s="441"/>
      <c r="F849" s="440">
        <v>1.286267899975601E-2</v>
      </c>
      <c r="G849" s="440">
        <v>0.15925941269840543</v>
      </c>
      <c r="H849" s="440">
        <f t="shared" si="311"/>
        <v>0.17212209169816145</v>
      </c>
      <c r="I849" s="441"/>
      <c r="J849" s="440">
        <v>1.2902307308088523E-2</v>
      </c>
      <c r="K849" s="440">
        <v>0.17529893096690277</v>
      </c>
      <c r="L849" s="440">
        <f t="shared" si="312"/>
        <v>0.1882012382749913</v>
      </c>
      <c r="M849" s="347"/>
      <c r="N849" s="347"/>
    </row>
    <row r="850" spans="1:14" x14ac:dyDescent="0.2">
      <c r="A850" s="362" t="str">
        <f>name!E$12</f>
        <v>Elementary occupations</v>
      </c>
      <c r="B850" s="440">
        <v>0.14754726715201302</v>
      </c>
      <c r="C850" s="440">
        <v>6.6820142737794574E-2</v>
      </c>
      <c r="D850" s="440">
        <f t="shared" si="310"/>
        <v>0.2143674098898076</v>
      </c>
      <c r="E850" s="441"/>
      <c r="F850" s="440">
        <v>6.4588035456267789E-2</v>
      </c>
      <c r="G850" s="440">
        <v>0.11420735186985977</v>
      </c>
      <c r="H850" s="440">
        <f t="shared" si="311"/>
        <v>0.17879538732612754</v>
      </c>
      <c r="I850" s="441"/>
      <c r="J850" s="440">
        <v>6.7205731688217238E-2</v>
      </c>
      <c r="K850" s="440">
        <v>0.13616001706916361</v>
      </c>
      <c r="L850" s="440">
        <f t="shared" si="312"/>
        <v>0.20336574875738084</v>
      </c>
      <c r="M850" s="347"/>
      <c r="N850" s="347"/>
    </row>
    <row r="851" spans="1:14" s="286" customFormat="1" x14ac:dyDescent="0.2">
      <c r="A851" s="362"/>
      <c r="B851" s="440"/>
      <c r="C851" s="440"/>
      <c r="D851" s="440"/>
      <c r="E851" s="441"/>
      <c r="F851" s="440"/>
      <c r="G851" s="440"/>
      <c r="H851" s="440"/>
      <c r="I851" s="441"/>
      <c r="J851" s="440"/>
      <c r="K851" s="440"/>
      <c r="L851" s="440"/>
      <c r="M851" s="347"/>
      <c r="N851" s="347"/>
    </row>
    <row r="852" spans="1:14" x14ac:dyDescent="0.2">
      <c r="A852" s="357" t="s">
        <v>32</v>
      </c>
      <c r="B852" s="450">
        <f>SUM(B842:B850)</f>
        <v>7.9559999999190323</v>
      </c>
      <c r="C852" s="450">
        <f t="shared" ref="C852:D852" si="313">SUM(C842:C850)</f>
        <v>4.4129999999636373</v>
      </c>
      <c r="D852" s="450">
        <f t="shared" si="313"/>
        <v>12.368999999882671</v>
      </c>
      <c r="E852" s="450"/>
      <c r="F852" s="450">
        <f t="shared" ref="F852:H852" si="314">SUM(F842:F850)</f>
        <v>6.3769999999571398</v>
      </c>
      <c r="G852" s="450">
        <f t="shared" si="314"/>
        <v>3.7839999999685117</v>
      </c>
      <c r="H852" s="450">
        <f t="shared" si="314"/>
        <v>10.160999999925652</v>
      </c>
      <c r="I852" s="450"/>
      <c r="J852" s="450">
        <f t="shared" ref="J852:L852" si="315">SUM(J842:J850)</f>
        <v>6.8909999999199378</v>
      </c>
      <c r="K852" s="450">
        <f t="shared" si="315"/>
        <v>4.3520000000111541</v>
      </c>
      <c r="L852" s="450">
        <f t="shared" si="315"/>
        <v>11.242999999931094</v>
      </c>
      <c r="M852" s="347"/>
      <c r="N852" s="347"/>
    </row>
    <row r="853" spans="1:14" x14ac:dyDescent="0.2">
      <c r="A853" s="348"/>
      <c r="B853" s="348"/>
      <c r="C853" s="348"/>
      <c r="D853" s="348"/>
      <c r="E853" s="348"/>
      <c r="F853" s="348"/>
      <c r="G853" s="348"/>
      <c r="H853" s="348"/>
      <c r="I853" s="348"/>
      <c r="J853" s="348"/>
      <c r="K853" s="348"/>
      <c r="L853" s="353"/>
      <c r="M853" s="347"/>
      <c r="N853" s="347"/>
    </row>
    <row r="854" spans="1:14" x14ac:dyDescent="0.2">
      <c r="A854" s="348"/>
      <c r="B854" s="348"/>
      <c r="C854" s="348"/>
      <c r="D854" s="348"/>
      <c r="E854" s="348"/>
      <c r="F854" s="348"/>
      <c r="G854" s="348"/>
      <c r="H854" s="348"/>
      <c r="I854" s="348"/>
      <c r="J854" s="348"/>
      <c r="K854" s="348"/>
      <c r="L854" s="372" t="s">
        <v>35</v>
      </c>
      <c r="M854" s="347"/>
      <c r="N854" s="347"/>
    </row>
    <row r="855" spans="1:14" x14ac:dyDescent="0.2">
      <c r="A855" s="355"/>
      <c r="B855" s="365"/>
      <c r="C855" s="365"/>
      <c r="D855" s="365"/>
      <c r="E855" s="365"/>
      <c r="F855" s="365"/>
      <c r="G855" s="365"/>
      <c r="H855" s="365"/>
      <c r="I855" s="365"/>
      <c r="J855" s="365"/>
      <c r="K855" s="365"/>
      <c r="L855" s="347"/>
      <c r="M855" s="347"/>
      <c r="N855" s="347"/>
    </row>
    <row r="856" spans="1:14" x14ac:dyDescent="0.2">
      <c r="A856" s="354" t="str">
        <f>name!A53</f>
        <v>Real estate</v>
      </c>
      <c r="B856" s="517">
        <f>B$6</f>
        <v>2007</v>
      </c>
      <c r="C856" s="517"/>
      <c r="D856" s="517"/>
      <c r="E856" s="369"/>
      <c r="F856" s="517">
        <f>F$6</f>
        <v>2017</v>
      </c>
      <c r="G856" s="517"/>
      <c r="H856" s="517"/>
      <c r="I856" s="369"/>
      <c r="J856" s="517">
        <f>J$6</f>
        <v>2027</v>
      </c>
      <c r="K856" s="517"/>
      <c r="L856" s="517"/>
      <c r="M856" s="347"/>
      <c r="N856" s="347"/>
    </row>
    <row r="857" spans="1:14" x14ac:dyDescent="0.2">
      <c r="A857" s="370"/>
      <c r="B857" s="371" t="s">
        <v>387</v>
      </c>
      <c r="C857" s="371" t="s">
        <v>388</v>
      </c>
      <c r="D857" s="371" t="s">
        <v>32</v>
      </c>
      <c r="E857" s="371"/>
      <c r="F857" s="371" t="s">
        <v>387</v>
      </c>
      <c r="G857" s="371" t="s">
        <v>388</v>
      </c>
      <c r="H857" s="371" t="s">
        <v>32</v>
      </c>
      <c r="I857" s="371"/>
      <c r="J857" s="371" t="s">
        <v>387</v>
      </c>
      <c r="K857" s="371" t="s">
        <v>388</v>
      </c>
      <c r="L857" s="371" t="s">
        <v>32</v>
      </c>
      <c r="M857" s="347"/>
      <c r="N857" s="347"/>
    </row>
    <row r="858" spans="1:14" s="286" customFormat="1" x14ac:dyDescent="0.2">
      <c r="A858" s="374"/>
      <c r="B858" s="375"/>
      <c r="C858" s="375"/>
      <c r="D858" s="375"/>
      <c r="E858" s="375"/>
      <c r="F858" s="375"/>
      <c r="G858" s="375"/>
      <c r="H858" s="375"/>
      <c r="I858" s="375"/>
      <c r="J858" s="375"/>
      <c r="K858" s="375"/>
      <c r="L858" s="375"/>
      <c r="M858" s="347"/>
      <c r="N858" s="347"/>
    </row>
    <row r="859" spans="1:14" x14ac:dyDescent="0.2">
      <c r="A859" s="362" t="str">
        <f>name!E$4</f>
        <v>Managers, directors and senior officials</v>
      </c>
      <c r="B859" s="440">
        <v>1.1864115084739628</v>
      </c>
      <c r="C859" s="440">
        <v>1.3458179968470263</v>
      </c>
      <c r="D859" s="440">
        <f>SUM(B859:C859)</f>
        <v>2.5322295053209891</v>
      </c>
      <c r="E859" s="441"/>
      <c r="F859" s="440">
        <v>2.3821567097626692</v>
      </c>
      <c r="G859" s="440">
        <v>1.9758781178384466</v>
      </c>
      <c r="H859" s="440">
        <f>SUM(F859:G859)</f>
        <v>4.3580348276011156</v>
      </c>
      <c r="I859" s="441"/>
      <c r="J859" s="440">
        <v>2.9090984193545428</v>
      </c>
      <c r="K859" s="440">
        <v>2.3322426102721474</v>
      </c>
      <c r="L859" s="440">
        <f>SUM(J859:K859)</f>
        <v>5.2413410296266907</v>
      </c>
      <c r="M859" s="347"/>
      <c r="N859" s="347"/>
    </row>
    <row r="860" spans="1:14" x14ac:dyDescent="0.2">
      <c r="A860" s="362" t="str">
        <f>name!E$5</f>
        <v>Professional occupations</v>
      </c>
      <c r="B860" s="440">
        <v>0.75846990444176798</v>
      </c>
      <c r="C860" s="440">
        <v>0.89913248058345996</v>
      </c>
      <c r="D860" s="440">
        <f t="shared" ref="D860:D867" si="316">SUM(B860:C860)</f>
        <v>1.6576023850252279</v>
      </c>
      <c r="E860" s="441"/>
      <c r="F860" s="440">
        <v>1.3070280161747223</v>
      </c>
      <c r="G860" s="440">
        <v>0.92935310606614763</v>
      </c>
      <c r="H860" s="440">
        <f t="shared" ref="H860:H867" si="317">SUM(F860:G860)</f>
        <v>2.23638112224087</v>
      </c>
      <c r="I860" s="441"/>
      <c r="J860" s="440">
        <v>1.6271213824054027</v>
      </c>
      <c r="K860" s="440">
        <v>1.0153998667703286</v>
      </c>
      <c r="L860" s="440">
        <f t="shared" ref="L860:L867" si="318">SUM(J860:K860)</f>
        <v>2.6425212491757311</v>
      </c>
      <c r="M860" s="347"/>
      <c r="N860" s="347"/>
    </row>
    <row r="861" spans="1:14" x14ac:dyDescent="0.2">
      <c r="A861" s="362" t="str">
        <f>name!E$6</f>
        <v>Associate professional and technical</v>
      </c>
      <c r="B861" s="440">
        <v>0.72428804136411828</v>
      </c>
      <c r="C861" s="440">
        <v>1.0532557781607894</v>
      </c>
      <c r="D861" s="440">
        <f t="shared" si="316"/>
        <v>1.7775438195249076</v>
      </c>
      <c r="E861" s="441"/>
      <c r="F861" s="440">
        <v>1.6897418265767701</v>
      </c>
      <c r="G861" s="440">
        <v>1.4077883288253419</v>
      </c>
      <c r="H861" s="440">
        <f t="shared" si="317"/>
        <v>3.097530155402112</v>
      </c>
      <c r="I861" s="441"/>
      <c r="J861" s="440">
        <v>2.1217696061765525</v>
      </c>
      <c r="K861" s="440">
        <v>1.5789370165351579</v>
      </c>
      <c r="L861" s="440">
        <f t="shared" si="318"/>
        <v>3.7007066227117105</v>
      </c>
      <c r="M861" s="347"/>
      <c r="N861" s="347"/>
    </row>
    <row r="862" spans="1:14" x14ac:dyDescent="0.2">
      <c r="A862" s="362" t="str">
        <f>name!E$7</f>
        <v>Administrative and secretarial</v>
      </c>
      <c r="B862" s="440">
        <v>2.4327241244787126</v>
      </c>
      <c r="C862" s="440">
        <v>1.11277265605611</v>
      </c>
      <c r="D862" s="440">
        <f t="shared" si="316"/>
        <v>3.5454967805348225</v>
      </c>
      <c r="E862" s="441"/>
      <c r="F862" s="440">
        <v>4.368178916979832</v>
      </c>
      <c r="G862" s="440">
        <v>1.1321193601284141</v>
      </c>
      <c r="H862" s="440">
        <f t="shared" si="317"/>
        <v>5.5002982771082465</v>
      </c>
      <c r="I862" s="441"/>
      <c r="J862" s="440">
        <v>3.4095830988458435</v>
      </c>
      <c r="K862" s="440">
        <v>1.3187452246479621</v>
      </c>
      <c r="L862" s="440">
        <f t="shared" si="318"/>
        <v>4.7283283234938054</v>
      </c>
      <c r="M862" s="347"/>
      <c r="N862" s="347"/>
    </row>
    <row r="863" spans="1:14" x14ac:dyDescent="0.2">
      <c r="A863" s="362" t="str">
        <f>name!E$8</f>
        <v>Skilled trades occupations</v>
      </c>
      <c r="B863" s="440">
        <v>0.19825479991642675</v>
      </c>
      <c r="C863" s="440">
        <v>0.68335423602048284</v>
      </c>
      <c r="D863" s="440">
        <f t="shared" si="316"/>
        <v>0.88160903593690954</v>
      </c>
      <c r="E863" s="441"/>
      <c r="F863" s="440">
        <v>0.44627831271118529</v>
      </c>
      <c r="G863" s="440">
        <v>1.0626757979890422</v>
      </c>
      <c r="H863" s="440">
        <f t="shared" si="317"/>
        <v>1.5089541107002276</v>
      </c>
      <c r="I863" s="441"/>
      <c r="J863" s="440">
        <v>0.75158922283005203</v>
      </c>
      <c r="K863" s="440">
        <v>1.1459478371047847</v>
      </c>
      <c r="L863" s="440">
        <f t="shared" si="318"/>
        <v>1.8975370599348367</v>
      </c>
      <c r="M863" s="347"/>
      <c r="N863" s="347"/>
    </row>
    <row r="864" spans="1:14" x14ac:dyDescent="0.2">
      <c r="A864" s="362" t="str">
        <f>name!E$9</f>
        <v>Caring, leisure and other service</v>
      </c>
      <c r="B864" s="440">
        <v>0.33437574503417117</v>
      </c>
      <c r="C864" s="440">
        <v>0.37312398539974523</v>
      </c>
      <c r="D864" s="440">
        <f t="shared" si="316"/>
        <v>0.70749973043391634</v>
      </c>
      <c r="E864" s="441"/>
      <c r="F864" s="440">
        <v>0.47441024546261679</v>
      </c>
      <c r="G864" s="440">
        <v>0.36131494753510468</v>
      </c>
      <c r="H864" s="440">
        <f t="shared" si="317"/>
        <v>0.83572519299772141</v>
      </c>
      <c r="I864" s="441"/>
      <c r="J864" s="440">
        <v>0.60131852027258093</v>
      </c>
      <c r="K864" s="440">
        <v>0.40928521882154334</v>
      </c>
      <c r="L864" s="440">
        <f t="shared" si="318"/>
        <v>1.0106037390941243</v>
      </c>
      <c r="M864" s="347"/>
      <c r="N864" s="347"/>
    </row>
    <row r="865" spans="1:14" x14ac:dyDescent="0.2">
      <c r="A865" s="362" t="str">
        <f>name!E$10</f>
        <v>Sales and customer service</v>
      </c>
      <c r="B865" s="440">
        <v>0.93532401861418668</v>
      </c>
      <c r="C865" s="440">
        <v>0.50090199299525939</v>
      </c>
      <c r="D865" s="440">
        <f t="shared" si="316"/>
        <v>1.4362260116094461</v>
      </c>
      <c r="E865" s="441"/>
      <c r="F865" s="440">
        <v>2.1740509841974593</v>
      </c>
      <c r="G865" s="440">
        <v>1.0320772034547196</v>
      </c>
      <c r="H865" s="440">
        <f t="shared" si="317"/>
        <v>3.2061281876521788</v>
      </c>
      <c r="I865" s="441"/>
      <c r="J865" s="440">
        <v>2.2240908037870941</v>
      </c>
      <c r="K865" s="440">
        <v>1.0982863125287501</v>
      </c>
      <c r="L865" s="440">
        <f t="shared" si="318"/>
        <v>3.3223771163158444</v>
      </c>
      <c r="M865" s="347"/>
      <c r="N865" s="347"/>
    </row>
    <row r="866" spans="1:14" x14ac:dyDescent="0.2">
      <c r="A866" s="362" t="str">
        <f>name!E$11</f>
        <v>Process, plant and machine operatives</v>
      </c>
      <c r="B866" s="440">
        <v>7.6539438447788622E-3</v>
      </c>
      <c r="C866" s="440">
        <v>0.15909918895086697</v>
      </c>
      <c r="D866" s="440">
        <f t="shared" si="316"/>
        <v>0.16675313279564583</v>
      </c>
      <c r="E866" s="441"/>
      <c r="F866" s="440">
        <v>1.7736199299211271E-2</v>
      </c>
      <c r="G866" s="440">
        <v>0.38091990791910663</v>
      </c>
      <c r="H866" s="440">
        <f t="shared" si="317"/>
        <v>0.3986561072183179</v>
      </c>
      <c r="I866" s="441"/>
      <c r="J866" s="440">
        <v>1.9005499052620393E-2</v>
      </c>
      <c r="K866" s="440">
        <v>0.40574402230900281</v>
      </c>
      <c r="L866" s="440">
        <f t="shared" si="318"/>
        <v>0.42474952136162319</v>
      </c>
      <c r="M866" s="347"/>
      <c r="N866" s="347"/>
    </row>
    <row r="867" spans="1:14" x14ac:dyDescent="0.2">
      <c r="A867" s="362" t="str">
        <f>name!E$12</f>
        <v>Elementary occupations</v>
      </c>
      <c r="B867" s="440">
        <v>0.24849791382673167</v>
      </c>
      <c r="C867" s="440">
        <v>0.49854168496199258</v>
      </c>
      <c r="D867" s="440">
        <f t="shared" si="316"/>
        <v>0.74703959878872428</v>
      </c>
      <c r="E867" s="441"/>
      <c r="F867" s="440">
        <v>0.56241878889162822</v>
      </c>
      <c r="G867" s="440">
        <v>0.60887323019482187</v>
      </c>
      <c r="H867" s="440">
        <f t="shared" si="317"/>
        <v>1.17129201908645</v>
      </c>
      <c r="I867" s="441"/>
      <c r="J867" s="440">
        <v>0.59642344732873565</v>
      </c>
      <c r="K867" s="440">
        <v>0.68041189101398381</v>
      </c>
      <c r="L867" s="440">
        <f t="shared" si="318"/>
        <v>1.2768353383427193</v>
      </c>
      <c r="M867" s="347"/>
      <c r="N867" s="347"/>
    </row>
    <row r="868" spans="1:14" s="286" customFormat="1" x14ac:dyDescent="0.2">
      <c r="A868" s="362"/>
      <c r="B868" s="440"/>
      <c r="C868" s="440"/>
      <c r="D868" s="440"/>
      <c r="E868" s="441"/>
      <c r="F868" s="440"/>
      <c r="G868" s="440"/>
      <c r="H868" s="440"/>
      <c r="I868" s="441"/>
      <c r="J868" s="440"/>
      <c r="K868" s="440"/>
      <c r="L868" s="440"/>
      <c r="M868" s="347"/>
      <c r="N868" s="347"/>
    </row>
    <row r="869" spans="1:14" x14ac:dyDescent="0.2">
      <c r="A869" s="357" t="s">
        <v>32</v>
      </c>
      <c r="B869" s="450">
        <f>SUM(B859:B867)</f>
        <v>6.8259999999948571</v>
      </c>
      <c r="C869" s="450">
        <f t="shared" ref="C869:D869" si="319">SUM(C859:C867)</f>
        <v>6.6259999999757317</v>
      </c>
      <c r="D869" s="450">
        <f t="shared" si="319"/>
        <v>13.451999999970589</v>
      </c>
      <c r="E869" s="450"/>
      <c r="F869" s="450">
        <f t="shared" ref="F869:H869" si="320">SUM(F859:F867)</f>
        <v>13.422000000056093</v>
      </c>
      <c r="G869" s="450">
        <f t="shared" si="320"/>
        <v>8.8909999999511466</v>
      </c>
      <c r="H869" s="450">
        <f t="shared" si="320"/>
        <v>22.313000000007243</v>
      </c>
      <c r="I869" s="450"/>
      <c r="J869" s="450">
        <f t="shared" ref="J869:L869" si="321">SUM(J859:J867)</f>
        <v>14.260000000053424</v>
      </c>
      <c r="K869" s="450">
        <f t="shared" si="321"/>
        <v>9.9850000000036623</v>
      </c>
      <c r="L869" s="450">
        <f t="shared" si="321"/>
        <v>24.24500000005709</v>
      </c>
      <c r="M869" s="347"/>
      <c r="N869" s="347"/>
    </row>
    <row r="870" spans="1:14" x14ac:dyDescent="0.2">
      <c r="A870" s="348"/>
      <c r="B870" s="348"/>
      <c r="C870" s="348"/>
      <c r="D870" s="348"/>
      <c r="E870" s="348"/>
      <c r="F870" s="348"/>
      <c r="G870" s="348"/>
      <c r="H870" s="348"/>
      <c r="I870" s="348"/>
      <c r="J870" s="348"/>
      <c r="K870" s="348"/>
      <c r="L870" s="353"/>
      <c r="M870" s="347"/>
      <c r="N870" s="347"/>
    </row>
    <row r="871" spans="1:14" x14ac:dyDescent="0.2">
      <c r="A871" s="348"/>
      <c r="B871" s="348"/>
      <c r="C871" s="348"/>
      <c r="D871" s="348"/>
      <c r="E871" s="348"/>
      <c r="F871" s="348"/>
      <c r="G871" s="348"/>
      <c r="H871" s="348"/>
      <c r="I871" s="348"/>
      <c r="J871" s="348"/>
      <c r="K871" s="348"/>
      <c r="L871" s="372" t="s">
        <v>35</v>
      </c>
      <c r="M871" s="347"/>
      <c r="N871" s="347"/>
    </row>
    <row r="872" spans="1:14" x14ac:dyDescent="0.2">
      <c r="A872" s="355"/>
      <c r="B872" s="365"/>
      <c r="C872" s="365"/>
      <c r="D872" s="365"/>
      <c r="E872" s="365"/>
      <c r="F872" s="365"/>
      <c r="G872" s="365"/>
      <c r="H872" s="365"/>
      <c r="I872" s="365"/>
      <c r="J872" s="365"/>
      <c r="K872" s="365"/>
      <c r="L872" s="347"/>
      <c r="M872" s="347"/>
      <c r="N872" s="347"/>
    </row>
    <row r="873" spans="1:14" x14ac:dyDescent="0.2">
      <c r="A873" s="354" t="str">
        <f>name!A54</f>
        <v>Legal and accounting</v>
      </c>
      <c r="B873" s="517">
        <f>B$6</f>
        <v>2007</v>
      </c>
      <c r="C873" s="517"/>
      <c r="D873" s="517"/>
      <c r="E873" s="369"/>
      <c r="F873" s="517">
        <f>F$6</f>
        <v>2017</v>
      </c>
      <c r="G873" s="517"/>
      <c r="H873" s="517"/>
      <c r="I873" s="369"/>
      <c r="J873" s="517">
        <f>J$6</f>
        <v>2027</v>
      </c>
      <c r="K873" s="517"/>
      <c r="L873" s="517"/>
      <c r="M873" s="347"/>
      <c r="N873" s="347"/>
    </row>
    <row r="874" spans="1:14" x14ac:dyDescent="0.2">
      <c r="A874" s="370"/>
      <c r="B874" s="371" t="s">
        <v>387</v>
      </c>
      <c r="C874" s="371" t="s">
        <v>388</v>
      </c>
      <c r="D874" s="371" t="s">
        <v>32</v>
      </c>
      <c r="E874" s="371"/>
      <c r="F874" s="371" t="s">
        <v>387</v>
      </c>
      <c r="G874" s="371" t="s">
        <v>388</v>
      </c>
      <c r="H874" s="371" t="s">
        <v>32</v>
      </c>
      <c r="I874" s="371"/>
      <c r="J874" s="371" t="s">
        <v>387</v>
      </c>
      <c r="K874" s="371" t="s">
        <v>388</v>
      </c>
      <c r="L874" s="371" t="s">
        <v>32</v>
      </c>
      <c r="M874" s="347"/>
      <c r="N874" s="347"/>
    </row>
    <row r="875" spans="1:14" s="286" customFormat="1" x14ac:dyDescent="0.2">
      <c r="A875" s="374"/>
      <c r="B875" s="375"/>
      <c r="C875" s="375"/>
      <c r="D875" s="375"/>
      <c r="E875" s="375"/>
      <c r="F875" s="375"/>
      <c r="G875" s="375"/>
      <c r="H875" s="375"/>
      <c r="I875" s="375"/>
      <c r="J875" s="375"/>
      <c r="K875" s="375"/>
      <c r="L875" s="375"/>
      <c r="M875" s="347"/>
      <c r="N875" s="347"/>
    </row>
    <row r="876" spans="1:14" x14ac:dyDescent="0.2">
      <c r="A876" s="362" t="str">
        <f>name!E$4</f>
        <v>Managers, directors and senior officials</v>
      </c>
      <c r="B876" s="440">
        <v>0.56492772547978132</v>
      </c>
      <c r="C876" s="440">
        <v>1.8258909882942524</v>
      </c>
      <c r="D876" s="440">
        <f>SUM(B876:C876)</f>
        <v>2.390818713774034</v>
      </c>
      <c r="E876" s="441"/>
      <c r="F876" s="440">
        <v>0.96558807697168025</v>
      </c>
      <c r="G876" s="440">
        <v>1.0085667267319189</v>
      </c>
      <c r="H876" s="440">
        <f>SUM(F876:G876)</f>
        <v>1.9741548037035992</v>
      </c>
      <c r="I876" s="441"/>
      <c r="J876" s="440">
        <v>1.1790214327036326</v>
      </c>
      <c r="K876" s="440">
        <v>1.1021855371712868</v>
      </c>
      <c r="L876" s="440">
        <f>SUM(J876:K876)</f>
        <v>2.2812069698749191</v>
      </c>
      <c r="M876" s="347"/>
      <c r="N876" s="347"/>
    </row>
    <row r="877" spans="1:14" x14ac:dyDescent="0.2">
      <c r="A877" s="362" t="str">
        <f>name!E$5</f>
        <v>Professional occupations</v>
      </c>
      <c r="B877" s="440">
        <v>1.9072240647874992</v>
      </c>
      <c r="C877" s="440">
        <v>4.4237755619683359</v>
      </c>
      <c r="D877" s="440">
        <f t="shared" ref="D877:D884" si="322">SUM(B877:C877)</f>
        <v>6.3309996267558351</v>
      </c>
      <c r="E877" s="441"/>
      <c r="F877" s="440">
        <v>2.971006340826297</v>
      </c>
      <c r="G877" s="440">
        <v>1.9274515732988193</v>
      </c>
      <c r="H877" s="440">
        <f t="shared" ref="H877:H884" si="323">SUM(F877:G877)</f>
        <v>4.8984579141251166</v>
      </c>
      <c r="I877" s="441"/>
      <c r="J877" s="440">
        <v>3.642325096791863</v>
      </c>
      <c r="K877" s="440">
        <v>1.8713044437798347</v>
      </c>
      <c r="L877" s="440">
        <f t="shared" ref="L877:L884" si="324">SUM(J877:K877)</f>
        <v>5.5136295405716975</v>
      </c>
      <c r="M877" s="347"/>
      <c r="N877" s="347"/>
    </row>
    <row r="878" spans="1:14" x14ac:dyDescent="0.2">
      <c r="A878" s="362" t="str">
        <f>name!E$6</f>
        <v>Associate professional and technical</v>
      </c>
      <c r="B878" s="440">
        <v>1.5209206703106</v>
      </c>
      <c r="C878" s="440">
        <v>2.8936024801637319</v>
      </c>
      <c r="D878" s="440">
        <f t="shared" si="322"/>
        <v>4.4145231504743316</v>
      </c>
      <c r="E878" s="441"/>
      <c r="F878" s="440">
        <v>2.5164830360485815</v>
      </c>
      <c r="G878" s="440">
        <v>1.4136653170445677</v>
      </c>
      <c r="H878" s="440">
        <f t="shared" si="323"/>
        <v>3.9301483530931494</v>
      </c>
      <c r="I878" s="441"/>
      <c r="J878" s="440">
        <v>2.9484482119525257</v>
      </c>
      <c r="K878" s="440">
        <v>1.4660787359627288</v>
      </c>
      <c r="L878" s="440">
        <f t="shared" si="324"/>
        <v>4.4145269479152542</v>
      </c>
      <c r="M878" s="347"/>
      <c r="N878" s="347"/>
    </row>
    <row r="879" spans="1:14" x14ac:dyDescent="0.2">
      <c r="A879" s="362" t="str">
        <f>name!E$7</f>
        <v>Administrative and secretarial</v>
      </c>
      <c r="B879" s="440">
        <v>6.3671347927165662</v>
      </c>
      <c r="C879" s="440">
        <v>2.0743422768773288</v>
      </c>
      <c r="D879" s="440">
        <f t="shared" si="322"/>
        <v>8.4414770695938941</v>
      </c>
      <c r="E879" s="441"/>
      <c r="F879" s="440">
        <v>6.7413552967267112</v>
      </c>
      <c r="G879" s="440">
        <v>1.1963499557959401</v>
      </c>
      <c r="H879" s="440">
        <f t="shared" si="323"/>
        <v>7.937705252522651</v>
      </c>
      <c r="I879" s="441"/>
      <c r="J879" s="440">
        <v>4.9587016032828828</v>
      </c>
      <c r="K879" s="440">
        <v>1.3136700642308052</v>
      </c>
      <c r="L879" s="440">
        <f t="shared" si="324"/>
        <v>6.2723716675136885</v>
      </c>
      <c r="M879" s="347"/>
      <c r="N879" s="347"/>
    </row>
    <row r="880" spans="1:14" x14ac:dyDescent="0.2">
      <c r="A880" s="362" t="str">
        <f>name!E$8</f>
        <v>Skilled trades occupations</v>
      </c>
      <c r="B880" s="440">
        <v>8.0102466147715892E-2</v>
      </c>
      <c r="C880" s="440">
        <v>0.60552569170946069</v>
      </c>
      <c r="D880" s="440">
        <f t="shared" si="322"/>
        <v>0.68562815785717657</v>
      </c>
      <c r="E880" s="441"/>
      <c r="F880" s="440">
        <v>8.2787718332920687E-2</v>
      </c>
      <c r="G880" s="440">
        <v>0.33875624723594588</v>
      </c>
      <c r="H880" s="440">
        <f t="shared" si="323"/>
        <v>0.42154396556886659</v>
      </c>
      <c r="I880" s="441"/>
      <c r="J880" s="440">
        <v>8.9528928855110712E-2</v>
      </c>
      <c r="K880" s="440">
        <v>0.30493534911200815</v>
      </c>
      <c r="L880" s="440">
        <f t="shared" si="324"/>
        <v>0.39446427796711886</v>
      </c>
      <c r="M880" s="347"/>
      <c r="N880" s="347"/>
    </row>
    <row r="881" spans="1:14" x14ac:dyDescent="0.2">
      <c r="A881" s="362" t="str">
        <f>name!E$9</f>
        <v>Caring, leisure and other service</v>
      </c>
      <c r="B881" s="440">
        <v>3.0692419514898775E-2</v>
      </c>
      <c r="C881" s="440">
        <v>0.11683040055420819</v>
      </c>
      <c r="D881" s="440">
        <f t="shared" si="322"/>
        <v>0.14752282006910697</v>
      </c>
      <c r="E881" s="441"/>
      <c r="F881" s="440">
        <v>6.4246752394786971E-2</v>
      </c>
      <c r="G881" s="440">
        <v>5.9876658724444254E-2</v>
      </c>
      <c r="H881" s="440">
        <f t="shared" si="323"/>
        <v>0.12412341111923123</v>
      </c>
      <c r="I881" s="441"/>
      <c r="J881" s="440">
        <v>6.6910807064396324E-2</v>
      </c>
      <c r="K881" s="440">
        <v>6.5375431782812091E-2</v>
      </c>
      <c r="L881" s="440">
        <f t="shared" si="324"/>
        <v>0.13228623884720841</v>
      </c>
      <c r="M881" s="347"/>
      <c r="N881" s="347"/>
    </row>
    <row r="882" spans="1:14" x14ac:dyDescent="0.2">
      <c r="A882" s="362" t="str">
        <f>name!E$10</f>
        <v>Sales and customer service</v>
      </c>
      <c r="B882" s="440">
        <v>0.37329289067958837</v>
      </c>
      <c r="C882" s="440">
        <v>0.38081882956840696</v>
      </c>
      <c r="D882" s="440">
        <f t="shared" si="322"/>
        <v>0.75411172024799533</v>
      </c>
      <c r="E882" s="441"/>
      <c r="F882" s="440">
        <v>1.1135962557922292</v>
      </c>
      <c r="G882" s="440">
        <v>0.27021805751397654</v>
      </c>
      <c r="H882" s="440">
        <f t="shared" si="323"/>
        <v>1.3838143133062057</v>
      </c>
      <c r="I882" s="441"/>
      <c r="J882" s="440">
        <v>1.0818539708535999</v>
      </c>
      <c r="K882" s="440">
        <v>0.28333393637172061</v>
      </c>
      <c r="L882" s="440">
        <f t="shared" si="324"/>
        <v>1.3651879072253206</v>
      </c>
      <c r="M882" s="347"/>
      <c r="N882" s="347"/>
    </row>
    <row r="883" spans="1:14" x14ac:dyDescent="0.2">
      <c r="A883" s="362" t="str">
        <f>name!E$11</f>
        <v>Process, plant and machine operatives</v>
      </c>
      <c r="B883" s="440">
        <v>3.7603907254029047E-2</v>
      </c>
      <c r="C883" s="440">
        <v>0.35083443491694433</v>
      </c>
      <c r="D883" s="440">
        <f t="shared" si="322"/>
        <v>0.38843834217097339</v>
      </c>
      <c r="E883" s="441"/>
      <c r="F883" s="440">
        <v>4.849649094583152E-2</v>
      </c>
      <c r="G883" s="440">
        <v>0.21142065457542877</v>
      </c>
      <c r="H883" s="440">
        <f t="shared" si="323"/>
        <v>0.25991714552126027</v>
      </c>
      <c r="I883" s="441"/>
      <c r="J883" s="440">
        <v>3.8390040130625636E-2</v>
      </c>
      <c r="K883" s="440">
        <v>0.1898040702448206</v>
      </c>
      <c r="L883" s="440">
        <f t="shared" si="324"/>
        <v>0.22819411037544624</v>
      </c>
      <c r="M883" s="347"/>
      <c r="N883" s="347"/>
    </row>
    <row r="884" spans="1:14" x14ac:dyDescent="0.2">
      <c r="A884" s="362" t="str">
        <f>name!E$12</f>
        <v>Elementary occupations</v>
      </c>
      <c r="B884" s="440">
        <v>0.27810106312720667</v>
      </c>
      <c r="C884" s="440">
        <v>0.2003793357262377</v>
      </c>
      <c r="D884" s="440">
        <f t="shared" si="322"/>
        <v>0.4784803988534444</v>
      </c>
      <c r="E884" s="441"/>
      <c r="F884" s="440">
        <v>0.34044003176739285</v>
      </c>
      <c r="G884" s="440">
        <v>0.11769480897153382</v>
      </c>
      <c r="H884" s="440">
        <f t="shared" si="323"/>
        <v>0.45813484073892669</v>
      </c>
      <c r="I884" s="441"/>
      <c r="J884" s="440">
        <v>0.3048199081778098</v>
      </c>
      <c r="K884" s="440">
        <v>0.12431243141525211</v>
      </c>
      <c r="L884" s="440">
        <f t="shared" si="324"/>
        <v>0.42913233959306191</v>
      </c>
      <c r="M884" s="347"/>
      <c r="N884" s="347"/>
    </row>
    <row r="885" spans="1:14" s="286" customFormat="1" x14ac:dyDescent="0.2">
      <c r="A885" s="362"/>
      <c r="B885" s="440"/>
      <c r="C885" s="440"/>
      <c r="D885" s="440"/>
      <c r="E885" s="441"/>
      <c r="F885" s="440"/>
      <c r="G885" s="440"/>
      <c r="H885" s="440"/>
      <c r="I885" s="441"/>
      <c r="J885" s="440"/>
      <c r="K885" s="440"/>
      <c r="L885" s="440"/>
      <c r="M885" s="347"/>
      <c r="N885" s="347"/>
    </row>
    <row r="886" spans="1:14" x14ac:dyDescent="0.2">
      <c r="A886" s="357" t="s">
        <v>32</v>
      </c>
      <c r="B886" s="450">
        <f>SUM(B876:B884)</f>
        <v>11.160000000017886</v>
      </c>
      <c r="C886" s="450">
        <f t="shared" ref="C886:D886" si="325">SUM(C876:C884)</f>
        <v>12.871999999778907</v>
      </c>
      <c r="D886" s="450">
        <f t="shared" si="325"/>
        <v>24.031999999796792</v>
      </c>
      <c r="E886" s="450"/>
      <c r="F886" s="450">
        <f t="shared" ref="F886:H886" si="326">SUM(F876:F884)</f>
        <v>14.843999999806432</v>
      </c>
      <c r="G886" s="450">
        <f t="shared" si="326"/>
        <v>6.5439999998925744</v>
      </c>
      <c r="H886" s="450">
        <f t="shared" si="326"/>
        <v>21.387999999699005</v>
      </c>
      <c r="I886" s="450"/>
      <c r="J886" s="450">
        <f t="shared" ref="J886:L886" si="327">SUM(J876:J884)</f>
        <v>14.309999999812446</v>
      </c>
      <c r="K886" s="450">
        <f t="shared" si="327"/>
        <v>6.7210000000712684</v>
      </c>
      <c r="L886" s="450">
        <f t="shared" si="327"/>
        <v>21.030999999883715</v>
      </c>
      <c r="M886" s="347"/>
      <c r="N886" s="347"/>
    </row>
    <row r="887" spans="1:14" x14ac:dyDescent="0.2">
      <c r="A887" s="348"/>
      <c r="B887" s="348"/>
      <c r="C887" s="348"/>
      <c r="D887" s="348"/>
      <c r="E887" s="348"/>
      <c r="F887" s="348"/>
      <c r="G887" s="348"/>
      <c r="H887" s="348"/>
      <c r="I887" s="348"/>
      <c r="J887" s="348"/>
      <c r="K887" s="348"/>
      <c r="L887" s="353"/>
      <c r="M887" s="347"/>
      <c r="N887" s="347"/>
    </row>
    <row r="888" spans="1:14" x14ac:dyDescent="0.2">
      <c r="A888" s="348"/>
      <c r="B888" s="348"/>
      <c r="C888" s="348"/>
      <c r="D888" s="348"/>
      <c r="E888" s="348"/>
      <c r="F888" s="348"/>
      <c r="G888" s="348"/>
      <c r="H888" s="348"/>
      <c r="I888" s="348"/>
      <c r="J888" s="348"/>
      <c r="K888" s="348"/>
      <c r="L888" s="372" t="s">
        <v>35</v>
      </c>
      <c r="M888" s="347"/>
      <c r="N888" s="347"/>
    </row>
    <row r="889" spans="1:14" x14ac:dyDescent="0.2">
      <c r="A889" s="355"/>
      <c r="B889" s="365"/>
      <c r="C889" s="365"/>
      <c r="D889" s="365"/>
      <c r="E889" s="365"/>
      <c r="F889" s="365"/>
      <c r="G889" s="365"/>
      <c r="H889" s="365"/>
      <c r="I889" s="365"/>
      <c r="J889" s="365"/>
      <c r="K889" s="365"/>
      <c r="L889" s="347"/>
      <c r="M889" s="347"/>
      <c r="N889" s="347"/>
    </row>
    <row r="890" spans="1:14" x14ac:dyDescent="0.2">
      <c r="A890" s="354" t="str">
        <f>name!A55</f>
        <v>Head offices, etc</v>
      </c>
      <c r="B890" s="517">
        <f>B$6</f>
        <v>2007</v>
      </c>
      <c r="C890" s="517"/>
      <c r="D890" s="517"/>
      <c r="E890" s="369"/>
      <c r="F890" s="517">
        <f>F$6</f>
        <v>2017</v>
      </c>
      <c r="G890" s="517"/>
      <c r="H890" s="517"/>
      <c r="I890" s="369"/>
      <c r="J890" s="517">
        <f>J$6</f>
        <v>2027</v>
      </c>
      <c r="K890" s="517"/>
      <c r="L890" s="517"/>
      <c r="M890" s="347"/>
      <c r="N890" s="347"/>
    </row>
    <row r="891" spans="1:14" x14ac:dyDescent="0.2">
      <c r="A891" s="370"/>
      <c r="B891" s="371" t="s">
        <v>387</v>
      </c>
      <c r="C891" s="371" t="s">
        <v>388</v>
      </c>
      <c r="D891" s="371" t="s">
        <v>32</v>
      </c>
      <c r="E891" s="371"/>
      <c r="F891" s="371" t="s">
        <v>387</v>
      </c>
      <c r="G891" s="371" t="s">
        <v>388</v>
      </c>
      <c r="H891" s="371" t="s">
        <v>32</v>
      </c>
      <c r="I891" s="371"/>
      <c r="J891" s="371" t="s">
        <v>387</v>
      </c>
      <c r="K891" s="371" t="s">
        <v>388</v>
      </c>
      <c r="L891" s="371" t="s">
        <v>32</v>
      </c>
      <c r="M891" s="347"/>
      <c r="N891" s="347"/>
    </row>
    <row r="892" spans="1:14" s="286" customFormat="1" x14ac:dyDescent="0.2">
      <c r="A892" s="374"/>
      <c r="B892" s="375"/>
      <c r="C892" s="375"/>
      <c r="D892" s="375"/>
      <c r="E892" s="375"/>
      <c r="F892" s="375"/>
      <c r="G892" s="375"/>
      <c r="H892" s="375"/>
      <c r="I892" s="375"/>
      <c r="J892" s="375"/>
      <c r="K892" s="375"/>
      <c r="L892" s="375"/>
      <c r="M892" s="347"/>
      <c r="N892" s="347"/>
    </row>
    <row r="893" spans="1:14" x14ac:dyDescent="0.2">
      <c r="A893" s="362" t="str">
        <f>name!E$4</f>
        <v>Managers, directors and senior officials</v>
      </c>
      <c r="B893" s="440">
        <v>0.20767440044239885</v>
      </c>
      <c r="C893" s="440">
        <v>0.89510570569126657</v>
      </c>
      <c r="D893" s="440">
        <f>SUM(B893:C893)</f>
        <v>1.1027801061336655</v>
      </c>
      <c r="E893" s="441"/>
      <c r="F893" s="440">
        <v>0.54937868920690403</v>
      </c>
      <c r="G893" s="440">
        <v>0.89073236695001168</v>
      </c>
      <c r="H893" s="440">
        <f>SUM(F893:G893)</f>
        <v>1.4401110561569157</v>
      </c>
      <c r="I893" s="441"/>
      <c r="J893" s="440">
        <v>0.74032809413148348</v>
      </c>
      <c r="K893" s="440">
        <v>1.0143477705495967</v>
      </c>
      <c r="L893" s="440">
        <f>SUM(J893:K893)</f>
        <v>1.7546758646810803</v>
      </c>
      <c r="M893" s="347"/>
      <c r="N893" s="347"/>
    </row>
    <row r="894" spans="1:14" x14ac:dyDescent="0.2">
      <c r="A894" s="362" t="str">
        <f>name!E$5</f>
        <v>Professional occupations</v>
      </c>
      <c r="B894" s="440">
        <v>0.66981161065660566</v>
      </c>
      <c r="C894" s="440">
        <v>2.3060400942037269</v>
      </c>
      <c r="D894" s="440">
        <f t="shared" ref="D894:D901" si="328">SUM(B894:C894)</f>
        <v>2.9758517048603323</v>
      </c>
      <c r="E894" s="441"/>
      <c r="F894" s="440">
        <v>1.7913838449751638</v>
      </c>
      <c r="G894" s="440">
        <v>1.7315919010878844</v>
      </c>
      <c r="H894" s="440">
        <f t="shared" ref="H894:H901" si="329">SUM(F894:G894)</f>
        <v>3.5229757460630484</v>
      </c>
      <c r="I894" s="441"/>
      <c r="J894" s="440">
        <v>2.4150275031298363</v>
      </c>
      <c r="K894" s="440">
        <v>1.761454168956996</v>
      </c>
      <c r="L894" s="440">
        <f t="shared" ref="L894:L901" si="330">SUM(J894:K894)</f>
        <v>4.1764816720868323</v>
      </c>
      <c r="M894" s="347"/>
      <c r="N894" s="347"/>
    </row>
    <row r="895" spans="1:14" x14ac:dyDescent="0.2">
      <c r="A895" s="362" t="str">
        <f>name!E$6</f>
        <v>Associate professional and technical</v>
      </c>
      <c r="B895" s="440">
        <v>0.53700540732052693</v>
      </c>
      <c r="C895" s="440">
        <v>1.451761681048648</v>
      </c>
      <c r="D895" s="440">
        <f t="shared" si="328"/>
        <v>1.9887670883691748</v>
      </c>
      <c r="E895" s="441"/>
      <c r="F895" s="440">
        <v>1.4959787009022507</v>
      </c>
      <c r="G895" s="440">
        <v>1.2701641525092391</v>
      </c>
      <c r="H895" s="440">
        <f t="shared" si="329"/>
        <v>2.7661428534114898</v>
      </c>
      <c r="I895" s="441"/>
      <c r="J895" s="440">
        <v>1.9252185275136202</v>
      </c>
      <c r="K895" s="440">
        <v>1.3774764572167983</v>
      </c>
      <c r="L895" s="440">
        <f t="shared" si="330"/>
        <v>3.3026949847304188</v>
      </c>
      <c r="M895" s="347"/>
      <c r="N895" s="347"/>
    </row>
    <row r="896" spans="1:14" x14ac:dyDescent="0.2">
      <c r="A896" s="362" t="str">
        <f>name!E$7</f>
        <v>Administrative and secretarial</v>
      </c>
      <c r="B896" s="440">
        <v>2.381039447742733</v>
      </c>
      <c r="C896" s="440">
        <v>1.1842421975962372</v>
      </c>
      <c r="D896" s="440">
        <f t="shared" si="328"/>
        <v>3.5652816453389704</v>
      </c>
      <c r="E896" s="441"/>
      <c r="F896" s="440">
        <v>3.8599002803240583</v>
      </c>
      <c r="G896" s="440">
        <v>1.1045352152271954</v>
      </c>
      <c r="H896" s="440">
        <f t="shared" si="329"/>
        <v>4.9644354955512533</v>
      </c>
      <c r="I896" s="441"/>
      <c r="J896" s="440">
        <v>3.0693186236530066</v>
      </c>
      <c r="K896" s="440">
        <v>1.2723572967777261</v>
      </c>
      <c r="L896" s="440">
        <f t="shared" si="330"/>
        <v>4.3416759204307329</v>
      </c>
      <c r="M896" s="347"/>
      <c r="N896" s="347"/>
    </row>
    <row r="897" spans="1:14" x14ac:dyDescent="0.2">
      <c r="A897" s="362" t="str">
        <f>name!E$8</f>
        <v>Skilled trades occupations</v>
      </c>
      <c r="B897" s="440">
        <v>2.8527590163763161E-2</v>
      </c>
      <c r="C897" s="440">
        <v>0.30356698922094055</v>
      </c>
      <c r="D897" s="440">
        <f t="shared" si="328"/>
        <v>0.33209457938470371</v>
      </c>
      <c r="E897" s="441"/>
      <c r="F897" s="440">
        <v>4.6509220788874359E-2</v>
      </c>
      <c r="G897" s="440">
        <v>0.30484478679096244</v>
      </c>
      <c r="H897" s="440">
        <f t="shared" si="329"/>
        <v>0.35135400757983681</v>
      </c>
      <c r="I897" s="441"/>
      <c r="J897" s="440">
        <v>5.5738493141935193E-2</v>
      </c>
      <c r="K897" s="440">
        <v>0.27894837380097565</v>
      </c>
      <c r="L897" s="440">
        <f t="shared" si="330"/>
        <v>0.33468686694291083</v>
      </c>
      <c r="M897" s="347"/>
      <c r="N897" s="347"/>
    </row>
    <row r="898" spans="1:14" x14ac:dyDescent="0.2">
      <c r="A898" s="362" t="str">
        <f>name!E$9</f>
        <v>Caring, leisure and other service</v>
      </c>
      <c r="B898" s="440">
        <v>1.0396083325750949E-2</v>
      </c>
      <c r="C898" s="440">
        <v>4.6172306466807339E-2</v>
      </c>
      <c r="D898" s="440">
        <f t="shared" si="328"/>
        <v>5.6568389792558287E-2</v>
      </c>
      <c r="E898" s="441"/>
      <c r="F898" s="440">
        <v>3.661005743248661E-2</v>
      </c>
      <c r="G898" s="440">
        <v>4.3610784556850947E-2</v>
      </c>
      <c r="H898" s="440">
        <f t="shared" si="329"/>
        <v>8.0220841989337557E-2</v>
      </c>
      <c r="I898" s="441"/>
      <c r="J898" s="440">
        <v>4.1983104145532753E-2</v>
      </c>
      <c r="K898" s="440">
        <v>5.0131234963260149E-2</v>
      </c>
      <c r="L898" s="440">
        <f t="shared" si="330"/>
        <v>9.2114339108792909E-2</v>
      </c>
      <c r="M898" s="347"/>
      <c r="N898" s="347"/>
    </row>
    <row r="899" spans="1:14" x14ac:dyDescent="0.2">
      <c r="A899" s="362" t="str">
        <f>name!E$10</f>
        <v>Sales and customer service</v>
      </c>
      <c r="B899" s="440">
        <v>0.14223616680278667</v>
      </c>
      <c r="C899" s="440">
        <v>0.21917733445611737</v>
      </c>
      <c r="D899" s="440">
        <f t="shared" si="328"/>
        <v>0.36141350125890404</v>
      </c>
      <c r="E899" s="441"/>
      <c r="F899" s="440">
        <v>0.63964690063736218</v>
      </c>
      <c r="G899" s="440">
        <v>0.23625418711117716</v>
      </c>
      <c r="H899" s="440">
        <f t="shared" si="329"/>
        <v>0.87590108774853936</v>
      </c>
      <c r="I899" s="441"/>
      <c r="J899" s="440">
        <v>0.67839123481990615</v>
      </c>
      <c r="K899" s="440">
        <v>0.26509529484744104</v>
      </c>
      <c r="L899" s="440">
        <f t="shared" si="330"/>
        <v>0.94348652966734714</v>
      </c>
      <c r="M899" s="347"/>
      <c r="N899" s="347"/>
    </row>
    <row r="900" spans="1:14" x14ac:dyDescent="0.2">
      <c r="A900" s="362" t="str">
        <f>name!E$11</f>
        <v>Process, plant and machine operatives</v>
      </c>
      <c r="B900" s="440">
        <v>1.3112993202591785E-2</v>
      </c>
      <c r="C900" s="440">
        <v>0.18378824395883253</v>
      </c>
      <c r="D900" s="440">
        <f t="shared" si="328"/>
        <v>0.19690123716142433</v>
      </c>
      <c r="E900" s="441"/>
      <c r="F900" s="440">
        <v>2.6768669956015661E-2</v>
      </c>
      <c r="G900" s="440">
        <v>0.19920279163328009</v>
      </c>
      <c r="H900" s="440">
        <f t="shared" si="329"/>
        <v>0.22597146158929574</v>
      </c>
      <c r="I900" s="441"/>
      <c r="J900" s="440">
        <v>2.3310798987332126E-2</v>
      </c>
      <c r="K900" s="440">
        <v>0.18440191647331677</v>
      </c>
      <c r="L900" s="440">
        <f t="shared" si="330"/>
        <v>0.2077127154606489</v>
      </c>
      <c r="M900" s="347"/>
      <c r="N900" s="347"/>
    </row>
    <row r="901" spans="1:14" x14ac:dyDescent="0.2">
      <c r="A901" s="362" t="str">
        <f>name!E$12</f>
        <v>Elementary occupations</v>
      </c>
      <c r="B901" s="440">
        <v>9.9196300346556729E-2</v>
      </c>
      <c r="C901" s="440">
        <v>0.1131454472550122</v>
      </c>
      <c r="D901" s="440">
        <f t="shared" si="328"/>
        <v>0.21234174760156893</v>
      </c>
      <c r="E901" s="441"/>
      <c r="F901" s="440">
        <v>0.18982363565219765</v>
      </c>
      <c r="G901" s="440">
        <v>0.10906381403978219</v>
      </c>
      <c r="H901" s="440">
        <f t="shared" si="329"/>
        <v>0.29888744969197983</v>
      </c>
      <c r="I901" s="441"/>
      <c r="J901" s="440">
        <v>0.1846836203436418</v>
      </c>
      <c r="K901" s="440">
        <v>0.1187874864939928</v>
      </c>
      <c r="L901" s="440">
        <f t="shared" si="330"/>
        <v>0.30347110683763462</v>
      </c>
      <c r="M901" s="347"/>
      <c r="N901" s="347"/>
    </row>
    <row r="902" spans="1:14" s="286" customFormat="1" x14ac:dyDescent="0.2">
      <c r="A902" s="362"/>
      <c r="B902" s="440"/>
      <c r="C902" s="440"/>
      <c r="D902" s="440"/>
      <c r="E902" s="441"/>
      <c r="F902" s="440"/>
      <c r="G902" s="440"/>
      <c r="H902" s="440"/>
      <c r="I902" s="441"/>
      <c r="J902" s="440"/>
      <c r="K902" s="440"/>
      <c r="L902" s="440"/>
      <c r="M902" s="347"/>
      <c r="N902" s="347"/>
    </row>
    <row r="903" spans="1:14" x14ac:dyDescent="0.2">
      <c r="A903" s="357" t="s">
        <v>32</v>
      </c>
      <c r="B903" s="450">
        <f>SUM(B893:B901)</f>
        <v>4.0890000000037139</v>
      </c>
      <c r="C903" s="450">
        <f t="shared" ref="C903:D903" si="331">SUM(C893:C901)</f>
        <v>6.702999999897588</v>
      </c>
      <c r="D903" s="450">
        <f t="shared" si="331"/>
        <v>10.791999999901302</v>
      </c>
      <c r="E903" s="450"/>
      <c r="F903" s="450">
        <f t="shared" ref="F903:H903" si="332">SUM(F893:F901)</f>
        <v>8.6359999998753132</v>
      </c>
      <c r="G903" s="450">
        <f t="shared" si="332"/>
        <v>5.889999999906383</v>
      </c>
      <c r="H903" s="450">
        <f t="shared" si="332"/>
        <v>14.525999999781696</v>
      </c>
      <c r="I903" s="450"/>
      <c r="J903" s="450">
        <f t="shared" ref="J903:L903" si="333">SUM(J893:J901)</f>
        <v>9.133999999866294</v>
      </c>
      <c r="K903" s="450">
        <f t="shared" si="333"/>
        <v>6.3230000000801043</v>
      </c>
      <c r="L903" s="450">
        <f t="shared" si="333"/>
        <v>15.456999999946399</v>
      </c>
      <c r="M903" s="347"/>
      <c r="N903" s="347"/>
    </row>
    <row r="904" spans="1:14" x14ac:dyDescent="0.2">
      <c r="A904" s="348"/>
      <c r="B904" s="348"/>
      <c r="C904" s="348"/>
      <c r="D904" s="348"/>
      <c r="E904" s="348"/>
      <c r="F904" s="348"/>
      <c r="G904" s="348"/>
      <c r="H904" s="348"/>
      <c r="I904" s="348"/>
      <c r="J904" s="348"/>
      <c r="K904" s="348"/>
      <c r="L904" s="353"/>
      <c r="M904" s="347"/>
      <c r="N904" s="347"/>
    </row>
    <row r="905" spans="1:14" x14ac:dyDescent="0.2">
      <c r="A905" s="348"/>
      <c r="B905" s="348"/>
      <c r="C905" s="348"/>
      <c r="D905" s="348"/>
      <c r="E905" s="348"/>
      <c r="F905" s="348"/>
      <c r="G905" s="348"/>
      <c r="H905" s="348"/>
      <c r="I905" s="348"/>
      <c r="J905" s="348"/>
      <c r="K905" s="348"/>
      <c r="L905" s="372" t="s">
        <v>35</v>
      </c>
      <c r="M905" s="347"/>
      <c r="N905" s="347"/>
    </row>
    <row r="906" spans="1:14" x14ac:dyDescent="0.2">
      <c r="A906" s="355"/>
      <c r="B906" s="365"/>
      <c r="C906" s="365"/>
      <c r="D906" s="365"/>
      <c r="E906" s="365"/>
      <c r="F906" s="365"/>
      <c r="G906" s="365"/>
      <c r="H906" s="365"/>
      <c r="I906" s="365"/>
      <c r="J906" s="365"/>
      <c r="K906" s="365"/>
      <c r="L906" s="347"/>
      <c r="M906" s="347"/>
      <c r="N906" s="347"/>
    </row>
    <row r="907" spans="1:14" x14ac:dyDescent="0.2">
      <c r="A907" s="354" t="str">
        <f>name!A56</f>
        <v>Architectural and related</v>
      </c>
      <c r="B907" s="517">
        <f>B$6</f>
        <v>2007</v>
      </c>
      <c r="C907" s="517"/>
      <c r="D907" s="517"/>
      <c r="E907" s="369"/>
      <c r="F907" s="517">
        <f>F$6</f>
        <v>2017</v>
      </c>
      <c r="G907" s="517"/>
      <c r="H907" s="517"/>
      <c r="I907" s="369"/>
      <c r="J907" s="517">
        <f>J$6</f>
        <v>2027</v>
      </c>
      <c r="K907" s="517"/>
      <c r="L907" s="517"/>
      <c r="M907" s="347"/>
      <c r="N907" s="347"/>
    </row>
    <row r="908" spans="1:14" x14ac:dyDescent="0.2">
      <c r="A908" s="370"/>
      <c r="B908" s="371" t="s">
        <v>387</v>
      </c>
      <c r="C908" s="371" t="s">
        <v>388</v>
      </c>
      <c r="D908" s="371" t="s">
        <v>32</v>
      </c>
      <c r="E908" s="371"/>
      <c r="F908" s="371" t="s">
        <v>387</v>
      </c>
      <c r="G908" s="371" t="s">
        <v>388</v>
      </c>
      <c r="H908" s="371" t="s">
        <v>32</v>
      </c>
      <c r="I908" s="371"/>
      <c r="J908" s="371" t="s">
        <v>387</v>
      </c>
      <c r="K908" s="371" t="s">
        <v>388</v>
      </c>
      <c r="L908" s="371" t="s">
        <v>32</v>
      </c>
      <c r="M908" s="347"/>
      <c r="N908" s="347"/>
    </row>
    <row r="909" spans="1:14" s="286" customFormat="1" x14ac:dyDescent="0.2">
      <c r="A909" s="374"/>
      <c r="B909" s="375"/>
      <c r="C909" s="375"/>
      <c r="D909" s="375"/>
      <c r="E909" s="375"/>
      <c r="F909" s="375"/>
      <c r="G909" s="375"/>
      <c r="H909" s="375"/>
      <c r="I909" s="375"/>
      <c r="J909" s="375"/>
      <c r="K909" s="375"/>
      <c r="L909" s="375"/>
      <c r="M909" s="347"/>
      <c r="N909" s="347"/>
    </row>
    <row r="910" spans="1:14" x14ac:dyDescent="0.2">
      <c r="A910" s="362" t="str">
        <f>name!E$4</f>
        <v>Managers, directors and senior officials</v>
      </c>
      <c r="B910" s="440">
        <v>0.2411467447747217</v>
      </c>
      <c r="C910" s="440">
        <v>1.731130379830454</v>
      </c>
      <c r="D910" s="440">
        <f>SUM(B910:C910)</f>
        <v>1.9722771246051758</v>
      </c>
      <c r="E910" s="441"/>
      <c r="F910" s="440">
        <v>0.42885390208514268</v>
      </c>
      <c r="G910" s="440">
        <v>2.4517069211930704</v>
      </c>
      <c r="H910" s="440">
        <f>SUM(F910:G910)</f>
        <v>2.8805608232782132</v>
      </c>
      <c r="I910" s="441"/>
      <c r="J910" s="440">
        <v>0.61939925183263811</v>
      </c>
      <c r="K910" s="440">
        <v>2.8364389923998945</v>
      </c>
      <c r="L910" s="440">
        <f>SUM(J910:K910)</f>
        <v>3.4558382442325328</v>
      </c>
      <c r="M910" s="347"/>
      <c r="N910" s="347"/>
    </row>
    <row r="911" spans="1:14" x14ac:dyDescent="0.2">
      <c r="A911" s="362" t="str">
        <f>name!E$5</f>
        <v>Professional occupations</v>
      </c>
      <c r="B911" s="440">
        <v>0.83303049602687473</v>
      </c>
      <c r="C911" s="440">
        <v>4.2084289746463499</v>
      </c>
      <c r="D911" s="440">
        <f t="shared" ref="D911:D918" si="334">SUM(B911:C911)</f>
        <v>5.0414594706732245</v>
      </c>
      <c r="E911" s="441"/>
      <c r="F911" s="440">
        <v>1.3359148772253009</v>
      </c>
      <c r="G911" s="440">
        <v>4.7307695363464024</v>
      </c>
      <c r="H911" s="440">
        <f t="shared" ref="H911:H918" si="335">SUM(F911:G911)</f>
        <v>6.0666844135717035</v>
      </c>
      <c r="I911" s="441"/>
      <c r="J911" s="440">
        <v>1.9377818646182132</v>
      </c>
      <c r="K911" s="440">
        <v>4.879216774268178</v>
      </c>
      <c r="L911" s="440">
        <f t="shared" ref="L911:L918" si="336">SUM(J911:K911)</f>
        <v>6.8169986388863908</v>
      </c>
      <c r="M911" s="347"/>
      <c r="N911" s="347"/>
    </row>
    <row r="912" spans="1:14" x14ac:dyDescent="0.2">
      <c r="A912" s="362" t="str">
        <f>name!E$6</f>
        <v>Associate professional and technical</v>
      </c>
      <c r="B912" s="440">
        <v>0.65619610313081433</v>
      </c>
      <c r="C912" s="440">
        <v>2.770974394854131</v>
      </c>
      <c r="D912" s="440">
        <f t="shared" si="334"/>
        <v>3.4271704979849451</v>
      </c>
      <c r="E912" s="441"/>
      <c r="F912" s="440">
        <v>1.1272500219733605</v>
      </c>
      <c r="G912" s="440">
        <v>3.4804420996321608</v>
      </c>
      <c r="H912" s="440">
        <f t="shared" si="335"/>
        <v>4.6076921216055213</v>
      </c>
      <c r="I912" s="441"/>
      <c r="J912" s="440">
        <v>1.561813109932882</v>
      </c>
      <c r="K912" s="440">
        <v>3.8252394191259027</v>
      </c>
      <c r="L912" s="440">
        <f t="shared" si="336"/>
        <v>5.387052529058785</v>
      </c>
      <c r="M912" s="347"/>
      <c r="N912" s="347"/>
    </row>
    <row r="913" spans="1:14" x14ac:dyDescent="0.2">
      <c r="A913" s="362" t="str">
        <f>name!E$7</f>
        <v>Administrative and secretarial</v>
      </c>
      <c r="B913" s="440">
        <v>2.8039222300032893</v>
      </c>
      <c r="C913" s="440">
        <v>1.9913543788319628</v>
      </c>
      <c r="D913" s="440">
        <f t="shared" si="334"/>
        <v>4.7952766088352519</v>
      </c>
      <c r="E913" s="441"/>
      <c r="F913" s="440">
        <v>3.0111858535874032</v>
      </c>
      <c r="G913" s="440">
        <v>2.9322242197947674</v>
      </c>
      <c r="H913" s="440">
        <f t="shared" si="335"/>
        <v>5.9434100733821706</v>
      </c>
      <c r="I913" s="441"/>
      <c r="J913" s="440">
        <v>2.6154414242168764</v>
      </c>
      <c r="K913" s="440">
        <v>3.427999897037723</v>
      </c>
      <c r="L913" s="440">
        <f t="shared" si="336"/>
        <v>6.0434413212545994</v>
      </c>
      <c r="M913" s="347"/>
      <c r="N913" s="347"/>
    </row>
    <row r="914" spans="1:14" x14ac:dyDescent="0.2">
      <c r="A914" s="362" t="str">
        <f>name!E$8</f>
        <v>Skilled trades occupations</v>
      </c>
      <c r="B914" s="440">
        <v>3.3113617247885377E-2</v>
      </c>
      <c r="C914" s="440">
        <v>0.57256467877445227</v>
      </c>
      <c r="D914" s="440">
        <f t="shared" si="334"/>
        <v>0.60567829602233769</v>
      </c>
      <c r="E914" s="441"/>
      <c r="F914" s="440">
        <v>3.6559025029867416E-2</v>
      </c>
      <c r="G914" s="440">
        <v>0.83318857391670997</v>
      </c>
      <c r="H914" s="440">
        <f t="shared" si="335"/>
        <v>0.86974759894657738</v>
      </c>
      <c r="I914" s="441"/>
      <c r="J914" s="440">
        <v>4.676975424378043E-2</v>
      </c>
      <c r="K914" s="440">
        <v>0.77927941306628534</v>
      </c>
      <c r="L914" s="440">
        <f t="shared" si="336"/>
        <v>0.82604916731006572</v>
      </c>
      <c r="M914" s="347"/>
      <c r="N914" s="347"/>
    </row>
    <row r="915" spans="1:14" x14ac:dyDescent="0.2">
      <c r="A915" s="362" t="str">
        <f>name!E$9</f>
        <v>Caring, leisure and other service</v>
      </c>
      <c r="B915" s="440">
        <v>1.2608885580896786E-2</v>
      </c>
      <c r="C915" s="440">
        <v>0.10319517798982639</v>
      </c>
      <c r="D915" s="440">
        <f t="shared" si="334"/>
        <v>0.11580406357072318</v>
      </c>
      <c r="E915" s="441"/>
      <c r="F915" s="440">
        <v>2.8298918320706284E-2</v>
      </c>
      <c r="G915" s="440">
        <v>0.12514587626265503</v>
      </c>
      <c r="H915" s="440">
        <f t="shared" si="335"/>
        <v>0.1534447945833613</v>
      </c>
      <c r="I915" s="441"/>
      <c r="J915" s="440">
        <v>3.4671416825367632E-2</v>
      </c>
      <c r="K915" s="440">
        <v>0.14782575344950472</v>
      </c>
      <c r="L915" s="440">
        <f t="shared" si="336"/>
        <v>0.18249717027487233</v>
      </c>
      <c r="M915" s="347"/>
      <c r="N915" s="347"/>
    </row>
    <row r="916" spans="1:14" x14ac:dyDescent="0.2">
      <c r="A916" s="362" t="str">
        <f>name!E$10</f>
        <v>Sales and customer service</v>
      </c>
      <c r="B916" s="440">
        <v>0.16124987752541642</v>
      </c>
      <c r="C916" s="440">
        <v>0.34986588998888535</v>
      </c>
      <c r="D916" s="440">
        <f t="shared" si="334"/>
        <v>0.51111576751430177</v>
      </c>
      <c r="E916" s="441"/>
      <c r="F916" s="440">
        <v>0.49701869440196311</v>
      </c>
      <c r="G916" s="440">
        <v>0.62089675335626593</v>
      </c>
      <c r="H916" s="440">
        <f t="shared" si="335"/>
        <v>1.1179154477582292</v>
      </c>
      <c r="I916" s="441"/>
      <c r="J916" s="440">
        <v>0.57141431866787162</v>
      </c>
      <c r="K916" s="440">
        <v>0.71092554739194747</v>
      </c>
      <c r="L916" s="440">
        <f t="shared" si="336"/>
        <v>1.2823398660598191</v>
      </c>
      <c r="M916" s="347"/>
      <c r="N916" s="347"/>
    </row>
    <row r="917" spans="1:14" x14ac:dyDescent="0.2">
      <c r="A917" s="362" t="str">
        <f>name!E$11</f>
        <v>Process, plant and machine operatives</v>
      </c>
      <c r="B917" s="440">
        <v>1.5403468591970263E-2</v>
      </c>
      <c r="C917" s="440">
        <v>0.33477163702171375</v>
      </c>
      <c r="D917" s="440">
        <f t="shared" si="334"/>
        <v>0.35017510561368403</v>
      </c>
      <c r="E917" s="441"/>
      <c r="F917" s="440">
        <v>2.1171596544058667E-2</v>
      </c>
      <c r="G917" s="440">
        <v>0.5367386899255151</v>
      </c>
      <c r="H917" s="440">
        <f t="shared" si="335"/>
        <v>0.55791028646957375</v>
      </c>
      <c r="I917" s="441"/>
      <c r="J917" s="440">
        <v>1.9604659021737796E-2</v>
      </c>
      <c r="K917" s="440">
        <v>0.50337961502886963</v>
      </c>
      <c r="L917" s="440">
        <f t="shared" si="336"/>
        <v>0.52298427405060743</v>
      </c>
      <c r="M917" s="347"/>
      <c r="N917" s="347"/>
    </row>
    <row r="918" spans="1:14" x14ac:dyDescent="0.2">
      <c r="A918" s="362" t="str">
        <f>name!E$12</f>
        <v>Elementary occupations</v>
      </c>
      <c r="B918" s="440">
        <v>0.11432857712361931</v>
      </c>
      <c r="C918" s="440">
        <v>0.1907144878535105</v>
      </c>
      <c r="D918" s="440">
        <f t="shared" si="334"/>
        <v>0.3050430649771298</v>
      </c>
      <c r="E918" s="441"/>
      <c r="F918" s="440">
        <v>0.14974711074385788</v>
      </c>
      <c r="G918" s="440">
        <v>0.29088732931220124</v>
      </c>
      <c r="H918" s="440">
        <f t="shared" si="335"/>
        <v>0.44063444005605912</v>
      </c>
      <c r="I918" s="441"/>
      <c r="J918" s="440">
        <v>0.15710420053870694</v>
      </c>
      <c r="K918" s="440">
        <v>0.32069458844483106</v>
      </c>
      <c r="L918" s="440">
        <f t="shared" si="336"/>
        <v>0.477798788983538</v>
      </c>
      <c r="M918" s="347"/>
      <c r="N918" s="347"/>
    </row>
    <row r="919" spans="1:14" s="286" customFormat="1" x14ac:dyDescent="0.2">
      <c r="A919" s="362"/>
      <c r="B919" s="440"/>
      <c r="C919" s="440"/>
      <c r="D919" s="440"/>
      <c r="E919" s="441"/>
      <c r="F919" s="440"/>
      <c r="G919" s="440"/>
      <c r="H919" s="440"/>
      <c r="I919" s="441"/>
      <c r="J919" s="440"/>
      <c r="K919" s="440"/>
      <c r="L919" s="440"/>
      <c r="M919" s="347"/>
      <c r="N919" s="347"/>
    </row>
    <row r="920" spans="1:14" x14ac:dyDescent="0.2">
      <c r="A920" s="357" t="s">
        <v>32</v>
      </c>
      <c r="B920" s="450">
        <f>SUM(B910:B918)</f>
        <v>4.8710000000054885</v>
      </c>
      <c r="C920" s="450">
        <f t="shared" ref="C920:D920" si="337">SUM(C910:C918)</f>
        <v>12.252999999791285</v>
      </c>
      <c r="D920" s="450">
        <f t="shared" si="337"/>
        <v>17.123999999796773</v>
      </c>
      <c r="E920" s="450"/>
      <c r="F920" s="450">
        <f t="shared" ref="F920:H920" si="338">SUM(F910:F918)</f>
        <v>6.6359999999116601</v>
      </c>
      <c r="G920" s="450">
        <f t="shared" si="338"/>
        <v>16.001999999739748</v>
      </c>
      <c r="H920" s="450">
        <f t="shared" si="338"/>
        <v>22.637999999651409</v>
      </c>
      <c r="I920" s="450"/>
      <c r="J920" s="450">
        <f t="shared" ref="J920:L920" si="339">SUM(J910:J918)</f>
        <v>7.5639999998980745</v>
      </c>
      <c r="K920" s="450">
        <f t="shared" si="339"/>
        <v>17.431000000213135</v>
      </c>
      <c r="L920" s="450">
        <f t="shared" si="339"/>
        <v>24.995000000111212</v>
      </c>
      <c r="M920" s="347"/>
      <c r="N920" s="347"/>
    </row>
    <row r="921" spans="1:14" x14ac:dyDescent="0.2">
      <c r="A921" s="348"/>
      <c r="B921" s="348"/>
      <c r="C921" s="348"/>
      <c r="D921" s="348"/>
      <c r="E921" s="348"/>
      <c r="F921" s="348"/>
      <c r="G921" s="348"/>
      <c r="H921" s="348"/>
      <c r="I921" s="348"/>
      <c r="J921" s="348"/>
      <c r="K921" s="348"/>
      <c r="L921" s="353"/>
      <c r="M921" s="347"/>
      <c r="N921" s="347"/>
    </row>
    <row r="922" spans="1:14" x14ac:dyDescent="0.2">
      <c r="A922" s="348"/>
      <c r="B922" s="348"/>
      <c r="C922" s="348"/>
      <c r="D922" s="348"/>
      <c r="E922" s="348"/>
      <c r="F922" s="348"/>
      <c r="G922" s="348"/>
      <c r="H922" s="348"/>
      <c r="I922" s="348"/>
      <c r="J922" s="348"/>
      <c r="K922" s="348"/>
      <c r="L922" s="372" t="s">
        <v>35</v>
      </c>
      <c r="M922" s="347"/>
      <c r="N922" s="347"/>
    </row>
    <row r="923" spans="1:14" x14ac:dyDescent="0.2">
      <c r="A923" s="355"/>
      <c r="B923" s="365"/>
      <c r="C923" s="365"/>
      <c r="D923" s="365"/>
      <c r="E923" s="365"/>
      <c r="F923" s="365"/>
      <c r="G923" s="365"/>
      <c r="H923" s="365"/>
      <c r="I923" s="365"/>
      <c r="J923" s="365"/>
      <c r="K923" s="365"/>
      <c r="L923" s="347"/>
      <c r="M923" s="347"/>
      <c r="N923" s="347"/>
    </row>
    <row r="924" spans="1:14" x14ac:dyDescent="0.2">
      <c r="A924" s="354" t="str">
        <f>name!A57</f>
        <v>Scientific research and development</v>
      </c>
      <c r="B924" s="517">
        <f>B$6</f>
        <v>2007</v>
      </c>
      <c r="C924" s="517"/>
      <c r="D924" s="517"/>
      <c r="E924" s="369"/>
      <c r="F924" s="517">
        <f>F$6</f>
        <v>2017</v>
      </c>
      <c r="G924" s="517"/>
      <c r="H924" s="517"/>
      <c r="I924" s="369"/>
      <c r="J924" s="517">
        <f>J$6</f>
        <v>2027</v>
      </c>
      <c r="K924" s="517"/>
      <c r="L924" s="517"/>
      <c r="M924" s="347"/>
      <c r="N924" s="347"/>
    </row>
    <row r="925" spans="1:14" x14ac:dyDescent="0.2">
      <c r="A925" s="370"/>
      <c r="B925" s="371" t="s">
        <v>387</v>
      </c>
      <c r="C925" s="371" t="s">
        <v>388</v>
      </c>
      <c r="D925" s="371" t="s">
        <v>32</v>
      </c>
      <c r="E925" s="371"/>
      <c r="F925" s="371" t="s">
        <v>387</v>
      </c>
      <c r="G925" s="371" t="s">
        <v>388</v>
      </c>
      <c r="H925" s="371" t="s">
        <v>32</v>
      </c>
      <c r="I925" s="371"/>
      <c r="J925" s="371" t="s">
        <v>387</v>
      </c>
      <c r="K925" s="371" t="s">
        <v>388</v>
      </c>
      <c r="L925" s="371" t="s">
        <v>32</v>
      </c>
      <c r="M925" s="347"/>
      <c r="N925" s="347"/>
    </row>
    <row r="926" spans="1:14" s="286" customFormat="1" x14ac:dyDescent="0.2">
      <c r="A926" s="374"/>
      <c r="B926" s="375"/>
      <c r="C926" s="375"/>
      <c r="D926" s="375"/>
      <c r="E926" s="375"/>
      <c r="F926" s="375"/>
      <c r="G926" s="375"/>
      <c r="H926" s="375"/>
      <c r="I926" s="375"/>
      <c r="J926" s="375"/>
      <c r="K926" s="375"/>
      <c r="L926" s="375"/>
      <c r="M926" s="347"/>
      <c r="N926" s="347"/>
    </row>
    <row r="927" spans="1:14" x14ac:dyDescent="0.2">
      <c r="A927" s="362" t="str">
        <f>name!E$4</f>
        <v>Managers, directors and senior officials</v>
      </c>
      <c r="B927" s="440">
        <v>3.1521502834419277E-2</v>
      </c>
      <c r="C927" s="440">
        <v>0.24139249879961416</v>
      </c>
      <c r="D927" s="440">
        <f>SUM(B927:C927)</f>
        <v>0.27291400163403345</v>
      </c>
      <c r="E927" s="441"/>
      <c r="F927" s="440">
        <v>9.022631668686544E-2</v>
      </c>
      <c r="G927" s="440">
        <v>0.23740734960377813</v>
      </c>
      <c r="H927" s="440">
        <f>SUM(F927:G927)</f>
        <v>0.32763366629064355</v>
      </c>
      <c r="I927" s="441"/>
      <c r="J927" s="440">
        <v>0.11854844045368265</v>
      </c>
      <c r="K927" s="440">
        <v>0.2891881921507744</v>
      </c>
      <c r="L927" s="440">
        <f>SUM(J927:K927)</f>
        <v>0.40773663260445703</v>
      </c>
      <c r="M927" s="347"/>
      <c r="N927" s="347"/>
    </row>
    <row r="928" spans="1:14" x14ac:dyDescent="0.2">
      <c r="A928" s="362" t="str">
        <f>name!E$5</f>
        <v>Professional occupations</v>
      </c>
      <c r="B928" s="440">
        <v>0.26831275915819153</v>
      </c>
      <c r="C928" s="440">
        <v>1.0150544581551264</v>
      </c>
      <c r="D928" s="440">
        <f t="shared" ref="D928:D935" si="340">SUM(B928:C928)</f>
        <v>1.2833672173133179</v>
      </c>
      <c r="E928" s="441"/>
      <c r="F928" s="440">
        <v>0.69183845595072069</v>
      </c>
      <c r="G928" s="440">
        <v>1.0939666379422988</v>
      </c>
      <c r="H928" s="440">
        <f t="shared" ref="H928:H935" si="341">SUM(F928:G928)</f>
        <v>1.7858050938930194</v>
      </c>
      <c r="I928" s="441"/>
      <c r="J928" s="440">
        <v>0.96137143869099073</v>
      </c>
      <c r="K928" s="440">
        <v>1.3318053252162614</v>
      </c>
      <c r="L928" s="440">
        <f t="shared" ref="L928:L935" si="342">SUM(J928:K928)</f>
        <v>2.293176763907252</v>
      </c>
      <c r="M928" s="347"/>
      <c r="N928" s="347"/>
    </row>
    <row r="929" spans="1:14" x14ac:dyDescent="0.2">
      <c r="A929" s="362" t="str">
        <f>name!E$6</f>
        <v>Associate professional and technical</v>
      </c>
      <c r="B929" s="440">
        <v>9.171696148705473E-2</v>
      </c>
      <c r="C929" s="440">
        <v>0.3131036589602349</v>
      </c>
      <c r="D929" s="440">
        <f t="shared" si="340"/>
        <v>0.40482062044728961</v>
      </c>
      <c r="E929" s="441"/>
      <c r="F929" s="440">
        <v>0.21174580440699409</v>
      </c>
      <c r="G929" s="440">
        <v>0.32072337303129567</v>
      </c>
      <c r="H929" s="440">
        <f t="shared" si="341"/>
        <v>0.5324691774382897</v>
      </c>
      <c r="I929" s="441"/>
      <c r="J929" s="440">
        <v>0.25367625284876655</v>
      </c>
      <c r="K929" s="440">
        <v>0.37299426072940783</v>
      </c>
      <c r="L929" s="440">
        <f t="shared" si="342"/>
        <v>0.62667051357817438</v>
      </c>
      <c r="M929" s="347"/>
      <c r="N929" s="347"/>
    </row>
    <row r="930" spans="1:14" x14ac:dyDescent="0.2">
      <c r="A930" s="362" t="str">
        <f>name!E$7</f>
        <v>Administrative and secretarial</v>
      </c>
      <c r="B930" s="440">
        <v>0.1718874906220775</v>
      </c>
      <c r="C930" s="440">
        <v>0.15862381858580882</v>
      </c>
      <c r="D930" s="440">
        <f t="shared" si="340"/>
        <v>0.33051130920788629</v>
      </c>
      <c r="E930" s="441"/>
      <c r="F930" s="440">
        <v>0.40446999979066434</v>
      </c>
      <c r="G930" s="440">
        <v>0.16169430295674392</v>
      </c>
      <c r="H930" s="440">
        <f t="shared" si="341"/>
        <v>0.56616430274740825</v>
      </c>
      <c r="I930" s="441"/>
      <c r="J930" s="440">
        <v>0.34454913318785685</v>
      </c>
      <c r="K930" s="440">
        <v>0.18577186368346885</v>
      </c>
      <c r="L930" s="440">
        <f t="shared" si="342"/>
        <v>0.53032099687132572</v>
      </c>
      <c r="M930" s="347"/>
      <c r="N930" s="347"/>
    </row>
    <row r="931" spans="1:14" x14ac:dyDescent="0.2">
      <c r="A931" s="362" t="str">
        <f>name!E$8</f>
        <v>Skilled trades occupations</v>
      </c>
      <c r="B931" s="440">
        <v>1.447986754603877E-2</v>
      </c>
      <c r="C931" s="440">
        <v>0.16870414032574035</v>
      </c>
      <c r="D931" s="440">
        <f t="shared" si="340"/>
        <v>0.18318400787177913</v>
      </c>
      <c r="E931" s="441"/>
      <c r="F931" s="440">
        <v>1.934705375798481E-2</v>
      </c>
      <c r="G931" s="440">
        <v>0.1319383278714141</v>
      </c>
      <c r="H931" s="440">
        <f t="shared" si="341"/>
        <v>0.15128538162939892</v>
      </c>
      <c r="I931" s="441"/>
      <c r="J931" s="440">
        <v>1.7260657930744692E-2</v>
      </c>
      <c r="K931" s="440">
        <v>0.13035455321671074</v>
      </c>
      <c r="L931" s="440">
        <f t="shared" si="342"/>
        <v>0.14761521114745543</v>
      </c>
      <c r="M931" s="347"/>
      <c r="N931" s="347"/>
    </row>
    <row r="932" spans="1:14" x14ac:dyDescent="0.2">
      <c r="A932" s="362" t="str">
        <f>name!E$9</f>
        <v>Caring, leisure and other service</v>
      </c>
      <c r="B932" s="440">
        <v>2.111607674379137E-2</v>
      </c>
      <c r="C932" s="440">
        <v>4.6825309113670416E-2</v>
      </c>
      <c r="D932" s="440">
        <f t="shared" si="340"/>
        <v>6.7941385857461789E-2</v>
      </c>
      <c r="E932" s="441"/>
      <c r="F932" s="440">
        <v>7.8631212574773859E-2</v>
      </c>
      <c r="G932" s="440">
        <v>6.4840910306932342E-2</v>
      </c>
      <c r="H932" s="440">
        <f t="shared" si="341"/>
        <v>0.14347212288170619</v>
      </c>
      <c r="I932" s="441"/>
      <c r="J932" s="440">
        <v>8.8931934187202022E-2</v>
      </c>
      <c r="K932" s="440">
        <v>7.7383563360698987E-2</v>
      </c>
      <c r="L932" s="440">
        <f t="shared" si="342"/>
        <v>0.16631549754790101</v>
      </c>
      <c r="M932" s="347"/>
      <c r="N932" s="347"/>
    </row>
    <row r="933" spans="1:14" x14ac:dyDescent="0.2">
      <c r="A933" s="362" t="str">
        <f>name!E$10</f>
        <v>Sales and customer service</v>
      </c>
      <c r="B933" s="440">
        <v>2.8480442619888607E-2</v>
      </c>
      <c r="C933" s="440">
        <v>7.2890090726154391E-2</v>
      </c>
      <c r="D933" s="440">
        <f t="shared" si="340"/>
        <v>0.101370533346043</v>
      </c>
      <c r="E933" s="441"/>
      <c r="F933" s="440">
        <v>9.6520238185246285E-2</v>
      </c>
      <c r="G933" s="440">
        <v>0.11556182387443396</v>
      </c>
      <c r="H933" s="440">
        <f t="shared" si="341"/>
        <v>0.21208206205968025</v>
      </c>
      <c r="I933" s="441"/>
      <c r="J933" s="440">
        <v>0.11263708500688663</v>
      </c>
      <c r="K933" s="440">
        <v>0.12479020662831419</v>
      </c>
      <c r="L933" s="440">
        <f t="shared" si="342"/>
        <v>0.23742729163520082</v>
      </c>
      <c r="M933" s="347"/>
      <c r="N933" s="347"/>
    </row>
    <row r="934" spans="1:14" x14ac:dyDescent="0.2">
      <c r="A934" s="362" t="str">
        <f>name!E$11</f>
        <v>Process, plant and machine operatives</v>
      </c>
      <c r="B934" s="440">
        <v>7.0338178562137478E-3</v>
      </c>
      <c r="C934" s="440">
        <v>9.0408472772594395E-2</v>
      </c>
      <c r="D934" s="440">
        <f t="shared" si="340"/>
        <v>9.7442290628808145E-2</v>
      </c>
      <c r="E934" s="441"/>
      <c r="F934" s="440">
        <v>1.3857683499310864E-2</v>
      </c>
      <c r="G934" s="440">
        <v>8.8657739625132959E-2</v>
      </c>
      <c r="H934" s="440">
        <f t="shared" si="341"/>
        <v>0.10251542312444382</v>
      </c>
      <c r="I934" s="441"/>
      <c r="J934" s="440">
        <v>8.2886479423399887E-3</v>
      </c>
      <c r="K934" s="440">
        <v>8.6813858224273482E-2</v>
      </c>
      <c r="L934" s="440">
        <f t="shared" si="342"/>
        <v>9.5102506166613476E-2</v>
      </c>
      <c r="M934" s="347"/>
      <c r="N934" s="347"/>
    </row>
    <row r="935" spans="1:14" x14ac:dyDescent="0.2">
      <c r="A935" s="362" t="str">
        <f>name!E$12</f>
        <v>Elementary occupations</v>
      </c>
      <c r="B935" s="440">
        <v>5.8451081149673928E-2</v>
      </c>
      <c r="C935" s="440">
        <v>5.0997552538099615E-2</v>
      </c>
      <c r="D935" s="440">
        <f t="shared" si="340"/>
        <v>0.10944863368777355</v>
      </c>
      <c r="E935" s="441"/>
      <c r="F935" s="440">
        <v>0.16936323512459375</v>
      </c>
      <c r="G935" s="440">
        <v>0.11320953478004299</v>
      </c>
      <c r="H935" s="440">
        <f t="shared" si="341"/>
        <v>0.28257276990463676</v>
      </c>
      <c r="I935" s="441"/>
      <c r="J935" s="440">
        <v>0.15173640973654007</v>
      </c>
      <c r="K935" s="440">
        <v>0.17389817684350381</v>
      </c>
      <c r="L935" s="440">
        <f t="shared" si="342"/>
        <v>0.32563458658004385</v>
      </c>
      <c r="M935" s="347"/>
      <c r="N935" s="347"/>
    </row>
    <row r="936" spans="1:14" s="286" customFormat="1" x14ac:dyDescent="0.2">
      <c r="A936" s="362"/>
      <c r="B936" s="440"/>
      <c r="C936" s="440"/>
      <c r="D936" s="440"/>
      <c r="E936" s="441"/>
      <c r="F936" s="440"/>
      <c r="G936" s="440"/>
      <c r="H936" s="440"/>
      <c r="I936" s="441"/>
      <c r="J936" s="440"/>
      <c r="K936" s="440"/>
      <c r="L936" s="440"/>
      <c r="M936" s="347"/>
      <c r="N936" s="347"/>
    </row>
    <row r="937" spans="1:14" x14ac:dyDescent="0.2">
      <c r="A937" s="357" t="s">
        <v>32</v>
      </c>
      <c r="B937" s="450">
        <f>SUM(B927:B935)</f>
        <v>0.6930000000173494</v>
      </c>
      <c r="C937" s="450">
        <f t="shared" ref="C937:D937" si="343">SUM(C927:C935)</f>
        <v>2.1579999999770432</v>
      </c>
      <c r="D937" s="450">
        <f t="shared" si="343"/>
        <v>2.8509999999943929</v>
      </c>
      <c r="E937" s="450"/>
      <c r="F937" s="450">
        <f t="shared" ref="F937:H937" si="344">SUM(F927:F935)</f>
        <v>1.7759999999771543</v>
      </c>
      <c r="G937" s="450">
        <f t="shared" si="344"/>
        <v>2.3279999999920729</v>
      </c>
      <c r="H937" s="450">
        <f t="shared" si="344"/>
        <v>4.1039999999692265</v>
      </c>
      <c r="I937" s="450"/>
      <c r="J937" s="450">
        <f t="shared" ref="J937:L937" si="345">SUM(J927:J935)</f>
        <v>2.0569999999850102</v>
      </c>
      <c r="K937" s="450">
        <f t="shared" si="345"/>
        <v>2.7730000000534143</v>
      </c>
      <c r="L937" s="450">
        <f t="shared" si="345"/>
        <v>4.8300000000384236</v>
      </c>
      <c r="M937" s="347"/>
      <c r="N937" s="347"/>
    </row>
    <row r="938" spans="1:14" x14ac:dyDescent="0.2">
      <c r="A938" s="348"/>
      <c r="B938" s="348"/>
      <c r="C938" s="348"/>
      <c r="D938" s="348"/>
      <c r="E938" s="348"/>
      <c r="F938" s="348"/>
      <c r="G938" s="348"/>
      <c r="H938" s="348"/>
      <c r="I938" s="348"/>
      <c r="J938" s="348"/>
      <c r="K938" s="348"/>
      <c r="L938" s="353"/>
      <c r="M938" s="347"/>
      <c r="N938" s="347"/>
    </row>
    <row r="939" spans="1:14" x14ac:dyDescent="0.2">
      <c r="A939" s="348"/>
      <c r="B939" s="348"/>
      <c r="C939" s="348"/>
      <c r="D939" s="348"/>
      <c r="E939" s="348"/>
      <c r="F939" s="348"/>
      <c r="G939" s="348"/>
      <c r="H939" s="348"/>
      <c r="I939" s="348"/>
      <c r="J939" s="348"/>
      <c r="K939" s="348"/>
      <c r="L939" s="372" t="s">
        <v>35</v>
      </c>
      <c r="M939" s="347"/>
      <c r="N939" s="347"/>
    </row>
    <row r="940" spans="1:14" x14ac:dyDescent="0.2">
      <c r="A940" s="355"/>
      <c r="B940" s="365"/>
      <c r="C940" s="365"/>
      <c r="D940" s="365"/>
      <c r="E940" s="365"/>
      <c r="F940" s="365"/>
      <c r="G940" s="365"/>
      <c r="H940" s="365"/>
      <c r="I940" s="365"/>
      <c r="J940" s="365"/>
      <c r="K940" s="365"/>
      <c r="L940" s="347"/>
      <c r="M940" s="347"/>
      <c r="N940" s="347"/>
    </row>
    <row r="941" spans="1:14" x14ac:dyDescent="0.2">
      <c r="A941" s="354" t="str">
        <f>name!A58</f>
        <v>Advertising, etc</v>
      </c>
      <c r="B941" s="517">
        <f>B$6</f>
        <v>2007</v>
      </c>
      <c r="C941" s="517"/>
      <c r="D941" s="517"/>
      <c r="E941" s="369"/>
      <c r="F941" s="517">
        <f>F$6</f>
        <v>2017</v>
      </c>
      <c r="G941" s="517"/>
      <c r="H941" s="517"/>
      <c r="I941" s="369"/>
      <c r="J941" s="517">
        <f>J$6</f>
        <v>2027</v>
      </c>
      <c r="K941" s="517"/>
      <c r="L941" s="517"/>
      <c r="M941" s="347"/>
      <c r="N941" s="347"/>
    </row>
    <row r="942" spans="1:14" x14ac:dyDescent="0.2">
      <c r="A942" s="370"/>
      <c r="B942" s="371" t="s">
        <v>387</v>
      </c>
      <c r="C942" s="371" t="s">
        <v>388</v>
      </c>
      <c r="D942" s="371" t="s">
        <v>32</v>
      </c>
      <c r="E942" s="371"/>
      <c r="F942" s="371" t="s">
        <v>387</v>
      </c>
      <c r="G942" s="371" t="s">
        <v>388</v>
      </c>
      <c r="H942" s="371" t="s">
        <v>32</v>
      </c>
      <c r="I942" s="371"/>
      <c r="J942" s="371" t="s">
        <v>387</v>
      </c>
      <c r="K942" s="371" t="s">
        <v>388</v>
      </c>
      <c r="L942" s="371" t="s">
        <v>32</v>
      </c>
      <c r="M942" s="347"/>
      <c r="N942" s="347"/>
    </row>
    <row r="943" spans="1:14" s="286" customFormat="1" x14ac:dyDescent="0.2">
      <c r="A943" s="374"/>
      <c r="B943" s="375"/>
      <c r="C943" s="375"/>
      <c r="D943" s="375"/>
      <c r="E943" s="375"/>
      <c r="F943" s="375"/>
      <c r="G943" s="375"/>
      <c r="H943" s="375"/>
      <c r="I943" s="375"/>
      <c r="J943" s="375"/>
      <c r="K943" s="375"/>
      <c r="L943" s="375"/>
      <c r="M943" s="347"/>
      <c r="N943" s="347"/>
    </row>
    <row r="944" spans="1:14" x14ac:dyDescent="0.2">
      <c r="A944" s="362" t="str">
        <f>name!E$4</f>
        <v>Managers, directors and senior officials</v>
      </c>
      <c r="B944" s="440">
        <v>6.3024583745901003E-2</v>
      </c>
      <c r="C944" s="440">
        <v>0.20388016111889376</v>
      </c>
      <c r="D944" s="440">
        <f>SUM(B944:C944)</f>
        <v>0.26690474486479476</v>
      </c>
      <c r="E944" s="441"/>
      <c r="F944" s="440">
        <v>8.1169564547085848E-2</v>
      </c>
      <c r="G944" s="440">
        <v>8.1665858880337769E-2</v>
      </c>
      <c r="H944" s="440">
        <f>SUM(F944:G944)</f>
        <v>0.16283542342742363</v>
      </c>
      <c r="I944" s="441"/>
      <c r="J944" s="440">
        <v>0.11851850340116019</v>
      </c>
      <c r="K944" s="440">
        <v>0.10271572764601927</v>
      </c>
      <c r="L944" s="440">
        <f>SUM(J944:K944)</f>
        <v>0.22123423104717946</v>
      </c>
      <c r="M944" s="347"/>
      <c r="N944" s="347"/>
    </row>
    <row r="945" spans="1:14" x14ac:dyDescent="0.2">
      <c r="A945" s="362" t="str">
        <f>name!E$5</f>
        <v>Professional occupations</v>
      </c>
      <c r="B945" s="440">
        <v>0.20429383652728714</v>
      </c>
      <c r="C945" s="440">
        <v>0.48373260070366653</v>
      </c>
      <c r="D945" s="440">
        <f t="shared" ref="D945:D952" si="346">SUM(B945:C945)</f>
        <v>0.68802643723095369</v>
      </c>
      <c r="E945" s="441"/>
      <c r="F945" s="440">
        <v>0.20641060541862133</v>
      </c>
      <c r="G945" s="440">
        <v>0.1582387450114538</v>
      </c>
      <c r="H945" s="440">
        <f t="shared" ref="H945:H952" si="347">SUM(F945:G945)</f>
        <v>0.36464935043007513</v>
      </c>
      <c r="I945" s="441"/>
      <c r="J945" s="440">
        <v>0.30651707883253071</v>
      </c>
      <c r="K945" s="440">
        <v>0.17360260544159348</v>
      </c>
      <c r="L945" s="440">
        <f t="shared" ref="L945:L952" si="348">SUM(J945:K945)</f>
        <v>0.48011968427412421</v>
      </c>
      <c r="M945" s="347"/>
      <c r="N945" s="347"/>
    </row>
    <row r="946" spans="1:14" x14ac:dyDescent="0.2">
      <c r="A946" s="362" t="str">
        <f>name!E$6</f>
        <v>Associate professional and technical</v>
      </c>
      <c r="B946" s="440">
        <v>0.16442180710544926</v>
      </c>
      <c r="C946" s="440">
        <v>0.31758574483915858</v>
      </c>
      <c r="D946" s="440">
        <f t="shared" si="346"/>
        <v>0.48200755194460787</v>
      </c>
      <c r="E946" s="441"/>
      <c r="F946" s="440">
        <v>0.18272947980298332</v>
      </c>
      <c r="G946" s="440">
        <v>0.11306818706942365</v>
      </c>
      <c r="H946" s="440">
        <f t="shared" si="347"/>
        <v>0.29579766687240694</v>
      </c>
      <c r="I946" s="441"/>
      <c r="J946" s="440">
        <v>0.26012014775980419</v>
      </c>
      <c r="K946" s="440">
        <v>0.13396274581521284</v>
      </c>
      <c r="L946" s="440">
        <f t="shared" si="348"/>
        <v>0.39408289357501702</v>
      </c>
      <c r="M946" s="347"/>
      <c r="N946" s="347"/>
    </row>
    <row r="947" spans="1:14" x14ac:dyDescent="0.2">
      <c r="A947" s="362" t="str">
        <f>name!E$7</f>
        <v>Administrative and secretarial</v>
      </c>
      <c r="B947" s="440">
        <v>0.70860385613700261</v>
      </c>
      <c r="C947" s="440">
        <v>0.2182383665383725</v>
      </c>
      <c r="D947" s="440">
        <f t="shared" si="346"/>
        <v>0.92684222267537508</v>
      </c>
      <c r="E947" s="441"/>
      <c r="F947" s="440">
        <v>0.57633663338881269</v>
      </c>
      <c r="G947" s="440">
        <v>0.11476407423478398</v>
      </c>
      <c r="H947" s="440">
        <f t="shared" si="347"/>
        <v>0.69110070762359666</v>
      </c>
      <c r="I947" s="441"/>
      <c r="J947" s="440">
        <v>0.54903178267164032</v>
      </c>
      <c r="K947" s="440">
        <v>0.1383841092970681</v>
      </c>
      <c r="L947" s="440">
        <f t="shared" si="348"/>
        <v>0.68741589196870845</v>
      </c>
      <c r="M947" s="347"/>
      <c r="N947" s="347"/>
    </row>
    <row r="948" spans="1:14" x14ac:dyDescent="0.2">
      <c r="A948" s="362" t="str">
        <f>name!E$8</f>
        <v>Skilled trades occupations</v>
      </c>
      <c r="B948" s="440">
        <v>8.8749840138979148E-3</v>
      </c>
      <c r="C948" s="440">
        <v>6.7394628602993625E-2</v>
      </c>
      <c r="D948" s="440">
        <f t="shared" si="346"/>
        <v>7.6269612616891538E-2</v>
      </c>
      <c r="E948" s="441"/>
      <c r="F948" s="440">
        <v>7.0399542356918022E-3</v>
      </c>
      <c r="G948" s="440">
        <v>2.7577408785424425E-2</v>
      </c>
      <c r="H948" s="440">
        <f t="shared" si="347"/>
        <v>3.4617363021116225E-2</v>
      </c>
      <c r="I948" s="441"/>
      <c r="J948" s="440">
        <v>8.9465262224936361E-3</v>
      </c>
      <c r="K948" s="440">
        <v>2.9308113653479639E-2</v>
      </c>
      <c r="L948" s="440">
        <f t="shared" si="348"/>
        <v>3.8254639875973273E-2</v>
      </c>
      <c r="M948" s="347"/>
      <c r="N948" s="347"/>
    </row>
    <row r="949" spans="1:14" x14ac:dyDescent="0.2">
      <c r="A949" s="362" t="str">
        <f>name!E$9</f>
        <v>Caring, leisure and other service</v>
      </c>
      <c r="B949" s="440">
        <v>3.301877045368723E-3</v>
      </c>
      <c r="C949" s="440">
        <v>1.4682284992721404E-2</v>
      </c>
      <c r="D949" s="440">
        <f t="shared" si="346"/>
        <v>1.7984162038090126E-2</v>
      </c>
      <c r="E949" s="441"/>
      <c r="F949" s="440">
        <v>5.0027048724125252E-3</v>
      </c>
      <c r="G949" s="440">
        <v>5.9001380964007633E-3</v>
      </c>
      <c r="H949" s="440">
        <f t="shared" si="347"/>
        <v>1.0902842968813289E-2</v>
      </c>
      <c r="I949" s="441"/>
      <c r="J949" s="440">
        <v>5.9862266652699536E-3</v>
      </c>
      <c r="K949" s="440">
        <v>7.6082901869137416E-3</v>
      </c>
      <c r="L949" s="440">
        <f t="shared" si="348"/>
        <v>1.3594516852183696E-2</v>
      </c>
      <c r="M949" s="347"/>
      <c r="N949" s="347"/>
    </row>
    <row r="950" spans="1:14" x14ac:dyDescent="0.2">
      <c r="A950" s="362" t="str">
        <f>name!E$10</f>
        <v>Sales and customer service</v>
      </c>
      <c r="B950" s="440">
        <v>4.243647784380386E-2</v>
      </c>
      <c r="C950" s="440">
        <v>4.1940299378150268E-2</v>
      </c>
      <c r="D950" s="440">
        <f t="shared" si="346"/>
        <v>8.4376777221954136E-2</v>
      </c>
      <c r="E950" s="441"/>
      <c r="F950" s="440">
        <v>9.3222785386713566E-2</v>
      </c>
      <c r="G950" s="440">
        <v>3.0938318191281091E-2</v>
      </c>
      <c r="H950" s="440">
        <f t="shared" si="347"/>
        <v>0.12416110357799466</v>
      </c>
      <c r="I950" s="441"/>
      <c r="J950" s="440">
        <v>0.11433148022854976</v>
      </c>
      <c r="K950" s="440">
        <v>3.4211541056874427E-2</v>
      </c>
      <c r="L950" s="440">
        <f t="shared" si="348"/>
        <v>0.14854302128542418</v>
      </c>
      <c r="M950" s="347"/>
      <c r="N950" s="347"/>
    </row>
    <row r="951" spans="1:14" x14ac:dyDescent="0.2">
      <c r="A951" s="362" t="str">
        <f>name!E$11</f>
        <v>Process, plant and machine operatives</v>
      </c>
      <c r="B951" s="440">
        <v>4.1263108063449424E-3</v>
      </c>
      <c r="C951" s="440">
        <v>3.8179513017080384E-2</v>
      </c>
      <c r="D951" s="440">
        <f t="shared" si="346"/>
        <v>4.2305823823425327E-2</v>
      </c>
      <c r="E951" s="441"/>
      <c r="F951" s="440">
        <v>4.0726829048911561E-3</v>
      </c>
      <c r="G951" s="440">
        <v>1.7042188366398741E-2</v>
      </c>
      <c r="H951" s="440">
        <f t="shared" si="347"/>
        <v>2.1114871271289897E-2</v>
      </c>
      <c r="I951" s="441"/>
      <c r="J951" s="440">
        <v>3.5730163940089926E-3</v>
      </c>
      <c r="K951" s="440">
        <v>1.7739444641622439E-2</v>
      </c>
      <c r="L951" s="440">
        <f t="shared" si="348"/>
        <v>2.1312461035631433E-2</v>
      </c>
      <c r="M951" s="347"/>
      <c r="N951" s="347"/>
    </row>
    <row r="952" spans="1:14" x14ac:dyDescent="0.2">
      <c r="A952" s="362" t="str">
        <f>name!E$12</f>
        <v>Elementary occupations</v>
      </c>
      <c r="B952" s="440">
        <v>3.0916266776608387E-2</v>
      </c>
      <c r="C952" s="440">
        <v>2.1366400783793791E-2</v>
      </c>
      <c r="D952" s="440">
        <f t="shared" si="346"/>
        <v>5.2282667560402174E-2</v>
      </c>
      <c r="E952" s="441"/>
      <c r="F952" s="440">
        <v>2.9015589432744623E-2</v>
      </c>
      <c r="G952" s="440">
        <v>1.0805081356191378E-2</v>
      </c>
      <c r="H952" s="440">
        <f t="shared" si="347"/>
        <v>3.9820670788936002E-2</v>
      </c>
      <c r="I952" s="441"/>
      <c r="J952" s="440">
        <v>3.0975237812528134E-2</v>
      </c>
      <c r="K952" s="440">
        <v>1.3467422265601828E-2</v>
      </c>
      <c r="L952" s="440">
        <f t="shared" si="348"/>
        <v>4.4442660078129963E-2</v>
      </c>
      <c r="M952" s="347"/>
      <c r="N952" s="347"/>
    </row>
    <row r="953" spans="1:14" s="286" customFormat="1" x14ac:dyDescent="0.2">
      <c r="A953" s="362"/>
      <c r="B953" s="440"/>
      <c r="C953" s="440"/>
      <c r="D953" s="440"/>
      <c r="E953" s="441"/>
      <c r="F953" s="440"/>
      <c r="G953" s="440"/>
      <c r="H953" s="440"/>
      <c r="I953" s="441"/>
      <c r="J953" s="440"/>
      <c r="K953" s="440"/>
      <c r="L953" s="440"/>
      <c r="M953" s="347"/>
      <c r="N953" s="347"/>
    </row>
    <row r="954" spans="1:14" x14ac:dyDescent="0.2">
      <c r="A954" s="357" t="s">
        <v>32</v>
      </c>
      <c r="B954" s="450">
        <f>SUM(B944:B952)</f>
        <v>1.2300000000016638</v>
      </c>
      <c r="C954" s="450">
        <f t="shared" ref="C954:D954" si="349">SUM(C944:C952)</f>
        <v>1.4069999999748308</v>
      </c>
      <c r="D954" s="450">
        <f t="shared" si="349"/>
        <v>2.6369999999764944</v>
      </c>
      <c r="E954" s="450"/>
      <c r="F954" s="450">
        <f t="shared" ref="F954:H954" si="350">SUM(F944:F952)</f>
        <v>1.184999999989957</v>
      </c>
      <c r="G954" s="450">
        <f t="shared" si="350"/>
        <v>0.55999999999169559</v>
      </c>
      <c r="H954" s="450">
        <f t="shared" si="350"/>
        <v>1.7449999999816523</v>
      </c>
      <c r="I954" s="450"/>
      <c r="J954" s="450">
        <f t="shared" ref="J954:L954" si="351">SUM(J944:J952)</f>
        <v>1.397999999987986</v>
      </c>
      <c r="K954" s="450">
        <f t="shared" si="351"/>
        <v>0.65100000000438585</v>
      </c>
      <c r="L954" s="450">
        <f t="shared" si="351"/>
        <v>2.0489999999923718</v>
      </c>
      <c r="M954" s="347"/>
      <c r="N954" s="347"/>
    </row>
    <row r="955" spans="1:14" x14ac:dyDescent="0.2">
      <c r="A955" s="348"/>
      <c r="B955" s="348"/>
      <c r="C955" s="348"/>
      <c r="D955" s="348"/>
      <c r="E955" s="348"/>
      <c r="F955" s="348"/>
      <c r="G955" s="348"/>
      <c r="H955" s="348"/>
      <c r="I955" s="348"/>
      <c r="J955" s="348"/>
      <c r="K955" s="348"/>
      <c r="L955" s="353"/>
      <c r="M955" s="347"/>
      <c r="N955" s="347"/>
    </row>
    <row r="956" spans="1:14" x14ac:dyDescent="0.2">
      <c r="A956" s="348"/>
      <c r="B956" s="348"/>
      <c r="C956" s="348"/>
      <c r="D956" s="348"/>
      <c r="E956" s="348"/>
      <c r="F956" s="348"/>
      <c r="G956" s="348"/>
      <c r="H956" s="348"/>
      <c r="I956" s="348"/>
      <c r="J956" s="348"/>
      <c r="K956" s="348"/>
      <c r="L956" s="372" t="s">
        <v>35</v>
      </c>
      <c r="M956" s="347"/>
      <c r="N956" s="347"/>
    </row>
    <row r="957" spans="1:14" x14ac:dyDescent="0.2">
      <c r="A957" s="355"/>
      <c r="B957" s="365"/>
      <c r="C957" s="365"/>
      <c r="D957" s="365"/>
      <c r="E957" s="365"/>
      <c r="F957" s="365"/>
      <c r="G957" s="365"/>
      <c r="H957" s="365"/>
      <c r="I957" s="365"/>
      <c r="J957" s="365"/>
      <c r="K957" s="365"/>
      <c r="L957" s="347"/>
      <c r="M957" s="347"/>
      <c r="N957" s="347"/>
    </row>
    <row r="958" spans="1:14" x14ac:dyDescent="0.2">
      <c r="A958" s="354" t="str">
        <f>name!A59</f>
        <v>Other professional</v>
      </c>
      <c r="B958" s="517">
        <f>B$6</f>
        <v>2007</v>
      </c>
      <c r="C958" s="517"/>
      <c r="D958" s="517"/>
      <c r="E958" s="369"/>
      <c r="F958" s="517">
        <f>F$6</f>
        <v>2017</v>
      </c>
      <c r="G958" s="517"/>
      <c r="H958" s="517"/>
      <c r="I958" s="369"/>
      <c r="J958" s="517">
        <f>J$6</f>
        <v>2027</v>
      </c>
      <c r="K958" s="517"/>
      <c r="L958" s="517"/>
      <c r="M958" s="347"/>
      <c r="N958" s="347"/>
    </row>
    <row r="959" spans="1:14" x14ac:dyDescent="0.2">
      <c r="A959" s="370"/>
      <c r="B959" s="371" t="s">
        <v>387</v>
      </c>
      <c r="C959" s="371" t="s">
        <v>388</v>
      </c>
      <c r="D959" s="371" t="s">
        <v>32</v>
      </c>
      <c r="E959" s="371"/>
      <c r="F959" s="371" t="s">
        <v>387</v>
      </c>
      <c r="G959" s="371" t="s">
        <v>388</v>
      </c>
      <c r="H959" s="371" t="s">
        <v>32</v>
      </c>
      <c r="I959" s="371"/>
      <c r="J959" s="371" t="s">
        <v>387</v>
      </c>
      <c r="K959" s="371" t="s">
        <v>388</v>
      </c>
      <c r="L959" s="371" t="s">
        <v>32</v>
      </c>
      <c r="M959" s="347"/>
      <c r="N959" s="347"/>
    </row>
    <row r="960" spans="1:14" s="286" customFormat="1" x14ac:dyDescent="0.2">
      <c r="A960" s="374"/>
      <c r="B960" s="375"/>
      <c r="C960" s="375"/>
      <c r="D960" s="375"/>
      <c r="E960" s="375"/>
      <c r="F960" s="375"/>
      <c r="G960" s="375"/>
      <c r="H960" s="375"/>
      <c r="I960" s="375"/>
      <c r="J960" s="375"/>
      <c r="K960" s="375"/>
      <c r="L960" s="375"/>
      <c r="M960" s="347"/>
      <c r="N960" s="347"/>
    </row>
    <row r="961" spans="1:14" x14ac:dyDescent="0.2">
      <c r="A961" s="362" t="str">
        <f>name!E$4</f>
        <v>Managers, directors and senior officials</v>
      </c>
      <c r="B961" s="440">
        <v>0.14273085071907166</v>
      </c>
      <c r="C961" s="440">
        <v>0.70443056720687081</v>
      </c>
      <c r="D961" s="440">
        <f>SUM(B961:C961)</f>
        <v>0.84716141792594246</v>
      </c>
      <c r="E961" s="441"/>
      <c r="F961" s="440">
        <v>0.16922569372987112</v>
      </c>
      <c r="G961" s="440">
        <v>0.28800019615663153</v>
      </c>
      <c r="H961" s="440">
        <f>SUM(F961:G961)</f>
        <v>0.45722588988650265</v>
      </c>
      <c r="I961" s="441"/>
      <c r="J961" s="440">
        <v>0.25369119435301074</v>
      </c>
      <c r="K961" s="440">
        <v>0.3641256932315976</v>
      </c>
      <c r="L961" s="440">
        <f>SUM(J961:K961)</f>
        <v>0.6178168875846084</v>
      </c>
      <c r="M961" s="347"/>
      <c r="N961" s="347"/>
    </row>
    <row r="962" spans="1:14" x14ac:dyDescent="0.2">
      <c r="A962" s="362" t="str">
        <f>name!E$5</f>
        <v>Professional occupations</v>
      </c>
      <c r="B962" s="440">
        <v>0.42971455622018356</v>
      </c>
      <c r="C962" s="440">
        <v>1.1223348033413143</v>
      </c>
      <c r="D962" s="440">
        <f t="shared" ref="D962:D969" si="352">SUM(B962:C962)</f>
        <v>1.5520493595614979</v>
      </c>
      <c r="E962" s="441"/>
      <c r="F962" s="440">
        <v>0.4618315759608555</v>
      </c>
      <c r="G962" s="440">
        <v>0.36059728791537099</v>
      </c>
      <c r="H962" s="440">
        <f t="shared" ref="H962:H969" si="353">SUM(F962:G962)</f>
        <v>0.82242886387622649</v>
      </c>
      <c r="I962" s="441"/>
      <c r="J962" s="440">
        <v>0.69470697089471811</v>
      </c>
      <c r="K962" s="440">
        <v>0.38685043145221848</v>
      </c>
      <c r="L962" s="440">
        <f t="shared" ref="L962:L969" si="354">SUM(J962:K962)</f>
        <v>1.0815574023469365</v>
      </c>
      <c r="M962" s="347"/>
      <c r="N962" s="347"/>
    </row>
    <row r="963" spans="1:14" x14ac:dyDescent="0.2">
      <c r="A963" s="362" t="str">
        <f>name!E$6</f>
        <v>Associate professional and technical</v>
      </c>
      <c r="B963" s="440">
        <v>0.50373897701350601</v>
      </c>
      <c r="C963" s="440">
        <v>1.0140175514009293</v>
      </c>
      <c r="D963" s="440">
        <f t="shared" si="352"/>
        <v>1.5177565284144352</v>
      </c>
      <c r="E963" s="441"/>
      <c r="F963" s="440">
        <v>0.45343616752757387</v>
      </c>
      <c r="G963" s="440">
        <v>0.40344966956127543</v>
      </c>
      <c r="H963" s="440">
        <f t="shared" si="353"/>
        <v>0.85688583708884924</v>
      </c>
      <c r="I963" s="441"/>
      <c r="J963" s="440">
        <v>0.63174528230662874</v>
      </c>
      <c r="K963" s="440">
        <v>0.4636204339729133</v>
      </c>
      <c r="L963" s="440">
        <f t="shared" si="354"/>
        <v>1.095365716279542</v>
      </c>
      <c r="M963" s="347"/>
      <c r="N963" s="347"/>
    </row>
    <row r="964" spans="1:14" x14ac:dyDescent="0.2">
      <c r="A964" s="362" t="str">
        <f>name!E$7</f>
        <v>Administrative and secretarial</v>
      </c>
      <c r="B964" s="440">
        <v>1.6587690064408893</v>
      </c>
      <c r="C964" s="440">
        <v>0.54394667758692272</v>
      </c>
      <c r="D964" s="440">
        <f t="shared" si="352"/>
        <v>2.2027156840278121</v>
      </c>
      <c r="E964" s="441"/>
      <c r="F964" s="440">
        <v>0.95794060588995966</v>
      </c>
      <c r="G964" s="440">
        <v>0.26393679763165862</v>
      </c>
      <c r="H964" s="440">
        <f t="shared" si="353"/>
        <v>1.2218774035216182</v>
      </c>
      <c r="I964" s="441"/>
      <c r="J964" s="440">
        <v>0.84746223463806236</v>
      </c>
      <c r="K964" s="440">
        <v>0.32238314508171184</v>
      </c>
      <c r="L964" s="440">
        <f t="shared" si="354"/>
        <v>1.1698453797197743</v>
      </c>
      <c r="M964" s="347"/>
      <c r="N964" s="347"/>
    </row>
    <row r="965" spans="1:14" x14ac:dyDescent="0.2">
      <c r="A965" s="362" t="str">
        <f>name!E$8</f>
        <v>Skilled trades occupations</v>
      </c>
      <c r="B965" s="440">
        <v>2.7095881685668205E-2</v>
      </c>
      <c r="C965" s="440">
        <v>0.32664573887413834</v>
      </c>
      <c r="D965" s="440">
        <f t="shared" si="352"/>
        <v>0.35374162055980651</v>
      </c>
      <c r="E965" s="441"/>
      <c r="F965" s="440">
        <v>1.9562897036774145E-2</v>
      </c>
      <c r="G965" s="440">
        <v>0.134914886533789</v>
      </c>
      <c r="H965" s="440">
        <f t="shared" si="353"/>
        <v>0.15447778357056313</v>
      </c>
      <c r="I965" s="441"/>
      <c r="J965" s="440">
        <v>2.8057991202328429E-2</v>
      </c>
      <c r="K965" s="440">
        <v>0.15593677849774087</v>
      </c>
      <c r="L965" s="440">
        <f t="shared" si="354"/>
        <v>0.18399476970006931</v>
      </c>
      <c r="M965" s="347"/>
      <c r="N965" s="347"/>
    </row>
    <row r="966" spans="1:14" x14ac:dyDescent="0.2">
      <c r="A966" s="362" t="str">
        <f>name!E$9</f>
        <v>Caring, leisure and other service</v>
      </c>
      <c r="B966" s="440">
        <v>0.14540667377610958</v>
      </c>
      <c r="C966" s="440">
        <v>9.473358005718982E-2</v>
      </c>
      <c r="D966" s="440">
        <f t="shared" si="352"/>
        <v>0.2401402538332994</v>
      </c>
      <c r="E966" s="441"/>
      <c r="F966" s="440">
        <v>0.18625841540123705</v>
      </c>
      <c r="G966" s="440">
        <v>5.704629557687696E-2</v>
      </c>
      <c r="H966" s="440">
        <f t="shared" si="353"/>
        <v>0.24330471097811401</v>
      </c>
      <c r="I966" s="441"/>
      <c r="J966" s="440">
        <v>0.26068696807784181</v>
      </c>
      <c r="K966" s="440">
        <v>7.1229747239224497E-2</v>
      </c>
      <c r="L966" s="440">
        <f t="shared" si="354"/>
        <v>0.33191671531706629</v>
      </c>
      <c r="M966" s="347"/>
      <c r="N966" s="347"/>
    </row>
    <row r="967" spans="1:14" x14ac:dyDescent="0.2">
      <c r="A967" s="362" t="str">
        <f>name!E$10</f>
        <v>Sales and customer service</v>
      </c>
      <c r="B967" s="440">
        <v>0.20892873387211988</v>
      </c>
      <c r="C967" s="440">
        <v>0.2187340348007997</v>
      </c>
      <c r="D967" s="440">
        <f t="shared" si="352"/>
        <v>0.42766276867291958</v>
      </c>
      <c r="E967" s="441"/>
      <c r="F967" s="440">
        <v>0.23944866884126306</v>
      </c>
      <c r="G967" s="440">
        <v>0.17453661379360469</v>
      </c>
      <c r="H967" s="440">
        <f t="shared" si="353"/>
        <v>0.41398528263486778</v>
      </c>
      <c r="I967" s="441"/>
      <c r="J967" s="440">
        <v>0.28578353586485106</v>
      </c>
      <c r="K967" s="440">
        <v>0.2372712462367855</v>
      </c>
      <c r="L967" s="440">
        <f t="shared" si="354"/>
        <v>0.52305478210163658</v>
      </c>
      <c r="M967" s="347"/>
      <c r="N967" s="347"/>
    </row>
    <row r="968" spans="1:14" x14ac:dyDescent="0.2">
      <c r="A968" s="362" t="str">
        <f>name!E$11</f>
        <v>Process, plant and machine operatives</v>
      </c>
      <c r="B968" s="440">
        <v>3.3002460653052339E-2</v>
      </c>
      <c r="C968" s="440">
        <v>0.25534421884497016</v>
      </c>
      <c r="D968" s="440">
        <f t="shared" si="352"/>
        <v>0.28834667949802251</v>
      </c>
      <c r="E968" s="441"/>
      <c r="F968" s="440">
        <v>1.9791636816541201E-2</v>
      </c>
      <c r="G968" s="440">
        <v>8.0207525325032808E-2</v>
      </c>
      <c r="H968" s="440">
        <f t="shared" si="353"/>
        <v>9.9999162141574005E-2</v>
      </c>
      <c r="I968" s="441"/>
      <c r="J968" s="440">
        <v>1.4771596519793297E-2</v>
      </c>
      <c r="K968" s="440">
        <v>8.856071306723752E-2</v>
      </c>
      <c r="L968" s="440">
        <f t="shared" si="354"/>
        <v>0.10333230958703082</v>
      </c>
      <c r="M968" s="347"/>
      <c r="N968" s="347"/>
    </row>
    <row r="969" spans="1:14" x14ac:dyDescent="0.2">
      <c r="A969" s="362" t="str">
        <f>name!E$12</f>
        <v>Elementary occupations</v>
      </c>
      <c r="B969" s="440">
        <v>0.73761285960952405</v>
      </c>
      <c r="C969" s="440">
        <v>1.0668128278114692</v>
      </c>
      <c r="D969" s="440">
        <f t="shared" si="352"/>
        <v>1.8044256874209932</v>
      </c>
      <c r="E969" s="441"/>
      <c r="F969" s="440">
        <v>0.38050433877078293</v>
      </c>
      <c r="G969" s="440">
        <v>0.49931072747976707</v>
      </c>
      <c r="H969" s="440">
        <f t="shared" si="353"/>
        <v>0.87981506625054995</v>
      </c>
      <c r="I969" s="441"/>
      <c r="J969" s="440">
        <v>0.32909422610935507</v>
      </c>
      <c r="K969" s="440">
        <v>0.62602181122792033</v>
      </c>
      <c r="L969" s="440">
        <f t="shared" si="354"/>
        <v>0.95511603733727535</v>
      </c>
      <c r="M969" s="347"/>
      <c r="N969" s="347"/>
    </row>
    <row r="970" spans="1:14" s="286" customFormat="1" x14ac:dyDescent="0.2">
      <c r="A970" s="362"/>
      <c r="B970" s="440"/>
      <c r="C970" s="440"/>
      <c r="D970" s="440"/>
      <c r="E970" s="441"/>
      <c r="F970" s="440"/>
      <c r="G970" s="440"/>
      <c r="H970" s="440"/>
      <c r="I970" s="441"/>
      <c r="J970" s="440"/>
      <c r="K970" s="440"/>
      <c r="L970" s="440"/>
      <c r="M970" s="347"/>
      <c r="N970" s="347"/>
    </row>
    <row r="971" spans="1:14" x14ac:dyDescent="0.2">
      <c r="A971" s="357" t="s">
        <v>32</v>
      </c>
      <c r="B971" s="450">
        <f>SUM(B961:B969)</f>
        <v>3.8869999999901244</v>
      </c>
      <c r="C971" s="450">
        <f t="shared" ref="C971:D971" si="355">SUM(C961:C969)</f>
        <v>5.3469999999246056</v>
      </c>
      <c r="D971" s="450">
        <f t="shared" si="355"/>
        <v>9.2339999999147295</v>
      </c>
      <c r="E971" s="450"/>
      <c r="F971" s="450">
        <f t="shared" ref="F971:H971" si="356">SUM(F961:F969)</f>
        <v>2.8879999999748591</v>
      </c>
      <c r="G971" s="450">
        <f t="shared" si="356"/>
        <v>2.261999999974007</v>
      </c>
      <c r="H971" s="450">
        <f t="shared" si="356"/>
        <v>5.1499999999488653</v>
      </c>
      <c r="I971" s="450"/>
      <c r="J971" s="450">
        <f t="shared" ref="J971:L971" si="357">SUM(J961:J969)</f>
        <v>3.3459999999665895</v>
      </c>
      <c r="K971" s="450">
        <f t="shared" si="357"/>
        <v>2.7160000000073499</v>
      </c>
      <c r="L971" s="450">
        <f t="shared" si="357"/>
        <v>6.0619999999739402</v>
      </c>
      <c r="M971" s="347"/>
      <c r="N971" s="347"/>
    </row>
    <row r="972" spans="1:14" x14ac:dyDescent="0.2">
      <c r="A972" s="348"/>
      <c r="B972" s="348"/>
      <c r="C972" s="348"/>
      <c r="D972" s="348"/>
      <c r="E972" s="348"/>
      <c r="F972" s="348"/>
      <c r="G972" s="348"/>
      <c r="H972" s="348"/>
      <c r="I972" s="348"/>
      <c r="J972" s="348"/>
      <c r="K972" s="348"/>
      <c r="L972" s="353"/>
      <c r="M972" s="347"/>
      <c r="N972" s="347"/>
    </row>
    <row r="973" spans="1:14" x14ac:dyDescent="0.2">
      <c r="A973" s="348"/>
      <c r="B973" s="348"/>
      <c r="C973" s="348"/>
      <c r="D973" s="348"/>
      <c r="E973" s="348"/>
      <c r="F973" s="348"/>
      <c r="G973" s="348"/>
      <c r="H973" s="348"/>
      <c r="I973" s="348"/>
      <c r="J973" s="348"/>
      <c r="K973" s="348"/>
      <c r="L973" s="372" t="s">
        <v>35</v>
      </c>
      <c r="M973" s="347"/>
      <c r="N973" s="347"/>
    </row>
    <row r="974" spans="1:14" x14ac:dyDescent="0.2">
      <c r="A974" s="355"/>
      <c r="B974" s="365"/>
      <c r="C974" s="365"/>
      <c r="D974" s="365"/>
      <c r="E974" s="365"/>
      <c r="F974" s="365"/>
      <c r="G974" s="365"/>
      <c r="H974" s="365"/>
      <c r="I974" s="365"/>
      <c r="J974" s="365"/>
      <c r="K974" s="365"/>
      <c r="L974" s="347"/>
      <c r="M974" s="347"/>
      <c r="N974" s="347"/>
    </row>
    <row r="975" spans="1:14" x14ac:dyDescent="0.2">
      <c r="A975" s="354" t="str">
        <f>name!A60</f>
        <v>Veterinary</v>
      </c>
      <c r="B975" s="517">
        <f>B$6</f>
        <v>2007</v>
      </c>
      <c r="C975" s="517"/>
      <c r="D975" s="517"/>
      <c r="E975" s="369"/>
      <c r="F975" s="517">
        <f>F$6</f>
        <v>2017</v>
      </c>
      <c r="G975" s="517"/>
      <c r="H975" s="517"/>
      <c r="I975" s="369"/>
      <c r="J975" s="517">
        <f>J$6</f>
        <v>2027</v>
      </c>
      <c r="K975" s="517"/>
      <c r="L975" s="517"/>
      <c r="M975" s="347"/>
      <c r="N975" s="347"/>
    </row>
    <row r="976" spans="1:14" x14ac:dyDescent="0.2">
      <c r="A976" s="370"/>
      <c r="B976" s="371" t="s">
        <v>387</v>
      </c>
      <c r="C976" s="371" t="s">
        <v>388</v>
      </c>
      <c r="D976" s="371" t="s">
        <v>32</v>
      </c>
      <c r="E976" s="371"/>
      <c r="F976" s="371" t="s">
        <v>387</v>
      </c>
      <c r="G976" s="371" t="s">
        <v>388</v>
      </c>
      <c r="H976" s="371" t="s">
        <v>32</v>
      </c>
      <c r="I976" s="371"/>
      <c r="J976" s="371" t="s">
        <v>387</v>
      </c>
      <c r="K976" s="371" t="s">
        <v>388</v>
      </c>
      <c r="L976" s="371" t="s">
        <v>32</v>
      </c>
      <c r="M976" s="347"/>
      <c r="N976" s="347"/>
    </row>
    <row r="977" spans="1:14" s="286" customFormat="1" x14ac:dyDescent="0.2">
      <c r="A977" s="374"/>
      <c r="B977" s="375"/>
      <c r="C977" s="375"/>
      <c r="D977" s="375"/>
      <c r="E977" s="375"/>
      <c r="F977" s="375"/>
      <c r="G977" s="375"/>
      <c r="H977" s="375"/>
      <c r="I977" s="375"/>
      <c r="J977" s="375"/>
      <c r="K977" s="375"/>
      <c r="L977" s="375"/>
      <c r="M977" s="347"/>
      <c r="N977" s="347"/>
    </row>
    <row r="978" spans="1:14" x14ac:dyDescent="0.2">
      <c r="A978" s="362" t="str">
        <f>name!E$4</f>
        <v>Managers, directors and senior officials</v>
      </c>
      <c r="B978" s="440">
        <v>4.3266225475284768E-2</v>
      </c>
      <c r="C978" s="440">
        <v>8.3763822307392391E-2</v>
      </c>
      <c r="D978" s="440">
        <f>SUM(B978:C978)</f>
        <v>0.12703004778267715</v>
      </c>
      <c r="E978" s="441"/>
      <c r="F978" s="440">
        <v>3.9114023610709536E-2</v>
      </c>
      <c r="G978" s="440">
        <v>3.247970071376597E-2</v>
      </c>
      <c r="H978" s="440">
        <f>SUM(F978:G978)</f>
        <v>7.1593724324475499E-2</v>
      </c>
      <c r="I978" s="441"/>
      <c r="J978" s="440">
        <v>4.082764608523607E-2</v>
      </c>
      <c r="K978" s="440">
        <v>3.852758644840764E-2</v>
      </c>
      <c r="L978" s="440">
        <f>SUM(J978:K978)</f>
        <v>7.935523253364371E-2</v>
      </c>
      <c r="M978" s="347"/>
      <c r="N978" s="347"/>
    </row>
    <row r="979" spans="1:14" x14ac:dyDescent="0.2">
      <c r="A979" s="362" t="str">
        <f>name!E$5</f>
        <v>Professional occupations</v>
      </c>
      <c r="B979" s="440">
        <v>0.43058855783253036</v>
      </c>
      <c r="C979" s="440">
        <v>0.65265549538406264</v>
      </c>
      <c r="D979" s="440">
        <f t="shared" ref="D979:D986" si="358">SUM(B979:C979)</f>
        <v>1.083244053216593</v>
      </c>
      <c r="E979" s="441"/>
      <c r="F979" s="440">
        <v>0.44600805747347078</v>
      </c>
      <c r="G979" s="440">
        <v>0.3164873807447609</v>
      </c>
      <c r="H979" s="440">
        <f t="shared" ref="H979:H986" si="359">SUM(F979:G979)</f>
        <v>0.76249543821823162</v>
      </c>
      <c r="I979" s="441"/>
      <c r="J979" s="440">
        <v>0.56571932190887086</v>
      </c>
      <c r="K979" s="440">
        <v>0.38215068389965734</v>
      </c>
      <c r="L979" s="440">
        <f t="shared" ref="L979:L986" si="360">SUM(J979:K979)</f>
        <v>0.9478700058085282</v>
      </c>
      <c r="M979" s="347"/>
      <c r="N979" s="347"/>
    </row>
    <row r="980" spans="1:14" x14ac:dyDescent="0.2">
      <c r="A980" s="362" t="str">
        <f>name!E$6</f>
        <v>Associate professional and technical</v>
      </c>
      <c r="B980" s="440">
        <v>0.15505777496932294</v>
      </c>
      <c r="C980" s="440">
        <v>0.26600524011660431</v>
      </c>
      <c r="D980" s="440">
        <f t="shared" si="358"/>
        <v>0.42106301508592725</v>
      </c>
      <c r="E980" s="441"/>
      <c r="F980" s="440">
        <v>0.14709644433611685</v>
      </c>
      <c r="G980" s="440">
        <v>0.13347359412767337</v>
      </c>
      <c r="H980" s="440">
        <f t="shared" si="359"/>
        <v>0.28057003846379025</v>
      </c>
      <c r="I980" s="441"/>
      <c r="J980" s="440">
        <v>0.18067933630665356</v>
      </c>
      <c r="K980" s="440">
        <v>0.16401663706210809</v>
      </c>
      <c r="L980" s="440">
        <f t="shared" si="360"/>
        <v>0.34469597336876168</v>
      </c>
      <c r="M980" s="347"/>
      <c r="N980" s="347"/>
    </row>
    <row r="981" spans="1:14" x14ac:dyDescent="0.2">
      <c r="A981" s="362" t="str">
        <f>name!E$7</f>
        <v>Administrative and secretarial</v>
      </c>
      <c r="B981" s="440">
        <v>0.14800420805627895</v>
      </c>
      <c r="C981" s="440">
        <v>5.6244139637888553E-2</v>
      </c>
      <c r="D981" s="440">
        <f t="shared" si="358"/>
        <v>0.2042483476941675</v>
      </c>
      <c r="E981" s="441"/>
      <c r="F981" s="440">
        <v>8.5661790868519258E-2</v>
      </c>
      <c r="G981" s="440">
        <v>2.3606268058391604E-2</v>
      </c>
      <c r="H981" s="440">
        <f t="shared" si="359"/>
        <v>0.10926805892691085</v>
      </c>
      <c r="I981" s="441"/>
      <c r="J981" s="440">
        <v>4.4404622438891053E-2</v>
      </c>
      <c r="K981" s="440">
        <v>2.1153334782226432E-2</v>
      </c>
      <c r="L981" s="440">
        <f t="shared" si="360"/>
        <v>6.5557957221117485E-2</v>
      </c>
      <c r="M981" s="347"/>
      <c r="N981" s="347"/>
    </row>
    <row r="982" spans="1:14" x14ac:dyDescent="0.2">
      <c r="A982" s="362" t="str">
        <f>name!E$8</f>
        <v>Skilled trades occupations</v>
      </c>
      <c r="B982" s="440">
        <v>1.8788315575417373E-2</v>
      </c>
      <c r="C982" s="440">
        <v>7.564097172444352E-2</v>
      </c>
      <c r="D982" s="440">
        <f t="shared" si="358"/>
        <v>9.4429287299860887E-2</v>
      </c>
      <c r="E982" s="441"/>
      <c r="F982" s="440">
        <v>8.7375479377825201E-3</v>
      </c>
      <c r="G982" s="440">
        <v>1.5731005919285005E-2</v>
      </c>
      <c r="H982" s="440">
        <f t="shared" si="359"/>
        <v>2.4468553857067525E-2</v>
      </c>
      <c r="I982" s="441"/>
      <c r="J982" s="440">
        <v>4.5428299083874676E-3</v>
      </c>
      <c r="K982" s="440">
        <v>1.299725795382402E-2</v>
      </c>
      <c r="L982" s="440">
        <f t="shared" si="360"/>
        <v>1.7540087862211486E-2</v>
      </c>
      <c r="M982" s="347"/>
      <c r="N982" s="347"/>
    </row>
    <row r="983" spans="1:14" x14ac:dyDescent="0.2">
      <c r="A983" s="362" t="str">
        <f>name!E$9</f>
        <v>Caring, leisure and other service</v>
      </c>
      <c r="B983" s="440">
        <v>0.56833072756675973</v>
      </c>
      <c r="C983" s="440">
        <v>0.2594664496386877</v>
      </c>
      <c r="D983" s="440">
        <f t="shared" si="358"/>
        <v>0.82779717720544743</v>
      </c>
      <c r="E983" s="441"/>
      <c r="F983" s="440">
        <v>0.54324217886778936</v>
      </c>
      <c r="G983" s="440">
        <v>0.10877054757644396</v>
      </c>
      <c r="H983" s="440">
        <f t="shared" si="359"/>
        <v>0.65201272644423336</v>
      </c>
      <c r="I983" s="441"/>
      <c r="J983" s="440">
        <v>0.66588136383952667</v>
      </c>
      <c r="K983" s="440">
        <v>0.14407801519157981</v>
      </c>
      <c r="L983" s="440">
        <f t="shared" si="360"/>
        <v>0.80995937903110649</v>
      </c>
      <c r="M983" s="347"/>
      <c r="N983" s="347"/>
    </row>
    <row r="984" spans="1:14" x14ac:dyDescent="0.2">
      <c r="A984" s="362" t="str">
        <f>name!E$10</f>
        <v>Sales and customer service</v>
      </c>
      <c r="B984" s="440">
        <v>1.5418320618919606E-2</v>
      </c>
      <c r="C984" s="440">
        <v>1.6814130167674263E-2</v>
      </c>
      <c r="D984" s="440">
        <f t="shared" si="358"/>
        <v>3.2232450786593869E-2</v>
      </c>
      <c r="E984" s="441"/>
      <c r="F984" s="440">
        <v>1.4601164625933673E-2</v>
      </c>
      <c r="G984" s="440">
        <v>6.881188551236944E-3</v>
      </c>
      <c r="H984" s="440">
        <f t="shared" si="359"/>
        <v>2.1482353177170618E-2</v>
      </c>
      <c r="I984" s="441"/>
      <c r="J984" s="440">
        <v>1.4788610027145908E-2</v>
      </c>
      <c r="K984" s="440">
        <v>6.7650289343054735E-3</v>
      </c>
      <c r="L984" s="440">
        <f t="shared" si="360"/>
        <v>2.155363896145138E-2</v>
      </c>
      <c r="M984" s="347"/>
      <c r="N984" s="347"/>
    </row>
    <row r="985" spans="1:14" x14ac:dyDescent="0.2">
      <c r="A985" s="362" t="str">
        <f>name!E$11</f>
        <v>Process, plant and machine operatives</v>
      </c>
      <c r="B985" s="440">
        <v>6.5618932892781571E-3</v>
      </c>
      <c r="C985" s="440">
        <v>5.2670913046442468E-2</v>
      </c>
      <c r="D985" s="440">
        <f t="shared" si="358"/>
        <v>5.9232806335720624E-2</v>
      </c>
      <c r="E985" s="441"/>
      <c r="F985" s="440">
        <v>3.7009603706140977E-3</v>
      </c>
      <c r="G985" s="440">
        <v>1.4984442082018355E-2</v>
      </c>
      <c r="H985" s="440">
        <f t="shared" si="359"/>
        <v>1.8685402452632453E-2</v>
      </c>
      <c r="I985" s="441"/>
      <c r="J985" s="440">
        <v>1.7545104134442373E-3</v>
      </c>
      <c r="K985" s="440">
        <v>1.2082719054091157E-2</v>
      </c>
      <c r="L985" s="440">
        <f t="shared" si="360"/>
        <v>1.3837229467535395E-2</v>
      </c>
      <c r="M985" s="347"/>
      <c r="N985" s="347"/>
    </row>
    <row r="986" spans="1:14" x14ac:dyDescent="0.2">
      <c r="A986" s="362" t="str">
        <f>name!E$12</f>
        <v>Elementary occupations</v>
      </c>
      <c r="B986" s="440">
        <v>0.1029839766027498</v>
      </c>
      <c r="C986" s="440">
        <v>0.1107388379508938</v>
      </c>
      <c r="D986" s="440">
        <f t="shared" si="358"/>
        <v>0.21372281455364361</v>
      </c>
      <c r="E986" s="441"/>
      <c r="F986" s="440">
        <v>3.1837831863256304E-2</v>
      </c>
      <c r="G986" s="440">
        <v>2.7585872220163482E-2</v>
      </c>
      <c r="H986" s="440">
        <f t="shared" si="359"/>
        <v>5.9423704083419786E-2</v>
      </c>
      <c r="I986" s="441"/>
      <c r="J986" s="440">
        <v>2.0401759037113665E-2</v>
      </c>
      <c r="K986" s="440">
        <v>2.5228736683660793E-2</v>
      </c>
      <c r="L986" s="440">
        <f t="shared" si="360"/>
        <v>4.5630495720774461E-2</v>
      </c>
      <c r="M986" s="347"/>
      <c r="N986" s="347"/>
    </row>
    <row r="987" spans="1:14" s="286" customFormat="1" x14ac:dyDescent="0.2">
      <c r="A987" s="362"/>
      <c r="B987" s="440"/>
      <c r="C987" s="440"/>
      <c r="D987" s="440"/>
      <c r="E987" s="441"/>
      <c r="F987" s="440"/>
      <c r="G987" s="440"/>
      <c r="H987" s="440"/>
      <c r="I987" s="441"/>
      <c r="J987" s="440"/>
      <c r="K987" s="440"/>
      <c r="L987" s="440"/>
      <c r="M987" s="347"/>
      <c r="N987" s="347"/>
    </row>
    <row r="988" spans="1:14" x14ac:dyDescent="0.2">
      <c r="A988" s="357" t="s">
        <v>32</v>
      </c>
      <c r="B988" s="450">
        <f>SUM(B978:B986)</f>
        <v>1.4889999999865415</v>
      </c>
      <c r="C988" s="450">
        <f t="shared" ref="C988:D988" si="361">SUM(C978:C986)</f>
        <v>1.5739999999740895</v>
      </c>
      <c r="D988" s="450">
        <f t="shared" si="361"/>
        <v>3.0629999999606312</v>
      </c>
      <c r="E988" s="450"/>
      <c r="F988" s="450">
        <f t="shared" ref="F988:H988" si="362">SUM(F978:F986)</f>
        <v>1.3199999999541925</v>
      </c>
      <c r="G988" s="450">
        <f t="shared" si="362"/>
        <v>0.67999999999373972</v>
      </c>
      <c r="H988" s="450">
        <f t="shared" si="362"/>
        <v>1.9999999999479319</v>
      </c>
      <c r="I988" s="450"/>
      <c r="J988" s="450">
        <f t="shared" ref="J988:L988" si="363">SUM(J978:J986)</f>
        <v>1.5389999999652695</v>
      </c>
      <c r="K988" s="450">
        <f t="shared" si="363"/>
        <v>0.80700000000986083</v>
      </c>
      <c r="L988" s="450">
        <f t="shared" si="363"/>
        <v>2.3459999999751298</v>
      </c>
      <c r="M988" s="347"/>
      <c r="N988" s="347"/>
    </row>
    <row r="989" spans="1:14" x14ac:dyDescent="0.2">
      <c r="A989" s="348"/>
      <c r="B989" s="348"/>
      <c r="C989" s="348"/>
      <c r="D989" s="348"/>
      <c r="E989" s="348"/>
      <c r="F989" s="348"/>
      <c r="G989" s="348"/>
      <c r="H989" s="348"/>
      <c r="I989" s="348"/>
      <c r="J989" s="348"/>
      <c r="K989" s="348"/>
      <c r="L989" s="353"/>
      <c r="M989" s="347"/>
      <c r="N989" s="347"/>
    </row>
    <row r="990" spans="1:14" x14ac:dyDescent="0.2">
      <c r="A990" s="348"/>
      <c r="B990" s="348"/>
      <c r="C990" s="348"/>
      <c r="D990" s="348"/>
      <c r="E990" s="348"/>
      <c r="F990" s="348"/>
      <c r="G990" s="348"/>
      <c r="H990" s="348"/>
      <c r="I990" s="348"/>
      <c r="J990" s="348"/>
      <c r="K990" s="348"/>
      <c r="L990" s="372" t="s">
        <v>35</v>
      </c>
      <c r="M990" s="347"/>
      <c r="N990" s="347"/>
    </row>
    <row r="991" spans="1:14" x14ac:dyDescent="0.2">
      <c r="A991" s="355"/>
      <c r="B991" s="365"/>
      <c r="C991" s="365"/>
      <c r="D991" s="365"/>
      <c r="E991" s="365"/>
      <c r="F991" s="365"/>
      <c r="G991" s="365"/>
      <c r="H991" s="365"/>
      <c r="I991" s="365"/>
      <c r="J991" s="365"/>
      <c r="K991" s="365"/>
      <c r="L991" s="347"/>
      <c r="M991" s="347"/>
      <c r="N991" s="347"/>
    </row>
    <row r="992" spans="1:14" x14ac:dyDescent="0.2">
      <c r="A992" s="354" t="str">
        <f>name!A61</f>
        <v>Rental and leasing</v>
      </c>
      <c r="B992" s="517">
        <f>B$6</f>
        <v>2007</v>
      </c>
      <c r="C992" s="517"/>
      <c r="D992" s="517"/>
      <c r="E992" s="369"/>
      <c r="F992" s="517">
        <f>F$6</f>
        <v>2017</v>
      </c>
      <c r="G992" s="517"/>
      <c r="H992" s="517"/>
      <c r="I992" s="369"/>
      <c r="J992" s="517">
        <f>J$6</f>
        <v>2027</v>
      </c>
      <c r="K992" s="517"/>
      <c r="L992" s="517"/>
      <c r="M992" s="347"/>
      <c r="N992" s="347"/>
    </row>
    <row r="993" spans="1:14" x14ac:dyDescent="0.2">
      <c r="A993" s="370"/>
      <c r="B993" s="371" t="s">
        <v>387</v>
      </c>
      <c r="C993" s="371" t="s">
        <v>388</v>
      </c>
      <c r="D993" s="371" t="s">
        <v>32</v>
      </c>
      <c r="E993" s="371"/>
      <c r="F993" s="371" t="s">
        <v>387</v>
      </c>
      <c r="G993" s="371" t="s">
        <v>388</v>
      </c>
      <c r="H993" s="371" t="s">
        <v>32</v>
      </c>
      <c r="I993" s="371"/>
      <c r="J993" s="371" t="s">
        <v>387</v>
      </c>
      <c r="K993" s="371" t="s">
        <v>388</v>
      </c>
      <c r="L993" s="371" t="s">
        <v>32</v>
      </c>
      <c r="M993" s="347"/>
      <c r="N993" s="347"/>
    </row>
    <row r="994" spans="1:14" s="286" customFormat="1" x14ac:dyDescent="0.2">
      <c r="A994" s="374"/>
      <c r="B994" s="375"/>
      <c r="C994" s="375"/>
      <c r="D994" s="375"/>
      <c r="E994" s="375"/>
      <c r="F994" s="375"/>
      <c r="G994" s="375"/>
      <c r="H994" s="375"/>
      <c r="I994" s="375"/>
      <c r="J994" s="375"/>
      <c r="K994" s="375"/>
      <c r="L994" s="375"/>
      <c r="M994" s="347"/>
      <c r="N994" s="347"/>
    </row>
    <row r="995" spans="1:14" x14ac:dyDescent="0.2">
      <c r="A995" s="362" t="str">
        <f>name!E$4</f>
        <v>Managers, directors and senior officials</v>
      </c>
      <c r="B995" s="440">
        <v>7.9493608419523076E-2</v>
      </c>
      <c r="C995" s="440">
        <v>0.56434015231404244</v>
      </c>
      <c r="D995" s="440">
        <f>SUM(B995:C995)</f>
        <v>0.64383376073356557</v>
      </c>
      <c r="E995" s="441"/>
      <c r="F995" s="440">
        <v>0.15101086039821424</v>
      </c>
      <c r="G995" s="440">
        <v>1.3053126911512951</v>
      </c>
      <c r="H995" s="440">
        <f>SUM(F995:G995)</f>
        <v>1.4563235515495094</v>
      </c>
      <c r="I995" s="441"/>
      <c r="J995" s="440">
        <v>0.19247126270602807</v>
      </c>
      <c r="K995" s="440">
        <v>1.4659938386348139</v>
      </c>
      <c r="L995" s="440">
        <f>SUM(J995:K995)</f>
        <v>1.658465101340842</v>
      </c>
      <c r="M995" s="347"/>
      <c r="N995" s="347"/>
    </row>
    <row r="996" spans="1:14" x14ac:dyDescent="0.2">
      <c r="A996" s="362" t="str">
        <f>name!E$5</f>
        <v>Professional occupations</v>
      </c>
      <c r="B996" s="440">
        <v>0.13267817331224382</v>
      </c>
      <c r="C996" s="440">
        <v>0.43225412809024893</v>
      </c>
      <c r="D996" s="440">
        <f t="shared" ref="D996:D1003" si="364">SUM(B996:C996)</f>
        <v>0.56493230140249273</v>
      </c>
      <c r="E996" s="441"/>
      <c r="F996" s="440">
        <v>0.25515410887121748</v>
      </c>
      <c r="G996" s="440">
        <v>0.84721140336255141</v>
      </c>
      <c r="H996" s="440">
        <f t="shared" ref="H996:H1003" si="365">SUM(F996:G996)</f>
        <v>1.102365512233769</v>
      </c>
      <c r="I996" s="441"/>
      <c r="J996" s="440">
        <v>0.3312933360265008</v>
      </c>
      <c r="K996" s="440">
        <v>1.007569664096577</v>
      </c>
      <c r="L996" s="440">
        <f t="shared" ref="L996:L1003" si="366">SUM(J996:K996)</f>
        <v>1.3388630001230779</v>
      </c>
      <c r="M996" s="347"/>
      <c r="N996" s="347"/>
    </row>
    <row r="997" spans="1:14" x14ac:dyDescent="0.2">
      <c r="A997" s="362" t="str">
        <f>name!E$6</f>
        <v>Associate professional and technical</v>
      </c>
      <c r="B997" s="440">
        <v>0.15646882888357588</v>
      </c>
      <c r="C997" s="440">
        <v>0.50387786792887967</v>
      </c>
      <c r="D997" s="440">
        <f t="shared" si="364"/>
        <v>0.66034669681245561</v>
      </c>
      <c r="E997" s="441"/>
      <c r="F997" s="440">
        <v>0.2983742142930349</v>
      </c>
      <c r="G997" s="440">
        <v>0.85769016353270422</v>
      </c>
      <c r="H997" s="440">
        <f t="shared" si="365"/>
        <v>1.1560643778257391</v>
      </c>
      <c r="I997" s="441"/>
      <c r="J997" s="440">
        <v>0.362337933381571</v>
      </c>
      <c r="K997" s="440">
        <v>0.89933719141103374</v>
      </c>
      <c r="L997" s="440">
        <f t="shared" si="366"/>
        <v>1.2616751247926048</v>
      </c>
      <c r="M997" s="347"/>
      <c r="N997" s="347"/>
    </row>
    <row r="998" spans="1:14" x14ac:dyDescent="0.2">
      <c r="A998" s="362" t="str">
        <f>name!E$7</f>
        <v>Administrative and secretarial</v>
      </c>
      <c r="B998" s="440">
        <v>0.6707151426653114</v>
      </c>
      <c r="C998" s="440">
        <v>0.43353014453610689</v>
      </c>
      <c r="D998" s="440">
        <f t="shared" si="364"/>
        <v>1.1042452872014183</v>
      </c>
      <c r="E998" s="441"/>
      <c r="F998" s="440">
        <v>0.77727041129149566</v>
      </c>
      <c r="G998" s="440">
        <v>1.1472188595228969</v>
      </c>
      <c r="H998" s="440">
        <f t="shared" si="365"/>
        <v>1.9244892708143926</v>
      </c>
      <c r="I998" s="441"/>
      <c r="J998" s="440">
        <v>0.64388185423899968</v>
      </c>
      <c r="K998" s="440">
        <v>1.2977574182017102</v>
      </c>
      <c r="L998" s="440">
        <f t="shared" si="366"/>
        <v>1.9416392724407099</v>
      </c>
      <c r="M998" s="347"/>
      <c r="N998" s="347"/>
    </row>
    <row r="999" spans="1:14" x14ac:dyDescent="0.2">
      <c r="A999" s="362" t="str">
        <f>name!E$8</f>
        <v>Skilled trades occupations</v>
      </c>
      <c r="B999" s="440">
        <v>2.2123942253162041E-2</v>
      </c>
      <c r="C999" s="440">
        <v>0.71512922217609709</v>
      </c>
      <c r="D999" s="440">
        <f t="shared" si="364"/>
        <v>0.73725316442925914</v>
      </c>
      <c r="E999" s="441"/>
      <c r="F999" s="440">
        <v>2.6513896110164355E-2</v>
      </c>
      <c r="G999" s="440">
        <v>0.97530817280014526</v>
      </c>
      <c r="H999" s="440">
        <f t="shared" si="365"/>
        <v>1.0018220689103097</v>
      </c>
      <c r="I999" s="441"/>
      <c r="J999" s="440">
        <v>2.7005106207536086E-2</v>
      </c>
      <c r="K999" s="440">
        <v>0.91210760890969778</v>
      </c>
      <c r="L999" s="440">
        <f t="shared" si="366"/>
        <v>0.93911271511723382</v>
      </c>
      <c r="M999" s="347"/>
      <c r="N999" s="347"/>
    </row>
    <row r="1000" spans="1:14" x14ac:dyDescent="0.2">
      <c r="A1000" s="362" t="str">
        <f>name!E$9</f>
        <v>Caring, leisure and other service</v>
      </c>
      <c r="B1000" s="440">
        <v>2.2706835505947605E-2</v>
      </c>
      <c r="C1000" s="440">
        <v>9.4657594466909412E-2</v>
      </c>
      <c r="D1000" s="440">
        <f t="shared" si="364"/>
        <v>0.11736442997285701</v>
      </c>
      <c r="E1000" s="441"/>
      <c r="F1000" s="440">
        <v>6.4364217661366324E-2</v>
      </c>
      <c r="G1000" s="440">
        <v>0.23757677493721935</v>
      </c>
      <c r="H1000" s="440">
        <f t="shared" si="365"/>
        <v>0.30194099259858564</v>
      </c>
      <c r="I1000" s="441"/>
      <c r="J1000" s="440">
        <v>7.6630121789152794E-2</v>
      </c>
      <c r="K1000" s="440">
        <v>0.31599994497813821</v>
      </c>
      <c r="L1000" s="440">
        <f t="shared" si="366"/>
        <v>0.39263006676729101</v>
      </c>
      <c r="M1000" s="347"/>
      <c r="N1000" s="347"/>
    </row>
    <row r="1001" spans="1:14" x14ac:dyDescent="0.2">
      <c r="A1001" s="362" t="str">
        <f>name!E$10</f>
        <v>Sales and customer service</v>
      </c>
      <c r="B1001" s="440">
        <v>0.49193288334575452</v>
      </c>
      <c r="C1001" s="440">
        <v>0.41905820411485234</v>
      </c>
      <c r="D1001" s="440">
        <f t="shared" si="364"/>
        <v>0.91099108746060686</v>
      </c>
      <c r="E1001" s="441"/>
      <c r="F1001" s="440">
        <v>0.6104226946322352</v>
      </c>
      <c r="G1001" s="440">
        <v>0.50012377608392056</v>
      </c>
      <c r="H1001" s="440">
        <f t="shared" si="365"/>
        <v>1.1105464707161556</v>
      </c>
      <c r="I1001" s="441"/>
      <c r="J1001" s="440">
        <v>0.63883249316904012</v>
      </c>
      <c r="K1001" s="440">
        <v>0.48781955938046562</v>
      </c>
      <c r="L1001" s="440">
        <f t="shared" si="366"/>
        <v>1.1266520525495056</v>
      </c>
      <c r="M1001" s="347"/>
      <c r="N1001" s="347"/>
    </row>
    <row r="1002" spans="1:14" x14ac:dyDescent="0.2">
      <c r="A1002" s="362" t="str">
        <f>name!E$11</f>
        <v>Process, plant and machine operatives</v>
      </c>
      <c r="B1002" s="440">
        <v>2.2829239198988164E-2</v>
      </c>
      <c r="C1002" s="440">
        <v>0.77826169321682259</v>
      </c>
      <c r="D1002" s="440">
        <f t="shared" si="364"/>
        <v>0.80109093241581075</v>
      </c>
      <c r="E1002" s="441"/>
      <c r="F1002" s="440">
        <v>2.7153022933019515E-2</v>
      </c>
      <c r="G1002" s="440">
        <v>1.0380755584272066</v>
      </c>
      <c r="H1002" s="440">
        <f t="shared" si="365"/>
        <v>1.065228581360226</v>
      </c>
      <c r="I1002" s="441"/>
      <c r="J1002" s="440">
        <v>1.9615129573826599E-2</v>
      </c>
      <c r="K1002" s="440">
        <v>1.1347362415693525</v>
      </c>
      <c r="L1002" s="440">
        <f t="shared" si="366"/>
        <v>1.154351371143179</v>
      </c>
      <c r="M1002" s="347"/>
      <c r="N1002" s="347"/>
    </row>
    <row r="1003" spans="1:14" x14ac:dyDescent="0.2">
      <c r="A1003" s="362" t="str">
        <f>name!E$12</f>
        <v>Elementary occupations</v>
      </c>
      <c r="B1003" s="440">
        <v>5.6051346412495394E-2</v>
      </c>
      <c r="C1003" s="440">
        <v>0.25689099315425479</v>
      </c>
      <c r="D1003" s="440">
        <f t="shared" si="364"/>
        <v>0.31294233956675016</v>
      </c>
      <c r="E1003" s="441"/>
      <c r="F1003" s="440">
        <v>0.10873657381536631</v>
      </c>
      <c r="G1003" s="440">
        <v>0.28548260017471339</v>
      </c>
      <c r="H1003" s="440">
        <f t="shared" si="365"/>
        <v>0.39421917399007966</v>
      </c>
      <c r="I1003" s="441"/>
      <c r="J1003" s="440">
        <v>9.793276290681123E-2</v>
      </c>
      <c r="K1003" s="440">
        <v>0.29567853279197231</v>
      </c>
      <c r="L1003" s="440">
        <f t="shared" si="366"/>
        <v>0.39361129569878356</v>
      </c>
      <c r="M1003" s="347"/>
      <c r="N1003" s="347"/>
    </row>
    <row r="1004" spans="1:14" s="286" customFormat="1" x14ac:dyDescent="0.2">
      <c r="A1004" s="362"/>
      <c r="B1004" s="440"/>
      <c r="C1004" s="440"/>
      <c r="D1004" s="440"/>
      <c r="E1004" s="441"/>
      <c r="F1004" s="440"/>
      <c r="G1004" s="440"/>
      <c r="H1004" s="440"/>
      <c r="I1004" s="441"/>
      <c r="J1004" s="440"/>
      <c r="K1004" s="440"/>
      <c r="L1004" s="440"/>
      <c r="M1004" s="347"/>
      <c r="N1004" s="347"/>
    </row>
    <row r="1005" spans="1:14" x14ac:dyDescent="0.2">
      <c r="A1005" s="357" t="s">
        <v>32</v>
      </c>
      <c r="B1005" s="450">
        <f>SUM(B995:B1003)</f>
        <v>1.6549999999970022</v>
      </c>
      <c r="C1005" s="450">
        <f t="shared" ref="C1005:D1005" si="367">SUM(C995:C1003)</f>
        <v>4.1979999999982143</v>
      </c>
      <c r="D1005" s="450">
        <f t="shared" si="367"/>
        <v>5.852999999995216</v>
      </c>
      <c r="E1005" s="450"/>
      <c r="F1005" s="450">
        <f t="shared" ref="F1005:H1005" si="368">SUM(F995:F1003)</f>
        <v>2.3190000000061142</v>
      </c>
      <c r="G1005" s="450">
        <f t="shared" si="368"/>
        <v>7.1939999999926529</v>
      </c>
      <c r="H1005" s="450">
        <f t="shared" si="368"/>
        <v>9.5129999999987671</v>
      </c>
      <c r="I1005" s="450"/>
      <c r="J1005" s="450">
        <f t="shared" ref="J1005:L1005" si="369">SUM(J995:J1003)</f>
        <v>2.3899999999994663</v>
      </c>
      <c r="K1005" s="450">
        <f t="shared" si="369"/>
        <v>7.8169999999737607</v>
      </c>
      <c r="L1005" s="450">
        <f t="shared" si="369"/>
        <v>10.206999999973226</v>
      </c>
      <c r="M1005" s="347"/>
      <c r="N1005" s="347"/>
    </row>
    <row r="1006" spans="1:14" x14ac:dyDescent="0.2">
      <c r="A1006" s="348"/>
      <c r="B1006" s="348"/>
      <c r="C1006" s="348"/>
      <c r="D1006" s="348"/>
      <c r="E1006" s="348"/>
      <c r="F1006" s="348"/>
      <c r="G1006" s="348"/>
      <c r="H1006" s="348"/>
      <c r="I1006" s="348"/>
      <c r="J1006" s="348"/>
      <c r="K1006" s="348"/>
      <c r="L1006" s="353"/>
      <c r="M1006" s="347"/>
      <c r="N1006" s="347"/>
    </row>
    <row r="1007" spans="1:14" x14ac:dyDescent="0.2">
      <c r="A1007" s="348"/>
      <c r="B1007" s="348"/>
      <c r="C1007" s="348"/>
      <c r="D1007" s="348"/>
      <c r="E1007" s="348"/>
      <c r="F1007" s="348"/>
      <c r="G1007" s="348"/>
      <c r="H1007" s="348"/>
      <c r="I1007" s="348"/>
      <c r="J1007" s="348"/>
      <c r="K1007" s="348"/>
      <c r="L1007" s="372" t="s">
        <v>35</v>
      </c>
      <c r="M1007" s="347"/>
      <c r="N1007" s="347"/>
    </row>
    <row r="1008" spans="1:14" x14ac:dyDescent="0.2">
      <c r="A1008" s="355"/>
      <c r="B1008" s="365"/>
      <c r="C1008" s="365"/>
      <c r="D1008" s="365"/>
      <c r="E1008" s="365"/>
      <c r="F1008" s="365"/>
      <c r="G1008" s="365"/>
      <c r="H1008" s="365"/>
      <c r="I1008" s="365"/>
      <c r="J1008" s="365"/>
      <c r="K1008" s="365"/>
      <c r="L1008" s="347"/>
      <c r="M1008" s="347"/>
      <c r="N1008" s="347"/>
    </row>
    <row r="1009" spans="1:14" x14ac:dyDescent="0.2">
      <c r="A1009" s="354" t="str">
        <f>name!A62</f>
        <v>Employment activities</v>
      </c>
      <c r="B1009" s="517">
        <f>B$6</f>
        <v>2007</v>
      </c>
      <c r="C1009" s="517"/>
      <c r="D1009" s="517"/>
      <c r="E1009" s="369"/>
      <c r="F1009" s="517">
        <f>F$6</f>
        <v>2017</v>
      </c>
      <c r="G1009" s="517"/>
      <c r="H1009" s="517"/>
      <c r="I1009" s="369"/>
      <c r="J1009" s="517">
        <f>J$6</f>
        <v>2027</v>
      </c>
      <c r="K1009" s="517"/>
      <c r="L1009" s="517"/>
      <c r="M1009" s="347"/>
      <c r="N1009" s="347"/>
    </row>
    <row r="1010" spans="1:14" x14ac:dyDescent="0.2">
      <c r="A1010" s="370"/>
      <c r="B1010" s="371" t="s">
        <v>387</v>
      </c>
      <c r="C1010" s="371" t="s">
        <v>388</v>
      </c>
      <c r="D1010" s="371" t="s">
        <v>32</v>
      </c>
      <c r="E1010" s="371"/>
      <c r="F1010" s="371" t="s">
        <v>387</v>
      </c>
      <c r="G1010" s="371" t="s">
        <v>388</v>
      </c>
      <c r="H1010" s="371" t="s">
        <v>32</v>
      </c>
      <c r="I1010" s="371"/>
      <c r="J1010" s="371" t="s">
        <v>387</v>
      </c>
      <c r="K1010" s="371" t="s">
        <v>388</v>
      </c>
      <c r="L1010" s="371" t="s">
        <v>32</v>
      </c>
      <c r="M1010" s="347"/>
      <c r="N1010" s="347"/>
    </row>
    <row r="1011" spans="1:14" s="286" customFormat="1" x14ac:dyDescent="0.2">
      <c r="A1011" s="374"/>
      <c r="B1011" s="375"/>
      <c r="C1011" s="375"/>
      <c r="D1011" s="375"/>
      <c r="E1011" s="375"/>
      <c r="F1011" s="375"/>
      <c r="G1011" s="375"/>
      <c r="H1011" s="375"/>
      <c r="I1011" s="375"/>
      <c r="J1011" s="375"/>
      <c r="K1011" s="375"/>
      <c r="L1011" s="375"/>
      <c r="M1011" s="347"/>
      <c r="N1011" s="347"/>
    </row>
    <row r="1012" spans="1:14" x14ac:dyDescent="0.2">
      <c r="A1012" s="362" t="str">
        <f>name!E$4</f>
        <v>Managers, directors and senior officials</v>
      </c>
      <c r="B1012" s="440">
        <v>0.32036204225359088</v>
      </c>
      <c r="C1012" s="440">
        <v>1.4836110110394549</v>
      </c>
      <c r="D1012" s="440">
        <f>SUM(B1012:C1012)</f>
        <v>1.8039730532930458</v>
      </c>
      <c r="E1012" s="441"/>
      <c r="F1012" s="440">
        <v>0.62396087196052064</v>
      </c>
      <c r="G1012" s="440">
        <v>1.5258663420742455</v>
      </c>
      <c r="H1012" s="440">
        <f>SUM(F1012:G1012)</f>
        <v>2.1498272140347661</v>
      </c>
      <c r="I1012" s="441"/>
      <c r="J1012" s="440">
        <v>0.81547300085130991</v>
      </c>
      <c r="K1012" s="440">
        <v>1.6316977994479778</v>
      </c>
      <c r="L1012" s="440">
        <f>SUM(J1012:K1012)</f>
        <v>2.4471708002992876</v>
      </c>
      <c r="M1012" s="347"/>
      <c r="N1012" s="347"/>
    </row>
    <row r="1013" spans="1:14" x14ac:dyDescent="0.2">
      <c r="A1013" s="362" t="str">
        <f>name!E$5</f>
        <v>Professional occupations</v>
      </c>
      <c r="B1013" s="440">
        <v>0.78948541157337304</v>
      </c>
      <c r="C1013" s="440">
        <v>1.0800465406791402</v>
      </c>
      <c r="D1013" s="440">
        <f t="shared" ref="D1013:D1020" si="370">SUM(B1013:C1013)</f>
        <v>1.8695319522525131</v>
      </c>
      <c r="E1013" s="441"/>
      <c r="F1013" s="440">
        <v>1.0886830121161493</v>
      </c>
      <c r="G1013" s="440">
        <v>1.2112317872926792</v>
      </c>
      <c r="H1013" s="440">
        <f t="shared" ref="H1013:H1020" si="371">SUM(F1013:G1013)</f>
        <v>2.2999147994088283</v>
      </c>
      <c r="I1013" s="441"/>
      <c r="J1013" s="440">
        <v>1.4156044716313685</v>
      </c>
      <c r="K1013" s="440">
        <v>1.4154303535059025</v>
      </c>
      <c r="L1013" s="440">
        <f t="shared" ref="L1013:L1020" si="372">SUM(J1013:K1013)</f>
        <v>2.8310348251372712</v>
      </c>
      <c r="M1013" s="347"/>
      <c r="N1013" s="347"/>
    </row>
    <row r="1014" spans="1:14" x14ac:dyDescent="0.2">
      <c r="A1014" s="362" t="str">
        <f>name!E$6</f>
        <v>Associate professional and technical</v>
      </c>
      <c r="B1014" s="440">
        <v>1.7521752315019108</v>
      </c>
      <c r="C1014" s="440">
        <v>2.3031482822570215</v>
      </c>
      <c r="D1014" s="440">
        <f t="shared" si="370"/>
        <v>4.0553235137589319</v>
      </c>
      <c r="E1014" s="441"/>
      <c r="F1014" s="440">
        <v>1.5429830349745801</v>
      </c>
      <c r="G1014" s="440">
        <v>2.7125364910706162</v>
      </c>
      <c r="H1014" s="440">
        <f t="shared" si="371"/>
        <v>4.2555195260451963</v>
      </c>
      <c r="I1014" s="441"/>
      <c r="J1014" s="440">
        <v>1.8695627410514299</v>
      </c>
      <c r="K1014" s="440">
        <v>2.8044578489734815</v>
      </c>
      <c r="L1014" s="440">
        <f t="shared" si="372"/>
        <v>4.6740205900249112</v>
      </c>
      <c r="M1014" s="347"/>
      <c r="N1014" s="347"/>
    </row>
    <row r="1015" spans="1:14" x14ac:dyDescent="0.2">
      <c r="A1015" s="362" t="str">
        <f>name!E$7</f>
        <v>Administrative and secretarial</v>
      </c>
      <c r="B1015" s="440">
        <v>3.6346547089701482</v>
      </c>
      <c r="C1015" s="440">
        <v>1.5396675009193495</v>
      </c>
      <c r="D1015" s="440">
        <f t="shared" si="370"/>
        <v>5.1743222098894979</v>
      </c>
      <c r="E1015" s="441"/>
      <c r="F1015" s="440">
        <v>2.7429089110909253</v>
      </c>
      <c r="G1015" s="440">
        <v>1.7364790250947502</v>
      </c>
      <c r="H1015" s="440">
        <f t="shared" si="371"/>
        <v>4.4793879361856757</v>
      </c>
      <c r="I1015" s="441"/>
      <c r="J1015" s="440">
        <v>2.3317730966766121</v>
      </c>
      <c r="K1015" s="440">
        <v>1.8689013004187998</v>
      </c>
      <c r="L1015" s="440">
        <f t="shared" si="372"/>
        <v>4.2006743970954119</v>
      </c>
      <c r="M1015" s="347"/>
      <c r="N1015" s="347"/>
    </row>
    <row r="1016" spans="1:14" x14ac:dyDescent="0.2">
      <c r="A1016" s="362" t="str">
        <f>name!E$8</f>
        <v>Skilled trades occupations</v>
      </c>
      <c r="B1016" s="440">
        <v>9.3745686341331319E-2</v>
      </c>
      <c r="C1016" s="440">
        <v>1.2633478369216822</v>
      </c>
      <c r="D1016" s="440">
        <f t="shared" si="370"/>
        <v>1.3570935232630135</v>
      </c>
      <c r="E1016" s="441"/>
      <c r="F1016" s="440">
        <v>0.12856417396193429</v>
      </c>
      <c r="G1016" s="440">
        <v>1.0835202963521617</v>
      </c>
      <c r="H1016" s="440">
        <f t="shared" si="371"/>
        <v>1.2120844703140961</v>
      </c>
      <c r="I1016" s="441"/>
      <c r="J1016" s="440">
        <v>0.16872943862569345</v>
      </c>
      <c r="K1016" s="440">
        <v>0.97540611149135159</v>
      </c>
      <c r="L1016" s="440">
        <f t="shared" si="372"/>
        <v>1.1441355501170452</v>
      </c>
      <c r="M1016" s="347"/>
      <c r="N1016" s="347"/>
    </row>
    <row r="1017" spans="1:14" x14ac:dyDescent="0.2">
      <c r="A1017" s="362" t="str">
        <f>name!E$9</f>
        <v>Caring, leisure and other service</v>
      </c>
      <c r="B1017" s="440">
        <v>1.0061579668773941</v>
      </c>
      <c r="C1017" s="440">
        <v>0.68000631665483113</v>
      </c>
      <c r="D1017" s="440">
        <f t="shared" si="370"/>
        <v>1.6861642835322252</v>
      </c>
      <c r="E1017" s="441"/>
      <c r="F1017" s="440">
        <v>1.4103384684910167</v>
      </c>
      <c r="G1017" s="440">
        <v>0.77702697530161091</v>
      </c>
      <c r="H1017" s="440">
        <f t="shared" si="371"/>
        <v>2.1873654437926278</v>
      </c>
      <c r="I1017" s="441"/>
      <c r="J1017" s="440">
        <v>1.7546394714295894</v>
      </c>
      <c r="K1017" s="440">
        <v>0.82681585253185497</v>
      </c>
      <c r="L1017" s="440">
        <f t="shared" si="372"/>
        <v>2.5814553239614444</v>
      </c>
      <c r="M1017" s="347"/>
      <c r="N1017" s="347"/>
    </row>
    <row r="1018" spans="1:14" x14ac:dyDescent="0.2">
      <c r="A1018" s="362" t="str">
        <f>name!E$10</f>
        <v>Sales and customer service</v>
      </c>
      <c r="B1018" s="440">
        <v>0.89331841773706133</v>
      </c>
      <c r="C1018" s="440">
        <v>1.3517004453612267</v>
      </c>
      <c r="D1018" s="440">
        <f t="shared" si="370"/>
        <v>2.2450188630982879</v>
      </c>
      <c r="E1018" s="441"/>
      <c r="F1018" s="440">
        <v>1.0563282146697912</v>
      </c>
      <c r="G1018" s="440">
        <v>2.1630291271520363</v>
      </c>
      <c r="H1018" s="440">
        <f t="shared" si="371"/>
        <v>3.2193573418218273</v>
      </c>
      <c r="I1018" s="441"/>
      <c r="J1018" s="440">
        <v>1.1661504102107443</v>
      </c>
      <c r="K1018" s="440">
        <v>2.4122754907176263</v>
      </c>
      <c r="L1018" s="440">
        <f t="shared" si="372"/>
        <v>3.5784259009283703</v>
      </c>
      <c r="M1018" s="347"/>
      <c r="N1018" s="347"/>
    </row>
    <row r="1019" spans="1:14" x14ac:dyDescent="0.2">
      <c r="A1019" s="362" t="str">
        <f>name!E$11</f>
        <v>Process, plant and machine operatives</v>
      </c>
      <c r="B1019" s="440">
        <v>0.18278371514489447</v>
      </c>
      <c r="C1019" s="440">
        <v>1.5450410659593043</v>
      </c>
      <c r="D1019" s="440">
        <f t="shared" si="370"/>
        <v>1.7278247811041989</v>
      </c>
      <c r="E1019" s="441"/>
      <c r="F1019" s="440">
        <v>0.10645168148099994</v>
      </c>
      <c r="G1019" s="440">
        <v>0.8980369276111615</v>
      </c>
      <c r="H1019" s="440">
        <f t="shared" si="371"/>
        <v>1.0044886090921614</v>
      </c>
      <c r="I1019" s="441"/>
      <c r="J1019" s="440">
        <v>6.8190319712606223E-2</v>
      </c>
      <c r="K1019" s="440">
        <v>0.87791662939533033</v>
      </c>
      <c r="L1019" s="440">
        <f t="shared" si="372"/>
        <v>0.94610694910793658</v>
      </c>
      <c r="M1019" s="347"/>
      <c r="N1019" s="347"/>
    </row>
    <row r="1020" spans="1:14" ht="13.5" customHeight="1" x14ac:dyDescent="0.2">
      <c r="A1020" s="362" t="str">
        <f>name!E$12</f>
        <v>Elementary occupations</v>
      </c>
      <c r="B1020" s="440">
        <v>3.6893168194695978</v>
      </c>
      <c r="C1020" s="440">
        <v>8.8264310002227937</v>
      </c>
      <c r="D1020" s="440">
        <f t="shared" si="370"/>
        <v>12.515747819692391</v>
      </c>
      <c r="E1020" s="441"/>
      <c r="F1020" s="440">
        <v>2.2377816313300465</v>
      </c>
      <c r="G1020" s="440">
        <v>6.8962730280270446</v>
      </c>
      <c r="H1020" s="440">
        <f t="shared" si="371"/>
        <v>9.1340546593570906</v>
      </c>
      <c r="I1020" s="441"/>
      <c r="J1020" s="440">
        <v>1.7048770498547379</v>
      </c>
      <c r="K1020" s="440">
        <v>7.6950986133495807</v>
      </c>
      <c r="L1020" s="440">
        <f t="shared" si="372"/>
        <v>9.3999756632043194</v>
      </c>
      <c r="M1020" s="347"/>
      <c r="N1020" s="347"/>
    </row>
    <row r="1021" spans="1:14" s="286" customFormat="1" ht="13.5" customHeight="1" x14ac:dyDescent="0.2">
      <c r="A1021" s="362"/>
      <c r="B1021" s="440"/>
      <c r="C1021" s="440"/>
      <c r="D1021" s="440"/>
      <c r="E1021" s="441"/>
      <c r="F1021" s="440"/>
      <c r="G1021" s="440"/>
      <c r="H1021" s="440"/>
      <c r="I1021" s="441"/>
      <c r="J1021" s="440"/>
      <c r="K1021" s="440"/>
      <c r="L1021" s="440"/>
      <c r="M1021" s="347"/>
      <c r="N1021" s="347"/>
    </row>
    <row r="1022" spans="1:14" x14ac:dyDescent="0.2">
      <c r="A1022" s="357" t="s">
        <v>32</v>
      </c>
      <c r="B1022" s="450">
        <f>SUM(B1012:B1020)</f>
        <v>12.361999999869303</v>
      </c>
      <c r="C1022" s="450">
        <f t="shared" ref="C1022:D1022" si="373">SUM(C1012:C1020)</f>
        <v>20.073000000014805</v>
      </c>
      <c r="D1022" s="450">
        <f t="shared" si="373"/>
        <v>32.434999999884106</v>
      </c>
      <c r="E1022" s="450"/>
      <c r="F1022" s="450">
        <f t="shared" ref="F1022:H1022" si="374">SUM(F1012:F1020)</f>
        <v>10.938000000075965</v>
      </c>
      <c r="G1022" s="450">
        <f t="shared" si="374"/>
        <v>19.003999999976308</v>
      </c>
      <c r="H1022" s="450">
        <f t="shared" si="374"/>
        <v>29.942000000052268</v>
      </c>
      <c r="I1022" s="450"/>
      <c r="J1022" s="450">
        <f t="shared" ref="J1022:L1022" si="375">SUM(J1012:J1020)</f>
        <v>11.295000000044091</v>
      </c>
      <c r="K1022" s="450">
        <f t="shared" si="375"/>
        <v>20.507999999831902</v>
      </c>
      <c r="L1022" s="450">
        <f t="shared" si="375"/>
        <v>31.802999999875997</v>
      </c>
      <c r="M1022" s="347"/>
      <c r="N1022" s="347"/>
    </row>
    <row r="1023" spans="1:14" x14ac:dyDescent="0.2">
      <c r="A1023" s="348"/>
      <c r="B1023" s="348"/>
      <c r="C1023" s="348"/>
      <c r="D1023" s="348"/>
      <c r="E1023" s="348"/>
      <c r="F1023" s="348"/>
      <c r="G1023" s="348"/>
      <c r="H1023" s="348"/>
      <c r="I1023" s="348"/>
      <c r="J1023" s="348"/>
      <c r="K1023" s="348"/>
      <c r="L1023" s="353"/>
      <c r="M1023" s="347"/>
      <c r="N1023" s="347"/>
    </row>
    <row r="1024" spans="1:14" x14ac:dyDescent="0.2">
      <c r="A1024" s="348"/>
      <c r="B1024" s="348"/>
      <c r="C1024" s="348"/>
      <c r="D1024" s="348"/>
      <c r="E1024" s="348"/>
      <c r="F1024" s="348"/>
      <c r="G1024" s="348"/>
      <c r="H1024" s="348"/>
      <c r="I1024" s="348"/>
      <c r="J1024" s="348"/>
      <c r="K1024" s="348"/>
      <c r="L1024" s="372" t="s">
        <v>35</v>
      </c>
      <c r="M1024" s="347"/>
      <c r="N1024" s="347"/>
    </row>
    <row r="1025" spans="1:14" x14ac:dyDescent="0.2">
      <c r="A1025" s="355"/>
      <c r="B1025" s="365"/>
      <c r="C1025" s="365"/>
      <c r="D1025" s="365"/>
      <c r="E1025" s="365"/>
      <c r="F1025" s="365"/>
      <c r="G1025" s="365"/>
      <c r="H1025" s="365"/>
      <c r="I1025" s="365"/>
      <c r="J1025" s="365"/>
      <c r="K1025" s="365"/>
      <c r="L1025" s="347"/>
      <c r="M1025" s="347"/>
      <c r="N1025" s="347"/>
    </row>
    <row r="1026" spans="1:14" x14ac:dyDescent="0.2">
      <c r="A1026" s="354" t="str">
        <f>name!A63</f>
        <v>Travel, etc</v>
      </c>
      <c r="B1026" s="517">
        <f>B$6</f>
        <v>2007</v>
      </c>
      <c r="C1026" s="517"/>
      <c r="D1026" s="517"/>
      <c r="E1026" s="369"/>
      <c r="F1026" s="517">
        <f>F$6</f>
        <v>2017</v>
      </c>
      <c r="G1026" s="517"/>
      <c r="H1026" s="517"/>
      <c r="I1026" s="369"/>
      <c r="J1026" s="517">
        <f>J$6</f>
        <v>2027</v>
      </c>
      <c r="K1026" s="517"/>
      <c r="L1026" s="517"/>
      <c r="M1026" s="347"/>
      <c r="N1026" s="347"/>
    </row>
    <row r="1027" spans="1:14" x14ac:dyDescent="0.2">
      <c r="A1027" s="370"/>
      <c r="B1027" s="371" t="s">
        <v>387</v>
      </c>
      <c r="C1027" s="371" t="s">
        <v>388</v>
      </c>
      <c r="D1027" s="371" t="s">
        <v>32</v>
      </c>
      <c r="E1027" s="371"/>
      <c r="F1027" s="371" t="s">
        <v>387</v>
      </c>
      <c r="G1027" s="371" t="s">
        <v>388</v>
      </c>
      <c r="H1027" s="371" t="s">
        <v>32</v>
      </c>
      <c r="I1027" s="371"/>
      <c r="J1027" s="371" t="s">
        <v>387</v>
      </c>
      <c r="K1027" s="371" t="s">
        <v>388</v>
      </c>
      <c r="L1027" s="371" t="s">
        <v>32</v>
      </c>
      <c r="M1027" s="347"/>
      <c r="N1027" s="347"/>
    </row>
    <row r="1028" spans="1:14" s="286" customFormat="1" x14ac:dyDescent="0.2">
      <c r="A1028" s="374"/>
      <c r="B1028" s="375"/>
      <c r="C1028" s="375"/>
      <c r="D1028" s="375"/>
      <c r="E1028" s="375"/>
      <c r="F1028" s="375"/>
      <c r="G1028" s="375"/>
      <c r="H1028" s="375"/>
      <c r="I1028" s="375"/>
      <c r="J1028" s="375"/>
      <c r="K1028" s="375"/>
      <c r="L1028" s="375"/>
      <c r="M1028" s="347"/>
      <c r="N1028" s="347"/>
    </row>
    <row r="1029" spans="1:14" x14ac:dyDescent="0.2">
      <c r="A1029" s="362" t="str">
        <f>name!E$4</f>
        <v>Managers, directors and senior officials</v>
      </c>
      <c r="B1029" s="440">
        <v>9.8185627340584655E-2</v>
      </c>
      <c r="C1029" s="440">
        <v>0.19030249283280895</v>
      </c>
      <c r="D1029" s="440">
        <f>SUM(B1029:C1029)</f>
        <v>0.28848812017339359</v>
      </c>
      <c r="E1029" s="441"/>
      <c r="F1029" s="440">
        <v>8.0884447460999029E-2</v>
      </c>
      <c r="G1029" s="440">
        <v>0.20495647219553637</v>
      </c>
      <c r="H1029" s="440">
        <f>SUM(F1029:G1029)</f>
        <v>0.28584091965653541</v>
      </c>
      <c r="I1029" s="441"/>
      <c r="J1029" s="440">
        <v>0.10369625479346629</v>
      </c>
      <c r="K1029" s="440">
        <v>0.24483342909628175</v>
      </c>
      <c r="L1029" s="440">
        <f>SUM(J1029:K1029)</f>
        <v>0.34852968388974803</v>
      </c>
      <c r="M1029" s="347"/>
      <c r="N1029" s="347"/>
    </row>
    <row r="1030" spans="1:14" x14ac:dyDescent="0.2">
      <c r="A1030" s="362" t="str">
        <f>name!E$5</f>
        <v>Professional occupations</v>
      </c>
      <c r="B1030" s="440">
        <v>5.2898310554258331E-2</v>
      </c>
      <c r="C1030" s="440">
        <v>0.1089911196364159</v>
      </c>
      <c r="D1030" s="440">
        <f t="shared" ref="D1030:D1037" si="376">SUM(B1030:C1030)</f>
        <v>0.16188943019067423</v>
      </c>
      <c r="E1030" s="441"/>
      <c r="F1030" s="440">
        <v>3.6387280454249986E-2</v>
      </c>
      <c r="G1030" s="440">
        <v>9.0329421451675301E-2</v>
      </c>
      <c r="H1030" s="440">
        <f t="shared" ref="H1030:H1037" si="377">SUM(F1030:G1030)</f>
        <v>0.12671670190592529</v>
      </c>
      <c r="I1030" s="441"/>
      <c r="J1030" s="440">
        <v>4.6838926356268788E-2</v>
      </c>
      <c r="K1030" s="440">
        <v>0.10879610406987658</v>
      </c>
      <c r="L1030" s="440">
        <f t="shared" ref="L1030:L1037" si="378">SUM(J1030:K1030)</f>
        <v>0.15563503042614538</v>
      </c>
      <c r="M1030" s="347"/>
      <c r="N1030" s="347"/>
    </row>
    <row r="1031" spans="1:14" x14ac:dyDescent="0.2">
      <c r="A1031" s="362" t="str">
        <f>name!E$6</f>
        <v>Associate professional and technical</v>
      </c>
      <c r="B1031" s="440">
        <v>9.9343075282469398E-2</v>
      </c>
      <c r="C1031" s="440">
        <v>0.17846237477561297</v>
      </c>
      <c r="D1031" s="440">
        <f t="shared" si="376"/>
        <v>0.27780545005808238</v>
      </c>
      <c r="E1031" s="441"/>
      <c r="F1031" s="440">
        <v>5.1790644001212312E-2</v>
      </c>
      <c r="G1031" s="440">
        <v>0.10693163067118605</v>
      </c>
      <c r="H1031" s="440">
        <f t="shared" si="377"/>
        <v>0.15872227467239836</v>
      </c>
      <c r="I1031" s="441"/>
      <c r="J1031" s="440">
        <v>6.1724610817022373E-2</v>
      </c>
      <c r="K1031" s="440">
        <v>0.12207104941534702</v>
      </c>
      <c r="L1031" s="440">
        <f t="shared" si="378"/>
        <v>0.1837956602323694</v>
      </c>
      <c r="M1031" s="347"/>
      <c r="N1031" s="347"/>
    </row>
    <row r="1032" spans="1:14" x14ac:dyDescent="0.2">
      <c r="A1032" s="362" t="str">
        <f>name!E$7</f>
        <v>Administrative and secretarial</v>
      </c>
      <c r="B1032" s="440">
        <v>0.34151735156886992</v>
      </c>
      <c r="C1032" s="440">
        <v>0.19527198700447179</v>
      </c>
      <c r="D1032" s="440">
        <f t="shared" si="376"/>
        <v>0.53678933857334177</v>
      </c>
      <c r="E1032" s="441"/>
      <c r="F1032" s="440">
        <v>0.24768880847035898</v>
      </c>
      <c r="G1032" s="440">
        <v>0.16167535315702916</v>
      </c>
      <c r="H1032" s="440">
        <f t="shared" si="377"/>
        <v>0.40936416162738815</v>
      </c>
      <c r="I1032" s="441"/>
      <c r="J1032" s="440">
        <v>0.2163324961244818</v>
      </c>
      <c r="K1032" s="440">
        <v>0.17801042345296902</v>
      </c>
      <c r="L1032" s="440">
        <f t="shared" si="378"/>
        <v>0.39434291957745082</v>
      </c>
      <c r="M1032" s="347"/>
      <c r="N1032" s="347"/>
    </row>
    <row r="1033" spans="1:14" x14ac:dyDescent="0.2">
      <c r="A1033" s="362" t="str">
        <f>name!E$8</f>
        <v>Skilled trades occupations</v>
      </c>
      <c r="B1033" s="440">
        <v>9.9135769204862726E-3</v>
      </c>
      <c r="C1033" s="440">
        <v>0.10550606829323599</v>
      </c>
      <c r="D1033" s="440">
        <f t="shared" si="376"/>
        <v>0.11541964521372226</v>
      </c>
      <c r="E1033" s="441"/>
      <c r="F1033" s="440">
        <v>7.0463836823036023E-3</v>
      </c>
      <c r="G1033" s="440">
        <v>5.2916656788652615E-2</v>
      </c>
      <c r="H1033" s="440">
        <f t="shared" si="377"/>
        <v>5.9963040470956214E-2</v>
      </c>
      <c r="I1033" s="441"/>
      <c r="J1033" s="440">
        <v>9.9417094848399858E-3</v>
      </c>
      <c r="K1033" s="440">
        <v>5.3970713673100489E-2</v>
      </c>
      <c r="L1033" s="440">
        <f t="shared" si="378"/>
        <v>6.3912423157940476E-2</v>
      </c>
      <c r="M1033" s="347"/>
      <c r="N1033" s="347"/>
    </row>
    <row r="1034" spans="1:14" x14ac:dyDescent="0.2">
      <c r="A1034" s="362" t="str">
        <f>name!E$9</f>
        <v>Caring, leisure and other service</v>
      </c>
      <c r="B1034" s="440">
        <v>0.37800220841801102</v>
      </c>
      <c r="C1034" s="440">
        <v>0.11728137598937423</v>
      </c>
      <c r="D1034" s="440">
        <f t="shared" si="376"/>
        <v>0.49528358440738524</v>
      </c>
      <c r="E1034" s="441"/>
      <c r="F1034" s="440">
        <v>0.34516658344400164</v>
      </c>
      <c r="G1034" s="440">
        <v>0.13205639470297353</v>
      </c>
      <c r="H1034" s="440">
        <f t="shared" si="377"/>
        <v>0.47722297814697517</v>
      </c>
      <c r="I1034" s="441"/>
      <c r="J1034" s="440">
        <v>0.3288454674712889</v>
      </c>
      <c r="K1034" s="440">
        <v>0.14837847685552655</v>
      </c>
      <c r="L1034" s="440">
        <f t="shared" si="378"/>
        <v>0.47722394432681547</v>
      </c>
      <c r="M1034" s="347"/>
      <c r="N1034" s="347"/>
    </row>
    <row r="1035" spans="1:14" x14ac:dyDescent="0.2">
      <c r="A1035" s="362" t="str">
        <f>name!E$10</f>
        <v>Sales and customer service</v>
      </c>
      <c r="B1035" s="440">
        <v>0.10574275330888691</v>
      </c>
      <c r="C1035" s="440">
        <v>8.1750243860845881E-2</v>
      </c>
      <c r="D1035" s="440">
        <f t="shared" si="376"/>
        <v>0.18749299716973278</v>
      </c>
      <c r="E1035" s="441"/>
      <c r="F1035" s="440">
        <v>0.10076211489819639</v>
      </c>
      <c r="G1035" s="440">
        <v>8.8499644711727457E-2</v>
      </c>
      <c r="H1035" s="440">
        <f t="shared" si="377"/>
        <v>0.18926175960992386</v>
      </c>
      <c r="I1035" s="441"/>
      <c r="J1035" s="440">
        <v>0.10712701772739719</v>
      </c>
      <c r="K1035" s="440">
        <v>9.4343055632790607E-2</v>
      </c>
      <c r="L1035" s="440">
        <f t="shared" si="378"/>
        <v>0.2014700733601878</v>
      </c>
      <c r="M1035" s="347"/>
      <c r="N1035" s="347"/>
    </row>
    <row r="1036" spans="1:14" x14ac:dyDescent="0.2">
      <c r="A1036" s="362" t="str">
        <f>name!E$11</f>
        <v>Process, plant and machine operatives</v>
      </c>
      <c r="B1036" s="440">
        <v>3.3954051818300947E-2</v>
      </c>
      <c r="C1036" s="440">
        <v>0.50895953348014389</v>
      </c>
      <c r="D1036" s="440">
        <f t="shared" si="376"/>
        <v>0.5429135852984448</v>
      </c>
      <c r="E1036" s="441"/>
      <c r="F1036" s="440">
        <v>2.6620474153821357E-2</v>
      </c>
      <c r="G1036" s="440">
        <v>0.28987472653159863</v>
      </c>
      <c r="H1036" s="440">
        <f t="shared" si="377"/>
        <v>0.31649520068541998</v>
      </c>
      <c r="I1036" s="441"/>
      <c r="J1036" s="440">
        <v>2.7199931106128426E-2</v>
      </c>
      <c r="K1036" s="440">
        <v>0.29562040004944423</v>
      </c>
      <c r="L1036" s="440">
        <f t="shared" si="378"/>
        <v>0.32282033115557268</v>
      </c>
      <c r="M1036" s="347"/>
      <c r="N1036" s="347"/>
    </row>
    <row r="1037" spans="1:14" x14ac:dyDescent="0.2">
      <c r="A1037" s="362" t="str">
        <f>name!E$12</f>
        <v>Elementary occupations</v>
      </c>
      <c r="B1037" s="440">
        <v>0.22044304477193305</v>
      </c>
      <c r="C1037" s="440">
        <v>0.66047480412913906</v>
      </c>
      <c r="D1037" s="440">
        <f t="shared" si="376"/>
        <v>0.88091784890107205</v>
      </c>
      <c r="E1037" s="441"/>
      <c r="F1037" s="440">
        <v>0.19765326344700565</v>
      </c>
      <c r="G1037" s="440">
        <v>0.54375969979032635</v>
      </c>
      <c r="H1037" s="440">
        <f t="shared" si="377"/>
        <v>0.74141296323733197</v>
      </c>
      <c r="I1037" s="441"/>
      <c r="J1037" s="440">
        <v>0.22629358612561493</v>
      </c>
      <c r="K1037" s="440">
        <v>0.58097634773505036</v>
      </c>
      <c r="L1037" s="440">
        <f t="shared" si="378"/>
        <v>0.80726993386066526</v>
      </c>
      <c r="M1037" s="347"/>
      <c r="N1037" s="347"/>
    </row>
    <row r="1038" spans="1:14" s="286" customFormat="1" x14ac:dyDescent="0.2">
      <c r="A1038" s="362"/>
      <c r="B1038" s="440"/>
      <c r="C1038" s="440"/>
      <c r="D1038" s="440"/>
      <c r="E1038" s="441"/>
      <c r="F1038" s="440"/>
      <c r="G1038" s="440"/>
      <c r="H1038" s="440"/>
      <c r="I1038" s="441"/>
      <c r="J1038" s="440"/>
      <c r="K1038" s="440"/>
      <c r="L1038" s="440"/>
      <c r="M1038" s="347"/>
      <c r="N1038" s="347"/>
    </row>
    <row r="1039" spans="1:14" x14ac:dyDescent="0.2">
      <c r="A1039" s="357" t="s">
        <v>32</v>
      </c>
      <c r="B1039" s="450">
        <f>SUM(B1029:B1037)</f>
        <v>1.3399999999838004</v>
      </c>
      <c r="C1039" s="450">
        <f t="shared" ref="C1039:D1039" si="379">SUM(C1029:C1037)</f>
        <v>2.1470000000020484</v>
      </c>
      <c r="D1039" s="450">
        <f t="shared" si="379"/>
        <v>3.4869999999858488</v>
      </c>
      <c r="E1039" s="450"/>
      <c r="F1039" s="450">
        <f t="shared" ref="F1039:H1039" si="380">SUM(F1029:F1037)</f>
        <v>1.094000000012149</v>
      </c>
      <c r="G1039" s="450">
        <f t="shared" si="380"/>
        <v>1.6710000000007055</v>
      </c>
      <c r="H1039" s="450">
        <f t="shared" si="380"/>
        <v>2.7650000000128547</v>
      </c>
      <c r="I1039" s="450"/>
      <c r="J1039" s="450">
        <f t="shared" ref="J1039:L1039" si="381">SUM(J1029:J1037)</f>
        <v>1.1280000000065087</v>
      </c>
      <c r="K1039" s="450">
        <f t="shared" si="381"/>
        <v>1.8269999999803868</v>
      </c>
      <c r="L1039" s="450">
        <f t="shared" si="381"/>
        <v>2.954999999986895</v>
      </c>
      <c r="M1039" s="347"/>
      <c r="N1039" s="347"/>
    </row>
    <row r="1040" spans="1:14" x14ac:dyDescent="0.2">
      <c r="A1040" s="348"/>
      <c r="B1040" s="348"/>
      <c r="C1040" s="348"/>
      <c r="D1040" s="348"/>
      <c r="E1040" s="348"/>
      <c r="F1040" s="348"/>
      <c r="G1040" s="348"/>
      <c r="H1040" s="348"/>
      <c r="I1040" s="348"/>
      <c r="J1040" s="348"/>
      <c r="K1040" s="348"/>
      <c r="L1040" s="353"/>
      <c r="M1040" s="347"/>
      <c r="N1040" s="347"/>
    </row>
    <row r="1041" spans="1:14" x14ac:dyDescent="0.2">
      <c r="A1041" s="348"/>
      <c r="B1041" s="348"/>
      <c r="C1041" s="348"/>
      <c r="D1041" s="348"/>
      <c r="E1041" s="348"/>
      <c r="F1041" s="348"/>
      <c r="G1041" s="348"/>
      <c r="H1041" s="348"/>
      <c r="I1041" s="348"/>
      <c r="J1041" s="348"/>
      <c r="K1041" s="348"/>
      <c r="L1041" s="372" t="s">
        <v>35</v>
      </c>
      <c r="M1041" s="347"/>
      <c r="N1041" s="347"/>
    </row>
    <row r="1042" spans="1:14" x14ac:dyDescent="0.2">
      <c r="A1042" s="355"/>
      <c r="B1042" s="365"/>
      <c r="C1042" s="365"/>
      <c r="D1042" s="365"/>
      <c r="E1042" s="365"/>
      <c r="F1042" s="365"/>
      <c r="G1042" s="365"/>
      <c r="H1042" s="365"/>
      <c r="I1042" s="365"/>
      <c r="J1042" s="365"/>
      <c r="K1042" s="365"/>
      <c r="L1042" s="347"/>
      <c r="M1042" s="347"/>
      <c r="N1042" s="347"/>
    </row>
    <row r="1043" spans="1:14" x14ac:dyDescent="0.2">
      <c r="A1043" s="354" t="str">
        <f>name!A64</f>
        <v>Security, etc</v>
      </c>
      <c r="B1043" s="517">
        <f>B$6</f>
        <v>2007</v>
      </c>
      <c r="C1043" s="517"/>
      <c r="D1043" s="517"/>
      <c r="E1043" s="369"/>
      <c r="F1043" s="517">
        <f>F$6</f>
        <v>2017</v>
      </c>
      <c r="G1043" s="517"/>
      <c r="H1043" s="517"/>
      <c r="I1043" s="369"/>
      <c r="J1043" s="517">
        <f>J$6</f>
        <v>2027</v>
      </c>
      <c r="K1043" s="517"/>
      <c r="L1043" s="517"/>
      <c r="M1043" s="347"/>
      <c r="N1043" s="347"/>
    </row>
    <row r="1044" spans="1:14" x14ac:dyDescent="0.2">
      <c r="A1044" s="370"/>
      <c r="B1044" s="371" t="s">
        <v>387</v>
      </c>
      <c r="C1044" s="371" t="s">
        <v>388</v>
      </c>
      <c r="D1044" s="371" t="s">
        <v>32</v>
      </c>
      <c r="E1044" s="371"/>
      <c r="F1044" s="371" t="s">
        <v>387</v>
      </c>
      <c r="G1044" s="371" t="s">
        <v>388</v>
      </c>
      <c r="H1044" s="371" t="s">
        <v>32</v>
      </c>
      <c r="I1044" s="371"/>
      <c r="J1044" s="371" t="s">
        <v>387</v>
      </c>
      <c r="K1044" s="371" t="s">
        <v>388</v>
      </c>
      <c r="L1044" s="371" t="s">
        <v>32</v>
      </c>
      <c r="M1044" s="347"/>
      <c r="N1044" s="347"/>
    </row>
    <row r="1045" spans="1:14" s="286" customFormat="1" x14ac:dyDescent="0.2">
      <c r="A1045" s="374"/>
      <c r="B1045" s="375"/>
      <c r="C1045" s="375"/>
      <c r="D1045" s="375"/>
      <c r="E1045" s="375"/>
      <c r="F1045" s="375"/>
      <c r="G1045" s="375"/>
      <c r="H1045" s="375"/>
      <c r="I1045" s="375"/>
      <c r="J1045" s="375"/>
      <c r="K1045" s="375"/>
      <c r="L1045" s="375"/>
      <c r="M1045" s="347"/>
      <c r="N1045" s="347"/>
    </row>
    <row r="1046" spans="1:14" x14ac:dyDescent="0.2">
      <c r="A1046" s="362" t="str">
        <f>name!E$4</f>
        <v>Managers, directors and senior officials</v>
      </c>
      <c r="B1046" s="440">
        <v>4.4892449683777015E-2</v>
      </c>
      <c r="C1046" s="440">
        <v>0.28262825402303526</v>
      </c>
      <c r="D1046" s="440">
        <f>SUM(B1046:C1046)</f>
        <v>0.3275207037068123</v>
      </c>
      <c r="E1046" s="441"/>
      <c r="F1046" s="440">
        <v>0.1099693950762603</v>
      </c>
      <c r="G1046" s="440">
        <v>0.36227820234081076</v>
      </c>
      <c r="H1046" s="440">
        <f>SUM(F1046:G1046)</f>
        <v>0.47224759741707106</v>
      </c>
      <c r="I1046" s="441"/>
      <c r="J1046" s="440">
        <v>0.14838416064045387</v>
      </c>
      <c r="K1046" s="440">
        <v>0.39282891291676891</v>
      </c>
      <c r="L1046" s="440">
        <f>SUM(J1046:K1046)</f>
        <v>0.54121307355722281</v>
      </c>
      <c r="M1046" s="347"/>
      <c r="N1046" s="347"/>
    </row>
    <row r="1047" spans="1:14" x14ac:dyDescent="0.2">
      <c r="A1047" s="362" t="str">
        <f>name!E$5</f>
        <v>Professional occupations</v>
      </c>
      <c r="B1047" s="440">
        <v>0.10492810790080272</v>
      </c>
      <c r="C1047" s="440">
        <v>0.18177366022797362</v>
      </c>
      <c r="D1047" s="440">
        <f t="shared" ref="D1047:D1054" si="382">SUM(B1047:C1047)</f>
        <v>0.28670176812877635</v>
      </c>
      <c r="E1047" s="441"/>
      <c r="F1047" s="440">
        <v>0.18266716147147424</v>
      </c>
      <c r="G1047" s="440">
        <v>0.23524226325025371</v>
      </c>
      <c r="H1047" s="440">
        <f t="shared" ref="H1047:H1054" si="383">SUM(F1047:G1047)</f>
        <v>0.41790942472172798</v>
      </c>
      <c r="I1047" s="441"/>
      <c r="J1047" s="440">
        <v>0.23470097885722063</v>
      </c>
      <c r="K1047" s="440">
        <v>0.27294383300849923</v>
      </c>
      <c r="L1047" s="440">
        <f t="shared" ref="L1047:L1054" si="384">SUM(J1047:K1047)</f>
        <v>0.50764481186571986</v>
      </c>
      <c r="M1047" s="347"/>
      <c r="N1047" s="347"/>
    </row>
    <row r="1048" spans="1:14" x14ac:dyDescent="0.2">
      <c r="A1048" s="362" t="str">
        <f>name!E$6</f>
        <v>Associate professional and technical</v>
      </c>
      <c r="B1048" s="440">
        <v>0.26478983544794316</v>
      </c>
      <c r="C1048" s="440">
        <v>0.39480160180112017</v>
      </c>
      <c r="D1048" s="440">
        <f t="shared" si="382"/>
        <v>0.65959143724906333</v>
      </c>
      <c r="E1048" s="441"/>
      <c r="F1048" s="440">
        <v>0.22814932199008406</v>
      </c>
      <c r="G1048" s="440">
        <v>0.53078795770770926</v>
      </c>
      <c r="H1048" s="440">
        <f t="shared" si="383"/>
        <v>0.75893727969779334</v>
      </c>
      <c r="I1048" s="441"/>
      <c r="J1048" s="440">
        <v>0.27793859533400489</v>
      </c>
      <c r="K1048" s="440">
        <v>0.53445186290805524</v>
      </c>
      <c r="L1048" s="440">
        <f t="shared" si="384"/>
        <v>0.81239045824206013</v>
      </c>
      <c r="M1048" s="347"/>
      <c r="N1048" s="347"/>
    </row>
    <row r="1049" spans="1:14" x14ac:dyDescent="0.2">
      <c r="A1049" s="362" t="str">
        <f>name!E$7</f>
        <v>Administrative and secretarial</v>
      </c>
      <c r="B1049" s="440">
        <v>0.57101789315511109</v>
      </c>
      <c r="C1049" s="440">
        <v>0.25817145556757976</v>
      </c>
      <c r="D1049" s="440">
        <f t="shared" si="382"/>
        <v>0.8291893487226909</v>
      </c>
      <c r="E1049" s="441"/>
      <c r="F1049" s="440">
        <v>0.49382905314349179</v>
      </c>
      <c r="G1049" s="440">
        <v>0.34204509267469607</v>
      </c>
      <c r="H1049" s="440">
        <f t="shared" si="383"/>
        <v>0.83587414581818786</v>
      </c>
      <c r="I1049" s="441"/>
      <c r="J1049" s="440">
        <v>0.40905074572970229</v>
      </c>
      <c r="K1049" s="440">
        <v>0.37326889913833783</v>
      </c>
      <c r="L1049" s="440">
        <f t="shared" si="384"/>
        <v>0.78231964486804006</v>
      </c>
      <c r="M1049" s="347"/>
      <c r="N1049" s="347"/>
    </row>
    <row r="1050" spans="1:14" x14ac:dyDescent="0.2">
      <c r="A1050" s="362" t="str">
        <f>name!E$8</f>
        <v>Skilled trades occupations</v>
      </c>
      <c r="B1050" s="440">
        <v>1.126016944802977E-2</v>
      </c>
      <c r="C1050" s="440">
        <v>0.21898060788459381</v>
      </c>
      <c r="D1050" s="440">
        <f t="shared" si="382"/>
        <v>0.23024077733262358</v>
      </c>
      <c r="E1050" s="441"/>
      <c r="F1050" s="440">
        <v>1.5917818755944165E-2</v>
      </c>
      <c r="G1050" s="440">
        <v>0.2326208776523411</v>
      </c>
      <c r="H1050" s="440">
        <f t="shared" si="383"/>
        <v>0.24853869640828527</v>
      </c>
      <c r="I1050" s="441"/>
      <c r="J1050" s="440">
        <v>2.2728694743159215E-2</v>
      </c>
      <c r="K1050" s="440">
        <v>0.21082617215751948</v>
      </c>
      <c r="L1050" s="440">
        <f t="shared" si="384"/>
        <v>0.2335548669006787</v>
      </c>
      <c r="M1050" s="347"/>
      <c r="N1050" s="347"/>
    </row>
    <row r="1051" spans="1:14" x14ac:dyDescent="0.2">
      <c r="A1051" s="362" t="str">
        <f>name!E$9</f>
        <v>Caring, leisure and other service</v>
      </c>
      <c r="B1051" s="440">
        <v>0.14790879434533974</v>
      </c>
      <c r="C1051" s="440">
        <v>7.254426513639349E-2</v>
      </c>
      <c r="D1051" s="440">
        <f t="shared" si="382"/>
        <v>0.22045305948173322</v>
      </c>
      <c r="E1051" s="441"/>
      <c r="F1051" s="440">
        <v>0.24187482288403367</v>
      </c>
      <c r="G1051" s="440">
        <v>0.13309245987055682</v>
      </c>
      <c r="H1051" s="440">
        <f t="shared" si="383"/>
        <v>0.37496728275459046</v>
      </c>
      <c r="I1051" s="441"/>
      <c r="J1051" s="440">
        <v>0.30709298093599591</v>
      </c>
      <c r="K1051" s="440">
        <v>0.13854115078376339</v>
      </c>
      <c r="L1051" s="440">
        <f t="shared" si="384"/>
        <v>0.4456341317197593</v>
      </c>
      <c r="M1051" s="347"/>
      <c r="N1051" s="347"/>
    </row>
    <row r="1052" spans="1:14" x14ac:dyDescent="0.2">
      <c r="A1052" s="362" t="str">
        <f>name!E$10</f>
        <v>Sales and customer service</v>
      </c>
      <c r="B1052" s="440">
        <v>0.13766859198311315</v>
      </c>
      <c r="C1052" s="440">
        <v>0.226545162864217</v>
      </c>
      <c r="D1052" s="440">
        <f t="shared" si="382"/>
        <v>0.36421375484733015</v>
      </c>
      <c r="E1052" s="441"/>
      <c r="F1052" s="440">
        <v>0.19669733021591215</v>
      </c>
      <c r="G1052" s="440">
        <v>0.41556739709985757</v>
      </c>
      <c r="H1052" s="440">
        <f t="shared" si="383"/>
        <v>0.61226472731576975</v>
      </c>
      <c r="I1052" s="441"/>
      <c r="J1052" s="440">
        <v>0.21767391758247054</v>
      </c>
      <c r="K1052" s="440">
        <v>0.47055864048854468</v>
      </c>
      <c r="L1052" s="440">
        <f t="shared" si="384"/>
        <v>0.68823255807101524</v>
      </c>
      <c r="M1052" s="347"/>
      <c r="N1052" s="347"/>
    </row>
    <row r="1053" spans="1:14" x14ac:dyDescent="0.2">
      <c r="A1053" s="362" t="str">
        <f>name!E$11</f>
        <v>Process, plant and machine operatives</v>
      </c>
      <c r="B1053" s="440">
        <v>3.3274920721124944E-2</v>
      </c>
      <c r="C1053" s="440">
        <v>0.27862228562972191</v>
      </c>
      <c r="D1053" s="440">
        <f t="shared" si="382"/>
        <v>0.31189720635084683</v>
      </c>
      <c r="E1053" s="441"/>
      <c r="F1053" s="440">
        <v>2.2427076725604424E-2</v>
      </c>
      <c r="G1053" s="440">
        <v>0.16336016454414171</v>
      </c>
      <c r="H1053" s="440">
        <f t="shared" si="383"/>
        <v>0.18578724126974613</v>
      </c>
      <c r="I1053" s="441"/>
      <c r="J1053" s="440">
        <v>1.5059725595273287E-2</v>
      </c>
      <c r="K1053" s="440">
        <v>0.15854334404341153</v>
      </c>
      <c r="L1053" s="440">
        <f t="shared" si="384"/>
        <v>0.17360306963868483</v>
      </c>
      <c r="M1053" s="347"/>
      <c r="N1053" s="347"/>
    </row>
    <row r="1054" spans="1:14" x14ac:dyDescent="0.2">
      <c r="A1054" s="362" t="str">
        <f>name!E$12</f>
        <v>Elementary occupations</v>
      </c>
      <c r="B1054" s="440">
        <v>0.61725923728977028</v>
      </c>
      <c r="C1054" s="440">
        <v>1.5629327068684036</v>
      </c>
      <c r="D1054" s="440">
        <f t="shared" si="382"/>
        <v>2.1801919441581736</v>
      </c>
      <c r="E1054" s="441"/>
      <c r="F1054" s="440">
        <v>0.38246801974963818</v>
      </c>
      <c r="G1054" s="440">
        <v>1.3200055848548886</v>
      </c>
      <c r="H1054" s="440">
        <f t="shared" si="383"/>
        <v>1.7024736046045268</v>
      </c>
      <c r="I1054" s="441"/>
      <c r="J1054" s="440">
        <v>0.29837020058896768</v>
      </c>
      <c r="K1054" s="440">
        <v>1.4610371845244841</v>
      </c>
      <c r="L1054" s="440">
        <f t="shared" si="384"/>
        <v>1.7594073851134517</v>
      </c>
      <c r="M1054" s="347"/>
      <c r="N1054" s="347"/>
    </row>
    <row r="1055" spans="1:14" s="286" customFormat="1" x14ac:dyDescent="0.2">
      <c r="A1055" s="362"/>
      <c r="B1055" s="440"/>
      <c r="C1055" s="440"/>
      <c r="D1055" s="440"/>
      <c r="E1055" s="441"/>
      <c r="F1055" s="440"/>
      <c r="G1055" s="440"/>
      <c r="H1055" s="440"/>
      <c r="I1055" s="441"/>
      <c r="J1055" s="440"/>
      <c r="K1055" s="440"/>
      <c r="L1055" s="440"/>
      <c r="M1055" s="347"/>
      <c r="N1055" s="347"/>
    </row>
    <row r="1056" spans="1:14" x14ac:dyDescent="0.2">
      <c r="A1056" s="357" t="s">
        <v>32</v>
      </c>
      <c r="B1056" s="450">
        <f>SUM(B1046:B1054)</f>
        <v>1.9329999999750118</v>
      </c>
      <c r="C1056" s="450">
        <f t="shared" ref="C1056:D1056" si="385">SUM(C1046:C1054)</f>
        <v>3.4770000000030388</v>
      </c>
      <c r="D1056" s="450">
        <f t="shared" si="385"/>
        <v>5.4099999999780497</v>
      </c>
      <c r="E1056" s="450"/>
      <c r="F1056" s="450">
        <f t="shared" ref="F1056:H1056" si="386">SUM(F1046:F1054)</f>
        <v>1.874000000012443</v>
      </c>
      <c r="G1056" s="450">
        <f t="shared" si="386"/>
        <v>3.7349999999952557</v>
      </c>
      <c r="H1056" s="450">
        <f t="shared" si="386"/>
        <v>5.6090000000076987</v>
      </c>
      <c r="I1056" s="450"/>
      <c r="J1056" s="450">
        <f t="shared" ref="J1056:L1056" si="387">SUM(J1046:J1054)</f>
        <v>1.9310000000072485</v>
      </c>
      <c r="K1056" s="450">
        <f t="shared" si="387"/>
        <v>4.0129999999693844</v>
      </c>
      <c r="L1056" s="450">
        <f t="shared" si="387"/>
        <v>5.9439999999766329</v>
      </c>
      <c r="M1056" s="347"/>
      <c r="N1056" s="347"/>
    </row>
    <row r="1057" spans="1:14" x14ac:dyDescent="0.2">
      <c r="A1057" s="348"/>
      <c r="B1057" s="348"/>
      <c r="C1057" s="348"/>
      <c r="D1057" s="348"/>
      <c r="E1057" s="348"/>
      <c r="F1057" s="348"/>
      <c r="G1057" s="348"/>
      <c r="H1057" s="348"/>
      <c r="I1057" s="348"/>
      <c r="J1057" s="348"/>
      <c r="K1057" s="348"/>
      <c r="L1057" s="353"/>
      <c r="M1057" s="347"/>
      <c r="N1057" s="347"/>
    </row>
    <row r="1058" spans="1:14" x14ac:dyDescent="0.2">
      <c r="A1058" s="348"/>
      <c r="B1058" s="348"/>
      <c r="C1058" s="348"/>
      <c r="D1058" s="348"/>
      <c r="E1058" s="348"/>
      <c r="F1058" s="348"/>
      <c r="G1058" s="348"/>
      <c r="H1058" s="348"/>
      <c r="I1058" s="348"/>
      <c r="J1058" s="348"/>
      <c r="K1058" s="348"/>
      <c r="L1058" s="372" t="s">
        <v>35</v>
      </c>
      <c r="M1058" s="347"/>
      <c r="N1058" s="347"/>
    </row>
    <row r="1059" spans="1:14" x14ac:dyDescent="0.2">
      <c r="A1059" s="355"/>
      <c r="B1059" s="365"/>
      <c r="C1059" s="365"/>
      <c r="D1059" s="365"/>
      <c r="E1059" s="365"/>
      <c r="F1059" s="365"/>
      <c r="G1059" s="365"/>
      <c r="H1059" s="365"/>
      <c r="I1059" s="365"/>
      <c r="J1059" s="365"/>
      <c r="K1059" s="365"/>
      <c r="L1059" s="347"/>
      <c r="M1059" s="347"/>
      <c r="N1059" s="347"/>
    </row>
    <row r="1060" spans="1:14" x14ac:dyDescent="0.2">
      <c r="A1060" s="354" t="str">
        <f>name!A65</f>
        <v>Services to buildings</v>
      </c>
      <c r="B1060" s="517">
        <f>B$6</f>
        <v>2007</v>
      </c>
      <c r="C1060" s="517"/>
      <c r="D1060" s="517"/>
      <c r="E1060" s="369"/>
      <c r="F1060" s="517">
        <f>F$6</f>
        <v>2017</v>
      </c>
      <c r="G1060" s="517"/>
      <c r="H1060" s="517"/>
      <c r="I1060" s="369"/>
      <c r="J1060" s="517">
        <f>J$6</f>
        <v>2027</v>
      </c>
      <c r="K1060" s="517"/>
      <c r="L1060" s="517"/>
      <c r="M1060" s="347"/>
      <c r="N1060" s="347"/>
    </row>
    <row r="1061" spans="1:14" x14ac:dyDescent="0.2">
      <c r="A1061" s="370"/>
      <c r="B1061" s="371" t="s">
        <v>387</v>
      </c>
      <c r="C1061" s="371" t="s">
        <v>388</v>
      </c>
      <c r="D1061" s="371" t="s">
        <v>32</v>
      </c>
      <c r="E1061" s="371"/>
      <c r="F1061" s="371" t="s">
        <v>387</v>
      </c>
      <c r="G1061" s="371" t="s">
        <v>388</v>
      </c>
      <c r="H1061" s="371" t="s">
        <v>32</v>
      </c>
      <c r="I1061" s="371"/>
      <c r="J1061" s="371" t="s">
        <v>387</v>
      </c>
      <c r="K1061" s="371" t="s">
        <v>388</v>
      </c>
      <c r="L1061" s="371" t="s">
        <v>32</v>
      </c>
      <c r="M1061" s="347"/>
      <c r="N1061" s="347"/>
    </row>
    <row r="1062" spans="1:14" s="286" customFormat="1" x14ac:dyDescent="0.2">
      <c r="A1062" s="374"/>
      <c r="B1062" s="375"/>
      <c r="C1062" s="375"/>
      <c r="D1062" s="375"/>
      <c r="E1062" s="375"/>
      <c r="F1062" s="375"/>
      <c r="G1062" s="375"/>
      <c r="H1062" s="375"/>
      <c r="I1062" s="375"/>
      <c r="J1062" s="375"/>
      <c r="K1062" s="375"/>
      <c r="L1062" s="375"/>
      <c r="M1062" s="347"/>
      <c r="N1062" s="347"/>
    </row>
    <row r="1063" spans="1:14" x14ac:dyDescent="0.2">
      <c r="A1063" s="362" t="str">
        <f>name!E$4</f>
        <v>Managers, directors and senior officials</v>
      </c>
      <c r="B1063" s="440">
        <v>0.3653379200274493</v>
      </c>
      <c r="C1063" s="440">
        <v>0.64984185081643131</v>
      </c>
      <c r="D1063" s="440">
        <f>SUM(B1063:C1063)</f>
        <v>1.0151797708438806</v>
      </c>
      <c r="E1063" s="441"/>
      <c r="F1063" s="440">
        <v>1.0357570647779122</v>
      </c>
      <c r="G1063" s="440">
        <v>0.95712446668954387</v>
      </c>
      <c r="H1063" s="440">
        <f>SUM(F1063:G1063)</f>
        <v>1.9928815314674559</v>
      </c>
      <c r="I1063" s="441"/>
      <c r="J1063" s="440">
        <v>1.5618170508801628</v>
      </c>
      <c r="K1063" s="440">
        <v>1.046044631427349</v>
      </c>
      <c r="L1063" s="440">
        <f>SUM(J1063:K1063)</f>
        <v>2.6078616823075116</v>
      </c>
      <c r="M1063" s="347"/>
      <c r="N1063" s="347"/>
    </row>
    <row r="1064" spans="1:14" x14ac:dyDescent="0.2">
      <c r="A1064" s="362" t="str">
        <f>name!E$5</f>
        <v>Professional occupations</v>
      </c>
      <c r="B1064" s="440">
        <v>1.0903493222319991</v>
      </c>
      <c r="C1064" s="440">
        <v>0.46509031070693491</v>
      </c>
      <c r="D1064" s="440">
        <f t="shared" ref="D1064:D1071" si="388">SUM(B1064:C1064)</f>
        <v>1.5554396329389339</v>
      </c>
      <c r="E1064" s="441"/>
      <c r="F1064" s="440">
        <v>1.4133221839864618</v>
      </c>
      <c r="G1064" s="440">
        <v>0.53662484699137647</v>
      </c>
      <c r="H1064" s="440">
        <f t="shared" ref="H1064:H1071" si="389">SUM(F1064:G1064)</f>
        <v>1.9499470309778384</v>
      </c>
      <c r="I1064" s="441"/>
      <c r="J1064" s="440">
        <v>1.7668173190360197</v>
      </c>
      <c r="K1064" s="440">
        <v>0.5991387884941225</v>
      </c>
      <c r="L1064" s="440">
        <f t="shared" ref="L1064:L1071" si="390">SUM(J1064:K1064)</f>
        <v>2.3659561075301423</v>
      </c>
      <c r="M1064" s="347"/>
      <c r="N1064" s="347"/>
    </row>
    <row r="1065" spans="1:14" x14ac:dyDescent="0.2">
      <c r="A1065" s="362" t="str">
        <f>name!E$6</f>
        <v>Associate professional and technical</v>
      </c>
      <c r="B1065" s="440">
        <v>1.3135076597822664</v>
      </c>
      <c r="C1065" s="440">
        <v>0.73343793316364148</v>
      </c>
      <c r="D1065" s="440">
        <f t="shared" si="388"/>
        <v>2.0469455929459079</v>
      </c>
      <c r="E1065" s="441"/>
      <c r="F1065" s="440">
        <v>1.3416625038010617</v>
      </c>
      <c r="G1065" s="440">
        <v>1.0193401015804811</v>
      </c>
      <c r="H1065" s="440">
        <f t="shared" si="389"/>
        <v>2.3610026053815427</v>
      </c>
      <c r="I1065" s="441"/>
      <c r="J1065" s="440">
        <v>1.6128844780971148</v>
      </c>
      <c r="K1065" s="440">
        <v>1.0460423127387326</v>
      </c>
      <c r="L1065" s="440">
        <f t="shared" si="390"/>
        <v>2.6589267908358476</v>
      </c>
      <c r="M1065" s="347"/>
      <c r="N1065" s="347"/>
    </row>
    <row r="1066" spans="1:14" x14ac:dyDescent="0.2">
      <c r="A1066" s="362" t="str">
        <f>name!E$7</f>
        <v>Administrative and secretarial</v>
      </c>
      <c r="B1066" s="440">
        <v>3.9738317241980048</v>
      </c>
      <c r="C1066" s="440">
        <v>0.56143310939422897</v>
      </c>
      <c r="D1066" s="440">
        <f t="shared" si="388"/>
        <v>4.5352648335922341</v>
      </c>
      <c r="E1066" s="441"/>
      <c r="F1066" s="440">
        <v>3.1884933126296056</v>
      </c>
      <c r="G1066" s="440">
        <v>0.62731951833684274</v>
      </c>
      <c r="H1066" s="440">
        <f t="shared" si="389"/>
        <v>3.8158128309664483</v>
      </c>
      <c r="I1066" s="441"/>
      <c r="J1066" s="440">
        <v>2.9727691659220401</v>
      </c>
      <c r="K1066" s="440">
        <v>0.67973247724128605</v>
      </c>
      <c r="L1066" s="440">
        <f t="shared" si="390"/>
        <v>3.6525016431633262</v>
      </c>
      <c r="M1066" s="347"/>
      <c r="N1066" s="347"/>
    </row>
    <row r="1067" spans="1:14" x14ac:dyDescent="0.2">
      <c r="A1067" s="362" t="str">
        <f>name!E$8</f>
        <v>Skilled trades occupations</v>
      </c>
      <c r="B1067" s="440">
        <v>0.12538274788178502</v>
      </c>
      <c r="C1067" s="440">
        <v>0.448054605099934</v>
      </c>
      <c r="D1067" s="440">
        <f t="shared" si="388"/>
        <v>0.57343735298171905</v>
      </c>
      <c r="E1067" s="441"/>
      <c r="F1067" s="440">
        <v>0.22572010226208691</v>
      </c>
      <c r="G1067" s="440">
        <v>0.63639240732235758</v>
      </c>
      <c r="H1067" s="440">
        <f t="shared" si="389"/>
        <v>0.86211250958444452</v>
      </c>
      <c r="I1067" s="441"/>
      <c r="J1067" s="440">
        <v>0.40846584409471609</v>
      </c>
      <c r="K1067" s="440">
        <v>0.60400439703758801</v>
      </c>
      <c r="L1067" s="440">
        <f t="shared" si="390"/>
        <v>1.0124702411323041</v>
      </c>
      <c r="M1067" s="347"/>
      <c r="N1067" s="347"/>
    </row>
    <row r="1068" spans="1:14" x14ac:dyDescent="0.2">
      <c r="A1068" s="362" t="str">
        <f>name!E$9</f>
        <v>Caring, leisure and other service</v>
      </c>
      <c r="B1068" s="440">
        <v>1.2972173123575896</v>
      </c>
      <c r="C1068" s="440">
        <v>0.2162826552645393</v>
      </c>
      <c r="D1068" s="440">
        <f t="shared" si="388"/>
        <v>1.513499967622129</v>
      </c>
      <c r="E1068" s="441"/>
      <c r="F1068" s="440">
        <v>1.6889625166598115</v>
      </c>
      <c r="G1068" s="440">
        <v>0.32226738663547183</v>
      </c>
      <c r="H1068" s="440">
        <f t="shared" si="389"/>
        <v>2.0112299032952832</v>
      </c>
      <c r="I1068" s="441"/>
      <c r="J1068" s="440">
        <v>1.8747655247851804</v>
      </c>
      <c r="K1068" s="440">
        <v>0.3518885442776522</v>
      </c>
      <c r="L1068" s="440">
        <f t="shared" si="390"/>
        <v>2.2266540690628327</v>
      </c>
      <c r="M1068" s="347"/>
      <c r="N1068" s="347"/>
    </row>
    <row r="1069" spans="1:14" x14ac:dyDescent="0.2">
      <c r="A1069" s="362" t="str">
        <f>name!E$10</f>
        <v>Sales and customer service</v>
      </c>
      <c r="B1069" s="440">
        <v>1.1971688908273213</v>
      </c>
      <c r="C1069" s="440">
        <v>0.46347178115517607</v>
      </c>
      <c r="D1069" s="440">
        <f t="shared" si="388"/>
        <v>1.6606406719824973</v>
      </c>
      <c r="E1069" s="441"/>
      <c r="F1069" s="440">
        <v>1.2131245214333899</v>
      </c>
      <c r="G1069" s="440">
        <v>0.80476557220087441</v>
      </c>
      <c r="H1069" s="440">
        <f t="shared" si="389"/>
        <v>2.0178900936342643</v>
      </c>
      <c r="I1069" s="441"/>
      <c r="J1069" s="440">
        <v>1.5178309130334202</v>
      </c>
      <c r="K1069" s="440">
        <v>0.86794988478287449</v>
      </c>
      <c r="L1069" s="440">
        <f t="shared" si="390"/>
        <v>2.3857807978162948</v>
      </c>
      <c r="M1069" s="347"/>
      <c r="N1069" s="347"/>
    </row>
    <row r="1070" spans="1:14" x14ac:dyDescent="0.2">
      <c r="A1070" s="362" t="str">
        <f>name!E$11</f>
        <v>Process, plant and machine operatives</v>
      </c>
      <c r="B1070" s="440">
        <v>0.1179027523659408</v>
      </c>
      <c r="C1070" s="440">
        <v>0.45369621631197166</v>
      </c>
      <c r="D1070" s="440">
        <f t="shared" si="388"/>
        <v>0.57159896867791249</v>
      </c>
      <c r="E1070" s="441"/>
      <c r="F1070" s="440">
        <v>7.0886151281796345E-2</v>
      </c>
      <c r="G1070" s="440">
        <v>0.35585870764599525</v>
      </c>
      <c r="H1070" s="440">
        <f t="shared" si="389"/>
        <v>0.42674485892779157</v>
      </c>
      <c r="I1070" s="441"/>
      <c r="J1070" s="440">
        <v>4.0863121931315471E-2</v>
      </c>
      <c r="K1070" s="440">
        <v>0.34363907618463213</v>
      </c>
      <c r="L1070" s="440">
        <f t="shared" si="390"/>
        <v>0.3845021981159476</v>
      </c>
      <c r="M1070" s="347"/>
      <c r="N1070" s="347"/>
    </row>
    <row r="1071" spans="1:14" x14ac:dyDescent="0.2">
      <c r="A1071" s="362" t="str">
        <f>name!E$12</f>
        <v>Elementary occupations</v>
      </c>
      <c r="B1071" s="440">
        <v>3.3453016702408105</v>
      </c>
      <c r="C1071" s="440">
        <v>2.5486915380902548</v>
      </c>
      <c r="D1071" s="440">
        <f t="shared" si="388"/>
        <v>5.8939932083310653</v>
      </c>
      <c r="E1071" s="441"/>
      <c r="F1071" s="440">
        <v>2.5280716432504322</v>
      </c>
      <c r="G1071" s="440">
        <v>2.3363069925858735</v>
      </c>
      <c r="H1071" s="440">
        <f t="shared" si="389"/>
        <v>4.8643786358363057</v>
      </c>
      <c r="I1071" s="441"/>
      <c r="J1071" s="440">
        <v>1.5467865822745104</v>
      </c>
      <c r="K1071" s="440">
        <v>2.5715598877678065</v>
      </c>
      <c r="L1071" s="440">
        <f t="shared" si="390"/>
        <v>4.1183464700423169</v>
      </c>
      <c r="M1071" s="347"/>
      <c r="N1071" s="347"/>
    </row>
    <row r="1072" spans="1:14" s="286" customFormat="1" x14ac:dyDescent="0.2">
      <c r="A1072" s="362"/>
      <c r="B1072" s="440"/>
      <c r="C1072" s="440"/>
      <c r="D1072" s="440"/>
      <c r="E1072" s="441"/>
      <c r="F1072" s="440"/>
      <c r="G1072" s="440"/>
      <c r="H1072" s="440"/>
      <c r="I1072" s="441"/>
      <c r="J1072" s="440"/>
      <c r="K1072" s="440"/>
      <c r="L1072" s="440"/>
      <c r="M1072" s="347"/>
      <c r="N1072" s="347"/>
    </row>
    <row r="1073" spans="1:14" x14ac:dyDescent="0.2">
      <c r="A1073" s="357" t="s">
        <v>32</v>
      </c>
      <c r="B1073" s="450">
        <f>SUM(B1063:B1071)</f>
        <v>12.825999999913169</v>
      </c>
      <c r="C1073" s="450">
        <f t="shared" ref="C1073:D1073" si="391">SUM(C1063:C1071)</f>
        <v>6.5400000000031122</v>
      </c>
      <c r="D1073" s="450">
        <f t="shared" si="391"/>
        <v>19.36599999991628</v>
      </c>
      <c r="E1073" s="450"/>
      <c r="F1073" s="450">
        <f t="shared" ref="F1073:H1073" si="392">SUM(F1063:F1071)</f>
        <v>12.706000000082557</v>
      </c>
      <c r="G1073" s="450">
        <f t="shared" si="392"/>
        <v>7.595999999988817</v>
      </c>
      <c r="H1073" s="450">
        <f t="shared" si="392"/>
        <v>20.302000000071374</v>
      </c>
      <c r="I1073" s="450"/>
      <c r="J1073" s="450">
        <f t="shared" ref="J1073:L1073" si="393">SUM(J1063:J1071)</f>
        <v>13.303000000054478</v>
      </c>
      <c r="K1073" s="450">
        <f t="shared" si="393"/>
        <v>8.1099999999520449</v>
      </c>
      <c r="L1073" s="450">
        <f t="shared" si="393"/>
        <v>21.413000000006519</v>
      </c>
      <c r="M1073" s="347"/>
      <c r="N1073" s="347"/>
    </row>
    <row r="1074" spans="1:14" x14ac:dyDescent="0.2">
      <c r="A1074" s="348"/>
      <c r="B1074" s="348"/>
      <c r="C1074" s="348"/>
      <c r="D1074" s="348"/>
      <c r="E1074" s="348"/>
      <c r="F1074" s="348"/>
      <c r="G1074" s="348"/>
      <c r="H1074" s="348"/>
      <c r="I1074" s="348"/>
      <c r="J1074" s="348"/>
      <c r="K1074" s="348"/>
      <c r="L1074" s="353"/>
      <c r="M1074" s="347"/>
      <c r="N1074" s="347"/>
    </row>
    <row r="1075" spans="1:14" x14ac:dyDescent="0.2">
      <c r="A1075" s="348"/>
      <c r="B1075" s="348"/>
      <c r="C1075" s="348"/>
      <c r="D1075" s="348"/>
      <c r="E1075" s="348"/>
      <c r="F1075" s="348"/>
      <c r="G1075" s="348"/>
      <c r="H1075" s="348"/>
      <c r="I1075" s="348"/>
      <c r="J1075" s="348"/>
      <c r="K1075" s="348"/>
      <c r="L1075" s="372" t="s">
        <v>35</v>
      </c>
      <c r="M1075" s="347"/>
      <c r="N1075" s="347"/>
    </row>
    <row r="1076" spans="1:14" x14ac:dyDescent="0.2">
      <c r="A1076" s="355"/>
      <c r="B1076" s="365"/>
      <c r="C1076" s="365"/>
      <c r="D1076" s="365"/>
      <c r="E1076" s="365"/>
      <c r="F1076" s="365"/>
      <c r="G1076" s="365"/>
      <c r="H1076" s="365"/>
      <c r="I1076" s="365"/>
      <c r="J1076" s="365"/>
      <c r="K1076" s="365"/>
      <c r="L1076" s="347"/>
      <c r="M1076" s="347"/>
      <c r="N1076" s="347"/>
    </row>
    <row r="1077" spans="1:14" x14ac:dyDescent="0.2">
      <c r="A1077" s="354" t="str">
        <f>name!A66</f>
        <v>Office administrative</v>
      </c>
      <c r="B1077" s="517">
        <f>B$6</f>
        <v>2007</v>
      </c>
      <c r="C1077" s="517"/>
      <c r="D1077" s="517"/>
      <c r="E1077" s="369"/>
      <c r="F1077" s="517">
        <f>F$6</f>
        <v>2017</v>
      </c>
      <c r="G1077" s="517"/>
      <c r="H1077" s="517"/>
      <c r="I1077" s="369"/>
      <c r="J1077" s="517">
        <f>J$6</f>
        <v>2027</v>
      </c>
      <c r="K1077" s="517"/>
      <c r="L1077" s="517"/>
      <c r="M1077" s="347"/>
      <c r="N1077" s="347"/>
    </row>
    <row r="1078" spans="1:14" x14ac:dyDescent="0.2">
      <c r="A1078" s="370"/>
      <c r="B1078" s="371" t="s">
        <v>387</v>
      </c>
      <c r="C1078" s="371" t="s">
        <v>388</v>
      </c>
      <c r="D1078" s="371" t="s">
        <v>32</v>
      </c>
      <c r="E1078" s="371"/>
      <c r="F1078" s="371" t="s">
        <v>387</v>
      </c>
      <c r="G1078" s="371" t="s">
        <v>388</v>
      </c>
      <c r="H1078" s="371" t="s">
        <v>32</v>
      </c>
      <c r="I1078" s="371"/>
      <c r="J1078" s="371" t="s">
        <v>387</v>
      </c>
      <c r="K1078" s="371" t="s">
        <v>388</v>
      </c>
      <c r="L1078" s="371" t="s">
        <v>32</v>
      </c>
      <c r="M1078" s="347"/>
      <c r="N1078" s="347"/>
    </row>
    <row r="1079" spans="1:14" s="286" customFormat="1" x14ac:dyDescent="0.2">
      <c r="A1079" s="374"/>
      <c r="B1079" s="375"/>
      <c r="C1079" s="375"/>
      <c r="D1079" s="375"/>
      <c r="E1079" s="375"/>
      <c r="F1079" s="375"/>
      <c r="G1079" s="375"/>
      <c r="H1079" s="375"/>
      <c r="I1079" s="375"/>
      <c r="J1079" s="375"/>
      <c r="K1079" s="375"/>
      <c r="L1079" s="375"/>
      <c r="M1079" s="347"/>
      <c r="N1079" s="347"/>
    </row>
    <row r="1080" spans="1:14" x14ac:dyDescent="0.2">
      <c r="A1080" s="362" t="str">
        <f>name!E$4</f>
        <v>Managers, directors and senior officials</v>
      </c>
      <c r="B1080" s="440">
        <v>0.10265757124647629</v>
      </c>
      <c r="C1080" s="440">
        <v>0.64414990643242132</v>
      </c>
      <c r="D1080" s="440">
        <f>SUM(B1080:C1080)</f>
        <v>0.74680747767889755</v>
      </c>
      <c r="E1080" s="441"/>
      <c r="F1080" s="440">
        <v>0.32420019497926722</v>
      </c>
      <c r="G1080" s="440">
        <v>1.0263773723620311</v>
      </c>
      <c r="H1080" s="440">
        <f>SUM(F1080:G1080)</f>
        <v>1.3505775673412983</v>
      </c>
      <c r="I1080" s="441"/>
      <c r="J1080" s="440">
        <v>0.43369283575795542</v>
      </c>
      <c r="K1080" s="440">
        <v>1.1170469820993736</v>
      </c>
      <c r="L1080" s="440">
        <f>SUM(J1080:K1080)</f>
        <v>1.5507398178573291</v>
      </c>
      <c r="M1080" s="347"/>
      <c r="N1080" s="347"/>
    </row>
    <row r="1081" spans="1:14" x14ac:dyDescent="0.2">
      <c r="A1081" s="362" t="str">
        <f>name!E$5</f>
        <v>Professional occupations</v>
      </c>
      <c r="B1081" s="440">
        <v>0.2516837560156675</v>
      </c>
      <c r="C1081" s="440">
        <v>0.45241263195008663</v>
      </c>
      <c r="D1081" s="440">
        <f t="shared" ref="D1081:D1088" si="394">SUM(B1081:C1081)</f>
        <v>0.70409638796575413</v>
      </c>
      <c r="E1081" s="441"/>
      <c r="F1081" s="440">
        <v>0.5394157564019989</v>
      </c>
      <c r="G1081" s="440">
        <v>0.8034588719407042</v>
      </c>
      <c r="H1081" s="440">
        <f t="shared" ref="H1081:H1088" si="395">SUM(F1081:G1081)</f>
        <v>1.3428746283427031</v>
      </c>
      <c r="I1081" s="441"/>
      <c r="J1081" s="440">
        <v>0.69631584888424836</v>
      </c>
      <c r="K1081" s="440">
        <v>0.95120009228518188</v>
      </c>
      <c r="L1081" s="440">
        <f t="shared" ref="L1081:L1088" si="396">SUM(J1081:K1081)</f>
        <v>1.6475159411694302</v>
      </c>
      <c r="M1081" s="347"/>
      <c r="N1081" s="347"/>
    </row>
    <row r="1082" spans="1:14" x14ac:dyDescent="0.2">
      <c r="A1082" s="362" t="str">
        <f>name!E$6</f>
        <v>Associate professional and technical</v>
      </c>
      <c r="B1082" s="440">
        <v>0.57567252105207534</v>
      </c>
      <c r="C1082" s="440">
        <v>0.92081097425959413</v>
      </c>
      <c r="D1082" s="440">
        <f t="shared" si="394"/>
        <v>1.4964834953116695</v>
      </c>
      <c r="E1082" s="441"/>
      <c r="F1082" s="440">
        <v>0.75321867247247776</v>
      </c>
      <c r="G1082" s="440">
        <v>1.6075058561518509</v>
      </c>
      <c r="H1082" s="440">
        <f t="shared" si="395"/>
        <v>2.3607245286243286</v>
      </c>
      <c r="I1082" s="441"/>
      <c r="J1082" s="440">
        <v>0.91255998169410124</v>
      </c>
      <c r="K1082" s="440">
        <v>1.6254806486483413</v>
      </c>
      <c r="L1082" s="440">
        <f t="shared" si="396"/>
        <v>2.5380406303424428</v>
      </c>
      <c r="M1082" s="347"/>
      <c r="N1082" s="347"/>
    </row>
    <row r="1083" spans="1:14" x14ac:dyDescent="0.2">
      <c r="A1083" s="362" t="str">
        <f>name!E$7</f>
        <v>Administrative and secretarial</v>
      </c>
      <c r="B1083" s="440">
        <v>1.4030386156057164</v>
      </c>
      <c r="C1083" s="440">
        <v>0.65532730786121507</v>
      </c>
      <c r="D1083" s="440">
        <f t="shared" si="394"/>
        <v>2.0583659234669316</v>
      </c>
      <c r="E1083" s="441"/>
      <c r="F1083" s="440">
        <v>1.4318908353908488</v>
      </c>
      <c r="G1083" s="440">
        <v>1.2987956152459912</v>
      </c>
      <c r="H1083" s="440">
        <f t="shared" si="395"/>
        <v>2.7306864506368402</v>
      </c>
      <c r="I1083" s="441"/>
      <c r="J1083" s="440">
        <v>1.1890229079540635</v>
      </c>
      <c r="K1083" s="440">
        <v>1.4263188085348579</v>
      </c>
      <c r="L1083" s="440">
        <f t="shared" si="396"/>
        <v>2.6153417164889214</v>
      </c>
      <c r="M1083" s="347"/>
      <c r="N1083" s="347"/>
    </row>
    <row r="1084" spans="1:14" x14ac:dyDescent="0.2">
      <c r="A1084" s="362" t="str">
        <f>name!E$8</f>
        <v>Skilled trades occupations</v>
      </c>
      <c r="B1084" s="440">
        <v>3.1756650226542053E-2</v>
      </c>
      <c r="C1084" s="440">
        <v>0.50520739538305026</v>
      </c>
      <c r="D1084" s="440">
        <f t="shared" si="394"/>
        <v>0.53696404560959232</v>
      </c>
      <c r="E1084" s="441"/>
      <c r="F1084" s="440">
        <v>4.957408661100024E-2</v>
      </c>
      <c r="G1084" s="440">
        <v>0.62511056416222321</v>
      </c>
      <c r="H1084" s="440">
        <f t="shared" si="395"/>
        <v>0.67468465077322348</v>
      </c>
      <c r="I1084" s="441"/>
      <c r="J1084" s="440">
        <v>6.9414401649253929E-2</v>
      </c>
      <c r="K1084" s="440">
        <v>0.56133454485186163</v>
      </c>
      <c r="L1084" s="440">
        <f t="shared" si="396"/>
        <v>0.63074894650111557</v>
      </c>
      <c r="M1084" s="347"/>
      <c r="N1084" s="347"/>
    </row>
    <row r="1085" spans="1:14" x14ac:dyDescent="0.2">
      <c r="A1085" s="362" t="str">
        <f>name!E$9</f>
        <v>Caring, leisure and other service</v>
      </c>
      <c r="B1085" s="440">
        <v>0.34455222876359298</v>
      </c>
      <c r="C1085" s="440">
        <v>0.19060915525471495</v>
      </c>
      <c r="D1085" s="440">
        <f t="shared" si="394"/>
        <v>0.53516138401830793</v>
      </c>
      <c r="E1085" s="441"/>
      <c r="F1085" s="440">
        <v>0.74413463124548906</v>
      </c>
      <c r="G1085" s="440">
        <v>0.40624617740023211</v>
      </c>
      <c r="H1085" s="440">
        <f t="shared" si="395"/>
        <v>1.1503808086457212</v>
      </c>
      <c r="I1085" s="441"/>
      <c r="J1085" s="440">
        <v>0.93711732994623587</v>
      </c>
      <c r="K1085" s="440">
        <v>0.43539187647794836</v>
      </c>
      <c r="L1085" s="440">
        <f t="shared" si="396"/>
        <v>1.3725092064241842</v>
      </c>
      <c r="M1085" s="347"/>
      <c r="N1085" s="347"/>
    </row>
    <row r="1086" spans="1:14" x14ac:dyDescent="0.2">
      <c r="A1086" s="362" t="str">
        <f>name!E$10</f>
        <v>Sales and customer service</v>
      </c>
      <c r="B1086" s="440">
        <v>0.37355735186010025</v>
      </c>
      <c r="C1086" s="440">
        <v>0.59418175842369447</v>
      </c>
      <c r="D1086" s="440">
        <f t="shared" si="394"/>
        <v>0.96773911028379467</v>
      </c>
      <c r="E1086" s="441"/>
      <c r="F1086" s="440">
        <v>0.56529728662520717</v>
      </c>
      <c r="G1086" s="440">
        <v>1.5442379366225905</v>
      </c>
      <c r="H1086" s="440">
        <f t="shared" si="395"/>
        <v>2.1095352232477977</v>
      </c>
      <c r="I1086" s="441"/>
      <c r="J1086" s="440">
        <v>0.62505585347828818</v>
      </c>
      <c r="K1086" s="440">
        <v>1.763245758192783</v>
      </c>
      <c r="L1086" s="440">
        <f t="shared" si="396"/>
        <v>2.3883016116710714</v>
      </c>
      <c r="M1086" s="347"/>
      <c r="N1086" s="347"/>
    </row>
    <row r="1087" spans="1:14" x14ac:dyDescent="0.2">
      <c r="A1087" s="362" t="str">
        <f>name!E$11</f>
        <v>Process, plant and machine operatives</v>
      </c>
      <c r="B1087" s="440">
        <v>6.608045637707366E-2</v>
      </c>
      <c r="C1087" s="440">
        <v>0.70738014290153772</v>
      </c>
      <c r="D1087" s="440">
        <f t="shared" si="394"/>
        <v>0.77346059927861144</v>
      </c>
      <c r="E1087" s="441"/>
      <c r="F1087" s="440">
        <v>6.3931297132559017E-2</v>
      </c>
      <c r="G1087" s="440">
        <v>0.5705721411321335</v>
      </c>
      <c r="H1087" s="440">
        <f t="shared" si="395"/>
        <v>0.63450343826469258</v>
      </c>
      <c r="I1087" s="441"/>
      <c r="J1087" s="440">
        <v>4.370635308319186E-2</v>
      </c>
      <c r="K1087" s="440">
        <v>0.56450934741924175</v>
      </c>
      <c r="L1087" s="440">
        <f t="shared" si="396"/>
        <v>0.60821570050243356</v>
      </c>
      <c r="M1087" s="347"/>
      <c r="N1087" s="347"/>
    </row>
    <row r="1088" spans="1:14" x14ac:dyDescent="0.2">
      <c r="A1088" s="362" t="str">
        <f>name!E$12</f>
        <v>Elementary occupations</v>
      </c>
      <c r="B1088" s="440">
        <v>1.6370008488033858</v>
      </c>
      <c r="C1088" s="440">
        <v>4.0449207275435279</v>
      </c>
      <c r="D1088" s="440">
        <f t="shared" si="394"/>
        <v>5.6819215763469142</v>
      </c>
      <c r="E1088" s="441"/>
      <c r="F1088" s="440">
        <v>1.5143372391976906</v>
      </c>
      <c r="G1088" s="440">
        <v>4.8026954649837226</v>
      </c>
      <c r="H1088" s="440">
        <f t="shared" si="395"/>
        <v>6.3170327041814129</v>
      </c>
      <c r="I1088" s="441"/>
      <c r="J1088" s="440">
        <v>1.2681144875885446</v>
      </c>
      <c r="K1088" s="440">
        <v>5.3744719413832396</v>
      </c>
      <c r="L1088" s="440">
        <f t="shared" si="396"/>
        <v>6.642586428971784</v>
      </c>
      <c r="M1088" s="347"/>
      <c r="N1088" s="347"/>
    </row>
    <row r="1089" spans="1:14" s="286" customFormat="1" x14ac:dyDescent="0.2">
      <c r="A1089" s="362"/>
      <c r="B1089" s="440"/>
      <c r="C1089" s="440"/>
      <c r="D1089" s="440"/>
      <c r="E1089" s="441"/>
      <c r="F1089" s="440"/>
      <c r="G1089" s="440"/>
      <c r="H1089" s="440"/>
      <c r="I1089" s="441"/>
      <c r="J1089" s="440"/>
      <c r="K1089" s="440"/>
      <c r="L1089" s="440"/>
      <c r="M1089" s="347"/>
      <c r="N1089" s="347"/>
    </row>
    <row r="1090" spans="1:14" x14ac:dyDescent="0.2">
      <c r="A1090" s="357" t="s">
        <v>32</v>
      </c>
      <c r="B1090" s="450">
        <f>SUM(B1080:B1088)</f>
        <v>4.7859999999506311</v>
      </c>
      <c r="C1090" s="450">
        <f t="shared" ref="C1090:D1090" si="397">SUM(C1080:C1088)</f>
        <v>8.7150000000098427</v>
      </c>
      <c r="D1090" s="450">
        <f t="shared" si="397"/>
        <v>13.500999999960474</v>
      </c>
      <c r="E1090" s="450"/>
      <c r="F1090" s="450">
        <f t="shared" ref="F1090:H1090" si="398">SUM(F1080:F1088)</f>
        <v>5.9860000000565385</v>
      </c>
      <c r="G1090" s="450">
        <f t="shared" si="398"/>
        <v>12.685000000001478</v>
      </c>
      <c r="H1090" s="450">
        <f t="shared" si="398"/>
        <v>18.671000000058019</v>
      </c>
      <c r="I1090" s="450"/>
      <c r="J1090" s="450">
        <f t="shared" ref="J1090:L1090" si="399">SUM(J1080:J1088)</f>
        <v>6.175000000035884</v>
      </c>
      <c r="K1090" s="450">
        <f t="shared" si="399"/>
        <v>13.818999999892828</v>
      </c>
      <c r="L1090" s="450">
        <f t="shared" si="399"/>
        <v>19.993999999928711</v>
      </c>
      <c r="M1090" s="347"/>
      <c r="N1090" s="347"/>
    </row>
    <row r="1091" spans="1:14" x14ac:dyDescent="0.2">
      <c r="A1091" s="348"/>
      <c r="B1091" s="348"/>
      <c r="C1091" s="348"/>
      <c r="D1091" s="348"/>
      <c r="E1091" s="348"/>
      <c r="F1091" s="348"/>
      <c r="G1091" s="348"/>
      <c r="H1091" s="348"/>
      <c r="I1091" s="348"/>
      <c r="J1091" s="348"/>
      <c r="K1091" s="348"/>
      <c r="L1091" s="353"/>
      <c r="M1091" s="347"/>
      <c r="N1091" s="347"/>
    </row>
    <row r="1092" spans="1:14" x14ac:dyDescent="0.2">
      <c r="A1092" s="348"/>
      <c r="B1092" s="348"/>
      <c r="C1092" s="348"/>
      <c r="D1092" s="348"/>
      <c r="E1092" s="348"/>
      <c r="F1092" s="348"/>
      <c r="G1092" s="348"/>
      <c r="H1092" s="348"/>
      <c r="I1092" s="348"/>
      <c r="J1092" s="348"/>
      <c r="K1092" s="348"/>
      <c r="L1092" s="372" t="s">
        <v>35</v>
      </c>
      <c r="M1092" s="347"/>
      <c r="N1092" s="347"/>
    </row>
    <row r="1093" spans="1:14" x14ac:dyDescent="0.2">
      <c r="A1093" s="355"/>
      <c r="B1093" s="365"/>
      <c r="C1093" s="365"/>
      <c r="D1093" s="365"/>
      <c r="E1093" s="365"/>
      <c r="F1093" s="365"/>
      <c r="G1093" s="365"/>
      <c r="H1093" s="365"/>
      <c r="I1093" s="365"/>
      <c r="J1093" s="365"/>
      <c r="K1093" s="365"/>
      <c r="L1093" s="347"/>
      <c r="M1093" s="347"/>
      <c r="N1093" s="347"/>
    </row>
    <row r="1094" spans="1:14" x14ac:dyDescent="0.2">
      <c r="A1094" s="354" t="str">
        <f>name!A67</f>
        <v>Public administration and defence</v>
      </c>
      <c r="B1094" s="517">
        <f>B$6</f>
        <v>2007</v>
      </c>
      <c r="C1094" s="517"/>
      <c r="D1094" s="517"/>
      <c r="E1094" s="369"/>
      <c r="F1094" s="517">
        <f>F$6</f>
        <v>2017</v>
      </c>
      <c r="G1094" s="517"/>
      <c r="H1094" s="517"/>
      <c r="I1094" s="369"/>
      <c r="J1094" s="517">
        <f>J$6</f>
        <v>2027</v>
      </c>
      <c r="K1094" s="517"/>
      <c r="L1094" s="517"/>
      <c r="M1094" s="347"/>
      <c r="N1094" s="347"/>
    </row>
    <row r="1095" spans="1:14" x14ac:dyDescent="0.2">
      <c r="A1095" s="370"/>
      <c r="B1095" s="371" t="s">
        <v>387</v>
      </c>
      <c r="C1095" s="371" t="s">
        <v>388</v>
      </c>
      <c r="D1095" s="371" t="s">
        <v>32</v>
      </c>
      <c r="E1095" s="371"/>
      <c r="F1095" s="371" t="s">
        <v>387</v>
      </c>
      <c r="G1095" s="371" t="s">
        <v>388</v>
      </c>
      <c r="H1095" s="371" t="s">
        <v>32</v>
      </c>
      <c r="I1095" s="371"/>
      <c r="J1095" s="371" t="s">
        <v>387</v>
      </c>
      <c r="K1095" s="371" t="s">
        <v>388</v>
      </c>
      <c r="L1095" s="371" t="s">
        <v>32</v>
      </c>
      <c r="M1095" s="347"/>
      <c r="N1095" s="347"/>
    </row>
    <row r="1096" spans="1:14" s="286" customFormat="1" x14ac:dyDescent="0.2">
      <c r="A1096" s="374"/>
      <c r="B1096" s="375"/>
      <c r="C1096" s="375"/>
      <c r="D1096" s="375"/>
      <c r="E1096" s="375"/>
      <c r="F1096" s="375"/>
      <c r="G1096" s="375"/>
      <c r="H1096" s="375"/>
      <c r="I1096" s="375"/>
      <c r="J1096" s="375"/>
      <c r="K1096" s="375"/>
      <c r="L1096" s="375"/>
      <c r="M1096" s="347"/>
      <c r="N1096" s="347"/>
    </row>
    <row r="1097" spans="1:14" x14ac:dyDescent="0.2">
      <c r="A1097" s="362" t="str">
        <f>name!E$4</f>
        <v>Managers, directors and senior officials</v>
      </c>
      <c r="B1097" s="440">
        <v>1.7050577644495157</v>
      </c>
      <c r="C1097" s="440">
        <v>2.9278044439722626</v>
      </c>
      <c r="D1097" s="440">
        <f>SUM(B1097:C1097)</f>
        <v>4.6328622084217788</v>
      </c>
      <c r="E1097" s="441"/>
      <c r="F1097" s="440">
        <v>2.3060295098094756</v>
      </c>
      <c r="G1097" s="440">
        <v>3.0389899604018433</v>
      </c>
      <c r="H1097" s="440">
        <f>SUM(F1097:G1097)</f>
        <v>5.3450194702113194</v>
      </c>
      <c r="I1097" s="441"/>
      <c r="J1097" s="440">
        <v>2.80959499290802</v>
      </c>
      <c r="K1097" s="440">
        <v>3.0171665805640395</v>
      </c>
      <c r="L1097" s="440">
        <f>SUM(J1097:K1097)</f>
        <v>5.8267615734720595</v>
      </c>
      <c r="M1097" s="347"/>
      <c r="N1097" s="347"/>
    </row>
    <row r="1098" spans="1:14" x14ac:dyDescent="0.2">
      <c r="A1098" s="362" t="str">
        <f>name!E$5</f>
        <v>Professional occupations</v>
      </c>
      <c r="B1098" s="440">
        <v>11.91323889674414</v>
      </c>
      <c r="C1098" s="440">
        <v>8.3802212735107062</v>
      </c>
      <c r="D1098" s="440">
        <f t="shared" ref="D1098:D1105" si="400">SUM(B1098:C1098)</f>
        <v>20.293460170254846</v>
      </c>
      <c r="E1098" s="441"/>
      <c r="F1098" s="440">
        <v>11.780181052184902</v>
      </c>
      <c r="G1098" s="440">
        <v>7.1766649173483783</v>
      </c>
      <c r="H1098" s="440">
        <f t="shared" ref="H1098:H1105" si="401">SUM(F1098:G1098)</f>
        <v>18.95684596953328</v>
      </c>
      <c r="I1098" s="441"/>
      <c r="J1098" s="440">
        <v>14.534278589834155</v>
      </c>
      <c r="K1098" s="440">
        <v>7.2878030794639583</v>
      </c>
      <c r="L1098" s="440">
        <f t="shared" ref="L1098:L1105" si="402">SUM(J1098:K1098)</f>
        <v>21.822081669298115</v>
      </c>
      <c r="M1098" s="347"/>
      <c r="N1098" s="347"/>
    </row>
    <row r="1099" spans="1:14" x14ac:dyDescent="0.2">
      <c r="A1099" s="362" t="str">
        <f>name!E$6</f>
        <v>Associate professional and technical</v>
      </c>
      <c r="B1099" s="440">
        <v>9.5865225638904228</v>
      </c>
      <c r="C1099" s="440">
        <v>18.763938829671222</v>
      </c>
      <c r="D1099" s="440">
        <f t="shared" si="400"/>
        <v>28.350461393561645</v>
      </c>
      <c r="E1099" s="441"/>
      <c r="F1099" s="440">
        <v>10.790454721972456</v>
      </c>
      <c r="G1099" s="440">
        <v>14.583082888037612</v>
      </c>
      <c r="H1099" s="440">
        <f t="shared" si="401"/>
        <v>25.373537610010068</v>
      </c>
      <c r="I1099" s="441"/>
      <c r="J1099" s="440">
        <v>12.795514809808013</v>
      </c>
      <c r="K1099" s="440">
        <v>12.605824607727023</v>
      </c>
      <c r="L1099" s="440">
        <f t="shared" si="402"/>
        <v>25.401339417535034</v>
      </c>
      <c r="M1099" s="347"/>
      <c r="N1099" s="347"/>
    </row>
    <row r="1100" spans="1:14" x14ac:dyDescent="0.2">
      <c r="A1100" s="362" t="str">
        <f>name!E$7</f>
        <v>Administrative and secretarial</v>
      </c>
      <c r="B1100" s="440">
        <v>18.577939149190108</v>
      </c>
      <c r="C1100" s="440">
        <v>7.2032334644193137</v>
      </c>
      <c r="D1100" s="440">
        <f t="shared" si="400"/>
        <v>25.781172613609421</v>
      </c>
      <c r="E1100" s="441"/>
      <c r="F1100" s="440">
        <v>16.475117067710364</v>
      </c>
      <c r="G1100" s="440">
        <v>5.3346988522230818</v>
      </c>
      <c r="H1100" s="440">
        <f t="shared" si="401"/>
        <v>21.809815919933445</v>
      </c>
      <c r="I1100" s="441"/>
      <c r="J1100" s="440">
        <v>12.21817522962241</v>
      </c>
      <c r="K1100" s="440">
        <v>4.5423931845945011</v>
      </c>
      <c r="L1100" s="440">
        <f t="shared" si="402"/>
        <v>16.760568414216912</v>
      </c>
      <c r="M1100" s="347"/>
      <c r="N1100" s="347"/>
    </row>
    <row r="1101" spans="1:14" x14ac:dyDescent="0.2">
      <c r="A1101" s="362" t="str">
        <f>name!E$8</f>
        <v>Skilled trades occupations</v>
      </c>
      <c r="B1101" s="440">
        <v>0.49666449571557381</v>
      </c>
      <c r="C1101" s="440">
        <v>1.8162504173950991</v>
      </c>
      <c r="D1101" s="440">
        <f t="shared" si="400"/>
        <v>2.312914913110673</v>
      </c>
      <c r="E1101" s="441"/>
      <c r="F1101" s="440">
        <v>0.23645090906476793</v>
      </c>
      <c r="G1101" s="440">
        <v>1.0228465445495163</v>
      </c>
      <c r="H1101" s="440">
        <f t="shared" si="401"/>
        <v>1.2592974536142842</v>
      </c>
      <c r="I1101" s="441"/>
      <c r="J1101" s="440">
        <v>0.2788913517812861</v>
      </c>
      <c r="K1101" s="440">
        <v>0.89416517770711235</v>
      </c>
      <c r="L1101" s="440">
        <f t="shared" si="402"/>
        <v>1.1730565294883983</v>
      </c>
      <c r="M1101" s="347"/>
      <c r="N1101" s="347"/>
    </row>
    <row r="1102" spans="1:14" x14ac:dyDescent="0.2">
      <c r="A1102" s="362" t="str">
        <f>name!E$9</f>
        <v>Caring, leisure and other service</v>
      </c>
      <c r="B1102" s="440">
        <v>4.8408512825628689</v>
      </c>
      <c r="C1102" s="440">
        <v>0.74841341924848104</v>
      </c>
      <c r="D1102" s="440">
        <f t="shared" si="400"/>
        <v>5.5892647018113504</v>
      </c>
      <c r="E1102" s="441"/>
      <c r="F1102" s="440">
        <v>4.0932133007167826</v>
      </c>
      <c r="G1102" s="440">
        <v>0.60175221329153938</v>
      </c>
      <c r="H1102" s="440">
        <f t="shared" si="401"/>
        <v>4.694965514008322</v>
      </c>
      <c r="I1102" s="441"/>
      <c r="J1102" s="440">
        <v>5.1439966929916192</v>
      </c>
      <c r="K1102" s="440">
        <v>0.72455204912218008</v>
      </c>
      <c r="L1102" s="440">
        <f t="shared" si="402"/>
        <v>5.8685487421137994</v>
      </c>
      <c r="M1102" s="347"/>
      <c r="N1102" s="347"/>
    </row>
    <row r="1103" spans="1:14" x14ac:dyDescent="0.2">
      <c r="A1103" s="362" t="str">
        <f>name!E$10</f>
        <v>Sales and customer service</v>
      </c>
      <c r="B1103" s="440">
        <v>1.4904384767132783</v>
      </c>
      <c r="C1103" s="440">
        <v>0.73625524989945168</v>
      </c>
      <c r="D1103" s="440">
        <f t="shared" si="400"/>
        <v>2.22669372661273</v>
      </c>
      <c r="E1103" s="441"/>
      <c r="F1103" s="440">
        <v>1.5711875445782593</v>
      </c>
      <c r="G1103" s="440">
        <v>0.6290122970031311</v>
      </c>
      <c r="H1103" s="440">
        <f t="shared" si="401"/>
        <v>2.2001998415813904</v>
      </c>
      <c r="I1103" s="441"/>
      <c r="J1103" s="440">
        <v>1.6573129621138074</v>
      </c>
      <c r="K1103" s="440">
        <v>0.59039854494365307</v>
      </c>
      <c r="L1103" s="440">
        <f t="shared" si="402"/>
        <v>2.2477115070574607</v>
      </c>
      <c r="M1103" s="347"/>
      <c r="N1103" s="347"/>
    </row>
    <row r="1104" spans="1:14" x14ac:dyDescent="0.2">
      <c r="A1104" s="362" t="str">
        <f>name!E$11</f>
        <v>Process, plant and machine operatives</v>
      </c>
      <c r="B1104" s="440">
        <v>0.14585363349171179</v>
      </c>
      <c r="C1104" s="440">
        <v>1.4152509628227468</v>
      </c>
      <c r="D1104" s="440">
        <f t="shared" si="400"/>
        <v>1.5611045963144585</v>
      </c>
      <c r="E1104" s="441"/>
      <c r="F1104" s="440">
        <v>0.15791359897087132</v>
      </c>
      <c r="G1104" s="440">
        <v>1.1733577129685584</v>
      </c>
      <c r="H1104" s="440">
        <f t="shared" si="401"/>
        <v>1.3312713119394297</v>
      </c>
      <c r="I1104" s="441"/>
      <c r="J1104" s="440">
        <v>0.12810999813518781</v>
      </c>
      <c r="K1104" s="440">
        <v>1.1033223335327227</v>
      </c>
      <c r="L1104" s="440">
        <f t="shared" si="402"/>
        <v>1.2314323316679106</v>
      </c>
      <c r="M1104" s="347"/>
      <c r="N1104" s="347"/>
    </row>
    <row r="1105" spans="1:14" x14ac:dyDescent="0.2">
      <c r="A1105" s="362" t="str">
        <f>name!E$12</f>
        <v>Elementary occupations</v>
      </c>
      <c r="B1105" s="440">
        <v>3.1734337376283741</v>
      </c>
      <c r="C1105" s="440">
        <v>1.7776319389274264</v>
      </c>
      <c r="D1105" s="440">
        <f t="shared" si="400"/>
        <v>4.9510656765558005</v>
      </c>
      <c r="E1105" s="441"/>
      <c r="F1105" s="440">
        <v>1.2754522944901567</v>
      </c>
      <c r="G1105" s="440">
        <v>1.323594614029397</v>
      </c>
      <c r="H1105" s="440">
        <f t="shared" si="401"/>
        <v>2.5990469085195538</v>
      </c>
      <c r="I1105" s="441"/>
      <c r="J1105" s="440">
        <v>1.0631253725403231</v>
      </c>
      <c r="K1105" s="440">
        <v>1.2713744427625369</v>
      </c>
      <c r="L1105" s="440">
        <f t="shared" si="402"/>
        <v>2.33449981530286</v>
      </c>
      <c r="M1105" s="347"/>
      <c r="N1105" s="347"/>
    </row>
    <row r="1106" spans="1:14" s="286" customFormat="1" x14ac:dyDescent="0.2">
      <c r="A1106" s="362"/>
      <c r="B1106" s="440"/>
      <c r="C1106" s="440"/>
      <c r="D1106" s="440"/>
      <c r="E1106" s="441"/>
      <c r="F1106" s="440"/>
      <c r="G1106" s="440"/>
      <c r="H1106" s="440"/>
      <c r="I1106" s="441"/>
      <c r="J1106" s="440"/>
      <c r="K1106" s="440"/>
      <c r="L1106" s="440"/>
      <c r="M1106" s="347"/>
      <c r="N1106" s="347"/>
    </row>
    <row r="1107" spans="1:14" x14ac:dyDescent="0.2">
      <c r="A1107" s="357" t="s">
        <v>32</v>
      </c>
      <c r="B1107" s="450">
        <f>SUM(B1097:B1105)</f>
        <v>51.930000000385988</v>
      </c>
      <c r="C1107" s="450">
        <f t="shared" ref="C1107:D1107" si="403">SUM(C1097:C1105)</f>
        <v>43.768999999866708</v>
      </c>
      <c r="D1107" s="450">
        <f t="shared" si="403"/>
        <v>95.69900000025271</v>
      </c>
      <c r="E1107" s="450"/>
      <c r="F1107" s="450">
        <f t="shared" ref="F1107:H1107" si="404">SUM(F1097:F1105)</f>
        <v>48.685999999498037</v>
      </c>
      <c r="G1107" s="450">
        <f t="shared" si="404"/>
        <v>34.88399999985306</v>
      </c>
      <c r="H1107" s="450">
        <f t="shared" si="404"/>
        <v>83.569999999351083</v>
      </c>
      <c r="I1107" s="450"/>
      <c r="J1107" s="450">
        <f t="shared" ref="J1107:L1107" si="405">SUM(J1097:J1105)</f>
        <v>50.628999999734816</v>
      </c>
      <c r="K1107" s="450">
        <f t="shared" si="405"/>
        <v>32.037000000417734</v>
      </c>
      <c r="L1107" s="450">
        <f t="shared" si="405"/>
        <v>82.66600000015255</v>
      </c>
      <c r="M1107" s="347"/>
      <c r="N1107" s="347"/>
    </row>
    <row r="1108" spans="1:14" x14ac:dyDescent="0.2">
      <c r="A1108" s="348"/>
      <c r="B1108" s="348"/>
      <c r="C1108" s="348"/>
      <c r="D1108" s="348"/>
      <c r="E1108" s="348"/>
      <c r="F1108" s="348"/>
      <c r="G1108" s="348"/>
      <c r="H1108" s="348"/>
      <c r="I1108" s="348"/>
      <c r="J1108" s="348"/>
      <c r="K1108" s="348"/>
      <c r="L1108" s="353"/>
      <c r="M1108" s="347"/>
      <c r="N1108" s="347"/>
    </row>
    <row r="1109" spans="1:14" x14ac:dyDescent="0.2">
      <c r="A1109" s="348"/>
      <c r="B1109" s="348"/>
      <c r="C1109" s="348"/>
      <c r="D1109" s="348"/>
      <c r="E1109" s="348"/>
      <c r="F1109" s="348"/>
      <c r="G1109" s="348"/>
      <c r="H1109" s="348"/>
      <c r="I1109" s="348"/>
      <c r="J1109" s="348"/>
      <c r="K1109" s="348"/>
      <c r="L1109" s="372" t="s">
        <v>35</v>
      </c>
      <c r="M1109" s="347"/>
      <c r="N1109" s="347"/>
    </row>
    <row r="1110" spans="1:14" x14ac:dyDescent="0.2">
      <c r="A1110" s="355"/>
      <c r="B1110" s="365"/>
      <c r="C1110" s="365"/>
      <c r="D1110" s="365"/>
      <c r="E1110" s="365"/>
      <c r="F1110" s="365"/>
      <c r="G1110" s="365"/>
      <c r="H1110" s="365"/>
      <c r="I1110" s="365"/>
      <c r="J1110" s="365"/>
      <c r="K1110" s="365"/>
      <c r="L1110" s="347"/>
      <c r="M1110" s="347"/>
      <c r="N1110" s="347"/>
    </row>
    <row r="1111" spans="1:14" x14ac:dyDescent="0.2">
      <c r="A1111" s="354" t="str">
        <f>name!A68</f>
        <v xml:space="preserve">Education </v>
      </c>
      <c r="B1111" s="517">
        <f>B$6</f>
        <v>2007</v>
      </c>
      <c r="C1111" s="517"/>
      <c r="D1111" s="517"/>
      <c r="E1111" s="369"/>
      <c r="F1111" s="517">
        <f>F$6</f>
        <v>2017</v>
      </c>
      <c r="G1111" s="517"/>
      <c r="H1111" s="517"/>
      <c r="I1111" s="369"/>
      <c r="J1111" s="517">
        <f>J$6</f>
        <v>2027</v>
      </c>
      <c r="K1111" s="517"/>
      <c r="L1111" s="517"/>
      <c r="M1111" s="347"/>
      <c r="N1111" s="347"/>
    </row>
    <row r="1112" spans="1:14" x14ac:dyDescent="0.2">
      <c r="A1112" s="370"/>
      <c r="B1112" s="371" t="s">
        <v>387</v>
      </c>
      <c r="C1112" s="371" t="s">
        <v>388</v>
      </c>
      <c r="D1112" s="371" t="s">
        <v>32</v>
      </c>
      <c r="E1112" s="371"/>
      <c r="F1112" s="371" t="s">
        <v>387</v>
      </c>
      <c r="G1112" s="371" t="s">
        <v>388</v>
      </c>
      <c r="H1112" s="371" t="s">
        <v>32</v>
      </c>
      <c r="I1112" s="371"/>
      <c r="J1112" s="371" t="s">
        <v>387</v>
      </c>
      <c r="K1112" s="371" t="s">
        <v>388</v>
      </c>
      <c r="L1112" s="371" t="s">
        <v>32</v>
      </c>
      <c r="M1112" s="347"/>
      <c r="N1112" s="347"/>
    </row>
    <row r="1113" spans="1:14" s="286" customFormat="1" x14ac:dyDescent="0.2">
      <c r="A1113" s="374"/>
      <c r="B1113" s="375"/>
      <c r="C1113" s="375"/>
      <c r="D1113" s="375"/>
      <c r="E1113" s="375"/>
      <c r="F1113" s="375"/>
      <c r="G1113" s="375"/>
      <c r="H1113" s="375"/>
      <c r="I1113" s="375"/>
      <c r="J1113" s="375"/>
      <c r="K1113" s="375"/>
      <c r="L1113" s="375"/>
      <c r="M1113" s="347"/>
      <c r="N1113" s="347"/>
    </row>
    <row r="1114" spans="1:14" x14ac:dyDescent="0.2">
      <c r="A1114" s="362" t="str">
        <f>name!E$4</f>
        <v>Managers, directors and senior officials</v>
      </c>
      <c r="B1114" s="440">
        <v>0.56787749200049775</v>
      </c>
      <c r="C1114" s="440">
        <v>0.66273002458325048</v>
      </c>
      <c r="D1114" s="440">
        <f>SUM(B1114:C1114)</f>
        <v>1.2306075165837482</v>
      </c>
      <c r="E1114" s="441"/>
      <c r="F1114" s="440">
        <v>1.2276568166810748</v>
      </c>
      <c r="G1114" s="440">
        <v>1.5530809839721829</v>
      </c>
      <c r="H1114" s="440">
        <f>SUM(F1114:G1114)</f>
        <v>2.7807378006532577</v>
      </c>
      <c r="I1114" s="441"/>
      <c r="J1114" s="440">
        <v>1.1162717876791144</v>
      </c>
      <c r="K1114" s="440">
        <v>1.3809146577034241</v>
      </c>
      <c r="L1114" s="440">
        <f>SUM(J1114:K1114)</f>
        <v>2.4971864453825385</v>
      </c>
      <c r="M1114" s="347"/>
      <c r="N1114" s="347"/>
    </row>
    <row r="1115" spans="1:14" x14ac:dyDescent="0.2">
      <c r="A1115" s="362" t="str">
        <f>name!E$5</f>
        <v>Professional occupations</v>
      </c>
      <c r="B1115" s="440">
        <v>40.672536827826647</v>
      </c>
      <c r="C1115" s="440">
        <v>20.847902716070685</v>
      </c>
      <c r="D1115" s="440">
        <f t="shared" ref="D1115:D1122" si="406">SUM(B1115:C1115)</f>
        <v>61.520439543897332</v>
      </c>
      <c r="E1115" s="441"/>
      <c r="F1115" s="440">
        <v>51.47133042256759</v>
      </c>
      <c r="G1115" s="440">
        <v>30.596089440467775</v>
      </c>
      <c r="H1115" s="440">
        <f t="shared" ref="H1115:H1122" si="407">SUM(F1115:G1115)</f>
        <v>82.067419863035369</v>
      </c>
      <c r="I1115" s="441"/>
      <c r="J1115" s="440">
        <v>57.26862301033659</v>
      </c>
      <c r="K1115" s="440">
        <v>29.922195786486139</v>
      </c>
      <c r="L1115" s="440">
        <f t="shared" ref="L1115:L1122" si="408">SUM(J1115:K1115)</f>
        <v>87.190818796822725</v>
      </c>
      <c r="M1115" s="347"/>
      <c r="N1115" s="347"/>
    </row>
    <row r="1116" spans="1:14" x14ac:dyDescent="0.2">
      <c r="A1116" s="362" t="str">
        <f>name!E$6</f>
        <v>Associate professional and technical</v>
      </c>
      <c r="B1116" s="440">
        <v>3.0775637265458471</v>
      </c>
      <c r="C1116" s="440">
        <v>3.6022043983753247</v>
      </c>
      <c r="D1116" s="440">
        <f t="shared" si="406"/>
        <v>6.6797681249211713</v>
      </c>
      <c r="E1116" s="441"/>
      <c r="F1116" s="440">
        <v>4.2358954175277539</v>
      </c>
      <c r="G1116" s="440">
        <v>5.8188287128933611</v>
      </c>
      <c r="H1116" s="440">
        <f t="shared" si="407"/>
        <v>10.054724130421114</v>
      </c>
      <c r="I1116" s="441"/>
      <c r="J1116" s="440">
        <v>3.751536887161329</v>
      </c>
      <c r="K1116" s="440">
        <v>5.1075999685325248</v>
      </c>
      <c r="L1116" s="440">
        <f t="shared" si="408"/>
        <v>8.8591368556938548</v>
      </c>
      <c r="M1116" s="347"/>
      <c r="N1116" s="347"/>
    </row>
    <row r="1117" spans="1:14" x14ac:dyDescent="0.2">
      <c r="A1117" s="362" t="str">
        <f>name!E$7</f>
        <v>Administrative and secretarial</v>
      </c>
      <c r="B1117" s="440">
        <v>5.0073515966569975</v>
      </c>
      <c r="C1117" s="440">
        <v>1.0304109703990791</v>
      </c>
      <c r="D1117" s="440">
        <f t="shared" si="406"/>
        <v>6.0377625670560766</v>
      </c>
      <c r="E1117" s="441"/>
      <c r="F1117" s="440">
        <v>3.9739113043284116</v>
      </c>
      <c r="G1117" s="440">
        <v>1.332822393228559</v>
      </c>
      <c r="H1117" s="440">
        <f t="shared" si="407"/>
        <v>5.3067336975569708</v>
      </c>
      <c r="I1117" s="441"/>
      <c r="J1117" s="440">
        <v>1.6913245209308179</v>
      </c>
      <c r="K1117" s="440">
        <v>1.1184474288705333</v>
      </c>
      <c r="L1117" s="440">
        <f t="shared" si="408"/>
        <v>2.8097719498013509</v>
      </c>
      <c r="M1117" s="347"/>
      <c r="N1117" s="347"/>
    </row>
    <row r="1118" spans="1:14" x14ac:dyDescent="0.2">
      <c r="A1118" s="362" t="str">
        <f>name!E$8</f>
        <v>Skilled trades occupations</v>
      </c>
      <c r="B1118" s="440">
        <v>0.9498514487925549</v>
      </c>
      <c r="C1118" s="440">
        <v>0.68355512206172309</v>
      </c>
      <c r="D1118" s="440">
        <f t="shared" si="406"/>
        <v>1.633406570854278</v>
      </c>
      <c r="E1118" s="441"/>
      <c r="F1118" s="440">
        <v>1.0348019843769545</v>
      </c>
      <c r="G1118" s="440">
        <v>0.90580660520683931</v>
      </c>
      <c r="H1118" s="440">
        <f t="shared" si="407"/>
        <v>1.9406085895837939</v>
      </c>
      <c r="I1118" s="441"/>
      <c r="J1118" s="440">
        <v>0.6389718888497643</v>
      </c>
      <c r="K1118" s="440">
        <v>0.61387192872976737</v>
      </c>
      <c r="L1118" s="440">
        <f t="shared" si="408"/>
        <v>1.2528438175795316</v>
      </c>
      <c r="M1118" s="347"/>
      <c r="N1118" s="347"/>
    </row>
    <row r="1119" spans="1:14" x14ac:dyDescent="0.2">
      <c r="A1119" s="362" t="str">
        <f>name!E$9</f>
        <v>Caring, leisure and other service</v>
      </c>
      <c r="B1119" s="440">
        <v>20.406136522787587</v>
      </c>
      <c r="C1119" s="440">
        <v>2.4707525494607228</v>
      </c>
      <c r="D1119" s="440">
        <f t="shared" si="406"/>
        <v>22.876889072248311</v>
      </c>
      <c r="E1119" s="441"/>
      <c r="F1119" s="440">
        <v>25.207434535624863</v>
      </c>
      <c r="G1119" s="440">
        <v>3.0273708587648787</v>
      </c>
      <c r="H1119" s="440">
        <f t="shared" si="407"/>
        <v>28.234805394389742</v>
      </c>
      <c r="I1119" s="441"/>
      <c r="J1119" s="440">
        <v>26.630585733303214</v>
      </c>
      <c r="K1119" s="440">
        <v>3.0681796039324976</v>
      </c>
      <c r="L1119" s="440">
        <f t="shared" si="408"/>
        <v>29.698765337235713</v>
      </c>
      <c r="M1119" s="347"/>
      <c r="N1119" s="347"/>
    </row>
    <row r="1120" spans="1:14" x14ac:dyDescent="0.2">
      <c r="A1120" s="362" t="str">
        <f>name!E$10</f>
        <v>Sales and customer service</v>
      </c>
      <c r="B1120" s="440">
        <v>0.21587982930859784</v>
      </c>
      <c r="C1120" s="440">
        <v>0.1138285844112356</v>
      </c>
      <c r="D1120" s="440">
        <f t="shared" si="406"/>
        <v>0.32970841371983345</v>
      </c>
      <c r="E1120" s="441"/>
      <c r="F1120" s="440">
        <v>0.42328048442655597</v>
      </c>
      <c r="G1120" s="440">
        <v>0.17938764439423238</v>
      </c>
      <c r="H1120" s="440">
        <f t="shared" si="407"/>
        <v>0.60266812882078835</v>
      </c>
      <c r="I1120" s="441"/>
      <c r="J1120" s="440">
        <v>0.35612300690389409</v>
      </c>
      <c r="K1120" s="440">
        <v>0.16014174796357766</v>
      </c>
      <c r="L1120" s="440">
        <f t="shared" si="408"/>
        <v>0.5162647548674717</v>
      </c>
      <c r="M1120" s="347"/>
      <c r="N1120" s="347"/>
    </row>
    <row r="1121" spans="1:14" x14ac:dyDescent="0.2">
      <c r="A1121" s="362" t="str">
        <f>name!E$11</f>
        <v>Process, plant and machine operatives</v>
      </c>
      <c r="B1121" s="440">
        <v>0.17922350408083548</v>
      </c>
      <c r="C1121" s="440">
        <v>2.1182284014723329</v>
      </c>
      <c r="D1121" s="440">
        <f t="shared" si="406"/>
        <v>2.2974519055531686</v>
      </c>
      <c r="E1121" s="441"/>
      <c r="F1121" s="440">
        <v>0.4065180473031243</v>
      </c>
      <c r="G1121" s="440">
        <v>1.6394010221488267</v>
      </c>
      <c r="H1121" s="440">
        <f t="shared" si="407"/>
        <v>2.0459190694519509</v>
      </c>
      <c r="I1121" s="441"/>
      <c r="J1121" s="440">
        <v>0.31623719808536904</v>
      </c>
      <c r="K1121" s="440">
        <v>1.5468551787354929</v>
      </c>
      <c r="L1121" s="440">
        <f t="shared" si="408"/>
        <v>1.863092376820862</v>
      </c>
      <c r="M1121" s="347"/>
      <c r="N1121" s="347"/>
    </row>
    <row r="1122" spans="1:14" x14ac:dyDescent="0.2">
      <c r="A1122" s="362" t="str">
        <f>name!E$12</f>
        <v>Elementary occupations</v>
      </c>
      <c r="B1122" s="440">
        <v>16.940579055103541</v>
      </c>
      <c r="C1122" s="440">
        <v>1.9073872339288402</v>
      </c>
      <c r="D1122" s="440">
        <f t="shared" si="406"/>
        <v>18.847966289032382</v>
      </c>
      <c r="E1122" s="441"/>
      <c r="F1122" s="440">
        <v>5.2311709843884886</v>
      </c>
      <c r="G1122" s="440">
        <v>1.1782123403417333</v>
      </c>
      <c r="H1122" s="440">
        <f t="shared" si="407"/>
        <v>6.4093833247302214</v>
      </c>
      <c r="I1122" s="441"/>
      <c r="J1122" s="440">
        <v>1.1943259649157068</v>
      </c>
      <c r="K1122" s="440">
        <v>0.94079370234873383</v>
      </c>
      <c r="L1122" s="440">
        <f t="shared" si="408"/>
        <v>2.1351196672644406</v>
      </c>
      <c r="M1122" s="347"/>
      <c r="N1122" s="347"/>
    </row>
    <row r="1123" spans="1:14" s="286" customFormat="1" x14ac:dyDescent="0.2">
      <c r="A1123" s="362"/>
      <c r="B1123" s="440"/>
      <c r="C1123" s="440"/>
      <c r="D1123" s="440"/>
      <c r="E1123" s="441"/>
      <c r="F1123" s="440"/>
      <c r="G1123" s="440"/>
      <c r="H1123" s="440"/>
      <c r="I1123" s="441"/>
      <c r="J1123" s="440"/>
      <c r="K1123" s="440"/>
      <c r="L1123" s="440"/>
      <c r="M1123" s="347"/>
      <c r="N1123" s="347"/>
    </row>
    <row r="1124" spans="1:14" x14ac:dyDescent="0.2">
      <c r="A1124" s="357" t="s">
        <v>32</v>
      </c>
      <c r="B1124" s="450">
        <f>SUM(B1114:B1122)</f>
        <v>88.017000003103107</v>
      </c>
      <c r="C1124" s="450">
        <f t="shared" ref="C1124:D1124" si="409">SUM(C1114:C1122)</f>
        <v>33.437000000763192</v>
      </c>
      <c r="D1124" s="450">
        <f t="shared" si="409"/>
        <v>121.45400000386631</v>
      </c>
      <c r="E1124" s="450"/>
      <c r="F1124" s="450">
        <f t="shared" ref="F1124:H1124" si="410">SUM(F1114:F1122)</f>
        <v>93.211999997224822</v>
      </c>
      <c r="G1124" s="450">
        <f t="shared" si="410"/>
        <v>46.231000001418387</v>
      </c>
      <c r="H1124" s="450">
        <f t="shared" si="410"/>
        <v>139.44299999864319</v>
      </c>
      <c r="I1124" s="450"/>
      <c r="J1124" s="450">
        <f t="shared" ref="J1124:L1124" si="411">SUM(J1114:J1122)</f>
        <v>92.963999998165818</v>
      </c>
      <c r="K1124" s="450">
        <f t="shared" si="411"/>
        <v>43.85900000330269</v>
      </c>
      <c r="L1124" s="450">
        <f t="shared" si="411"/>
        <v>136.8230000014685</v>
      </c>
      <c r="M1124" s="347"/>
      <c r="N1124" s="347"/>
    </row>
    <row r="1125" spans="1:14" x14ac:dyDescent="0.2">
      <c r="A1125" s="348"/>
      <c r="B1125" s="348"/>
      <c r="C1125" s="348"/>
      <c r="D1125" s="348"/>
      <c r="E1125" s="348"/>
      <c r="F1125" s="348"/>
      <c r="G1125" s="348"/>
      <c r="H1125" s="348"/>
      <c r="I1125" s="348"/>
      <c r="J1125" s="348"/>
      <c r="K1125" s="348"/>
      <c r="L1125" s="353"/>
      <c r="M1125" s="347"/>
      <c r="N1125" s="347"/>
    </row>
    <row r="1126" spans="1:14" x14ac:dyDescent="0.2">
      <c r="A1126" s="348"/>
      <c r="B1126" s="348"/>
      <c r="C1126" s="348"/>
      <c r="D1126" s="348"/>
      <c r="E1126" s="348"/>
      <c r="F1126" s="348"/>
      <c r="G1126" s="348"/>
      <c r="H1126" s="348"/>
      <c r="I1126" s="348"/>
      <c r="J1126" s="348"/>
      <c r="K1126" s="348"/>
      <c r="L1126" s="372" t="s">
        <v>35</v>
      </c>
      <c r="M1126" s="347"/>
      <c r="N1126" s="347"/>
    </row>
    <row r="1127" spans="1:14" x14ac:dyDescent="0.2">
      <c r="A1127" s="355"/>
      <c r="B1127" s="365"/>
      <c r="C1127" s="365"/>
      <c r="D1127" s="365"/>
      <c r="E1127" s="365"/>
      <c r="F1127" s="365"/>
      <c r="G1127" s="365"/>
      <c r="H1127" s="365"/>
      <c r="I1127" s="365"/>
      <c r="J1127" s="365"/>
      <c r="K1127" s="365"/>
      <c r="L1127" s="347"/>
      <c r="M1127" s="347"/>
      <c r="N1127" s="347"/>
    </row>
    <row r="1128" spans="1:14" x14ac:dyDescent="0.2">
      <c r="A1128" s="354" t="str">
        <f>name!A69</f>
        <v>Health</v>
      </c>
      <c r="B1128" s="517">
        <f>B$6</f>
        <v>2007</v>
      </c>
      <c r="C1128" s="517"/>
      <c r="D1128" s="517"/>
      <c r="E1128" s="369"/>
      <c r="F1128" s="517">
        <f>F$6</f>
        <v>2017</v>
      </c>
      <c r="G1128" s="517"/>
      <c r="H1128" s="517"/>
      <c r="I1128" s="369"/>
      <c r="J1128" s="517">
        <f>J$6</f>
        <v>2027</v>
      </c>
      <c r="K1128" s="517"/>
      <c r="L1128" s="517"/>
      <c r="M1128" s="347"/>
      <c r="N1128" s="347"/>
    </row>
    <row r="1129" spans="1:14" x14ac:dyDescent="0.2">
      <c r="A1129" s="370"/>
      <c r="B1129" s="371" t="s">
        <v>387</v>
      </c>
      <c r="C1129" s="371" t="s">
        <v>388</v>
      </c>
      <c r="D1129" s="371" t="s">
        <v>32</v>
      </c>
      <c r="E1129" s="371"/>
      <c r="F1129" s="371" t="s">
        <v>387</v>
      </c>
      <c r="G1129" s="371" t="s">
        <v>388</v>
      </c>
      <c r="H1129" s="371" t="s">
        <v>32</v>
      </c>
      <c r="I1129" s="371"/>
      <c r="J1129" s="371" t="s">
        <v>387</v>
      </c>
      <c r="K1129" s="371" t="s">
        <v>388</v>
      </c>
      <c r="L1129" s="371" t="s">
        <v>32</v>
      </c>
      <c r="M1129" s="347"/>
      <c r="N1129" s="347"/>
    </row>
    <row r="1130" spans="1:14" s="286" customFormat="1" x14ac:dyDescent="0.2">
      <c r="A1130" s="374"/>
      <c r="B1130" s="375"/>
      <c r="C1130" s="375"/>
      <c r="D1130" s="375"/>
      <c r="E1130" s="375"/>
      <c r="F1130" s="375"/>
      <c r="G1130" s="375"/>
      <c r="H1130" s="375"/>
      <c r="I1130" s="375"/>
      <c r="J1130" s="375"/>
      <c r="K1130" s="375"/>
      <c r="L1130" s="375"/>
      <c r="M1130" s="347"/>
      <c r="N1130" s="347"/>
    </row>
    <row r="1131" spans="1:14" x14ac:dyDescent="0.2">
      <c r="A1131" s="362" t="str">
        <f>name!E$4</f>
        <v>Managers, directors and senior officials</v>
      </c>
      <c r="B1131" s="440">
        <v>1.6463309579077492</v>
      </c>
      <c r="C1131" s="440">
        <v>1.172655608496241</v>
      </c>
      <c r="D1131" s="440">
        <f>SUM(B1131:C1131)</f>
        <v>2.8189865664039901</v>
      </c>
      <c r="E1131" s="441"/>
      <c r="F1131" s="440">
        <v>2.9077183582493342</v>
      </c>
      <c r="G1131" s="440">
        <v>1.7307261597455055</v>
      </c>
      <c r="H1131" s="440">
        <f>SUM(F1131:G1131)</f>
        <v>4.6384445179948397</v>
      </c>
      <c r="I1131" s="441"/>
      <c r="J1131" s="440">
        <v>3.4100654231322101</v>
      </c>
      <c r="K1131" s="440">
        <v>2.0252438540746662</v>
      </c>
      <c r="L1131" s="440">
        <f>SUM(J1131:K1131)</f>
        <v>5.4353092772068763</v>
      </c>
      <c r="M1131" s="347"/>
      <c r="N1131" s="347"/>
    </row>
    <row r="1132" spans="1:14" x14ac:dyDescent="0.2">
      <c r="A1132" s="362" t="str">
        <f>name!E$5</f>
        <v>Professional occupations</v>
      </c>
      <c r="B1132" s="440">
        <v>23.090168433362557</v>
      </c>
      <c r="C1132" s="440">
        <v>9.8487190435671899</v>
      </c>
      <c r="D1132" s="440">
        <f t="shared" ref="D1132:D1139" si="412">SUM(B1132:C1132)</f>
        <v>32.93888747692975</v>
      </c>
      <c r="E1132" s="441"/>
      <c r="F1132" s="440">
        <v>37.516454123910314</v>
      </c>
      <c r="G1132" s="440">
        <v>16.57670355047517</v>
      </c>
      <c r="H1132" s="440">
        <f t="shared" ref="H1132:H1139" si="413">SUM(F1132:G1132)</f>
        <v>54.093157674385481</v>
      </c>
      <c r="I1132" s="441"/>
      <c r="J1132" s="440">
        <v>44.595042762114787</v>
      </c>
      <c r="K1132" s="440">
        <v>18.351098430853334</v>
      </c>
      <c r="L1132" s="440">
        <f t="shared" ref="L1132:L1139" si="414">SUM(J1132:K1132)</f>
        <v>62.94614119296812</v>
      </c>
      <c r="M1132" s="347"/>
      <c r="N1132" s="347"/>
    </row>
    <row r="1133" spans="1:14" x14ac:dyDescent="0.2">
      <c r="A1133" s="362" t="str">
        <f>name!E$6</f>
        <v>Associate professional and technical</v>
      </c>
      <c r="B1133" s="440">
        <v>8.1458739476219595</v>
      </c>
      <c r="C1133" s="440">
        <v>3.8657739097218604</v>
      </c>
      <c r="D1133" s="440">
        <f t="shared" si="412"/>
        <v>12.011647857343821</v>
      </c>
      <c r="E1133" s="441"/>
      <c r="F1133" s="440">
        <v>12.403360277312851</v>
      </c>
      <c r="G1133" s="440">
        <v>7.0347159384553706</v>
      </c>
      <c r="H1133" s="440">
        <f t="shared" si="413"/>
        <v>19.43807621576822</v>
      </c>
      <c r="I1133" s="441"/>
      <c r="J1133" s="440">
        <v>14.5889389508588</v>
      </c>
      <c r="K1133" s="440">
        <v>7.9896341069888788</v>
      </c>
      <c r="L1133" s="440">
        <f t="shared" si="414"/>
        <v>22.578573057847677</v>
      </c>
      <c r="M1133" s="347"/>
      <c r="N1133" s="347"/>
    </row>
    <row r="1134" spans="1:14" x14ac:dyDescent="0.2">
      <c r="A1134" s="362" t="str">
        <f>name!E$7</f>
        <v>Administrative and secretarial</v>
      </c>
      <c r="B1134" s="440">
        <v>8.7116245132541081</v>
      </c>
      <c r="C1134" s="440">
        <v>0.84203334593046952</v>
      </c>
      <c r="D1134" s="440">
        <f t="shared" si="412"/>
        <v>9.5536578591845771</v>
      </c>
      <c r="E1134" s="441"/>
      <c r="F1134" s="440">
        <v>8.030330211204733</v>
      </c>
      <c r="G1134" s="440">
        <v>1.2011828423142383</v>
      </c>
      <c r="H1134" s="440">
        <f t="shared" si="413"/>
        <v>9.231513053518972</v>
      </c>
      <c r="I1134" s="441"/>
      <c r="J1134" s="440">
        <v>4.5555982095901895</v>
      </c>
      <c r="K1134" s="440">
        <v>1.0310123329704832</v>
      </c>
      <c r="L1134" s="440">
        <f t="shared" si="414"/>
        <v>5.5866105425606722</v>
      </c>
      <c r="M1134" s="347"/>
      <c r="N1134" s="347"/>
    </row>
    <row r="1135" spans="1:14" x14ac:dyDescent="0.2">
      <c r="A1135" s="362" t="str">
        <f>name!E$8</f>
        <v>Skilled trades occupations</v>
      </c>
      <c r="B1135" s="440">
        <v>1.0621134328226889</v>
      </c>
      <c r="C1135" s="440">
        <v>1.0856349679226045</v>
      </c>
      <c r="D1135" s="440">
        <f t="shared" si="412"/>
        <v>2.1477484007452934</v>
      </c>
      <c r="E1135" s="441"/>
      <c r="F1135" s="440">
        <v>0.72995171128801861</v>
      </c>
      <c r="G1135" s="440">
        <v>0.85356343930857637</v>
      </c>
      <c r="H1135" s="440">
        <f t="shared" si="413"/>
        <v>1.583515150596595</v>
      </c>
      <c r="I1135" s="441"/>
      <c r="J1135" s="440">
        <v>0.40890072986072429</v>
      </c>
      <c r="K1135" s="440">
        <v>0.72512313214158508</v>
      </c>
      <c r="L1135" s="440">
        <f t="shared" si="414"/>
        <v>1.1340238620023093</v>
      </c>
      <c r="M1135" s="347"/>
      <c r="N1135" s="347"/>
    </row>
    <row r="1136" spans="1:14" x14ac:dyDescent="0.2">
      <c r="A1136" s="362" t="str">
        <f>name!E$9</f>
        <v>Caring, leisure and other service</v>
      </c>
      <c r="B1136" s="440">
        <v>30.496852428704795</v>
      </c>
      <c r="C1136" s="440">
        <v>3.9363588485106491</v>
      </c>
      <c r="D1136" s="440">
        <f t="shared" si="412"/>
        <v>34.433211277215442</v>
      </c>
      <c r="E1136" s="441"/>
      <c r="F1136" s="440">
        <v>44.624379645132343</v>
      </c>
      <c r="G1136" s="440">
        <v>5.6205639775137763</v>
      </c>
      <c r="H1136" s="440">
        <f t="shared" si="413"/>
        <v>50.244943622646119</v>
      </c>
      <c r="I1136" s="441"/>
      <c r="J1136" s="440">
        <v>51.517706965536739</v>
      </c>
      <c r="K1136" s="440">
        <v>7.3460587151766701</v>
      </c>
      <c r="L1136" s="440">
        <f t="shared" si="414"/>
        <v>58.863765680713406</v>
      </c>
      <c r="M1136" s="347"/>
      <c r="N1136" s="347"/>
    </row>
    <row r="1137" spans="1:14" x14ac:dyDescent="0.2">
      <c r="A1137" s="362" t="str">
        <f>name!E$10</f>
        <v>Sales and customer service</v>
      </c>
      <c r="B1137" s="440">
        <v>0.85503190247028993</v>
      </c>
      <c r="C1137" s="440">
        <v>0.2510307065711529</v>
      </c>
      <c r="D1137" s="440">
        <f t="shared" si="412"/>
        <v>1.1060626090414427</v>
      </c>
      <c r="E1137" s="441"/>
      <c r="F1137" s="440">
        <v>1.2705106713173357</v>
      </c>
      <c r="G1137" s="440">
        <v>0.34861876783250295</v>
      </c>
      <c r="H1137" s="440">
        <f t="shared" si="413"/>
        <v>1.6191294391498388</v>
      </c>
      <c r="I1137" s="441"/>
      <c r="J1137" s="440">
        <v>1.2805976679478885</v>
      </c>
      <c r="K1137" s="440">
        <v>0.33765360128246885</v>
      </c>
      <c r="L1137" s="440">
        <f t="shared" si="414"/>
        <v>1.6182512692303574</v>
      </c>
      <c r="M1137" s="347"/>
      <c r="N1137" s="347"/>
    </row>
    <row r="1138" spans="1:14" x14ac:dyDescent="0.2">
      <c r="A1138" s="362" t="str">
        <f>name!E$11</f>
        <v>Process, plant and machine operatives</v>
      </c>
      <c r="B1138" s="440">
        <v>0.39336565767825454</v>
      </c>
      <c r="C1138" s="440">
        <v>0.8122994523792636</v>
      </c>
      <c r="D1138" s="440">
        <f t="shared" si="412"/>
        <v>1.2056651100575182</v>
      </c>
      <c r="E1138" s="441"/>
      <c r="F1138" s="440">
        <v>0.3858179755654455</v>
      </c>
      <c r="G1138" s="440">
        <v>0.76496857845739596</v>
      </c>
      <c r="H1138" s="440">
        <f t="shared" si="413"/>
        <v>1.1507865540228415</v>
      </c>
      <c r="I1138" s="441"/>
      <c r="J1138" s="440">
        <v>0.13710785732733444</v>
      </c>
      <c r="K1138" s="440">
        <v>0.71744515851971502</v>
      </c>
      <c r="L1138" s="440">
        <f t="shared" si="414"/>
        <v>0.85455301584704946</v>
      </c>
      <c r="M1138" s="347"/>
      <c r="N1138" s="347"/>
    </row>
    <row r="1139" spans="1:14" x14ac:dyDescent="0.2">
      <c r="A1139" s="362" t="str">
        <f>name!E$12</f>
        <v>Elementary occupations</v>
      </c>
      <c r="B1139" s="440">
        <v>6.0156387259690369</v>
      </c>
      <c r="C1139" s="440">
        <v>1.6564941165528921</v>
      </c>
      <c r="D1139" s="440">
        <f t="shared" si="412"/>
        <v>7.6721328425219291</v>
      </c>
      <c r="E1139" s="441"/>
      <c r="F1139" s="440">
        <v>2.4334770241695245</v>
      </c>
      <c r="G1139" s="440">
        <v>1.4129567454668228</v>
      </c>
      <c r="H1139" s="440">
        <f t="shared" si="413"/>
        <v>3.8464337696363473</v>
      </c>
      <c r="I1139" s="441"/>
      <c r="J1139" s="440">
        <v>1.5570414328743933</v>
      </c>
      <c r="K1139" s="440">
        <v>1.2947306686735378</v>
      </c>
      <c r="L1139" s="440">
        <f t="shared" si="414"/>
        <v>2.8517721015479314</v>
      </c>
      <c r="M1139" s="347"/>
      <c r="N1139" s="347"/>
    </row>
    <row r="1140" spans="1:14" s="286" customFormat="1" x14ac:dyDescent="0.2">
      <c r="A1140" s="362"/>
      <c r="B1140" s="440"/>
      <c r="C1140" s="440"/>
      <c r="D1140" s="440"/>
      <c r="E1140" s="441"/>
      <c r="F1140" s="440"/>
      <c r="G1140" s="440"/>
      <c r="H1140" s="440"/>
      <c r="I1140" s="441"/>
      <c r="J1140" s="440"/>
      <c r="K1140" s="440"/>
      <c r="L1140" s="440"/>
      <c r="M1140" s="347"/>
      <c r="N1140" s="347"/>
    </row>
    <row r="1141" spans="1:14" x14ac:dyDescent="0.2">
      <c r="A1141" s="357" t="s">
        <v>32</v>
      </c>
      <c r="B1141" s="450">
        <f>SUM(B1131:B1139)</f>
        <v>80.416999999791443</v>
      </c>
      <c r="C1141" s="450">
        <f t="shared" ref="C1141:D1141" si="415">SUM(C1131:C1139)</f>
        <v>23.470999999652324</v>
      </c>
      <c r="D1141" s="450">
        <f t="shared" si="415"/>
        <v>103.88799999944376</v>
      </c>
      <c r="E1141" s="450"/>
      <c r="F1141" s="450">
        <f t="shared" ref="F1141:H1141" si="416">SUM(F1131:F1139)</f>
        <v>110.3019999981499</v>
      </c>
      <c r="G1141" s="450">
        <f t="shared" si="416"/>
        <v>35.543999999569365</v>
      </c>
      <c r="H1141" s="450">
        <f t="shared" si="416"/>
        <v>145.84599999771925</v>
      </c>
      <c r="I1141" s="450"/>
      <c r="J1141" s="450">
        <f t="shared" ref="J1141:L1141" si="417">SUM(J1131:J1139)</f>
        <v>122.05099999924307</v>
      </c>
      <c r="K1141" s="450">
        <f t="shared" si="417"/>
        <v>39.818000000681344</v>
      </c>
      <c r="L1141" s="450">
        <f t="shared" si="417"/>
        <v>161.86899999992443</v>
      </c>
      <c r="M1141" s="347"/>
      <c r="N1141" s="347"/>
    </row>
    <row r="1142" spans="1:14" x14ac:dyDescent="0.2">
      <c r="A1142" s="348"/>
      <c r="B1142" s="348"/>
      <c r="C1142" s="348"/>
      <c r="D1142" s="348"/>
      <c r="E1142" s="348"/>
      <c r="F1142" s="348"/>
      <c r="G1142" s="348"/>
      <c r="H1142" s="348"/>
      <c r="I1142" s="348"/>
      <c r="J1142" s="348"/>
      <c r="K1142" s="348"/>
      <c r="L1142" s="353"/>
      <c r="M1142" s="347"/>
      <c r="N1142" s="347"/>
    </row>
    <row r="1143" spans="1:14" x14ac:dyDescent="0.2">
      <c r="A1143" s="348"/>
      <c r="B1143" s="348"/>
      <c r="C1143" s="348"/>
      <c r="D1143" s="348"/>
      <c r="E1143" s="348"/>
      <c r="F1143" s="348"/>
      <c r="G1143" s="348"/>
      <c r="H1143" s="348"/>
      <c r="I1143" s="348"/>
      <c r="J1143" s="348"/>
      <c r="K1143" s="348"/>
      <c r="L1143" s="372" t="s">
        <v>35</v>
      </c>
      <c r="M1143" s="347"/>
      <c r="N1143" s="347"/>
    </row>
    <row r="1144" spans="1:14" x14ac:dyDescent="0.2">
      <c r="A1144" s="355"/>
      <c r="B1144" s="365"/>
      <c r="C1144" s="365"/>
      <c r="D1144" s="365"/>
      <c r="E1144" s="365"/>
      <c r="F1144" s="365"/>
      <c r="G1144" s="365"/>
      <c r="H1144" s="365"/>
      <c r="I1144" s="365"/>
      <c r="J1144" s="365"/>
      <c r="K1144" s="365"/>
      <c r="L1144" s="347"/>
      <c r="M1144" s="347"/>
      <c r="N1144" s="347"/>
    </row>
    <row r="1145" spans="1:14" x14ac:dyDescent="0.2">
      <c r="A1145" s="354" t="str">
        <f>name!A70</f>
        <v>Residential care</v>
      </c>
      <c r="B1145" s="517">
        <f>B$6</f>
        <v>2007</v>
      </c>
      <c r="C1145" s="517"/>
      <c r="D1145" s="517"/>
      <c r="E1145" s="369"/>
      <c r="F1145" s="517">
        <f>F$6</f>
        <v>2017</v>
      </c>
      <c r="G1145" s="517"/>
      <c r="H1145" s="517"/>
      <c r="I1145" s="369"/>
      <c r="J1145" s="517">
        <f>J$6</f>
        <v>2027</v>
      </c>
      <c r="K1145" s="517"/>
      <c r="L1145" s="517"/>
      <c r="M1145" s="347"/>
      <c r="N1145" s="347"/>
    </row>
    <row r="1146" spans="1:14" x14ac:dyDescent="0.2">
      <c r="A1146" s="370"/>
      <c r="B1146" s="371" t="s">
        <v>387</v>
      </c>
      <c r="C1146" s="371" t="s">
        <v>388</v>
      </c>
      <c r="D1146" s="371" t="s">
        <v>32</v>
      </c>
      <c r="E1146" s="371"/>
      <c r="F1146" s="371" t="s">
        <v>387</v>
      </c>
      <c r="G1146" s="371" t="s">
        <v>388</v>
      </c>
      <c r="H1146" s="371" t="s">
        <v>32</v>
      </c>
      <c r="I1146" s="371"/>
      <c r="J1146" s="371" t="s">
        <v>387</v>
      </c>
      <c r="K1146" s="371" t="s">
        <v>388</v>
      </c>
      <c r="L1146" s="371" t="s">
        <v>32</v>
      </c>
      <c r="M1146" s="347"/>
      <c r="N1146" s="347"/>
    </row>
    <row r="1147" spans="1:14" s="286" customFormat="1" x14ac:dyDescent="0.2">
      <c r="A1147" s="374"/>
      <c r="B1147" s="375"/>
      <c r="C1147" s="375"/>
      <c r="D1147" s="375"/>
      <c r="E1147" s="375"/>
      <c r="F1147" s="375"/>
      <c r="G1147" s="375"/>
      <c r="H1147" s="375"/>
      <c r="I1147" s="375"/>
      <c r="J1147" s="375"/>
      <c r="K1147" s="375"/>
      <c r="L1147" s="375"/>
      <c r="M1147" s="347"/>
      <c r="N1147" s="347"/>
    </row>
    <row r="1148" spans="1:14" x14ac:dyDescent="0.2">
      <c r="A1148" s="362" t="str">
        <f>name!E$4</f>
        <v>Managers, directors and senior officials</v>
      </c>
      <c r="B1148" s="440">
        <v>0.63376586540699686</v>
      </c>
      <c r="C1148" s="440">
        <v>0.37237150867290453</v>
      </c>
      <c r="D1148" s="440">
        <f>SUM(B1148:C1148)</f>
        <v>1.0061373740799013</v>
      </c>
      <c r="E1148" s="441"/>
      <c r="F1148" s="440">
        <v>0.96945449420490937</v>
      </c>
      <c r="G1148" s="440">
        <v>0.51083012953163209</v>
      </c>
      <c r="H1148" s="440">
        <f>SUM(F1148:G1148)</f>
        <v>1.4802846237365415</v>
      </c>
      <c r="I1148" s="441"/>
      <c r="J1148" s="440">
        <v>1.0856289709032638</v>
      </c>
      <c r="K1148" s="440">
        <v>0.54724022915550552</v>
      </c>
      <c r="L1148" s="440">
        <f>SUM(J1148:K1148)</f>
        <v>1.6328692000587695</v>
      </c>
      <c r="M1148" s="347"/>
      <c r="N1148" s="347"/>
    </row>
    <row r="1149" spans="1:14" x14ac:dyDescent="0.2">
      <c r="A1149" s="362" t="str">
        <f>name!E$5</f>
        <v>Professional occupations</v>
      </c>
      <c r="B1149" s="440">
        <v>8.323531319011428</v>
      </c>
      <c r="C1149" s="440">
        <v>3.2030439551851106</v>
      </c>
      <c r="D1149" s="440">
        <f t="shared" ref="D1149:D1156" si="418">SUM(B1149:C1149)</f>
        <v>11.526575274196539</v>
      </c>
      <c r="E1149" s="441"/>
      <c r="F1149" s="440">
        <v>12.386418207763166</v>
      </c>
      <c r="G1149" s="440">
        <v>4.8041096901084375</v>
      </c>
      <c r="H1149" s="440">
        <f t="shared" ref="H1149:H1156" si="419">SUM(F1149:G1149)</f>
        <v>17.190527897871604</v>
      </c>
      <c r="I1149" s="441"/>
      <c r="J1149" s="440">
        <v>14.243355221107157</v>
      </c>
      <c r="K1149" s="440">
        <v>4.8440052765300452</v>
      </c>
      <c r="L1149" s="440">
        <f t="shared" ref="L1149:L1156" si="420">SUM(J1149:K1149)</f>
        <v>19.087360497637203</v>
      </c>
      <c r="M1149" s="347"/>
      <c r="N1149" s="347"/>
    </row>
    <row r="1150" spans="1:14" x14ac:dyDescent="0.2">
      <c r="A1150" s="362" t="str">
        <f>name!E$6</f>
        <v>Associate professional and technical</v>
      </c>
      <c r="B1150" s="440">
        <v>2.943872327838907</v>
      </c>
      <c r="C1150" s="440">
        <v>1.3726218068626381</v>
      </c>
      <c r="D1150" s="440">
        <f t="shared" si="418"/>
        <v>4.3164941347015446</v>
      </c>
      <c r="E1150" s="441"/>
      <c r="F1150" s="440">
        <v>4.0968163285396777</v>
      </c>
      <c r="G1150" s="440">
        <v>2.1673219060092341</v>
      </c>
      <c r="H1150" s="440">
        <f t="shared" si="419"/>
        <v>6.2641382345489118</v>
      </c>
      <c r="I1150" s="441"/>
      <c r="J1150" s="440">
        <v>4.6575561559914407</v>
      </c>
      <c r="K1150" s="440">
        <v>2.2450343366675325</v>
      </c>
      <c r="L1150" s="440">
        <f t="shared" si="420"/>
        <v>6.9025904926589732</v>
      </c>
      <c r="M1150" s="347"/>
      <c r="N1150" s="347"/>
    </row>
    <row r="1151" spans="1:14" x14ac:dyDescent="0.2">
      <c r="A1151" s="362" t="str">
        <f>name!E$7</f>
        <v>Administrative and secretarial</v>
      </c>
      <c r="B1151" s="440">
        <v>2.8015645885021487</v>
      </c>
      <c r="C1151" s="440">
        <v>0.32987832646029935</v>
      </c>
      <c r="D1151" s="440">
        <f t="shared" si="418"/>
        <v>3.1314429149624479</v>
      </c>
      <c r="E1151" s="441"/>
      <c r="F1151" s="440">
        <v>2.6127109953245458</v>
      </c>
      <c r="G1151" s="440">
        <v>0.4141711836330616</v>
      </c>
      <c r="H1151" s="440">
        <f t="shared" si="419"/>
        <v>3.0268821789576075</v>
      </c>
      <c r="I1151" s="441"/>
      <c r="J1151" s="440">
        <v>1.4493662478025746</v>
      </c>
      <c r="K1151" s="440">
        <v>0.33111796512764935</v>
      </c>
      <c r="L1151" s="440">
        <f t="shared" si="420"/>
        <v>1.7804842129302241</v>
      </c>
      <c r="M1151" s="347"/>
      <c r="N1151" s="347"/>
    </row>
    <row r="1152" spans="1:14" x14ac:dyDescent="0.2">
      <c r="A1152" s="362" t="str">
        <f>name!E$8</f>
        <v>Skilled trades occupations</v>
      </c>
      <c r="B1152" s="440">
        <v>0.34403783113746522</v>
      </c>
      <c r="C1152" s="440">
        <v>0.38874072660316905</v>
      </c>
      <c r="D1152" s="440">
        <f t="shared" si="418"/>
        <v>0.73277855774063427</v>
      </c>
      <c r="E1152" s="441"/>
      <c r="F1152" s="440">
        <v>0.23815006909579706</v>
      </c>
      <c r="G1152" s="440">
        <v>0.26416903967382321</v>
      </c>
      <c r="H1152" s="440">
        <f t="shared" si="419"/>
        <v>0.50231910876962027</v>
      </c>
      <c r="I1152" s="441"/>
      <c r="J1152" s="440">
        <v>0.13172985384877042</v>
      </c>
      <c r="K1152" s="440">
        <v>0.21066854359812012</v>
      </c>
      <c r="L1152" s="440">
        <f t="shared" si="420"/>
        <v>0.34239839744689055</v>
      </c>
      <c r="M1152" s="347"/>
      <c r="N1152" s="347"/>
    </row>
    <row r="1153" spans="1:14" x14ac:dyDescent="0.2">
      <c r="A1153" s="362" t="str">
        <f>name!E$9</f>
        <v>Caring, leisure and other service</v>
      </c>
      <c r="B1153" s="440">
        <v>10.907332439234747</v>
      </c>
      <c r="C1153" s="440">
        <v>1.4976022953673747</v>
      </c>
      <c r="D1153" s="440">
        <f t="shared" si="418"/>
        <v>12.404934734602122</v>
      </c>
      <c r="E1153" s="441"/>
      <c r="F1153" s="440">
        <v>14.645999169994438</v>
      </c>
      <c r="G1153" s="440">
        <v>1.9314719483039524</v>
      </c>
      <c r="H1153" s="440">
        <f t="shared" si="419"/>
        <v>16.577471118298391</v>
      </c>
      <c r="I1153" s="441"/>
      <c r="J1153" s="440">
        <v>16.526158690854086</v>
      </c>
      <c r="K1153" s="440">
        <v>2.3835409648394505</v>
      </c>
      <c r="L1153" s="440">
        <f t="shared" si="420"/>
        <v>18.909699655693537</v>
      </c>
      <c r="M1153" s="347"/>
      <c r="N1153" s="347"/>
    </row>
    <row r="1154" spans="1:14" x14ac:dyDescent="0.2">
      <c r="A1154" s="362" t="str">
        <f>name!E$10</f>
        <v>Sales and customer service</v>
      </c>
      <c r="B1154" s="440">
        <v>0.29021106753866005</v>
      </c>
      <c r="C1154" s="440">
        <v>9.4193012141255653E-2</v>
      </c>
      <c r="D1154" s="440">
        <f t="shared" si="418"/>
        <v>0.38440407967991569</v>
      </c>
      <c r="E1154" s="441"/>
      <c r="F1154" s="440">
        <v>0.41625690045300634</v>
      </c>
      <c r="G1154" s="440">
        <v>0.11669189002334807</v>
      </c>
      <c r="H1154" s="440">
        <f t="shared" si="419"/>
        <v>0.53294879047635435</v>
      </c>
      <c r="I1154" s="441"/>
      <c r="J1154" s="440">
        <v>0.40902978680839053</v>
      </c>
      <c r="K1154" s="440">
        <v>0.10145928397582225</v>
      </c>
      <c r="L1154" s="440">
        <f t="shared" si="420"/>
        <v>0.5104890707842128</v>
      </c>
      <c r="M1154" s="347"/>
      <c r="N1154" s="347"/>
    </row>
    <row r="1155" spans="1:14" x14ac:dyDescent="0.2">
      <c r="A1155" s="362" t="str">
        <f>name!E$11</f>
        <v>Process, plant and machine operatives</v>
      </c>
      <c r="B1155" s="440">
        <v>0.12554847449682804</v>
      </c>
      <c r="C1155" s="440">
        <v>0.31157999016497706</v>
      </c>
      <c r="D1155" s="440">
        <f t="shared" si="418"/>
        <v>0.43712846466180511</v>
      </c>
      <c r="E1155" s="441"/>
      <c r="F1155" s="440">
        <v>0.12600192586389533</v>
      </c>
      <c r="G1155" s="440">
        <v>0.30288347829620305</v>
      </c>
      <c r="H1155" s="440">
        <f t="shared" si="419"/>
        <v>0.42888540416009835</v>
      </c>
      <c r="I1155" s="441"/>
      <c r="J1155" s="440">
        <v>4.3964088103158064E-2</v>
      </c>
      <c r="K1155" s="440">
        <v>0.27265292302944466</v>
      </c>
      <c r="L1155" s="440">
        <f t="shared" si="420"/>
        <v>0.31661701113260271</v>
      </c>
      <c r="M1155" s="347"/>
      <c r="N1155" s="347"/>
    </row>
    <row r="1156" spans="1:14" x14ac:dyDescent="0.2">
      <c r="A1156" s="362" t="str">
        <f>name!E$12</f>
        <v>Elementary occupations</v>
      </c>
      <c r="B1156" s="440">
        <v>1.8061360867860574</v>
      </c>
      <c r="C1156" s="440">
        <v>0.65696837847038259</v>
      </c>
      <c r="D1156" s="440">
        <f t="shared" si="418"/>
        <v>2.46310446525644</v>
      </c>
      <c r="E1156" s="441"/>
      <c r="F1156" s="440">
        <v>0.79319190813329299</v>
      </c>
      <c r="G1156" s="440">
        <v>0.52635073432010826</v>
      </c>
      <c r="H1156" s="440">
        <f t="shared" si="419"/>
        <v>1.3195426424534014</v>
      </c>
      <c r="I1156" s="441"/>
      <c r="J1156" s="440">
        <v>0.50421098431407585</v>
      </c>
      <c r="K1156" s="440">
        <v>0.46728047726152711</v>
      </c>
      <c r="L1156" s="440">
        <f t="shared" si="420"/>
        <v>0.97149146157560295</v>
      </c>
      <c r="M1156" s="347"/>
      <c r="N1156" s="347"/>
    </row>
    <row r="1157" spans="1:14" s="286" customFormat="1" x14ac:dyDescent="0.2">
      <c r="A1157" s="362"/>
      <c r="B1157" s="440"/>
      <c r="C1157" s="440"/>
      <c r="D1157" s="440"/>
      <c r="E1157" s="441"/>
      <c r="F1157" s="440"/>
      <c r="G1157" s="440"/>
      <c r="H1157" s="440"/>
      <c r="I1157" s="441"/>
      <c r="J1157" s="440"/>
      <c r="K1157" s="440"/>
      <c r="L1157" s="440"/>
      <c r="M1157" s="347"/>
      <c r="N1157" s="347"/>
    </row>
    <row r="1158" spans="1:14" x14ac:dyDescent="0.2">
      <c r="A1158" s="357" t="s">
        <v>32</v>
      </c>
      <c r="B1158" s="450">
        <f>SUM(B1148:B1156)</f>
        <v>28.175999999953238</v>
      </c>
      <c r="C1158" s="450">
        <f t="shared" ref="C1158:D1158" si="421">SUM(C1148:C1156)</f>
        <v>8.2269999999281112</v>
      </c>
      <c r="D1158" s="450">
        <f t="shared" si="421"/>
        <v>36.402999999881352</v>
      </c>
      <c r="E1158" s="450"/>
      <c r="F1158" s="450">
        <f t="shared" ref="F1158:H1158" si="422">SUM(F1148:F1156)</f>
        <v>36.284999999372729</v>
      </c>
      <c r="G1158" s="450">
        <f t="shared" si="422"/>
        <v>11.0379999998998</v>
      </c>
      <c r="H1158" s="450">
        <f t="shared" si="422"/>
        <v>47.322999999272525</v>
      </c>
      <c r="I1158" s="450"/>
      <c r="J1158" s="450">
        <f t="shared" ref="J1158:L1158" si="423">SUM(J1148:J1156)</f>
        <v>39.050999999732923</v>
      </c>
      <c r="K1158" s="450">
        <f t="shared" si="423"/>
        <v>11.403000000185097</v>
      </c>
      <c r="L1158" s="450">
        <f t="shared" si="423"/>
        <v>50.453999999918004</v>
      </c>
      <c r="M1158" s="347"/>
      <c r="N1158" s="347"/>
    </row>
    <row r="1159" spans="1:14" x14ac:dyDescent="0.2">
      <c r="A1159" s="348"/>
      <c r="B1159" s="348"/>
      <c r="C1159" s="348"/>
      <c r="D1159" s="348"/>
      <c r="E1159" s="348"/>
      <c r="F1159" s="348"/>
      <c r="G1159" s="348"/>
      <c r="H1159" s="348"/>
      <c r="I1159" s="348"/>
      <c r="J1159" s="348"/>
      <c r="K1159" s="348"/>
      <c r="L1159" s="353"/>
      <c r="M1159" s="347"/>
      <c r="N1159" s="347"/>
    </row>
    <row r="1160" spans="1:14" x14ac:dyDescent="0.2">
      <c r="A1160" s="348"/>
      <c r="B1160" s="348"/>
      <c r="C1160" s="348"/>
      <c r="D1160" s="348"/>
      <c r="E1160" s="348"/>
      <c r="F1160" s="348"/>
      <c r="G1160" s="348"/>
      <c r="H1160" s="348"/>
      <c r="I1160" s="348"/>
      <c r="J1160" s="348"/>
      <c r="K1160" s="348"/>
      <c r="L1160" s="372" t="s">
        <v>35</v>
      </c>
      <c r="M1160" s="347"/>
      <c r="N1160" s="347"/>
    </row>
    <row r="1161" spans="1:14" x14ac:dyDescent="0.2">
      <c r="A1161" s="355"/>
      <c r="B1161" s="365"/>
      <c r="C1161" s="365"/>
      <c r="D1161" s="365"/>
      <c r="E1161" s="365"/>
      <c r="F1161" s="365"/>
      <c r="G1161" s="365"/>
      <c r="H1161" s="365"/>
      <c r="I1161" s="365"/>
      <c r="J1161" s="365"/>
      <c r="K1161" s="365"/>
      <c r="L1161" s="347"/>
      <c r="M1161" s="347"/>
      <c r="N1161" s="347"/>
    </row>
    <row r="1162" spans="1:14" x14ac:dyDescent="0.2">
      <c r="A1162" s="354" t="str">
        <f>name!A71</f>
        <v>Social work</v>
      </c>
      <c r="B1162" s="517">
        <f>B$6</f>
        <v>2007</v>
      </c>
      <c r="C1162" s="517"/>
      <c r="D1162" s="517"/>
      <c r="E1162" s="369"/>
      <c r="F1162" s="517">
        <f>F$6</f>
        <v>2017</v>
      </c>
      <c r="G1162" s="517"/>
      <c r="H1162" s="517"/>
      <c r="I1162" s="369"/>
      <c r="J1162" s="517">
        <f>J$6</f>
        <v>2027</v>
      </c>
      <c r="K1162" s="517"/>
      <c r="L1162" s="517"/>
      <c r="M1162" s="347"/>
      <c r="N1162" s="347"/>
    </row>
    <row r="1163" spans="1:14" x14ac:dyDescent="0.2">
      <c r="A1163" s="370"/>
      <c r="B1163" s="371" t="s">
        <v>387</v>
      </c>
      <c r="C1163" s="371" t="s">
        <v>388</v>
      </c>
      <c r="D1163" s="371" t="s">
        <v>32</v>
      </c>
      <c r="E1163" s="371"/>
      <c r="F1163" s="371" t="s">
        <v>387</v>
      </c>
      <c r="G1163" s="371" t="s">
        <v>388</v>
      </c>
      <c r="H1163" s="371" t="s">
        <v>32</v>
      </c>
      <c r="I1163" s="371"/>
      <c r="J1163" s="371" t="s">
        <v>387</v>
      </c>
      <c r="K1163" s="371" t="s">
        <v>388</v>
      </c>
      <c r="L1163" s="371" t="s">
        <v>32</v>
      </c>
      <c r="M1163" s="347"/>
      <c r="N1163" s="347"/>
    </row>
    <row r="1164" spans="1:14" s="286" customFormat="1" x14ac:dyDescent="0.2">
      <c r="A1164" s="374"/>
      <c r="B1164" s="375"/>
      <c r="C1164" s="375"/>
      <c r="D1164" s="375"/>
      <c r="E1164" s="375"/>
      <c r="F1164" s="375"/>
      <c r="G1164" s="375"/>
      <c r="H1164" s="375"/>
      <c r="I1164" s="375"/>
      <c r="J1164" s="375"/>
      <c r="K1164" s="375"/>
      <c r="L1164" s="375"/>
      <c r="M1164" s="347"/>
      <c r="N1164" s="347"/>
    </row>
    <row r="1165" spans="1:14" x14ac:dyDescent="0.2">
      <c r="A1165" s="362" t="str">
        <f>name!E$4</f>
        <v>Managers, directors and senior officials</v>
      </c>
      <c r="B1165" s="440">
        <v>0.82426018168925475</v>
      </c>
      <c r="C1165" s="440">
        <v>0.35129388380859078</v>
      </c>
      <c r="D1165" s="440">
        <f>SUM(B1165:C1165)</f>
        <v>1.1755540654978456</v>
      </c>
      <c r="E1165" s="441"/>
      <c r="F1165" s="440">
        <v>1.286924404588756</v>
      </c>
      <c r="G1165" s="440">
        <v>0.49673974747393157</v>
      </c>
      <c r="H1165" s="440">
        <f>SUM(F1165:G1165)</f>
        <v>1.7836641520626877</v>
      </c>
      <c r="I1165" s="441"/>
      <c r="J1165" s="440">
        <v>1.4544211887793479</v>
      </c>
      <c r="K1165" s="440">
        <v>0.53569364526284902</v>
      </c>
      <c r="L1165" s="440">
        <f>SUM(J1165:K1165)</f>
        <v>1.9901148340421968</v>
      </c>
      <c r="M1165" s="347"/>
      <c r="N1165" s="347"/>
    </row>
    <row r="1166" spans="1:14" x14ac:dyDescent="0.2">
      <c r="A1166" s="362" t="str">
        <f>name!E$5</f>
        <v>Professional occupations</v>
      </c>
      <c r="B1166" s="440">
        <v>11.307839872630483</v>
      </c>
      <c r="C1166" s="440">
        <v>2.8889144199142605</v>
      </c>
      <c r="D1166" s="440">
        <f t="shared" ref="D1166:D1173" si="424">SUM(B1166:C1166)</f>
        <v>14.196754292544743</v>
      </c>
      <c r="E1166" s="441"/>
      <c r="F1166" s="440">
        <v>17.030853496603481</v>
      </c>
      <c r="G1166" s="440">
        <v>4.5399938518824374</v>
      </c>
      <c r="H1166" s="440">
        <f t="shared" ref="H1166:H1173" si="425">SUM(F1166:G1166)</f>
        <v>21.57084734848592</v>
      </c>
      <c r="I1166" s="441"/>
      <c r="J1166" s="440">
        <v>19.657942917452623</v>
      </c>
      <c r="K1166" s="440">
        <v>4.5962483301631094</v>
      </c>
      <c r="L1166" s="440">
        <f t="shared" ref="L1166:L1173" si="426">SUM(J1166:K1166)</f>
        <v>24.254191247615733</v>
      </c>
      <c r="M1166" s="347"/>
      <c r="N1166" s="347"/>
    </row>
    <row r="1167" spans="1:14" x14ac:dyDescent="0.2">
      <c r="A1167" s="362" t="str">
        <f>name!E$6</f>
        <v>Associate professional and technical</v>
      </c>
      <c r="B1167" s="440">
        <v>3.9933771096244808</v>
      </c>
      <c r="C1167" s="440">
        <v>1.2716042729545354</v>
      </c>
      <c r="D1167" s="440">
        <f t="shared" si="424"/>
        <v>5.2649813825790162</v>
      </c>
      <c r="E1167" s="441"/>
      <c r="F1167" s="440">
        <v>5.6245429247707177</v>
      </c>
      <c r="G1167" s="440">
        <v>2.0678553652755234</v>
      </c>
      <c r="H1167" s="440">
        <f t="shared" si="425"/>
        <v>7.6923982900462411</v>
      </c>
      <c r="I1167" s="441"/>
      <c r="J1167" s="440">
        <v>6.4289168096474141</v>
      </c>
      <c r="K1167" s="440">
        <v>2.1570838177325857</v>
      </c>
      <c r="L1167" s="440">
        <f t="shared" si="426"/>
        <v>8.5860006273799989</v>
      </c>
      <c r="M1167" s="347"/>
      <c r="N1167" s="347"/>
    </row>
    <row r="1168" spans="1:14" x14ac:dyDescent="0.2">
      <c r="A1168" s="362" t="str">
        <f>name!E$7</f>
        <v>Administrative and secretarial</v>
      </c>
      <c r="B1168" s="440">
        <v>4.3594391331154325</v>
      </c>
      <c r="C1168" s="440">
        <v>0.33183710898283203</v>
      </c>
      <c r="D1168" s="440">
        <f t="shared" si="424"/>
        <v>4.6912762420982643</v>
      </c>
      <c r="E1168" s="441"/>
      <c r="F1168" s="440">
        <v>3.7948631178394434</v>
      </c>
      <c r="G1168" s="440">
        <v>0.40818652931948235</v>
      </c>
      <c r="H1168" s="440">
        <f t="shared" si="425"/>
        <v>4.2030496471589256</v>
      </c>
      <c r="I1168" s="441"/>
      <c r="J1168" s="440">
        <v>2.0762614346142305</v>
      </c>
      <c r="K1168" s="440">
        <v>0.33008410705211227</v>
      </c>
      <c r="L1168" s="440">
        <f t="shared" si="426"/>
        <v>2.4063455416663428</v>
      </c>
      <c r="M1168" s="347"/>
      <c r="N1168" s="347"/>
    </row>
    <row r="1169" spans="1:14" x14ac:dyDescent="0.2">
      <c r="A1169" s="362" t="str">
        <f>name!E$8</f>
        <v>Skilled trades occupations</v>
      </c>
      <c r="B1169" s="440">
        <v>0.53354446087186413</v>
      </c>
      <c r="C1169" s="440">
        <v>0.37371818223138958</v>
      </c>
      <c r="D1169" s="440">
        <f t="shared" si="424"/>
        <v>0.90726264310325377</v>
      </c>
      <c r="E1169" s="441"/>
      <c r="F1169" s="440">
        <v>0.34796732444950607</v>
      </c>
      <c r="G1169" s="440">
        <v>0.25957066220425923</v>
      </c>
      <c r="H1169" s="440">
        <f t="shared" si="425"/>
        <v>0.60753798665376535</v>
      </c>
      <c r="I1169" s="441"/>
      <c r="J1169" s="440">
        <v>0.19315221838236801</v>
      </c>
      <c r="K1169" s="440">
        <v>0.21114359203323427</v>
      </c>
      <c r="L1169" s="440">
        <f t="shared" si="426"/>
        <v>0.40429581041560225</v>
      </c>
      <c r="M1169" s="347"/>
      <c r="N1169" s="347"/>
    </row>
    <row r="1170" spans="1:14" x14ac:dyDescent="0.2">
      <c r="A1170" s="362" t="str">
        <f>name!E$9</f>
        <v>Caring, leisure and other service</v>
      </c>
      <c r="B1170" s="440">
        <v>14.930569256412591</v>
      </c>
      <c r="C1170" s="440">
        <v>1.4308307930340685</v>
      </c>
      <c r="D1170" s="440">
        <f t="shared" si="424"/>
        <v>16.361400049446658</v>
      </c>
      <c r="E1170" s="441"/>
      <c r="F1170" s="440">
        <v>20.777096581157299</v>
      </c>
      <c r="G1170" s="440">
        <v>1.9018981880668815</v>
      </c>
      <c r="H1170" s="440">
        <f t="shared" si="425"/>
        <v>22.678994769224179</v>
      </c>
      <c r="I1170" s="441"/>
      <c r="J1170" s="440">
        <v>23.743272066907441</v>
      </c>
      <c r="K1170" s="440">
        <v>2.3821571967573325</v>
      </c>
      <c r="L1170" s="440">
        <f t="shared" si="426"/>
        <v>26.125429263664774</v>
      </c>
      <c r="M1170" s="347"/>
      <c r="N1170" s="347"/>
    </row>
    <row r="1171" spans="1:14" x14ac:dyDescent="0.2">
      <c r="A1171" s="362" t="str">
        <f>name!E$10</f>
        <v>Sales and customer service</v>
      </c>
      <c r="B1171" s="440">
        <v>0.42394088968251747</v>
      </c>
      <c r="C1171" s="440">
        <v>9.3324533522363931E-2</v>
      </c>
      <c r="D1171" s="440">
        <f t="shared" si="424"/>
        <v>0.51726542320488145</v>
      </c>
      <c r="E1171" s="441"/>
      <c r="F1171" s="440">
        <v>0.59055262081571758</v>
      </c>
      <c r="G1171" s="440">
        <v>0.11450378035481217</v>
      </c>
      <c r="H1171" s="440">
        <f t="shared" si="425"/>
        <v>0.7050564011705297</v>
      </c>
      <c r="I1171" s="441"/>
      <c r="J1171" s="440">
        <v>0.58270120294179828</v>
      </c>
      <c r="K1171" s="440">
        <v>9.9676277225340185E-2</v>
      </c>
      <c r="L1171" s="440">
        <f t="shared" si="426"/>
        <v>0.68237748016713851</v>
      </c>
      <c r="M1171" s="347"/>
      <c r="N1171" s="347"/>
    </row>
    <row r="1172" spans="1:14" x14ac:dyDescent="0.2">
      <c r="A1172" s="362" t="str">
        <f>name!E$11</f>
        <v>Process, plant and machine operatives</v>
      </c>
      <c r="B1172" s="440">
        <v>0.19714348747535607</v>
      </c>
      <c r="C1172" s="440">
        <v>0.31482007318288113</v>
      </c>
      <c r="D1172" s="440">
        <f t="shared" si="424"/>
        <v>0.51196356065823723</v>
      </c>
      <c r="E1172" s="441"/>
      <c r="F1172" s="440">
        <v>0.17795223281566583</v>
      </c>
      <c r="G1172" s="440">
        <v>0.31309188712956371</v>
      </c>
      <c r="H1172" s="440">
        <f t="shared" si="425"/>
        <v>0.49104411994522956</v>
      </c>
      <c r="I1172" s="441"/>
      <c r="J1172" s="440">
        <v>6.4547531193041602E-2</v>
      </c>
      <c r="K1172" s="440">
        <v>0.28482165010833171</v>
      </c>
      <c r="L1172" s="440">
        <f t="shared" si="426"/>
        <v>0.34936918130137329</v>
      </c>
      <c r="M1172" s="347"/>
      <c r="N1172" s="347"/>
    </row>
    <row r="1173" spans="1:14" x14ac:dyDescent="0.2">
      <c r="A1173" s="362" t="str">
        <f>name!E$12</f>
        <v>Elementary occupations</v>
      </c>
      <c r="B1173" s="440">
        <v>3.071885608348599</v>
      </c>
      <c r="C1173" s="440">
        <v>0.66265673230717059</v>
      </c>
      <c r="D1173" s="440">
        <f t="shared" si="424"/>
        <v>3.7345423406557696</v>
      </c>
      <c r="E1173" s="441"/>
      <c r="F1173" s="440">
        <v>1.1872472960670413</v>
      </c>
      <c r="G1173" s="440">
        <v>0.53115998819820121</v>
      </c>
      <c r="H1173" s="440">
        <f t="shared" si="425"/>
        <v>1.7184072842652425</v>
      </c>
      <c r="I1173" s="441"/>
      <c r="J1173" s="440">
        <v>0.73878462970073111</v>
      </c>
      <c r="K1173" s="440">
        <v>0.48009138383594308</v>
      </c>
      <c r="L1173" s="440">
        <f t="shared" si="426"/>
        <v>1.2188760135366743</v>
      </c>
      <c r="M1173" s="347"/>
      <c r="N1173" s="347"/>
    </row>
    <row r="1174" spans="1:14" s="286" customFormat="1" x14ac:dyDescent="0.2">
      <c r="A1174" s="362"/>
      <c r="B1174" s="440"/>
      <c r="C1174" s="440"/>
      <c r="D1174" s="440"/>
      <c r="E1174" s="441"/>
      <c r="F1174" s="440"/>
      <c r="G1174" s="440"/>
      <c r="H1174" s="440"/>
      <c r="I1174" s="441"/>
      <c r="J1174" s="440"/>
      <c r="K1174" s="440"/>
      <c r="L1174" s="440"/>
      <c r="M1174" s="347"/>
      <c r="N1174" s="347"/>
    </row>
    <row r="1175" spans="1:14" x14ac:dyDescent="0.2">
      <c r="A1175" s="357" t="s">
        <v>32</v>
      </c>
      <c r="B1175" s="450">
        <f>SUM(B1165:B1173)</f>
        <v>39.641999999850583</v>
      </c>
      <c r="C1175" s="450">
        <f t="shared" ref="C1175:D1175" si="427">SUM(C1165:C1173)</f>
        <v>7.7189999999380916</v>
      </c>
      <c r="D1175" s="450">
        <f t="shared" si="427"/>
        <v>47.360999999788675</v>
      </c>
      <c r="E1175" s="450"/>
      <c r="F1175" s="450">
        <f t="shared" ref="F1175:H1175" si="428">SUM(F1165:F1173)</f>
        <v>50.81799999910762</v>
      </c>
      <c r="G1175" s="450">
        <f t="shared" si="428"/>
        <v>10.632999999905094</v>
      </c>
      <c r="H1175" s="450">
        <f t="shared" si="428"/>
        <v>61.450999999012716</v>
      </c>
      <c r="I1175" s="450"/>
      <c r="J1175" s="450">
        <f t="shared" ref="J1175:L1175" si="429">SUM(J1165:J1173)</f>
        <v>54.939999999618998</v>
      </c>
      <c r="K1175" s="450">
        <f t="shared" si="429"/>
        <v>11.077000000170838</v>
      </c>
      <c r="L1175" s="450">
        <f t="shared" si="429"/>
        <v>66.016999999789817</v>
      </c>
      <c r="M1175" s="352"/>
      <c r="N1175" s="347"/>
    </row>
    <row r="1176" spans="1:14" x14ac:dyDescent="0.2">
      <c r="A1176" s="348"/>
      <c r="B1176" s="348"/>
      <c r="C1176" s="348"/>
      <c r="D1176" s="348"/>
      <c r="E1176" s="348"/>
      <c r="F1176" s="348"/>
      <c r="G1176" s="348"/>
      <c r="H1176" s="348"/>
      <c r="I1176" s="348"/>
      <c r="J1176" s="348"/>
      <c r="K1176" s="348"/>
      <c r="L1176" s="353"/>
      <c r="M1176" s="352"/>
      <c r="N1176" s="347"/>
    </row>
    <row r="1177" spans="1:14" x14ac:dyDescent="0.2">
      <c r="A1177" s="348"/>
      <c r="B1177" s="348"/>
      <c r="C1177" s="348"/>
      <c r="D1177" s="348"/>
      <c r="E1177" s="348"/>
      <c r="F1177" s="348"/>
      <c r="G1177" s="348"/>
      <c r="H1177" s="348"/>
      <c r="I1177" s="348"/>
      <c r="J1177" s="348"/>
      <c r="K1177" s="348"/>
      <c r="L1177" s="372" t="s">
        <v>35</v>
      </c>
      <c r="M1177" s="352"/>
      <c r="N1177" s="347"/>
    </row>
    <row r="1178" spans="1:14" x14ac:dyDescent="0.2">
      <c r="A1178" s="355"/>
      <c r="B1178" s="365"/>
      <c r="C1178" s="365"/>
      <c r="D1178" s="365"/>
      <c r="E1178" s="365"/>
      <c r="F1178" s="365"/>
      <c r="G1178" s="365"/>
      <c r="H1178" s="365"/>
      <c r="I1178" s="365"/>
      <c r="J1178" s="365"/>
      <c r="K1178" s="365"/>
      <c r="L1178" s="347"/>
      <c r="M1178" s="352"/>
      <c r="N1178" s="347"/>
    </row>
    <row r="1179" spans="1:14" x14ac:dyDescent="0.2">
      <c r="A1179" s="354" t="str">
        <f>name!A72</f>
        <v>Arts and entertainment</v>
      </c>
      <c r="B1179" s="517">
        <f>B$6</f>
        <v>2007</v>
      </c>
      <c r="C1179" s="517"/>
      <c r="D1179" s="517"/>
      <c r="E1179" s="369"/>
      <c r="F1179" s="517">
        <f>F$6</f>
        <v>2017</v>
      </c>
      <c r="G1179" s="517"/>
      <c r="H1179" s="517"/>
      <c r="I1179" s="369"/>
      <c r="J1179" s="517">
        <f>J$6</f>
        <v>2027</v>
      </c>
      <c r="K1179" s="517"/>
      <c r="L1179" s="517"/>
      <c r="M1179" s="352"/>
      <c r="N1179" s="347"/>
    </row>
    <row r="1180" spans="1:14" x14ac:dyDescent="0.2">
      <c r="A1180" s="370"/>
      <c r="B1180" s="371" t="s">
        <v>387</v>
      </c>
      <c r="C1180" s="371" t="s">
        <v>388</v>
      </c>
      <c r="D1180" s="371" t="s">
        <v>32</v>
      </c>
      <c r="E1180" s="371"/>
      <c r="F1180" s="371" t="s">
        <v>387</v>
      </c>
      <c r="G1180" s="371" t="s">
        <v>388</v>
      </c>
      <c r="H1180" s="371" t="s">
        <v>32</v>
      </c>
      <c r="I1180" s="371"/>
      <c r="J1180" s="371" t="s">
        <v>387</v>
      </c>
      <c r="K1180" s="371" t="s">
        <v>388</v>
      </c>
      <c r="L1180" s="371" t="s">
        <v>32</v>
      </c>
      <c r="M1180" s="352"/>
      <c r="N1180" s="347"/>
    </row>
    <row r="1181" spans="1:14" s="286" customFormat="1" x14ac:dyDescent="0.2">
      <c r="A1181" s="374"/>
      <c r="B1181" s="375"/>
      <c r="C1181" s="375"/>
      <c r="D1181" s="375"/>
      <c r="E1181" s="375"/>
      <c r="F1181" s="375"/>
      <c r="G1181" s="375"/>
      <c r="H1181" s="375"/>
      <c r="I1181" s="375"/>
      <c r="J1181" s="375"/>
      <c r="K1181" s="375"/>
      <c r="L1181" s="375"/>
      <c r="M1181" s="352"/>
      <c r="N1181" s="347"/>
    </row>
    <row r="1182" spans="1:14" x14ac:dyDescent="0.2">
      <c r="A1182" s="362" t="str">
        <f>name!E$4</f>
        <v>Managers, directors and senior officials</v>
      </c>
      <c r="B1182" s="440">
        <v>7.0305183569436311E-2</v>
      </c>
      <c r="C1182" s="440">
        <v>0.11796929685699777</v>
      </c>
      <c r="D1182" s="440">
        <f>SUM(B1182:C1182)</f>
        <v>0.18827448042643408</v>
      </c>
      <c r="E1182" s="441"/>
      <c r="F1182" s="440">
        <v>0.21498972492117455</v>
      </c>
      <c r="G1182" s="440">
        <v>0.23426035718105384</v>
      </c>
      <c r="H1182" s="440">
        <f>SUM(F1182:G1182)</f>
        <v>0.44925008210222839</v>
      </c>
      <c r="I1182" s="441"/>
      <c r="J1182" s="440">
        <v>0.28111909473944341</v>
      </c>
      <c r="K1182" s="440">
        <v>0.29440150835317414</v>
      </c>
      <c r="L1182" s="440">
        <f>SUM(J1182:K1182)</f>
        <v>0.57552060309261754</v>
      </c>
      <c r="M1182" s="352"/>
      <c r="N1182" s="347"/>
    </row>
    <row r="1183" spans="1:14" x14ac:dyDescent="0.2">
      <c r="A1183" s="362" t="str">
        <f>name!E$5</f>
        <v>Professional occupations</v>
      </c>
      <c r="B1183" s="440">
        <v>0.19125882936604335</v>
      </c>
      <c r="C1183" s="440">
        <v>0.1084024241694561</v>
      </c>
      <c r="D1183" s="440">
        <f t="shared" ref="D1183:D1190" si="430">SUM(B1183:C1183)</f>
        <v>0.29966125353549944</v>
      </c>
      <c r="E1183" s="441"/>
      <c r="F1183" s="440">
        <v>0.48483117508105922</v>
      </c>
      <c r="G1183" s="440">
        <v>0.23698600826313862</v>
      </c>
      <c r="H1183" s="440">
        <f t="shared" ref="H1183:H1190" si="431">SUM(F1183:G1183)</f>
        <v>0.72181718334419787</v>
      </c>
      <c r="I1183" s="441"/>
      <c r="J1183" s="440">
        <v>0.73009054807315554</v>
      </c>
      <c r="K1183" s="440">
        <v>0.31489615027884349</v>
      </c>
      <c r="L1183" s="440">
        <f t="shared" ref="L1183:L1190" si="432">SUM(J1183:K1183)</f>
        <v>1.0449866983519991</v>
      </c>
      <c r="M1183" s="352"/>
      <c r="N1183" s="347"/>
    </row>
    <row r="1184" spans="1:14" x14ac:dyDescent="0.2">
      <c r="A1184" s="362" t="str">
        <f>name!E$6</f>
        <v>Associate professional and technical</v>
      </c>
      <c r="B1184" s="440">
        <v>0.33704602916204529</v>
      </c>
      <c r="C1184" s="440">
        <v>0.35821115172329165</v>
      </c>
      <c r="D1184" s="440">
        <f t="shared" si="430"/>
        <v>0.69525718088533695</v>
      </c>
      <c r="E1184" s="441"/>
      <c r="F1184" s="440">
        <v>1.2867135372595142</v>
      </c>
      <c r="G1184" s="440">
        <v>0.91060249949330674</v>
      </c>
      <c r="H1184" s="440">
        <f t="shared" si="431"/>
        <v>2.1973160367528211</v>
      </c>
      <c r="I1184" s="441"/>
      <c r="J1184" s="440">
        <v>1.6445168160521475</v>
      </c>
      <c r="K1184" s="440">
        <v>1.1220197874707447</v>
      </c>
      <c r="L1184" s="440">
        <f t="shared" si="432"/>
        <v>2.7665366035228924</v>
      </c>
      <c r="M1184" s="352"/>
      <c r="N1184" s="347"/>
    </row>
    <row r="1185" spans="1:14" x14ac:dyDescent="0.2">
      <c r="A1185" s="362" t="str">
        <f>name!E$7</f>
        <v>Administrative and secretarial</v>
      </c>
      <c r="B1185" s="440">
        <v>0.32951424283908987</v>
      </c>
      <c r="C1185" s="440">
        <v>0.12244399416080422</v>
      </c>
      <c r="D1185" s="440">
        <f t="shared" si="430"/>
        <v>0.45195823699989407</v>
      </c>
      <c r="E1185" s="441"/>
      <c r="F1185" s="440">
        <v>0.78674027177804617</v>
      </c>
      <c r="G1185" s="440">
        <v>0.16583720119347675</v>
      </c>
      <c r="H1185" s="440">
        <f t="shared" si="431"/>
        <v>0.95257747297152295</v>
      </c>
      <c r="I1185" s="441"/>
      <c r="J1185" s="440">
        <v>0.76401411723232482</v>
      </c>
      <c r="K1185" s="440">
        <v>0.20933677390657443</v>
      </c>
      <c r="L1185" s="440">
        <f t="shared" si="432"/>
        <v>0.97335089113889928</v>
      </c>
      <c r="M1185" s="352"/>
      <c r="N1185" s="347"/>
    </row>
    <row r="1186" spans="1:14" x14ac:dyDescent="0.2">
      <c r="A1186" s="362" t="str">
        <f>name!E$8</f>
        <v>Skilled trades occupations</v>
      </c>
      <c r="B1186" s="440">
        <v>3.1780610883133109E-2</v>
      </c>
      <c r="C1186" s="440">
        <v>0.16845448035783786</v>
      </c>
      <c r="D1186" s="440">
        <f t="shared" si="430"/>
        <v>0.20023509124097097</v>
      </c>
      <c r="E1186" s="441"/>
      <c r="F1186" s="440">
        <v>0.12971692391568967</v>
      </c>
      <c r="G1186" s="440">
        <v>0.30394796185281192</v>
      </c>
      <c r="H1186" s="440">
        <f t="shared" si="431"/>
        <v>0.4336648857685016</v>
      </c>
      <c r="I1186" s="441"/>
      <c r="J1186" s="440">
        <v>0.12541984967334827</v>
      </c>
      <c r="K1186" s="440">
        <v>0.32889316802994339</v>
      </c>
      <c r="L1186" s="440">
        <f t="shared" si="432"/>
        <v>0.45431301770329169</v>
      </c>
      <c r="M1186" s="352"/>
      <c r="N1186" s="347"/>
    </row>
    <row r="1187" spans="1:14" x14ac:dyDescent="0.2">
      <c r="A1187" s="362" t="str">
        <f>name!E$9</f>
        <v>Caring, leisure and other service</v>
      </c>
      <c r="B1187" s="440">
        <v>0.14358547345364589</v>
      </c>
      <c r="C1187" s="440">
        <v>0.15556566370352373</v>
      </c>
      <c r="D1187" s="440">
        <f t="shared" si="430"/>
        <v>0.29915113715716962</v>
      </c>
      <c r="E1187" s="441"/>
      <c r="F1187" s="440">
        <v>0.43132701554565922</v>
      </c>
      <c r="G1187" s="440">
        <v>0.15425882276908845</v>
      </c>
      <c r="H1187" s="440">
        <f t="shared" si="431"/>
        <v>0.58558583831474764</v>
      </c>
      <c r="I1187" s="441"/>
      <c r="J1187" s="440">
        <v>0.54381821288636845</v>
      </c>
      <c r="K1187" s="440">
        <v>0.19396543560121379</v>
      </c>
      <c r="L1187" s="440">
        <f t="shared" si="432"/>
        <v>0.73778364848758227</v>
      </c>
      <c r="M1187" s="352"/>
      <c r="N1187" s="347"/>
    </row>
    <row r="1188" spans="1:14" x14ac:dyDescent="0.2">
      <c r="A1188" s="362" t="str">
        <f>name!E$10</f>
        <v>Sales and customer service</v>
      </c>
      <c r="B1188" s="440">
        <v>8.3406400125350194E-2</v>
      </c>
      <c r="C1188" s="440">
        <v>6.4527944279886784E-2</v>
      </c>
      <c r="D1188" s="440">
        <f t="shared" si="430"/>
        <v>0.14793434440523698</v>
      </c>
      <c r="E1188" s="441"/>
      <c r="F1188" s="440">
        <v>0.24393666319668045</v>
      </c>
      <c r="G1188" s="440">
        <v>0.11894512572876069</v>
      </c>
      <c r="H1188" s="440">
        <f t="shared" si="431"/>
        <v>0.36288178892544115</v>
      </c>
      <c r="I1188" s="441"/>
      <c r="J1188" s="440">
        <v>0.27791489487142906</v>
      </c>
      <c r="K1188" s="440">
        <v>0.14350622903003132</v>
      </c>
      <c r="L1188" s="440">
        <f t="shared" si="432"/>
        <v>0.42142112390146036</v>
      </c>
      <c r="M1188" s="352"/>
      <c r="N1188" s="347"/>
    </row>
    <row r="1189" spans="1:14" x14ac:dyDescent="0.2">
      <c r="A1189" s="362" t="str">
        <f>name!E$11</f>
        <v>Process, plant and machine operatives</v>
      </c>
      <c r="B1189" s="440">
        <v>2.3358181636690249E-3</v>
      </c>
      <c r="C1189" s="440">
        <v>3.8413278610017906E-2</v>
      </c>
      <c r="D1189" s="440">
        <f t="shared" si="430"/>
        <v>4.0749096773686933E-2</v>
      </c>
      <c r="E1189" s="441"/>
      <c r="F1189" s="440">
        <v>6.6129062279271927E-3</v>
      </c>
      <c r="G1189" s="440">
        <v>4.7066303345382504E-2</v>
      </c>
      <c r="H1189" s="440">
        <f t="shared" si="431"/>
        <v>5.3679209573309697E-2</v>
      </c>
      <c r="I1189" s="441"/>
      <c r="J1189" s="440">
        <v>6.8314062116764628E-3</v>
      </c>
      <c r="K1189" s="440">
        <v>5.0019817664496584E-2</v>
      </c>
      <c r="L1189" s="440">
        <f t="shared" si="432"/>
        <v>5.6851223876173043E-2</v>
      </c>
      <c r="M1189" s="352"/>
      <c r="N1189" s="347"/>
    </row>
    <row r="1190" spans="1:14" x14ac:dyDescent="0.2">
      <c r="A1190" s="362" t="str">
        <f>name!E$12</f>
        <v>Elementary occupations</v>
      </c>
      <c r="B1190" s="440">
        <v>0.11676741244792885</v>
      </c>
      <c r="C1190" s="440">
        <v>0.17401176612640012</v>
      </c>
      <c r="D1190" s="440">
        <f t="shared" si="430"/>
        <v>0.290779178574329</v>
      </c>
      <c r="E1190" s="441"/>
      <c r="F1190" s="440">
        <v>0.2241317820570953</v>
      </c>
      <c r="G1190" s="440">
        <v>0.20209572013896618</v>
      </c>
      <c r="H1190" s="440">
        <f t="shared" si="431"/>
        <v>0.42622750219606148</v>
      </c>
      <c r="I1190" s="441"/>
      <c r="J1190" s="440">
        <v>0.2222750602486529</v>
      </c>
      <c r="K1190" s="440">
        <v>0.2499611296233534</v>
      </c>
      <c r="L1190" s="440">
        <f t="shared" si="432"/>
        <v>0.47223618987200633</v>
      </c>
      <c r="M1190" s="352"/>
      <c r="N1190" s="347"/>
    </row>
    <row r="1191" spans="1:14" s="286" customFormat="1" x14ac:dyDescent="0.2">
      <c r="A1191" s="362"/>
      <c r="B1191" s="440"/>
      <c r="C1191" s="440"/>
      <c r="D1191" s="440"/>
      <c r="E1191" s="441"/>
      <c r="F1191" s="440"/>
      <c r="G1191" s="440"/>
      <c r="H1191" s="440"/>
      <c r="I1191" s="441"/>
      <c r="J1191" s="440"/>
      <c r="K1191" s="440"/>
      <c r="L1191" s="440"/>
      <c r="M1191" s="352"/>
      <c r="N1191" s="347"/>
    </row>
    <row r="1192" spans="1:14" x14ac:dyDescent="0.2">
      <c r="A1192" s="357" t="s">
        <v>32</v>
      </c>
      <c r="B1192" s="450">
        <f>SUM(B1182:B1190)</f>
        <v>1.3060000000103418</v>
      </c>
      <c r="C1192" s="450">
        <f t="shared" ref="C1192:D1192" si="433">SUM(C1182:C1190)</f>
        <v>1.3079999999882159</v>
      </c>
      <c r="D1192" s="450">
        <f t="shared" si="433"/>
        <v>2.6139999999985575</v>
      </c>
      <c r="E1192" s="450"/>
      <c r="F1192" s="450">
        <f t="shared" ref="F1192:H1192" si="434">SUM(F1182:F1190)</f>
        <v>3.8089999999828459</v>
      </c>
      <c r="G1192" s="450">
        <f t="shared" si="434"/>
        <v>2.373999999965986</v>
      </c>
      <c r="H1192" s="450">
        <f t="shared" si="434"/>
        <v>6.1829999999488319</v>
      </c>
      <c r="I1192" s="450"/>
      <c r="J1192" s="450">
        <f t="shared" ref="J1192:L1192" si="435">SUM(J1182:J1190)</f>
        <v>4.595999999988547</v>
      </c>
      <c r="K1192" s="450">
        <f t="shared" si="435"/>
        <v>2.9069999999583747</v>
      </c>
      <c r="L1192" s="450">
        <f t="shared" si="435"/>
        <v>7.5029999999469226</v>
      </c>
      <c r="M1192" s="352"/>
      <c r="N1192" s="347"/>
    </row>
    <row r="1193" spans="1:14" x14ac:dyDescent="0.2">
      <c r="A1193" s="348"/>
      <c r="B1193" s="348"/>
      <c r="C1193" s="348"/>
      <c r="D1193" s="348"/>
      <c r="E1193" s="348"/>
      <c r="F1193" s="348"/>
      <c r="G1193" s="348"/>
      <c r="H1193" s="348"/>
      <c r="I1193" s="348"/>
      <c r="J1193" s="348"/>
      <c r="K1193" s="348"/>
      <c r="L1193" s="353"/>
      <c r="M1193" s="352"/>
      <c r="N1193" s="347"/>
    </row>
    <row r="1194" spans="1:14" x14ac:dyDescent="0.2">
      <c r="A1194" s="348"/>
      <c r="B1194" s="348"/>
      <c r="C1194" s="348"/>
      <c r="D1194" s="348"/>
      <c r="E1194" s="348"/>
      <c r="F1194" s="348"/>
      <c r="G1194" s="348"/>
      <c r="H1194" s="348"/>
      <c r="I1194" s="348"/>
      <c r="J1194" s="348"/>
      <c r="K1194" s="348"/>
      <c r="L1194" s="372" t="s">
        <v>35</v>
      </c>
      <c r="M1194" s="352"/>
      <c r="N1194" s="347"/>
    </row>
    <row r="1195" spans="1:14" x14ac:dyDescent="0.2">
      <c r="A1195" s="355"/>
      <c r="B1195" s="365"/>
      <c r="C1195" s="365"/>
      <c r="D1195" s="365"/>
      <c r="E1195" s="365"/>
      <c r="F1195" s="365"/>
      <c r="G1195" s="365"/>
      <c r="H1195" s="365"/>
      <c r="I1195" s="365"/>
      <c r="J1195" s="365"/>
      <c r="K1195" s="365"/>
      <c r="L1195" s="347"/>
      <c r="M1195" s="352"/>
      <c r="N1195" s="347"/>
    </row>
    <row r="1196" spans="1:14" x14ac:dyDescent="0.2">
      <c r="A1196" s="354" t="str">
        <f>name!A73</f>
        <v>Libraries, etc</v>
      </c>
      <c r="B1196" s="517">
        <f>B$6</f>
        <v>2007</v>
      </c>
      <c r="C1196" s="517"/>
      <c r="D1196" s="517"/>
      <c r="E1196" s="369"/>
      <c r="F1196" s="517">
        <f>F$6</f>
        <v>2017</v>
      </c>
      <c r="G1196" s="517"/>
      <c r="H1196" s="517"/>
      <c r="I1196" s="369"/>
      <c r="J1196" s="517">
        <f>J$6</f>
        <v>2027</v>
      </c>
      <c r="K1196" s="517"/>
      <c r="L1196" s="517"/>
      <c r="M1196" s="352"/>
      <c r="N1196" s="347"/>
    </row>
    <row r="1197" spans="1:14" x14ac:dyDescent="0.2">
      <c r="A1197" s="370"/>
      <c r="B1197" s="371" t="s">
        <v>387</v>
      </c>
      <c r="C1197" s="371" t="s">
        <v>388</v>
      </c>
      <c r="D1197" s="371" t="s">
        <v>32</v>
      </c>
      <c r="E1197" s="371"/>
      <c r="F1197" s="371" t="s">
        <v>387</v>
      </c>
      <c r="G1197" s="371" t="s">
        <v>388</v>
      </c>
      <c r="H1197" s="371" t="s">
        <v>32</v>
      </c>
      <c r="I1197" s="371"/>
      <c r="J1197" s="371" t="s">
        <v>387</v>
      </c>
      <c r="K1197" s="371" t="s">
        <v>388</v>
      </c>
      <c r="L1197" s="371" t="s">
        <v>32</v>
      </c>
      <c r="M1197" s="352"/>
      <c r="N1197" s="347"/>
    </row>
    <row r="1198" spans="1:14" s="286" customFormat="1" x14ac:dyDescent="0.2">
      <c r="A1198" s="374"/>
      <c r="B1198" s="375"/>
      <c r="C1198" s="375"/>
      <c r="D1198" s="375"/>
      <c r="E1198" s="375"/>
      <c r="F1198" s="375"/>
      <c r="G1198" s="375"/>
      <c r="H1198" s="375"/>
      <c r="I1198" s="375"/>
      <c r="J1198" s="375"/>
      <c r="K1198" s="375"/>
      <c r="L1198" s="375"/>
      <c r="M1198" s="352"/>
      <c r="N1198" s="347"/>
    </row>
    <row r="1199" spans="1:14" x14ac:dyDescent="0.2">
      <c r="A1199" s="362" t="str">
        <f>name!E$4</f>
        <v>Managers, directors and senior officials</v>
      </c>
      <c r="B1199" s="440">
        <v>0.20243132126244343</v>
      </c>
      <c r="C1199" s="440">
        <v>0.30821557845852754</v>
      </c>
      <c r="D1199" s="440">
        <f>SUM(B1199:C1199)</f>
        <v>0.51064689972097099</v>
      </c>
      <c r="E1199" s="441"/>
      <c r="F1199" s="440">
        <v>0.18459817559731992</v>
      </c>
      <c r="G1199" s="440">
        <v>0.20090620037287968</v>
      </c>
      <c r="H1199" s="440">
        <f>SUM(F1199:G1199)</f>
        <v>0.3855043759701996</v>
      </c>
      <c r="I1199" s="441"/>
      <c r="J1199" s="440">
        <v>0.24130824151030253</v>
      </c>
      <c r="K1199" s="440">
        <v>0.25459340727054447</v>
      </c>
      <c r="L1199" s="440">
        <f>SUM(J1199:K1199)</f>
        <v>0.49590164878084697</v>
      </c>
      <c r="M1199" s="352"/>
      <c r="N1199" s="347"/>
    </row>
    <row r="1200" spans="1:14" x14ac:dyDescent="0.2">
      <c r="A1200" s="362" t="str">
        <f>name!E$5</f>
        <v>Professional occupations</v>
      </c>
      <c r="B1200" s="440">
        <v>0.52457684323627196</v>
      </c>
      <c r="C1200" s="440">
        <v>0.28708422370452397</v>
      </c>
      <c r="D1200" s="440">
        <f t="shared" ref="D1200:D1207" si="436">SUM(B1200:C1200)</f>
        <v>0.81166106694079598</v>
      </c>
      <c r="E1200" s="441"/>
      <c r="F1200" s="440">
        <v>0.41466558029829614</v>
      </c>
      <c r="G1200" s="440">
        <v>0.19450917490121727</v>
      </c>
      <c r="H1200" s="440">
        <f t="shared" ref="H1200:H1207" si="437">SUM(F1200:G1200)</f>
        <v>0.60917475519951347</v>
      </c>
      <c r="I1200" s="441"/>
      <c r="J1200" s="440">
        <v>0.6236981454638858</v>
      </c>
      <c r="K1200" s="440">
        <v>0.25945762451019255</v>
      </c>
      <c r="L1200" s="440">
        <f t="shared" ref="L1200:L1207" si="438">SUM(J1200:K1200)</f>
        <v>0.88315576997407841</v>
      </c>
      <c r="M1200" s="352"/>
      <c r="N1200" s="347"/>
    </row>
    <row r="1201" spans="1:14" x14ac:dyDescent="0.2">
      <c r="A1201" s="362" t="str">
        <f>name!E$6</f>
        <v>Associate professional and technical</v>
      </c>
      <c r="B1201" s="440">
        <v>1.0805645400330686</v>
      </c>
      <c r="C1201" s="440">
        <v>0.97556844893804728</v>
      </c>
      <c r="D1201" s="440">
        <f t="shared" si="436"/>
        <v>2.056132988971116</v>
      </c>
      <c r="E1201" s="441"/>
      <c r="F1201" s="440">
        <v>1.1029429365264773</v>
      </c>
      <c r="G1201" s="440">
        <v>0.73874459950716365</v>
      </c>
      <c r="H1201" s="440">
        <f t="shared" si="437"/>
        <v>1.8416875360336409</v>
      </c>
      <c r="I1201" s="441"/>
      <c r="J1201" s="440">
        <v>1.4092458652684896</v>
      </c>
      <c r="K1201" s="440">
        <v>0.91147825642572478</v>
      </c>
      <c r="L1201" s="440">
        <f t="shared" si="438"/>
        <v>2.3207241216942145</v>
      </c>
      <c r="M1201" s="352"/>
      <c r="N1201" s="347"/>
    </row>
    <row r="1202" spans="1:14" x14ac:dyDescent="0.2">
      <c r="A1202" s="362" t="str">
        <f>name!E$7</f>
        <v>Administrative and secretarial</v>
      </c>
      <c r="B1202" s="440">
        <v>1.1986078466465586</v>
      </c>
      <c r="C1202" s="440">
        <v>0.30755801592053045</v>
      </c>
      <c r="D1202" s="440">
        <f t="shared" si="436"/>
        <v>1.5061658625670891</v>
      </c>
      <c r="E1202" s="441"/>
      <c r="F1202" s="440">
        <v>0.72019955835498572</v>
      </c>
      <c r="G1202" s="440">
        <v>0.13939815881055703</v>
      </c>
      <c r="H1202" s="440">
        <f t="shared" si="437"/>
        <v>0.85959771716554279</v>
      </c>
      <c r="I1202" s="441"/>
      <c r="J1202" s="440">
        <v>0.69901063910216421</v>
      </c>
      <c r="K1202" s="440">
        <v>0.17958941299598155</v>
      </c>
      <c r="L1202" s="440">
        <f t="shared" si="438"/>
        <v>0.87860005209814573</v>
      </c>
      <c r="M1202" s="352"/>
      <c r="N1202" s="347"/>
    </row>
    <row r="1203" spans="1:14" x14ac:dyDescent="0.2">
      <c r="A1203" s="362" t="str">
        <f>name!E$8</f>
        <v>Skilled trades occupations</v>
      </c>
      <c r="B1203" s="440">
        <v>9.7894439282102952E-2</v>
      </c>
      <c r="C1203" s="440">
        <v>0.44318451101146211</v>
      </c>
      <c r="D1203" s="440">
        <f t="shared" si="436"/>
        <v>0.54107895029356512</v>
      </c>
      <c r="E1203" s="441"/>
      <c r="F1203" s="440">
        <v>0.1106936313822611</v>
      </c>
      <c r="G1203" s="440">
        <v>0.24822471219407322</v>
      </c>
      <c r="H1203" s="440">
        <f t="shared" si="437"/>
        <v>0.35891834357633434</v>
      </c>
      <c r="I1203" s="441"/>
      <c r="J1203" s="440">
        <v>0.10754316540546205</v>
      </c>
      <c r="K1203" s="440">
        <v>0.26511929867699702</v>
      </c>
      <c r="L1203" s="440">
        <f t="shared" si="438"/>
        <v>0.37266246408245907</v>
      </c>
      <c r="M1203" s="352"/>
      <c r="N1203" s="347"/>
    </row>
    <row r="1204" spans="1:14" x14ac:dyDescent="0.2">
      <c r="A1204" s="362" t="str">
        <f>name!E$9</f>
        <v>Caring, leisure and other service</v>
      </c>
      <c r="B1204" s="440">
        <v>0.48056569579395081</v>
      </c>
      <c r="C1204" s="440">
        <v>0.41284571403724035</v>
      </c>
      <c r="D1204" s="440">
        <f t="shared" si="436"/>
        <v>0.89341140983119116</v>
      </c>
      <c r="E1204" s="441"/>
      <c r="F1204" s="440">
        <v>0.38039641197075175</v>
      </c>
      <c r="G1204" s="440">
        <v>0.1125876976221715</v>
      </c>
      <c r="H1204" s="440">
        <f t="shared" si="437"/>
        <v>0.49298410959292327</v>
      </c>
      <c r="I1204" s="441"/>
      <c r="J1204" s="440">
        <v>0.48017390558126</v>
      </c>
      <c r="K1204" s="440">
        <v>0.14348418777892952</v>
      </c>
      <c r="L1204" s="440">
        <f t="shared" si="438"/>
        <v>0.62365809336018951</v>
      </c>
      <c r="M1204" s="352"/>
      <c r="N1204" s="347"/>
    </row>
    <row r="1205" spans="1:14" x14ac:dyDescent="0.2">
      <c r="A1205" s="362" t="str">
        <f>name!E$10</f>
        <v>Sales and customer service</v>
      </c>
      <c r="B1205" s="440">
        <v>0.319500375146819</v>
      </c>
      <c r="C1205" s="440">
        <v>0.16661551284088505</v>
      </c>
      <c r="D1205" s="440">
        <f t="shared" si="436"/>
        <v>0.48611588798770405</v>
      </c>
      <c r="E1205" s="441"/>
      <c r="F1205" s="440">
        <v>0.21858725087740744</v>
      </c>
      <c r="G1205" s="440">
        <v>9.1048901966221743E-2</v>
      </c>
      <c r="H1205" s="440">
        <f t="shared" si="437"/>
        <v>0.30963615284362916</v>
      </c>
      <c r="I1205" s="441"/>
      <c r="J1205" s="440">
        <v>0.24916158567227181</v>
      </c>
      <c r="K1205" s="440">
        <v>0.11590676867093805</v>
      </c>
      <c r="L1205" s="440">
        <f t="shared" si="438"/>
        <v>0.36506835434320983</v>
      </c>
      <c r="M1205" s="352"/>
      <c r="N1205" s="347"/>
    </row>
    <row r="1206" spans="1:14" x14ac:dyDescent="0.2">
      <c r="A1206" s="362" t="str">
        <f>name!E$11</f>
        <v>Process, plant and machine operatives</v>
      </c>
      <c r="B1206" s="440">
        <v>7.3179105886047062E-3</v>
      </c>
      <c r="C1206" s="440">
        <v>9.8367415554851872E-2</v>
      </c>
      <c r="D1206" s="440">
        <f t="shared" si="436"/>
        <v>0.10568532614345658</v>
      </c>
      <c r="E1206" s="441"/>
      <c r="F1206" s="440">
        <v>5.739659532070094E-3</v>
      </c>
      <c r="G1206" s="440">
        <v>4.0508368444674196E-2</v>
      </c>
      <c r="H1206" s="440">
        <f t="shared" si="437"/>
        <v>4.6248027976744294E-2</v>
      </c>
      <c r="I1206" s="441"/>
      <c r="J1206" s="440">
        <v>5.9245020444375412E-3</v>
      </c>
      <c r="K1206" s="440">
        <v>4.3341618416962518E-2</v>
      </c>
      <c r="L1206" s="440">
        <f t="shared" si="438"/>
        <v>4.9266120461400061E-2</v>
      </c>
      <c r="M1206" s="352"/>
      <c r="N1206" s="347"/>
    </row>
    <row r="1207" spans="1:14" ht="13.5" customHeight="1" x14ac:dyDescent="0.2">
      <c r="A1207" s="362" t="str">
        <f>name!E$12</f>
        <v>Elementary occupations</v>
      </c>
      <c r="B1207" s="440">
        <v>0.49654102803096278</v>
      </c>
      <c r="C1207" s="440">
        <v>0.45356057950078993</v>
      </c>
      <c r="D1207" s="440">
        <f t="shared" si="436"/>
        <v>0.95010160753175277</v>
      </c>
      <c r="E1207" s="441"/>
      <c r="F1207" s="440">
        <v>0.20817679544771034</v>
      </c>
      <c r="G1207" s="440">
        <v>0.15307218615388474</v>
      </c>
      <c r="H1207" s="440">
        <f t="shared" si="437"/>
        <v>0.36124898160159508</v>
      </c>
      <c r="I1207" s="441"/>
      <c r="J1207" s="440">
        <v>0.20993394994397818</v>
      </c>
      <c r="K1207" s="440">
        <v>0.18802942522217791</v>
      </c>
      <c r="L1207" s="440">
        <f t="shared" si="438"/>
        <v>0.3979633751661561</v>
      </c>
      <c r="M1207" s="352"/>
      <c r="N1207" s="347"/>
    </row>
    <row r="1208" spans="1:14" s="286" customFormat="1" ht="13.5" customHeight="1" x14ac:dyDescent="0.2">
      <c r="A1208" s="362"/>
      <c r="B1208" s="440"/>
      <c r="C1208" s="440"/>
      <c r="D1208" s="440"/>
      <c r="E1208" s="441"/>
      <c r="F1208" s="440"/>
      <c r="G1208" s="440"/>
      <c r="H1208" s="440"/>
      <c r="I1208" s="441"/>
      <c r="J1208" s="440"/>
      <c r="K1208" s="440"/>
      <c r="L1208" s="440"/>
      <c r="M1208" s="352"/>
      <c r="N1208" s="347"/>
    </row>
    <row r="1209" spans="1:14" x14ac:dyDescent="0.2">
      <c r="A1209" s="357" t="s">
        <v>32</v>
      </c>
      <c r="B1209" s="450">
        <f>SUM(B1199:B1207)</f>
        <v>4.4080000000207828</v>
      </c>
      <c r="C1209" s="450">
        <f t="shared" ref="C1209:D1209" si="439">SUM(C1199:C1207)</f>
        <v>3.4529999999668588</v>
      </c>
      <c r="D1209" s="450">
        <f t="shared" si="439"/>
        <v>7.8609999999876417</v>
      </c>
      <c r="E1209" s="450"/>
      <c r="F1209" s="450">
        <f t="shared" ref="F1209:H1209" si="440">SUM(F1199:F1207)</f>
        <v>3.34599999998728</v>
      </c>
      <c r="G1209" s="450">
        <f t="shared" si="440"/>
        <v>1.9189999999728431</v>
      </c>
      <c r="H1209" s="450">
        <f t="shared" si="440"/>
        <v>5.2649999999601231</v>
      </c>
      <c r="I1209" s="450"/>
      <c r="J1209" s="450">
        <f t="shared" ref="J1209:L1209" si="441">SUM(J1199:J1207)</f>
        <v>4.0259999999922522</v>
      </c>
      <c r="K1209" s="450">
        <f t="shared" si="441"/>
        <v>2.3609999999684481</v>
      </c>
      <c r="L1209" s="450">
        <f t="shared" si="441"/>
        <v>6.3869999999606994</v>
      </c>
      <c r="M1209" s="352"/>
      <c r="N1209" s="347"/>
    </row>
    <row r="1210" spans="1:14" x14ac:dyDescent="0.2">
      <c r="A1210" s="348"/>
      <c r="B1210" s="348"/>
      <c r="C1210" s="348"/>
      <c r="D1210" s="348"/>
      <c r="E1210" s="348"/>
      <c r="F1210" s="348"/>
      <c r="G1210" s="348"/>
      <c r="H1210" s="348"/>
      <c r="I1210" s="348"/>
      <c r="J1210" s="348"/>
      <c r="K1210" s="348"/>
      <c r="L1210" s="353"/>
      <c r="M1210" s="352"/>
      <c r="N1210" s="347"/>
    </row>
    <row r="1211" spans="1:14" x14ac:dyDescent="0.2">
      <c r="A1211" s="348"/>
      <c r="B1211" s="348"/>
      <c r="C1211" s="348"/>
      <c r="D1211" s="348"/>
      <c r="E1211" s="348"/>
      <c r="F1211" s="348"/>
      <c r="G1211" s="348"/>
      <c r="H1211" s="348"/>
      <c r="I1211" s="348"/>
      <c r="J1211" s="348"/>
      <c r="K1211" s="348"/>
      <c r="L1211" s="372" t="s">
        <v>35</v>
      </c>
      <c r="M1211" s="352"/>
      <c r="N1211" s="347"/>
    </row>
    <row r="1212" spans="1:14" x14ac:dyDescent="0.2">
      <c r="A1212" s="355"/>
      <c r="B1212" s="365"/>
      <c r="C1212" s="365"/>
      <c r="D1212" s="365"/>
      <c r="E1212" s="365"/>
      <c r="F1212" s="365"/>
      <c r="G1212" s="365"/>
      <c r="H1212" s="365"/>
      <c r="I1212" s="365"/>
      <c r="J1212" s="365"/>
      <c r="K1212" s="365"/>
      <c r="L1212" s="347"/>
      <c r="M1212" s="352"/>
      <c r="N1212" s="347"/>
    </row>
    <row r="1213" spans="1:14" x14ac:dyDescent="0.2">
      <c r="A1213" s="354" t="str">
        <f>name!A74</f>
        <v>Gambling and betting</v>
      </c>
      <c r="B1213" s="517">
        <f>B$6</f>
        <v>2007</v>
      </c>
      <c r="C1213" s="517"/>
      <c r="D1213" s="517"/>
      <c r="E1213" s="369"/>
      <c r="F1213" s="517">
        <f>F$6</f>
        <v>2017</v>
      </c>
      <c r="G1213" s="517"/>
      <c r="H1213" s="517"/>
      <c r="I1213" s="369"/>
      <c r="J1213" s="517">
        <f>J$6</f>
        <v>2027</v>
      </c>
      <c r="K1213" s="517"/>
      <c r="L1213" s="517"/>
      <c r="M1213" s="352"/>
      <c r="N1213" s="347"/>
    </row>
    <row r="1214" spans="1:14" x14ac:dyDescent="0.2">
      <c r="A1214" s="370"/>
      <c r="B1214" s="371" t="s">
        <v>387</v>
      </c>
      <c r="C1214" s="371" t="s">
        <v>388</v>
      </c>
      <c r="D1214" s="371" t="s">
        <v>32</v>
      </c>
      <c r="E1214" s="371"/>
      <c r="F1214" s="371" t="s">
        <v>387</v>
      </c>
      <c r="G1214" s="371" t="s">
        <v>388</v>
      </c>
      <c r="H1214" s="371" t="s">
        <v>32</v>
      </c>
      <c r="I1214" s="371"/>
      <c r="J1214" s="371" t="s">
        <v>387</v>
      </c>
      <c r="K1214" s="371" t="s">
        <v>388</v>
      </c>
      <c r="L1214" s="371" t="s">
        <v>32</v>
      </c>
      <c r="M1214" s="352"/>
      <c r="N1214" s="347"/>
    </row>
    <row r="1215" spans="1:14" s="286" customFormat="1" x14ac:dyDescent="0.2">
      <c r="A1215" s="374"/>
      <c r="B1215" s="375"/>
      <c r="C1215" s="375"/>
      <c r="D1215" s="375"/>
      <c r="E1215" s="375"/>
      <c r="F1215" s="375"/>
      <c r="G1215" s="375"/>
      <c r="H1215" s="375"/>
      <c r="I1215" s="375"/>
      <c r="J1215" s="375"/>
      <c r="K1215" s="375"/>
      <c r="L1215" s="375"/>
      <c r="M1215" s="352"/>
      <c r="N1215" s="347"/>
    </row>
    <row r="1216" spans="1:14" x14ac:dyDescent="0.2">
      <c r="A1216" s="362" t="str">
        <f>name!E$4</f>
        <v>Managers, directors and senior officials</v>
      </c>
      <c r="B1216" s="440">
        <v>0.11194750913887409</v>
      </c>
      <c r="C1216" s="440">
        <v>0.21160843306995838</v>
      </c>
      <c r="D1216" s="440">
        <f>SUM(B1216:C1216)</f>
        <v>0.32355594220883249</v>
      </c>
      <c r="E1216" s="441"/>
      <c r="F1216" s="440">
        <v>0.11975301339405263</v>
      </c>
      <c r="G1216" s="440">
        <v>0.23251190731369598</v>
      </c>
      <c r="H1216" s="440">
        <f>SUM(F1216:G1216)</f>
        <v>0.35226492070774862</v>
      </c>
      <c r="I1216" s="441"/>
      <c r="J1216" s="440">
        <v>0.14518129072755351</v>
      </c>
      <c r="K1216" s="440">
        <v>0.26424191392787999</v>
      </c>
      <c r="L1216" s="440">
        <f>SUM(J1216:K1216)</f>
        <v>0.40942320465543347</v>
      </c>
      <c r="M1216" s="352"/>
      <c r="N1216" s="347"/>
    </row>
    <row r="1217" spans="1:14" x14ac:dyDescent="0.2">
      <c r="A1217" s="362" t="str">
        <f>name!E$5</f>
        <v>Professional occupations</v>
      </c>
      <c r="B1217" s="440">
        <v>0.31599922504759781</v>
      </c>
      <c r="C1217" s="440">
        <v>0.19894675590969971</v>
      </c>
      <c r="D1217" s="440">
        <f t="shared" ref="D1217:D1224" si="442">SUM(B1217:C1217)</f>
        <v>0.51494598095729749</v>
      </c>
      <c r="E1217" s="441"/>
      <c r="F1217" s="440">
        <v>0.28395574366772458</v>
      </c>
      <c r="G1217" s="440">
        <v>0.19592277676023853</v>
      </c>
      <c r="H1217" s="440">
        <f t="shared" ref="H1217:H1224" si="443">SUM(F1217:G1217)</f>
        <v>0.47987852042796308</v>
      </c>
      <c r="I1217" s="441"/>
      <c r="J1217" s="440">
        <v>0.37476670528952466</v>
      </c>
      <c r="K1217" s="440">
        <v>0.22359487553484053</v>
      </c>
      <c r="L1217" s="440">
        <f t="shared" ref="L1217:L1224" si="444">SUM(J1217:K1217)</f>
        <v>0.59836158082436519</v>
      </c>
      <c r="M1217" s="352"/>
      <c r="N1217" s="347"/>
    </row>
    <row r="1218" spans="1:14" x14ac:dyDescent="0.2">
      <c r="A1218" s="362" t="str">
        <f>name!E$6</f>
        <v>Associate professional and technical</v>
      </c>
      <c r="B1218" s="440">
        <v>0.55496033621380991</v>
      </c>
      <c r="C1218" s="440">
        <v>0.49420009532925974</v>
      </c>
      <c r="D1218" s="440">
        <f t="shared" si="442"/>
        <v>1.0491604315430696</v>
      </c>
      <c r="E1218" s="441"/>
      <c r="F1218" s="440">
        <v>0.57461680348276167</v>
      </c>
      <c r="G1218" s="440">
        <v>0.54360334558523882</v>
      </c>
      <c r="H1218" s="440">
        <f t="shared" si="443"/>
        <v>1.1182201490680006</v>
      </c>
      <c r="I1218" s="441"/>
      <c r="J1218" s="440">
        <v>0.67007309624384992</v>
      </c>
      <c r="K1218" s="440">
        <v>0.5618872188365065</v>
      </c>
      <c r="L1218" s="440">
        <f t="shared" si="444"/>
        <v>1.2319603150803564</v>
      </c>
      <c r="M1218" s="352"/>
      <c r="N1218" s="347"/>
    </row>
    <row r="1219" spans="1:14" x14ac:dyDescent="0.2">
      <c r="A1219" s="362" t="str">
        <f>name!E$7</f>
        <v>Administrative and secretarial</v>
      </c>
      <c r="B1219" s="440">
        <v>0.78220704080736414</v>
      </c>
      <c r="C1219" s="440">
        <v>0.29778296320565867</v>
      </c>
      <c r="D1219" s="440">
        <f t="shared" si="442"/>
        <v>1.0799900040130228</v>
      </c>
      <c r="E1219" s="441"/>
      <c r="F1219" s="440">
        <v>0.4993227142917343</v>
      </c>
      <c r="G1219" s="440">
        <v>0.26282836428623085</v>
      </c>
      <c r="H1219" s="440">
        <f t="shared" si="443"/>
        <v>0.76215107857796516</v>
      </c>
      <c r="I1219" s="441"/>
      <c r="J1219" s="440">
        <v>0.43954458891357462</v>
      </c>
      <c r="K1219" s="440">
        <v>0.28665886226022463</v>
      </c>
      <c r="L1219" s="440">
        <f t="shared" si="444"/>
        <v>0.72620345117379925</v>
      </c>
      <c r="M1219" s="352"/>
      <c r="N1219" s="347"/>
    </row>
    <row r="1220" spans="1:14" x14ac:dyDescent="0.2">
      <c r="A1220" s="362" t="str">
        <f>name!E$8</f>
        <v>Skilled trades occupations</v>
      </c>
      <c r="B1220" s="440">
        <v>5.0615333931190644E-2</v>
      </c>
      <c r="C1220" s="440">
        <v>0.3343153568112805</v>
      </c>
      <c r="D1220" s="440">
        <f t="shared" si="442"/>
        <v>0.38493069074247116</v>
      </c>
      <c r="E1220" s="441"/>
      <c r="F1220" s="440">
        <v>6.5011027020017112E-2</v>
      </c>
      <c r="G1220" s="440">
        <v>0.26953019839277531</v>
      </c>
      <c r="H1220" s="440">
        <f t="shared" si="443"/>
        <v>0.33454122541279241</v>
      </c>
      <c r="I1220" s="441"/>
      <c r="J1220" s="440">
        <v>5.9265969770915319E-2</v>
      </c>
      <c r="K1220" s="440">
        <v>0.2490188808389617</v>
      </c>
      <c r="L1220" s="440">
        <f t="shared" si="444"/>
        <v>0.30828485060987704</v>
      </c>
      <c r="M1220" s="352"/>
      <c r="N1220" s="347"/>
    </row>
    <row r="1221" spans="1:14" x14ac:dyDescent="0.2">
      <c r="A1221" s="362" t="str">
        <f>name!E$9</f>
        <v>Caring, leisure and other service</v>
      </c>
      <c r="B1221" s="440">
        <v>0.30860866144449328</v>
      </c>
      <c r="C1221" s="440">
        <v>0.53055181655628947</v>
      </c>
      <c r="D1221" s="440">
        <f t="shared" si="442"/>
        <v>0.83916047800078275</v>
      </c>
      <c r="E1221" s="441"/>
      <c r="F1221" s="440">
        <v>0.28173609866943272</v>
      </c>
      <c r="G1221" s="440">
        <v>0.21567292769365037</v>
      </c>
      <c r="H1221" s="440">
        <f t="shared" si="443"/>
        <v>0.4974090263630831</v>
      </c>
      <c r="I1221" s="441"/>
      <c r="J1221" s="440">
        <v>0.31614524613888773</v>
      </c>
      <c r="K1221" s="440">
        <v>0.23222653720120068</v>
      </c>
      <c r="L1221" s="440">
        <f t="shared" si="444"/>
        <v>0.5483717833400884</v>
      </c>
      <c r="M1221" s="352"/>
      <c r="N1221" s="347"/>
    </row>
    <row r="1222" spans="1:14" x14ac:dyDescent="0.2">
      <c r="A1222" s="362" t="str">
        <f>name!E$10</f>
        <v>Sales and customer service</v>
      </c>
      <c r="B1222" s="440">
        <v>0.20711689486994686</v>
      </c>
      <c r="C1222" s="440">
        <v>0.19022225376646765</v>
      </c>
      <c r="D1222" s="440">
        <f t="shared" si="442"/>
        <v>0.39733914863641451</v>
      </c>
      <c r="E1222" s="441"/>
      <c r="F1222" s="440">
        <v>0.16284448280849392</v>
      </c>
      <c r="G1222" s="440">
        <v>0.18471024917596818</v>
      </c>
      <c r="H1222" s="440">
        <f t="shared" si="443"/>
        <v>0.34755473198446207</v>
      </c>
      <c r="I1222" s="441"/>
      <c r="J1222" s="440">
        <v>0.1663566133397586</v>
      </c>
      <c r="K1222" s="440">
        <v>0.19150970844020473</v>
      </c>
      <c r="L1222" s="440">
        <f t="shared" si="444"/>
        <v>0.35786632177996336</v>
      </c>
      <c r="M1222" s="352"/>
      <c r="N1222" s="347"/>
    </row>
    <row r="1223" spans="1:14" x14ac:dyDescent="0.2">
      <c r="A1223" s="362" t="str">
        <f>name!E$11</f>
        <v>Process, plant and machine operatives</v>
      </c>
      <c r="B1223" s="440">
        <v>4.3914747439724915E-3</v>
      </c>
      <c r="C1223" s="440">
        <v>9.2171323743604858E-2</v>
      </c>
      <c r="D1223" s="440">
        <f t="shared" si="442"/>
        <v>9.6562798487577345E-2</v>
      </c>
      <c r="E1223" s="441"/>
      <c r="F1223" s="440">
        <v>3.8415953974777679E-3</v>
      </c>
      <c r="G1223" s="440">
        <v>6.6015086009388782E-2</v>
      </c>
      <c r="H1223" s="440">
        <f t="shared" si="443"/>
        <v>6.9856681406866544E-2</v>
      </c>
      <c r="I1223" s="441"/>
      <c r="J1223" s="440">
        <v>3.3666313170578766E-3</v>
      </c>
      <c r="K1223" s="440">
        <v>6.0913200259925818E-2</v>
      </c>
      <c r="L1223" s="440">
        <f t="shared" si="444"/>
        <v>6.4279831576983693E-2</v>
      </c>
      <c r="M1223" s="352"/>
      <c r="N1223" s="347"/>
    </row>
    <row r="1224" spans="1:14" x14ac:dyDescent="0.2">
      <c r="A1224" s="362" t="str">
        <f>name!E$12</f>
        <v>Elementary occupations</v>
      </c>
      <c r="B1224" s="440">
        <v>0.29715352381073501</v>
      </c>
      <c r="C1224" s="440">
        <v>0.54020100159900752</v>
      </c>
      <c r="D1224" s="440">
        <f t="shared" si="442"/>
        <v>0.83735452540974253</v>
      </c>
      <c r="E1224" s="441"/>
      <c r="F1224" s="440">
        <v>0.11991852125679454</v>
      </c>
      <c r="G1224" s="440">
        <v>0.30720514476934091</v>
      </c>
      <c r="H1224" s="440">
        <f t="shared" si="443"/>
        <v>0.42712366602613544</v>
      </c>
      <c r="I1224" s="441"/>
      <c r="J1224" s="440">
        <v>0.11329985825145346</v>
      </c>
      <c r="K1224" s="440">
        <v>0.31894880268436476</v>
      </c>
      <c r="L1224" s="440">
        <f t="shared" si="444"/>
        <v>0.43224866093581821</v>
      </c>
      <c r="M1224" s="352"/>
      <c r="N1224" s="347"/>
    </row>
    <row r="1225" spans="1:14" s="286" customFormat="1" x14ac:dyDescent="0.2">
      <c r="A1225" s="362"/>
      <c r="B1225" s="440"/>
      <c r="C1225" s="440"/>
      <c r="D1225" s="440"/>
      <c r="E1225" s="441"/>
      <c r="F1225" s="440"/>
      <c r="G1225" s="440"/>
      <c r="H1225" s="440"/>
      <c r="I1225" s="441"/>
      <c r="J1225" s="440"/>
      <c r="K1225" s="440"/>
      <c r="L1225" s="440"/>
      <c r="M1225" s="352"/>
      <c r="N1225" s="347"/>
    </row>
    <row r="1226" spans="1:14" x14ac:dyDescent="0.2">
      <c r="A1226" s="357" t="s">
        <v>32</v>
      </c>
      <c r="B1226" s="450">
        <f>SUM(B1216:B1224)</f>
        <v>2.6330000000079838</v>
      </c>
      <c r="C1226" s="450">
        <f t="shared" ref="C1226:D1226" si="445">SUM(C1216:C1224)</f>
        <v>2.8899999999912263</v>
      </c>
      <c r="D1226" s="450">
        <f t="shared" si="445"/>
        <v>5.522999999999211</v>
      </c>
      <c r="E1226" s="450"/>
      <c r="F1226" s="450">
        <f t="shared" ref="F1226:H1226" si="446">SUM(F1216:F1224)</f>
        <v>2.110999999988489</v>
      </c>
      <c r="G1226" s="450">
        <f t="shared" si="446"/>
        <v>2.2779999999865277</v>
      </c>
      <c r="H1226" s="450">
        <f t="shared" si="446"/>
        <v>4.3889999999750167</v>
      </c>
      <c r="I1226" s="450"/>
      <c r="J1226" s="450">
        <f t="shared" ref="J1226:L1226" si="447">SUM(J1216:J1224)</f>
        <v>2.2879999999925755</v>
      </c>
      <c r="K1226" s="450">
        <f t="shared" si="447"/>
        <v>2.3889999999841089</v>
      </c>
      <c r="L1226" s="450">
        <f t="shared" si="447"/>
        <v>4.6769999999766858</v>
      </c>
      <c r="M1226" s="352"/>
      <c r="N1226" s="347"/>
    </row>
    <row r="1227" spans="1:14" x14ac:dyDescent="0.2">
      <c r="A1227" s="348"/>
      <c r="B1227" s="348"/>
      <c r="C1227" s="348"/>
      <c r="D1227" s="348"/>
      <c r="E1227" s="348"/>
      <c r="F1227" s="348"/>
      <c r="G1227" s="348"/>
      <c r="H1227" s="348"/>
      <c r="I1227" s="348"/>
      <c r="J1227" s="348"/>
      <c r="K1227" s="348"/>
      <c r="L1227" s="353"/>
      <c r="M1227" s="352"/>
      <c r="N1227" s="347"/>
    </row>
    <row r="1228" spans="1:14" x14ac:dyDescent="0.2">
      <c r="A1228" s="348"/>
      <c r="B1228" s="348"/>
      <c r="C1228" s="348"/>
      <c r="D1228" s="348"/>
      <c r="E1228" s="348"/>
      <c r="F1228" s="348"/>
      <c r="G1228" s="348"/>
      <c r="H1228" s="348"/>
      <c r="I1228" s="348"/>
      <c r="J1228" s="348"/>
      <c r="K1228" s="348"/>
      <c r="L1228" s="372" t="s">
        <v>35</v>
      </c>
      <c r="M1228" s="352"/>
      <c r="N1228" s="347"/>
    </row>
    <row r="1229" spans="1:14" x14ac:dyDescent="0.2">
      <c r="A1229" s="355"/>
      <c r="B1229" s="365"/>
      <c r="C1229" s="365"/>
      <c r="D1229" s="365"/>
      <c r="E1229" s="365"/>
      <c r="F1229" s="365"/>
      <c r="G1229" s="365"/>
      <c r="H1229" s="365"/>
      <c r="I1229" s="365"/>
      <c r="J1229" s="365"/>
      <c r="K1229" s="365"/>
      <c r="L1229" s="347"/>
      <c r="M1229" s="352"/>
      <c r="N1229" s="347"/>
    </row>
    <row r="1230" spans="1:14" x14ac:dyDescent="0.2">
      <c r="A1230" s="354" t="str">
        <f>name!A75</f>
        <v>Sport and recreation</v>
      </c>
      <c r="B1230" s="517">
        <f>B$6</f>
        <v>2007</v>
      </c>
      <c r="C1230" s="517"/>
      <c r="D1230" s="517"/>
      <c r="E1230" s="369"/>
      <c r="F1230" s="517">
        <f>F$6</f>
        <v>2017</v>
      </c>
      <c r="G1230" s="517"/>
      <c r="H1230" s="517"/>
      <c r="I1230" s="369"/>
      <c r="J1230" s="517">
        <f>J$6</f>
        <v>2027</v>
      </c>
      <c r="K1230" s="517"/>
      <c r="L1230" s="517"/>
      <c r="M1230" s="352"/>
      <c r="N1230" s="347"/>
    </row>
    <row r="1231" spans="1:14" x14ac:dyDescent="0.2">
      <c r="A1231" s="370"/>
      <c r="B1231" s="371" t="s">
        <v>387</v>
      </c>
      <c r="C1231" s="371" t="s">
        <v>388</v>
      </c>
      <c r="D1231" s="371" t="s">
        <v>32</v>
      </c>
      <c r="E1231" s="371"/>
      <c r="F1231" s="371" t="s">
        <v>387</v>
      </c>
      <c r="G1231" s="371" t="s">
        <v>388</v>
      </c>
      <c r="H1231" s="371" t="s">
        <v>32</v>
      </c>
      <c r="I1231" s="371"/>
      <c r="J1231" s="371" t="s">
        <v>387</v>
      </c>
      <c r="K1231" s="371" t="s">
        <v>388</v>
      </c>
      <c r="L1231" s="371" t="s">
        <v>32</v>
      </c>
      <c r="M1231" s="352"/>
      <c r="N1231" s="347"/>
    </row>
    <row r="1232" spans="1:14" s="286" customFormat="1" x14ac:dyDescent="0.2">
      <c r="A1232" s="374"/>
      <c r="B1232" s="375"/>
      <c r="C1232" s="375"/>
      <c r="D1232" s="375"/>
      <c r="E1232" s="375"/>
      <c r="F1232" s="375"/>
      <c r="G1232" s="375"/>
      <c r="H1232" s="375"/>
      <c r="I1232" s="375"/>
      <c r="J1232" s="375"/>
      <c r="K1232" s="375"/>
      <c r="L1232" s="375"/>
      <c r="M1232" s="352"/>
      <c r="N1232" s="347"/>
    </row>
    <row r="1233" spans="1:14" x14ac:dyDescent="0.2">
      <c r="A1233" s="362" t="str">
        <f>name!E$4</f>
        <v>Managers, directors and senior officials</v>
      </c>
      <c r="B1233" s="440">
        <v>0.42490166400547785</v>
      </c>
      <c r="C1233" s="440">
        <v>0.83441421746224653</v>
      </c>
      <c r="D1233" s="440">
        <f>SUM(B1233:C1233)</f>
        <v>1.2593158814677243</v>
      </c>
      <c r="E1233" s="441"/>
      <c r="F1233" s="440">
        <v>0.62099870738087715</v>
      </c>
      <c r="G1233" s="440">
        <v>1.1989523001171483</v>
      </c>
      <c r="H1233" s="440">
        <f>SUM(F1233:G1233)</f>
        <v>1.8199510074980254</v>
      </c>
      <c r="I1233" s="441"/>
      <c r="J1233" s="440">
        <v>0.761555294198768</v>
      </c>
      <c r="K1233" s="440">
        <v>1.300046806144769</v>
      </c>
      <c r="L1233" s="440">
        <f>SUM(J1233:K1233)</f>
        <v>2.0616021003435367</v>
      </c>
      <c r="M1233" s="352"/>
      <c r="N1233" s="347"/>
    </row>
    <row r="1234" spans="1:14" x14ac:dyDescent="0.2">
      <c r="A1234" s="362" t="str">
        <f>name!E$5</f>
        <v>Professional occupations</v>
      </c>
      <c r="B1234" s="440">
        <v>1.2352794005687124</v>
      </c>
      <c r="C1234" s="440">
        <v>0.76199592389519533</v>
      </c>
      <c r="D1234" s="440">
        <f t="shared" ref="D1234:D1241" si="448">SUM(B1234:C1234)</f>
        <v>1.9972753244639079</v>
      </c>
      <c r="E1234" s="441"/>
      <c r="F1234" s="440">
        <v>1.40149488002109</v>
      </c>
      <c r="G1234" s="440">
        <v>1.1316668993286563</v>
      </c>
      <c r="H1234" s="440">
        <f t="shared" ref="H1234:H1241" si="449">SUM(F1234:G1234)</f>
        <v>2.5331617793497463</v>
      </c>
      <c r="I1234" s="441"/>
      <c r="J1234" s="440">
        <v>1.8880454701303333</v>
      </c>
      <c r="K1234" s="440">
        <v>1.2532922435907492</v>
      </c>
      <c r="L1234" s="440">
        <f t="shared" ref="L1234:L1241" si="450">SUM(J1234:K1234)</f>
        <v>3.1413377137210823</v>
      </c>
      <c r="M1234" s="352"/>
      <c r="N1234" s="347"/>
    </row>
    <row r="1235" spans="1:14" x14ac:dyDescent="0.2">
      <c r="A1235" s="362" t="str">
        <f>name!E$6</f>
        <v>Associate professional and technical</v>
      </c>
      <c r="B1235" s="440">
        <v>1.988249346902244</v>
      </c>
      <c r="C1235" s="440">
        <v>2.0101849738998676</v>
      </c>
      <c r="D1235" s="440">
        <f t="shared" si="448"/>
        <v>3.9984343208021116</v>
      </c>
      <c r="E1235" s="441"/>
      <c r="F1235" s="440">
        <v>3.0027221337915244</v>
      </c>
      <c r="G1235" s="440">
        <v>3.5415266589880874</v>
      </c>
      <c r="H1235" s="440">
        <f t="shared" si="449"/>
        <v>6.5442487927796122</v>
      </c>
      <c r="I1235" s="441"/>
      <c r="J1235" s="440">
        <v>3.6032552574763748</v>
      </c>
      <c r="K1235" s="440">
        <v>3.5962311725455072</v>
      </c>
      <c r="L1235" s="440">
        <f t="shared" si="450"/>
        <v>7.1994864300218815</v>
      </c>
      <c r="M1235" s="352"/>
      <c r="N1235" s="347"/>
    </row>
    <row r="1236" spans="1:14" x14ac:dyDescent="0.2">
      <c r="A1236" s="362" t="str">
        <f>name!E$7</f>
        <v>Administrative and secretarial</v>
      </c>
      <c r="B1236" s="440">
        <v>3.2622273013435823</v>
      </c>
      <c r="C1236" s="440">
        <v>1.0454647344037147</v>
      </c>
      <c r="D1236" s="440">
        <f t="shared" si="448"/>
        <v>4.307692035747297</v>
      </c>
      <c r="E1236" s="441"/>
      <c r="F1236" s="440">
        <v>3.613895118390313</v>
      </c>
      <c r="G1236" s="440">
        <v>1.1862750877106427</v>
      </c>
      <c r="H1236" s="440">
        <f t="shared" si="449"/>
        <v>4.8001702061009555</v>
      </c>
      <c r="I1236" s="441"/>
      <c r="J1236" s="440">
        <v>3.2742737150411436</v>
      </c>
      <c r="K1236" s="440">
        <v>1.2535395306353305</v>
      </c>
      <c r="L1236" s="440">
        <f t="shared" si="450"/>
        <v>4.5278132456764739</v>
      </c>
      <c r="M1236" s="352"/>
      <c r="N1236" s="347"/>
    </row>
    <row r="1237" spans="1:14" x14ac:dyDescent="0.2">
      <c r="A1237" s="362" t="str">
        <f>name!E$8</f>
        <v>Skilled trades occupations</v>
      </c>
      <c r="B1237" s="440">
        <v>0.18221706758131409</v>
      </c>
      <c r="C1237" s="440">
        <v>1.2246057778294097</v>
      </c>
      <c r="D1237" s="440">
        <f t="shared" si="448"/>
        <v>1.4068228454107239</v>
      </c>
      <c r="E1237" s="441"/>
      <c r="F1237" s="440">
        <v>0.31861535163080562</v>
      </c>
      <c r="G1237" s="440">
        <v>1.5057888608769299</v>
      </c>
      <c r="H1237" s="440">
        <f t="shared" si="449"/>
        <v>1.8244042125077355</v>
      </c>
      <c r="I1237" s="441"/>
      <c r="J1237" s="440">
        <v>0.3122360072561729</v>
      </c>
      <c r="K1237" s="440">
        <v>1.3829326450797785</v>
      </c>
      <c r="L1237" s="440">
        <f t="shared" si="450"/>
        <v>1.6951686523359515</v>
      </c>
      <c r="M1237" s="352"/>
      <c r="N1237" s="347"/>
    </row>
    <row r="1238" spans="1:14" x14ac:dyDescent="0.2">
      <c r="A1238" s="362" t="str">
        <f>name!E$9</f>
        <v>Caring, leisure and other service</v>
      </c>
      <c r="B1238" s="440">
        <v>1.6532553095732534</v>
      </c>
      <c r="C1238" s="440">
        <v>1.7008590830206014</v>
      </c>
      <c r="D1238" s="440">
        <f t="shared" si="448"/>
        <v>3.3541143925938548</v>
      </c>
      <c r="E1238" s="441"/>
      <c r="F1238" s="440">
        <v>1.9856829280370289</v>
      </c>
      <c r="G1238" s="440">
        <v>1.3353652192300993</v>
      </c>
      <c r="H1238" s="440">
        <f t="shared" si="449"/>
        <v>3.3210481472671285</v>
      </c>
      <c r="I1238" s="441"/>
      <c r="J1238" s="440">
        <v>2.0573790314391212</v>
      </c>
      <c r="K1238" s="440">
        <v>1.3570647731635965</v>
      </c>
      <c r="L1238" s="440">
        <f t="shared" si="450"/>
        <v>3.4144438046027177</v>
      </c>
      <c r="M1238" s="352"/>
      <c r="N1238" s="347"/>
    </row>
    <row r="1239" spans="1:14" x14ac:dyDescent="0.2">
      <c r="A1239" s="362" t="str">
        <f>name!E$10</f>
        <v>Sales and customer service</v>
      </c>
      <c r="B1239" s="440">
        <v>0.87600657050276332</v>
      </c>
      <c r="C1239" s="440">
        <v>0.60500047973475113</v>
      </c>
      <c r="D1239" s="440">
        <f t="shared" si="448"/>
        <v>1.4810070502375146</v>
      </c>
      <c r="E1239" s="441"/>
      <c r="F1239" s="440">
        <v>1.0435852326737132</v>
      </c>
      <c r="G1239" s="440">
        <v>0.91249044245842492</v>
      </c>
      <c r="H1239" s="440">
        <f t="shared" si="449"/>
        <v>1.956075675132138</v>
      </c>
      <c r="I1239" s="441"/>
      <c r="J1239" s="440">
        <v>1.0949759277637026</v>
      </c>
      <c r="K1239" s="440">
        <v>0.89121181466434296</v>
      </c>
      <c r="L1239" s="440">
        <f t="shared" si="450"/>
        <v>1.9861877424280454</v>
      </c>
      <c r="M1239" s="352"/>
      <c r="N1239" s="347"/>
    </row>
    <row r="1240" spans="1:14" x14ac:dyDescent="0.2">
      <c r="A1240" s="362" t="str">
        <f>name!E$11</f>
        <v>Process, plant and machine operatives</v>
      </c>
      <c r="B1240" s="440">
        <v>2.0262579239223394E-2</v>
      </c>
      <c r="C1240" s="440">
        <v>0.36803335351407318</v>
      </c>
      <c r="D1240" s="440">
        <f t="shared" si="448"/>
        <v>0.38829593275329655</v>
      </c>
      <c r="E1240" s="441"/>
      <c r="F1240" s="440">
        <v>2.2514357539394621E-2</v>
      </c>
      <c r="G1240" s="440">
        <v>0.34561598939624144</v>
      </c>
      <c r="H1240" s="440">
        <f t="shared" si="449"/>
        <v>0.36813034693563607</v>
      </c>
      <c r="I1240" s="441"/>
      <c r="J1240" s="440">
        <v>1.9051437060612637E-2</v>
      </c>
      <c r="K1240" s="440">
        <v>0.30479615760253559</v>
      </c>
      <c r="L1240" s="440">
        <f t="shared" si="450"/>
        <v>0.32384759466314822</v>
      </c>
      <c r="M1240" s="352"/>
      <c r="N1240" s="347"/>
    </row>
    <row r="1241" spans="1:14" x14ac:dyDescent="0.2">
      <c r="A1241" s="362" t="str">
        <f>name!E$12</f>
        <v>Elementary occupations</v>
      </c>
      <c r="B1241" s="440">
        <v>1.2406007602994884</v>
      </c>
      <c r="C1241" s="440">
        <v>1.7194414561936218</v>
      </c>
      <c r="D1241" s="440">
        <f t="shared" si="448"/>
        <v>2.9600422164931102</v>
      </c>
      <c r="E1241" s="441"/>
      <c r="F1241" s="440">
        <v>1.0114912905322373</v>
      </c>
      <c r="G1241" s="440">
        <v>1.602318541784248</v>
      </c>
      <c r="H1241" s="440">
        <f t="shared" si="449"/>
        <v>2.6138098323164853</v>
      </c>
      <c r="I1241" s="441"/>
      <c r="J1241" s="440">
        <v>1.0432278596450753</v>
      </c>
      <c r="K1241" s="440">
        <v>1.6328848564418088</v>
      </c>
      <c r="L1241" s="440">
        <f t="shared" si="450"/>
        <v>2.6761127160868838</v>
      </c>
      <c r="M1241" s="352"/>
      <c r="N1241" s="347"/>
    </row>
    <row r="1242" spans="1:14" s="286" customFormat="1" x14ac:dyDescent="0.2">
      <c r="A1242" s="362"/>
      <c r="B1242" s="440"/>
      <c r="C1242" s="440"/>
      <c r="D1242" s="440"/>
      <c r="E1242" s="441"/>
      <c r="F1242" s="440"/>
      <c r="G1242" s="440"/>
      <c r="H1242" s="440"/>
      <c r="I1242" s="441"/>
      <c r="J1242" s="440"/>
      <c r="K1242" s="440"/>
      <c r="L1242" s="440"/>
      <c r="M1242" s="352"/>
      <c r="N1242" s="347"/>
    </row>
    <row r="1243" spans="1:14" x14ac:dyDescent="0.2">
      <c r="A1243" s="357" t="s">
        <v>32</v>
      </c>
      <c r="B1243" s="450">
        <f>SUM(B1233:B1241)</f>
        <v>10.883000000016059</v>
      </c>
      <c r="C1243" s="450">
        <f t="shared" ref="C1243:D1243" si="451">SUM(C1233:C1241)</f>
        <v>10.269999999953482</v>
      </c>
      <c r="D1243" s="450">
        <f t="shared" si="451"/>
        <v>21.152999999969545</v>
      </c>
      <c r="E1243" s="450"/>
      <c r="F1243" s="450">
        <f t="shared" ref="F1243:H1243" si="452">SUM(F1233:F1241)</f>
        <v>13.020999999996985</v>
      </c>
      <c r="G1243" s="450">
        <f t="shared" si="452"/>
        <v>12.75999999989048</v>
      </c>
      <c r="H1243" s="450">
        <f t="shared" si="452"/>
        <v>25.780999999887463</v>
      </c>
      <c r="I1243" s="450"/>
      <c r="J1243" s="450">
        <f t="shared" ref="J1243:L1243" si="453">SUM(J1233:J1241)</f>
        <v>14.054000000011303</v>
      </c>
      <c r="K1243" s="450">
        <f t="shared" si="453"/>
        <v>12.971999999868418</v>
      </c>
      <c r="L1243" s="450">
        <f t="shared" si="453"/>
        <v>27.025999999879723</v>
      </c>
      <c r="M1243" s="352"/>
      <c r="N1243" s="347"/>
    </row>
    <row r="1244" spans="1:14" x14ac:dyDescent="0.2">
      <c r="A1244" s="348"/>
      <c r="B1244" s="348"/>
      <c r="C1244" s="348"/>
      <c r="D1244" s="348"/>
      <c r="E1244" s="348"/>
      <c r="F1244" s="348"/>
      <c r="G1244" s="348"/>
      <c r="H1244" s="348"/>
      <c r="I1244" s="348"/>
      <c r="J1244" s="348"/>
      <c r="K1244" s="348"/>
      <c r="L1244" s="353"/>
      <c r="M1244" s="352"/>
      <c r="N1244" s="347"/>
    </row>
    <row r="1245" spans="1:14" x14ac:dyDescent="0.2">
      <c r="A1245" s="348"/>
      <c r="B1245" s="348"/>
      <c r="C1245" s="348"/>
      <c r="D1245" s="348"/>
      <c r="E1245" s="348"/>
      <c r="F1245" s="348"/>
      <c r="G1245" s="348"/>
      <c r="H1245" s="348"/>
      <c r="I1245" s="348"/>
      <c r="J1245" s="348"/>
      <c r="K1245" s="348"/>
      <c r="L1245" s="372" t="s">
        <v>35</v>
      </c>
      <c r="M1245" s="352"/>
      <c r="N1245" s="347"/>
    </row>
    <row r="1246" spans="1:14" x14ac:dyDescent="0.2">
      <c r="A1246" s="355"/>
      <c r="B1246" s="365"/>
      <c r="C1246" s="365"/>
      <c r="D1246" s="365"/>
      <c r="E1246" s="365"/>
      <c r="F1246" s="365"/>
      <c r="G1246" s="365"/>
      <c r="H1246" s="365"/>
      <c r="I1246" s="365"/>
      <c r="J1246" s="365"/>
      <c r="K1246" s="365"/>
      <c r="L1246" s="347"/>
      <c r="M1246" s="352"/>
      <c r="N1246" s="347"/>
    </row>
    <row r="1247" spans="1:14" x14ac:dyDescent="0.2">
      <c r="A1247" s="354" t="str">
        <f>name!A76</f>
        <v>Membership organisations</v>
      </c>
      <c r="B1247" s="517">
        <f>B$6</f>
        <v>2007</v>
      </c>
      <c r="C1247" s="517"/>
      <c r="D1247" s="517"/>
      <c r="E1247" s="369"/>
      <c r="F1247" s="517">
        <f>F$6</f>
        <v>2017</v>
      </c>
      <c r="G1247" s="517"/>
      <c r="H1247" s="517"/>
      <c r="I1247" s="369"/>
      <c r="J1247" s="517">
        <f>J$6</f>
        <v>2027</v>
      </c>
      <c r="K1247" s="517"/>
      <c r="L1247" s="517"/>
      <c r="M1247" s="352"/>
      <c r="N1247" s="347"/>
    </row>
    <row r="1248" spans="1:14" x14ac:dyDescent="0.2">
      <c r="A1248" s="370"/>
      <c r="B1248" s="371" t="s">
        <v>387</v>
      </c>
      <c r="C1248" s="371" t="s">
        <v>388</v>
      </c>
      <c r="D1248" s="371" t="s">
        <v>32</v>
      </c>
      <c r="E1248" s="371"/>
      <c r="F1248" s="371" t="s">
        <v>387</v>
      </c>
      <c r="G1248" s="371" t="s">
        <v>388</v>
      </c>
      <c r="H1248" s="371" t="s">
        <v>32</v>
      </c>
      <c r="I1248" s="371"/>
      <c r="J1248" s="371" t="s">
        <v>387</v>
      </c>
      <c r="K1248" s="371" t="s">
        <v>388</v>
      </c>
      <c r="L1248" s="371" t="s">
        <v>32</v>
      </c>
      <c r="M1248" s="352"/>
      <c r="N1248" s="347"/>
    </row>
    <row r="1249" spans="1:14" s="286" customFormat="1" x14ac:dyDescent="0.2">
      <c r="A1249" s="374"/>
      <c r="B1249" s="375"/>
      <c r="C1249" s="375"/>
      <c r="D1249" s="375"/>
      <c r="E1249" s="375"/>
      <c r="F1249" s="375"/>
      <c r="G1249" s="375"/>
      <c r="H1249" s="375"/>
      <c r="I1249" s="375"/>
      <c r="J1249" s="375"/>
      <c r="K1249" s="375"/>
      <c r="L1249" s="375"/>
      <c r="M1249" s="352"/>
      <c r="N1249" s="347"/>
    </row>
    <row r="1250" spans="1:14" x14ac:dyDescent="0.2">
      <c r="A1250" s="362" t="str">
        <f>name!E$4</f>
        <v>Managers, directors and senior officials</v>
      </c>
      <c r="B1250" s="440">
        <v>0.46340296326673563</v>
      </c>
      <c r="C1250" s="440">
        <v>0.57190962039532212</v>
      </c>
      <c r="D1250" s="440">
        <f>SUM(B1250:C1250)</f>
        <v>1.0353125836620578</v>
      </c>
      <c r="E1250" s="441"/>
      <c r="F1250" s="440">
        <v>0.61976226526821576</v>
      </c>
      <c r="G1250" s="440">
        <v>0.54768286731388449</v>
      </c>
      <c r="H1250" s="440">
        <f>SUM(F1250:G1250)</f>
        <v>1.1674451325821003</v>
      </c>
      <c r="I1250" s="441"/>
      <c r="J1250" s="440">
        <v>0.68562747602842766</v>
      </c>
      <c r="K1250" s="440">
        <v>0.6067430860579327</v>
      </c>
      <c r="L1250" s="440">
        <f>SUM(J1250:K1250)</f>
        <v>1.2923705620863604</v>
      </c>
      <c r="M1250" s="352"/>
      <c r="N1250" s="347"/>
    </row>
    <row r="1251" spans="1:14" x14ac:dyDescent="0.2">
      <c r="A1251" s="362" t="str">
        <f>name!E$5</f>
        <v>Professional occupations</v>
      </c>
      <c r="B1251" s="440">
        <v>2.7456407089013393</v>
      </c>
      <c r="C1251" s="440">
        <v>1.6291930108164916</v>
      </c>
      <c r="D1251" s="440">
        <f t="shared" ref="D1251:D1258" si="454">SUM(B1251:C1251)</f>
        <v>4.3748337197178309</v>
      </c>
      <c r="E1251" s="441"/>
      <c r="F1251" s="440">
        <v>3.0004041305685818</v>
      </c>
      <c r="G1251" s="440">
        <v>0.79008007988906781</v>
      </c>
      <c r="H1251" s="440">
        <f t="shared" ref="H1251:H1258" si="455">SUM(F1251:G1251)</f>
        <v>3.7904842104576497</v>
      </c>
      <c r="I1251" s="441"/>
      <c r="J1251" s="440">
        <v>3.8704226353433935</v>
      </c>
      <c r="K1251" s="440">
        <v>0.77086684894623048</v>
      </c>
      <c r="L1251" s="440">
        <f t="shared" ref="L1251:L1258" si="456">SUM(J1251:K1251)</f>
        <v>4.641289484289624</v>
      </c>
      <c r="M1251" s="352"/>
      <c r="N1251" s="347"/>
    </row>
    <row r="1252" spans="1:14" x14ac:dyDescent="0.2">
      <c r="A1252" s="362" t="str">
        <f>name!E$6</f>
        <v>Associate professional and technical</v>
      </c>
      <c r="B1252" s="440">
        <v>1.4220722638367647</v>
      </c>
      <c r="C1252" s="440">
        <v>0.93659469363005432</v>
      </c>
      <c r="D1252" s="440">
        <f t="shared" si="454"/>
        <v>2.3586669574668191</v>
      </c>
      <c r="E1252" s="441"/>
      <c r="F1252" s="440">
        <v>2.1430831566952162</v>
      </c>
      <c r="G1252" s="440">
        <v>0.95725685538032079</v>
      </c>
      <c r="H1252" s="440">
        <f t="shared" si="455"/>
        <v>3.1003400120755371</v>
      </c>
      <c r="I1252" s="441"/>
      <c r="J1252" s="440">
        <v>2.4555834517360102</v>
      </c>
      <c r="K1252" s="440">
        <v>0.95973883726795217</v>
      </c>
      <c r="L1252" s="440">
        <f t="shared" si="456"/>
        <v>3.4153222890039623</v>
      </c>
      <c r="M1252" s="352"/>
      <c r="N1252" s="347"/>
    </row>
    <row r="1253" spans="1:14" x14ac:dyDescent="0.2">
      <c r="A1253" s="362" t="str">
        <f>name!E$7</f>
        <v>Administrative and secretarial</v>
      </c>
      <c r="B1253" s="440">
        <v>3.489837317737587</v>
      </c>
      <c r="C1253" s="440">
        <v>0.73414679612078615</v>
      </c>
      <c r="D1253" s="440">
        <f t="shared" si="454"/>
        <v>4.2239841138583731</v>
      </c>
      <c r="E1253" s="441"/>
      <c r="F1253" s="440">
        <v>2.8070648471947468</v>
      </c>
      <c r="G1253" s="440">
        <v>0.41776611306597011</v>
      </c>
      <c r="H1253" s="440">
        <f t="shared" si="455"/>
        <v>3.224830960260717</v>
      </c>
      <c r="I1253" s="441"/>
      <c r="J1253" s="440">
        <v>2.1864740701562173</v>
      </c>
      <c r="K1253" s="440">
        <v>0.4579574608956174</v>
      </c>
      <c r="L1253" s="440">
        <f t="shared" si="456"/>
        <v>2.6444315310518345</v>
      </c>
      <c r="M1253" s="352"/>
      <c r="N1253" s="347"/>
    </row>
    <row r="1254" spans="1:14" x14ac:dyDescent="0.2">
      <c r="A1254" s="362" t="str">
        <f>name!E$8</f>
        <v>Skilled trades occupations</v>
      </c>
      <c r="B1254" s="440">
        <v>0.23963684986588626</v>
      </c>
      <c r="C1254" s="440">
        <v>0.69793041663365396</v>
      </c>
      <c r="D1254" s="440">
        <f t="shared" si="454"/>
        <v>0.93756726649954025</v>
      </c>
      <c r="E1254" s="441"/>
      <c r="F1254" s="440">
        <v>0.14591434136788506</v>
      </c>
      <c r="G1254" s="440">
        <v>0.78448266237450126</v>
      </c>
      <c r="H1254" s="440">
        <f t="shared" si="455"/>
        <v>0.93039700374238632</v>
      </c>
      <c r="I1254" s="441"/>
      <c r="J1254" s="440">
        <v>0.13515351670874437</v>
      </c>
      <c r="K1254" s="440">
        <v>0.81865863207102096</v>
      </c>
      <c r="L1254" s="440">
        <f t="shared" si="456"/>
        <v>0.95381214877976528</v>
      </c>
      <c r="M1254" s="352"/>
      <c r="N1254" s="347"/>
    </row>
    <row r="1255" spans="1:14" x14ac:dyDescent="0.2">
      <c r="A1255" s="362" t="str">
        <f>name!E$9</f>
        <v>Caring, leisure and other service</v>
      </c>
      <c r="B1255" s="440">
        <v>1.3853713598701014</v>
      </c>
      <c r="C1255" s="440">
        <v>0.52667963511929838</v>
      </c>
      <c r="D1255" s="440">
        <f t="shared" si="454"/>
        <v>1.9120509949893998</v>
      </c>
      <c r="E1255" s="441"/>
      <c r="F1255" s="440">
        <v>1.5142500094726981</v>
      </c>
      <c r="G1255" s="440">
        <v>0.20881400885401694</v>
      </c>
      <c r="H1255" s="440">
        <f t="shared" si="455"/>
        <v>1.723064018326715</v>
      </c>
      <c r="I1255" s="441"/>
      <c r="J1255" s="440">
        <v>1.5795838089633496</v>
      </c>
      <c r="K1255" s="440">
        <v>0.22722870951879315</v>
      </c>
      <c r="L1255" s="440">
        <f t="shared" si="456"/>
        <v>1.8068125184821429</v>
      </c>
      <c r="M1255" s="352"/>
      <c r="N1255" s="347"/>
    </row>
    <row r="1256" spans="1:14" x14ac:dyDescent="0.2">
      <c r="A1256" s="362" t="str">
        <f>name!E$10</f>
        <v>Sales and customer service</v>
      </c>
      <c r="B1256" s="440">
        <v>0.39695229359085954</v>
      </c>
      <c r="C1256" s="440">
        <v>0.11088038039713896</v>
      </c>
      <c r="D1256" s="440">
        <f t="shared" si="454"/>
        <v>0.50783267398799847</v>
      </c>
      <c r="E1256" s="441"/>
      <c r="F1256" s="440">
        <v>0.29191033153263551</v>
      </c>
      <c r="G1256" s="440">
        <v>8.2367881794943157E-2</v>
      </c>
      <c r="H1256" s="440">
        <f t="shared" si="455"/>
        <v>0.37427821332757866</v>
      </c>
      <c r="I1256" s="441"/>
      <c r="J1256" s="440">
        <v>0.28243511078822853</v>
      </c>
      <c r="K1256" s="440">
        <v>9.2175258956880585E-2</v>
      </c>
      <c r="L1256" s="440">
        <f t="shared" si="456"/>
        <v>0.37461036974510908</v>
      </c>
      <c r="M1256" s="352"/>
      <c r="N1256" s="347"/>
    </row>
    <row r="1257" spans="1:14" x14ac:dyDescent="0.2">
      <c r="A1257" s="362" t="str">
        <f>name!E$11</f>
        <v>Process, plant and machine operatives</v>
      </c>
      <c r="B1257" s="440">
        <v>0.19129118992123312</v>
      </c>
      <c r="C1257" s="440">
        <v>0.23493696899247257</v>
      </c>
      <c r="D1257" s="440">
        <f t="shared" si="454"/>
        <v>0.42622815891370569</v>
      </c>
      <c r="E1257" s="441"/>
      <c r="F1257" s="440">
        <v>0.14155772425547808</v>
      </c>
      <c r="G1257" s="440">
        <v>0.16685663522366126</v>
      </c>
      <c r="H1257" s="440">
        <f t="shared" si="455"/>
        <v>0.30841435947913931</v>
      </c>
      <c r="I1257" s="441"/>
      <c r="J1257" s="440">
        <v>8.4455235554122515E-2</v>
      </c>
      <c r="K1257" s="440">
        <v>0.14013508070690012</v>
      </c>
      <c r="L1257" s="440">
        <f t="shared" si="456"/>
        <v>0.22459031626102263</v>
      </c>
      <c r="M1257" s="352"/>
      <c r="N1257" s="347"/>
    </row>
    <row r="1258" spans="1:14" x14ac:dyDescent="0.2">
      <c r="A1258" s="362" t="str">
        <f>name!E$12</f>
        <v>Elementary occupations</v>
      </c>
      <c r="B1258" s="440">
        <v>2.6737950530351533</v>
      </c>
      <c r="C1258" s="440">
        <v>0.62272847787087759</v>
      </c>
      <c r="D1258" s="440">
        <f t="shared" si="454"/>
        <v>3.2965235309060308</v>
      </c>
      <c r="E1258" s="441"/>
      <c r="F1258" s="440">
        <v>1.4140531935583793</v>
      </c>
      <c r="G1258" s="440">
        <v>0.16569289605644658</v>
      </c>
      <c r="H1258" s="440">
        <f t="shared" si="455"/>
        <v>1.5797460896148259</v>
      </c>
      <c r="I1258" s="441"/>
      <c r="J1258" s="440">
        <v>0.90026469466355108</v>
      </c>
      <c r="K1258" s="440">
        <v>0.17849608557543495</v>
      </c>
      <c r="L1258" s="440">
        <f t="shared" si="456"/>
        <v>1.078760780238986</v>
      </c>
      <c r="M1258" s="352"/>
      <c r="N1258" s="347"/>
    </row>
    <row r="1259" spans="1:14" s="286" customFormat="1" x14ac:dyDescent="0.2">
      <c r="A1259" s="362"/>
      <c r="B1259" s="440"/>
      <c r="C1259" s="440"/>
      <c r="D1259" s="440"/>
      <c r="E1259" s="441"/>
      <c r="F1259" s="440"/>
      <c r="G1259" s="440"/>
      <c r="H1259" s="440"/>
      <c r="I1259" s="441"/>
      <c r="J1259" s="440"/>
      <c r="K1259" s="440"/>
      <c r="L1259" s="440"/>
      <c r="M1259" s="352"/>
      <c r="N1259" s="347"/>
    </row>
    <row r="1260" spans="1:14" x14ac:dyDescent="0.2">
      <c r="A1260" s="357" t="s">
        <v>32</v>
      </c>
      <c r="B1260" s="450">
        <f>SUM(B1250:B1258)</f>
        <v>13.00800000002566</v>
      </c>
      <c r="C1260" s="450">
        <f t="shared" ref="C1260:D1260" si="457">SUM(C1250:C1258)</f>
        <v>6.0649999999760942</v>
      </c>
      <c r="D1260" s="450">
        <f t="shared" si="457"/>
        <v>19.073000000001755</v>
      </c>
      <c r="E1260" s="450"/>
      <c r="F1260" s="450">
        <f t="shared" ref="F1260:H1260" si="458">SUM(F1250:F1258)</f>
        <v>12.077999999913835</v>
      </c>
      <c r="G1260" s="450">
        <f t="shared" si="458"/>
        <v>4.1209999999528124</v>
      </c>
      <c r="H1260" s="450">
        <f t="shared" si="458"/>
        <v>16.198999999866651</v>
      </c>
      <c r="I1260" s="450"/>
      <c r="J1260" s="450">
        <f t="shared" ref="J1260:L1260" si="459">SUM(J1250:J1258)</f>
        <v>12.179999999942043</v>
      </c>
      <c r="K1260" s="450">
        <f t="shared" si="459"/>
        <v>4.2519999999967615</v>
      </c>
      <c r="L1260" s="450">
        <f t="shared" si="459"/>
        <v>16.431999999938807</v>
      </c>
      <c r="M1260" s="352"/>
      <c r="N1260" s="347"/>
    </row>
    <row r="1261" spans="1:14" x14ac:dyDescent="0.2">
      <c r="A1261" s="348"/>
      <c r="B1261" s="348"/>
      <c r="C1261" s="348"/>
      <c r="D1261" s="348"/>
      <c r="E1261" s="348"/>
      <c r="F1261" s="348"/>
      <c r="G1261" s="348"/>
      <c r="H1261" s="348"/>
      <c r="I1261" s="348"/>
      <c r="J1261" s="348"/>
      <c r="K1261" s="348"/>
      <c r="L1261" s="353"/>
      <c r="M1261" s="352"/>
      <c r="N1261" s="347"/>
    </row>
    <row r="1262" spans="1:14" x14ac:dyDescent="0.2">
      <c r="A1262" s="348"/>
      <c r="B1262" s="348"/>
      <c r="C1262" s="348"/>
      <c r="D1262" s="348"/>
      <c r="E1262" s="348"/>
      <c r="F1262" s="348"/>
      <c r="G1262" s="348"/>
      <c r="H1262" s="348"/>
      <c r="I1262" s="348"/>
      <c r="J1262" s="348"/>
      <c r="K1262" s="348"/>
      <c r="L1262" s="372" t="s">
        <v>35</v>
      </c>
      <c r="M1262" s="352"/>
      <c r="N1262" s="347"/>
    </row>
    <row r="1263" spans="1:14" x14ac:dyDescent="0.2">
      <c r="A1263" s="355"/>
      <c r="B1263" s="365"/>
      <c r="C1263" s="365"/>
      <c r="D1263" s="365"/>
      <c r="E1263" s="365"/>
      <c r="F1263" s="365"/>
      <c r="G1263" s="365"/>
      <c r="H1263" s="365"/>
      <c r="I1263" s="365"/>
      <c r="J1263" s="365"/>
      <c r="K1263" s="365"/>
      <c r="L1263" s="347"/>
      <c r="M1263" s="352"/>
      <c r="N1263" s="347"/>
    </row>
    <row r="1264" spans="1:14" x14ac:dyDescent="0.2">
      <c r="A1264" s="354" t="str">
        <f>name!A77</f>
        <v>Repair of goods</v>
      </c>
      <c r="B1264" s="517">
        <f>B$6</f>
        <v>2007</v>
      </c>
      <c r="C1264" s="517"/>
      <c r="D1264" s="517"/>
      <c r="E1264" s="369"/>
      <c r="F1264" s="517">
        <f>F$6</f>
        <v>2017</v>
      </c>
      <c r="G1264" s="517"/>
      <c r="H1264" s="517"/>
      <c r="I1264" s="369"/>
      <c r="J1264" s="517">
        <f>J$6</f>
        <v>2027</v>
      </c>
      <c r="K1264" s="517"/>
      <c r="L1264" s="517"/>
      <c r="M1264" s="352"/>
      <c r="N1264" s="347"/>
    </row>
    <row r="1265" spans="1:14" x14ac:dyDescent="0.2">
      <c r="A1265" s="370"/>
      <c r="B1265" s="371" t="s">
        <v>387</v>
      </c>
      <c r="C1265" s="371" t="s">
        <v>388</v>
      </c>
      <c r="D1265" s="371" t="s">
        <v>32</v>
      </c>
      <c r="E1265" s="371"/>
      <c r="F1265" s="371" t="s">
        <v>387</v>
      </c>
      <c r="G1265" s="371" t="s">
        <v>388</v>
      </c>
      <c r="H1265" s="371" t="s">
        <v>32</v>
      </c>
      <c r="I1265" s="371"/>
      <c r="J1265" s="371" t="s">
        <v>387</v>
      </c>
      <c r="K1265" s="371" t="s">
        <v>388</v>
      </c>
      <c r="L1265" s="371" t="s">
        <v>32</v>
      </c>
      <c r="M1265" s="352"/>
      <c r="N1265" s="347"/>
    </row>
    <row r="1266" spans="1:14" s="286" customFormat="1" x14ac:dyDescent="0.2">
      <c r="A1266" s="374"/>
      <c r="B1266" s="375"/>
      <c r="C1266" s="375"/>
      <c r="D1266" s="375"/>
      <c r="E1266" s="375"/>
      <c r="F1266" s="375"/>
      <c r="G1266" s="375"/>
      <c r="H1266" s="375"/>
      <c r="I1266" s="375"/>
      <c r="J1266" s="375"/>
      <c r="K1266" s="375"/>
      <c r="L1266" s="375"/>
      <c r="M1266" s="352"/>
      <c r="N1266" s="347"/>
    </row>
    <row r="1267" spans="1:14" x14ac:dyDescent="0.2">
      <c r="A1267" s="362" t="str">
        <f>name!E$4</f>
        <v>Managers, directors and senior officials</v>
      </c>
      <c r="B1267" s="440">
        <v>0.10820110416267088</v>
      </c>
      <c r="C1267" s="440">
        <v>0.2258605608561873</v>
      </c>
      <c r="D1267" s="440">
        <f>SUM(B1267:C1267)</f>
        <v>0.3340616650188582</v>
      </c>
      <c r="E1267" s="441"/>
      <c r="F1267" s="440">
        <v>0.24052444624819475</v>
      </c>
      <c r="G1267" s="440">
        <v>0.39795396073088501</v>
      </c>
      <c r="H1267" s="440">
        <f>SUM(F1267:G1267)</f>
        <v>0.63847840697907976</v>
      </c>
      <c r="I1267" s="441"/>
      <c r="J1267" s="440">
        <v>0.29429439796474799</v>
      </c>
      <c r="K1267" s="440">
        <v>0.41584533689995828</v>
      </c>
      <c r="L1267" s="440">
        <f>SUM(J1267:K1267)</f>
        <v>0.71013973486470627</v>
      </c>
      <c r="M1267" s="352"/>
      <c r="N1267" s="347"/>
    </row>
    <row r="1268" spans="1:14" x14ac:dyDescent="0.2">
      <c r="A1268" s="362" t="str">
        <f>name!E$5</f>
        <v>Professional occupations</v>
      </c>
      <c r="B1268" s="440">
        <v>5.0542146334476713E-2</v>
      </c>
      <c r="C1268" s="440">
        <v>0.11469565287863465</v>
      </c>
      <c r="D1268" s="440">
        <f t="shared" ref="D1268:D1275" si="460">SUM(B1268:C1268)</f>
        <v>0.16523779921311135</v>
      </c>
      <c r="E1268" s="441"/>
      <c r="F1268" s="440">
        <v>9.7375958070409274E-2</v>
      </c>
      <c r="G1268" s="440">
        <v>9.3752951800018192E-2</v>
      </c>
      <c r="H1268" s="440">
        <f t="shared" ref="H1268:H1275" si="461">SUM(F1268:G1268)</f>
        <v>0.19112890987042747</v>
      </c>
      <c r="I1268" s="441"/>
      <c r="J1268" s="440">
        <v>0.13181567613657302</v>
      </c>
      <c r="K1268" s="440">
        <v>9.5805453698256715E-2</v>
      </c>
      <c r="L1268" s="440">
        <f t="shared" ref="L1268:L1275" si="462">SUM(J1268:K1268)</f>
        <v>0.22762112983482974</v>
      </c>
      <c r="M1268" s="352"/>
      <c r="N1268" s="347"/>
    </row>
    <row r="1269" spans="1:14" x14ac:dyDescent="0.2">
      <c r="A1269" s="362" t="str">
        <f>name!E$6</f>
        <v>Associate professional and technical</v>
      </c>
      <c r="B1269" s="440">
        <v>5.2453451040490533E-2</v>
      </c>
      <c r="C1269" s="440">
        <v>7.5366848836508113E-2</v>
      </c>
      <c r="D1269" s="440">
        <f t="shared" si="460"/>
        <v>0.12782029987699864</v>
      </c>
      <c r="E1269" s="441"/>
      <c r="F1269" s="440">
        <v>7.9368261321180855E-2</v>
      </c>
      <c r="G1269" s="440">
        <v>7.7623693608351391E-2</v>
      </c>
      <c r="H1269" s="440">
        <f t="shared" si="461"/>
        <v>0.15699195492953225</v>
      </c>
      <c r="I1269" s="441"/>
      <c r="J1269" s="440">
        <v>9.8820752925970243E-2</v>
      </c>
      <c r="K1269" s="440">
        <v>8.3699922884842182E-2</v>
      </c>
      <c r="L1269" s="440">
        <f t="shared" si="462"/>
        <v>0.18252067581081244</v>
      </c>
      <c r="M1269" s="352"/>
      <c r="N1269" s="347"/>
    </row>
    <row r="1270" spans="1:14" x14ac:dyDescent="0.2">
      <c r="A1270" s="362" t="str">
        <f>name!E$7</f>
        <v>Administrative and secretarial</v>
      </c>
      <c r="B1270" s="440">
        <v>0.10718400365117517</v>
      </c>
      <c r="C1270" s="440">
        <v>2.8841495318875573E-2</v>
      </c>
      <c r="D1270" s="440">
        <f t="shared" si="460"/>
        <v>0.13602549897005073</v>
      </c>
      <c r="E1270" s="441"/>
      <c r="F1270" s="440">
        <v>9.5460254142675144E-2</v>
      </c>
      <c r="G1270" s="440">
        <v>2.4166926276419774E-2</v>
      </c>
      <c r="H1270" s="440">
        <f t="shared" si="461"/>
        <v>0.11962718041909493</v>
      </c>
      <c r="I1270" s="441"/>
      <c r="J1270" s="440">
        <v>9.2265676757722959E-2</v>
      </c>
      <c r="K1270" s="440">
        <v>2.7013500136270845E-2</v>
      </c>
      <c r="L1270" s="440">
        <f t="shared" si="462"/>
        <v>0.11927917689399381</v>
      </c>
      <c r="M1270" s="352"/>
      <c r="N1270" s="347"/>
    </row>
    <row r="1271" spans="1:14" x14ac:dyDescent="0.2">
      <c r="A1271" s="362" t="str">
        <f>name!E$8</f>
        <v>Skilled trades occupations</v>
      </c>
      <c r="B1271" s="440">
        <v>3.526224851839295E-2</v>
      </c>
      <c r="C1271" s="440">
        <v>0.10735092681679986</v>
      </c>
      <c r="D1271" s="440">
        <f t="shared" si="460"/>
        <v>0.1426131753351928</v>
      </c>
      <c r="E1271" s="441"/>
      <c r="F1271" s="440">
        <v>4.6699657320687649E-2</v>
      </c>
      <c r="G1271" s="440">
        <v>0.16853035464036595</v>
      </c>
      <c r="H1271" s="440">
        <f t="shared" si="461"/>
        <v>0.2152300119610536</v>
      </c>
      <c r="I1271" s="441"/>
      <c r="J1271" s="440">
        <v>4.4235087029193598E-2</v>
      </c>
      <c r="K1271" s="440">
        <v>0.1780685163698269</v>
      </c>
      <c r="L1271" s="440">
        <f t="shared" si="462"/>
        <v>0.2223036033990205</v>
      </c>
      <c r="M1271" s="352"/>
      <c r="N1271" s="347"/>
    </row>
    <row r="1272" spans="1:14" x14ac:dyDescent="0.2">
      <c r="A1272" s="362" t="str">
        <f>name!E$9</f>
        <v>Caring, leisure and other service</v>
      </c>
      <c r="B1272" s="440">
        <v>6.9689395943437066E-3</v>
      </c>
      <c r="C1272" s="440">
        <v>4.8171490272129703E-3</v>
      </c>
      <c r="D1272" s="440">
        <f t="shared" si="460"/>
        <v>1.1786088621556678E-2</v>
      </c>
      <c r="E1272" s="441"/>
      <c r="F1272" s="440">
        <v>9.844583459976167E-3</v>
      </c>
      <c r="G1272" s="440">
        <v>5.0406749946775003E-3</v>
      </c>
      <c r="H1272" s="440">
        <f t="shared" si="461"/>
        <v>1.4885258454653667E-2</v>
      </c>
      <c r="I1272" s="441"/>
      <c r="J1272" s="440">
        <v>1.1182778174677194E-2</v>
      </c>
      <c r="K1272" s="440">
        <v>5.5870553656248356E-3</v>
      </c>
      <c r="L1272" s="440">
        <f t="shared" si="462"/>
        <v>1.676983354030203E-2</v>
      </c>
      <c r="M1272" s="352"/>
      <c r="N1272" s="347"/>
    </row>
    <row r="1273" spans="1:14" x14ac:dyDescent="0.2">
      <c r="A1273" s="362" t="str">
        <f>name!E$10</f>
        <v>Sales and customer service</v>
      </c>
      <c r="B1273" s="440">
        <v>0.77562119452162381</v>
      </c>
      <c r="C1273" s="440">
        <v>0.17439029668505251</v>
      </c>
      <c r="D1273" s="440">
        <f t="shared" si="460"/>
        <v>0.95001149120667638</v>
      </c>
      <c r="E1273" s="441"/>
      <c r="F1273" s="440">
        <v>0.2905201447686665</v>
      </c>
      <c r="G1273" s="440">
        <v>0.12080187678757505</v>
      </c>
      <c r="H1273" s="440">
        <f t="shared" si="461"/>
        <v>0.41132202155624153</v>
      </c>
      <c r="I1273" s="441"/>
      <c r="J1273" s="440">
        <v>0.19587381265651516</v>
      </c>
      <c r="K1273" s="440">
        <v>0.11768315875498382</v>
      </c>
      <c r="L1273" s="440">
        <f t="shared" si="462"/>
        <v>0.31355697141149896</v>
      </c>
      <c r="M1273" s="352"/>
      <c r="N1273" s="347"/>
    </row>
    <row r="1274" spans="1:14" x14ac:dyDescent="0.2">
      <c r="A1274" s="362" t="str">
        <f>name!E$11</f>
        <v>Process, plant and machine operatives</v>
      </c>
      <c r="B1274" s="440">
        <v>1.9166445417889592E-2</v>
      </c>
      <c r="C1274" s="440">
        <v>3.6552132119578994E-2</v>
      </c>
      <c r="D1274" s="440">
        <f t="shared" si="460"/>
        <v>5.5718577537468589E-2</v>
      </c>
      <c r="E1274" s="441"/>
      <c r="F1274" s="440">
        <v>1.4185038097583497E-2</v>
      </c>
      <c r="G1274" s="440">
        <v>1.7849854230579117E-2</v>
      </c>
      <c r="H1274" s="440">
        <f t="shared" si="461"/>
        <v>3.2034892328162617E-2</v>
      </c>
      <c r="I1274" s="441"/>
      <c r="J1274" s="440">
        <v>7.3474890795237778E-3</v>
      </c>
      <c r="K1274" s="440">
        <v>1.7016044107292926E-2</v>
      </c>
      <c r="L1274" s="440">
        <f t="shared" si="462"/>
        <v>2.4363533186816704E-2</v>
      </c>
      <c r="M1274" s="352"/>
      <c r="N1274" s="347"/>
    </row>
    <row r="1275" spans="1:14" x14ac:dyDescent="0.2">
      <c r="A1275" s="362" t="str">
        <f>name!E$12</f>
        <v>Elementary occupations</v>
      </c>
      <c r="B1275" s="440">
        <v>9.3600466767807117E-2</v>
      </c>
      <c r="C1275" s="440">
        <v>8.4124937454297943E-2</v>
      </c>
      <c r="D1275" s="440">
        <f t="shared" si="460"/>
        <v>0.17772540422210506</v>
      </c>
      <c r="E1275" s="441"/>
      <c r="F1275" s="440">
        <v>6.302165656772607E-2</v>
      </c>
      <c r="G1275" s="440">
        <v>3.9279706921548058E-2</v>
      </c>
      <c r="H1275" s="440">
        <f t="shared" si="461"/>
        <v>0.10230136348927413</v>
      </c>
      <c r="I1275" s="441"/>
      <c r="J1275" s="440">
        <v>6.4164329271393372E-2</v>
      </c>
      <c r="K1275" s="440">
        <v>4.3281011781276094E-2</v>
      </c>
      <c r="L1275" s="440">
        <f t="shared" si="462"/>
        <v>0.10744534105266947</v>
      </c>
      <c r="M1275" s="352"/>
      <c r="N1275" s="347"/>
    </row>
    <row r="1276" spans="1:14" s="286" customFormat="1" x14ac:dyDescent="0.2">
      <c r="A1276" s="362"/>
      <c r="B1276" s="440"/>
      <c r="C1276" s="440"/>
      <c r="D1276" s="440"/>
      <c r="E1276" s="441"/>
      <c r="F1276" s="440"/>
      <c r="G1276" s="440"/>
      <c r="H1276" s="440"/>
      <c r="I1276" s="441"/>
      <c r="J1276" s="440"/>
      <c r="K1276" s="440"/>
      <c r="L1276" s="440"/>
      <c r="M1276" s="352"/>
      <c r="N1276" s="347"/>
    </row>
    <row r="1277" spans="1:14" x14ac:dyDescent="0.2">
      <c r="A1277" s="357" t="s">
        <v>32</v>
      </c>
      <c r="B1277" s="450">
        <f>SUM(B1267:B1275)</f>
        <v>1.2490000000088708</v>
      </c>
      <c r="C1277" s="450">
        <f t="shared" ref="C1277:D1277" si="463">SUM(C1267:C1275)</f>
        <v>0.85199999999314791</v>
      </c>
      <c r="D1277" s="450">
        <f t="shared" si="463"/>
        <v>2.1010000000020188</v>
      </c>
      <c r="E1277" s="450"/>
      <c r="F1277" s="450">
        <f t="shared" ref="F1277:H1277" si="464">SUM(F1267:F1275)</f>
        <v>0.93699999999710004</v>
      </c>
      <c r="G1277" s="450">
        <f t="shared" si="464"/>
        <v>0.94499999999042006</v>
      </c>
      <c r="H1277" s="450">
        <f t="shared" si="464"/>
        <v>1.8819999999875199</v>
      </c>
      <c r="I1277" s="450"/>
      <c r="J1277" s="450">
        <f t="shared" ref="J1277:L1277" si="465">SUM(J1267:J1275)</f>
        <v>0.93999999999631734</v>
      </c>
      <c r="K1277" s="450">
        <f t="shared" si="465"/>
        <v>0.98399999999833265</v>
      </c>
      <c r="L1277" s="450">
        <f t="shared" si="465"/>
        <v>1.9239999999946495</v>
      </c>
      <c r="M1277" s="352"/>
      <c r="N1277" s="347"/>
    </row>
    <row r="1278" spans="1:14" x14ac:dyDescent="0.2">
      <c r="A1278" s="348"/>
      <c r="B1278" s="348"/>
      <c r="C1278" s="348"/>
      <c r="D1278" s="348"/>
      <c r="E1278" s="348"/>
      <c r="F1278" s="348"/>
      <c r="G1278" s="348"/>
      <c r="H1278" s="348"/>
      <c r="I1278" s="348"/>
      <c r="J1278" s="348"/>
      <c r="K1278" s="348"/>
      <c r="L1278" s="353"/>
      <c r="M1278" s="352"/>
      <c r="N1278" s="347"/>
    </row>
    <row r="1279" spans="1:14" x14ac:dyDescent="0.2">
      <c r="A1279" s="348"/>
      <c r="B1279" s="348"/>
      <c r="C1279" s="348"/>
      <c r="D1279" s="348"/>
      <c r="E1279" s="348"/>
      <c r="F1279" s="348"/>
      <c r="G1279" s="348"/>
      <c r="H1279" s="348"/>
      <c r="I1279" s="348"/>
      <c r="J1279" s="348"/>
      <c r="K1279" s="348"/>
      <c r="L1279" s="372" t="s">
        <v>35</v>
      </c>
      <c r="M1279" s="352"/>
      <c r="N1279" s="347"/>
    </row>
    <row r="1280" spans="1:14" x14ac:dyDescent="0.2">
      <c r="A1280" s="355"/>
      <c r="B1280" s="365"/>
      <c r="C1280" s="365"/>
      <c r="D1280" s="365"/>
      <c r="E1280" s="365"/>
      <c r="F1280" s="365"/>
      <c r="G1280" s="365"/>
      <c r="H1280" s="365"/>
      <c r="I1280" s="365"/>
      <c r="J1280" s="365"/>
      <c r="K1280" s="365"/>
      <c r="L1280" s="347"/>
      <c r="M1280" s="352"/>
      <c r="N1280" s="347"/>
    </row>
    <row r="1281" spans="1:14" x14ac:dyDescent="0.2">
      <c r="A1281" s="354" t="str">
        <f>name!A78</f>
        <v>Other personal service</v>
      </c>
      <c r="B1281" s="517">
        <f>B$6</f>
        <v>2007</v>
      </c>
      <c r="C1281" s="517"/>
      <c r="D1281" s="517"/>
      <c r="E1281" s="369"/>
      <c r="F1281" s="517">
        <f>F$6</f>
        <v>2017</v>
      </c>
      <c r="G1281" s="517"/>
      <c r="H1281" s="517"/>
      <c r="I1281" s="369"/>
      <c r="J1281" s="517">
        <f>J$6</f>
        <v>2027</v>
      </c>
      <c r="K1281" s="517"/>
      <c r="L1281" s="517"/>
      <c r="M1281" s="352"/>
      <c r="N1281" s="347"/>
    </row>
    <row r="1282" spans="1:14" x14ac:dyDescent="0.2">
      <c r="A1282" s="370"/>
      <c r="B1282" s="371" t="s">
        <v>387</v>
      </c>
      <c r="C1282" s="371" t="s">
        <v>388</v>
      </c>
      <c r="D1282" s="371" t="s">
        <v>32</v>
      </c>
      <c r="E1282" s="371"/>
      <c r="F1282" s="371" t="s">
        <v>387</v>
      </c>
      <c r="G1282" s="371" t="s">
        <v>388</v>
      </c>
      <c r="H1282" s="371" t="s">
        <v>32</v>
      </c>
      <c r="I1282" s="371"/>
      <c r="J1282" s="371" t="s">
        <v>387</v>
      </c>
      <c r="K1282" s="371" t="s">
        <v>388</v>
      </c>
      <c r="L1282" s="371" t="s">
        <v>32</v>
      </c>
      <c r="M1282" s="352"/>
      <c r="N1282" s="347"/>
    </row>
    <row r="1283" spans="1:14" s="286" customFormat="1" x14ac:dyDescent="0.2">
      <c r="A1283" s="374"/>
      <c r="B1283" s="375"/>
      <c r="C1283" s="375"/>
      <c r="D1283" s="375"/>
      <c r="E1283" s="375"/>
      <c r="F1283" s="375"/>
      <c r="G1283" s="375"/>
      <c r="H1283" s="375"/>
      <c r="I1283" s="375"/>
      <c r="J1283" s="375"/>
      <c r="K1283" s="375"/>
      <c r="L1283" s="375"/>
      <c r="M1283" s="352"/>
      <c r="N1283" s="347"/>
    </row>
    <row r="1284" spans="1:14" x14ac:dyDescent="0.2">
      <c r="A1284" s="362" t="str">
        <f>name!E$4</f>
        <v>Managers, directors and senior officials</v>
      </c>
      <c r="B1284" s="440">
        <v>0.28001128386271795</v>
      </c>
      <c r="C1284" s="440">
        <v>0.62650305761390201</v>
      </c>
      <c r="D1284" s="440">
        <f>SUM(B1284:C1284)</f>
        <v>0.90651434147661991</v>
      </c>
      <c r="E1284" s="441"/>
      <c r="F1284" s="440">
        <v>0.72799092209084304</v>
      </c>
      <c r="G1284" s="440">
        <v>1.248810424898394</v>
      </c>
      <c r="H1284" s="440">
        <f>SUM(F1284:G1284)</f>
        <v>1.9768013469892369</v>
      </c>
      <c r="I1284" s="441"/>
      <c r="J1284" s="440">
        <v>0.78575036852528513</v>
      </c>
      <c r="K1284" s="440">
        <v>1.2956393584049939</v>
      </c>
      <c r="L1284" s="440">
        <f>SUM(J1284:K1284)</f>
        <v>2.0813897269302792</v>
      </c>
      <c r="M1284" s="352"/>
      <c r="N1284" s="347"/>
    </row>
    <row r="1285" spans="1:14" x14ac:dyDescent="0.2">
      <c r="A1285" s="362" t="str">
        <f>name!E$5</f>
        <v>Professional occupations</v>
      </c>
      <c r="B1285" s="440">
        <v>0.30361987465780022</v>
      </c>
      <c r="C1285" s="440">
        <v>0.55019789642018824</v>
      </c>
      <c r="D1285" s="440">
        <f t="shared" ref="D1285:D1292" si="466">SUM(B1285:C1285)</f>
        <v>0.8538177710779884</v>
      </c>
      <c r="E1285" s="441"/>
      <c r="F1285" s="440">
        <v>0.85037447420908097</v>
      </c>
      <c r="G1285" s="440">
        <v>0.65171910169242442</v>
      </c>
      <c r="H1285" s="440">
        <f t="shared" ref="H1285:H1292" si="467">SUM(F1285:G1285)</f>
        <v>1.5020935759015055</v>
      </c>
      <c r="I1285" s="441"/>
      <c r="J1285" s="440">
        <v>1.3668531925082998</v>
      </c>
      <c r="K1285" s="440">
        <v>0.736415071139225</v>
      </c>
      <c r="L1285" s="440">
        <f t="shared" ref="L1285:L1292" si="468">SUM(J1285:K1285)</f>
        <v>2.1032682636475251</v>
      </c>
      <c r="M1285" s="352"/>
      <c r="N1285" s="347"/>
    </row>
    <row r="1286" spans="1:14" x14ac:dyDescent="0.2">
      <c r="A1286" s="362" t="str">
        <f>name!E$6</f>
        <v>Associate professional and technical</v>
      </c>
      <c r="B1286" s="440">
        <v>0.45901422038597683</v>
      </c>
      <c r="C1286" s="440">
        <v>0.61823639986947576</v>
      </c>
      <c r="D1286" s="440">
        <f t="shared" si="466"/>
        <v>1.0772506202554526</v>
      </c>
      <c r="E1286" s="441"/>
      <c r="F1286" s="440">
        <v>2.1777476877853883</v>
      </c>
      <c r="G1286" s="440">
        <v>1.2233515805154125</v>
      </c>
      <c r="H1286" s="440">
        <f t="shared" si="467"/>
        <v>3.4010992683008006</v>
      </c>
      <c r="I1286" s="441"/>
      <c r="J1286" s="440">
        <v>3.1712219418683665</v>
      </c>
      <c r="K1286" s="440">
        <v>1.3051741131486116</v>
      </c>
      <c r="L1286" s="440">
        <f t="shared" si="468"/>
        <v>4.4763960550169779</v>
      </c>
      <c r="M1286" s="352"/>
      <c r="N1286" s="347"/>
    </row>
    <row r="1287" spans="1:14" x14ac:dyDescent="0.2">
      <c r="A1287" s="362" t="str">
        <f>name!E$7</f>
        <v>Administrative and secretarial</v>
      </c>
      <c r="B1287" s="440">
        <v>0.66898939833429794</v>
      </c>
      <c r="C1287" s="440">
        <v>0.41231267130469496</v>
      </c>
      <c r="D1287" s="440">
        <f t="shared" si="466"/>
        <v>1.0813020696389928</v>
      </c>
      <c r="E1287" s="441"/>
      <c r="F1287" s="440">
        <v>1.1930449315367322</v>
      </c>
      <c r="G1287" s="440">
        <v>0.31001048029951495</v>
      </c>
      <c r="H1287" s="440">
        <f t="shared" si="467"/>
        <v>1.5030554118362471</v>
      </c>
      <c r="I1287" s="441"/>
      <c r="J1287" s="440">
        <v>1.3037656087178346</v>
      </c>
      <c r="K1287" s="440">
        <v>0.36763409404292752</v>
      </c>
      <c r="L1287" s="440">
        <f t="shared" si="468"/>
        <v>1.6713997027607621</v>
      </c>
      <c r="M1287" s="352"/>
      <c r="N1287" s="347"/>
    </row>
    <row r="1288" spans="1:14" x14ac:dyDescent="0.2">
      <c r="A1288" s="362" t="str">
        <f>name!E$8</f>
        <v>Skilled trades occupations</v>
      </c>
      <c r="B1288" s="440">
        <v>6.5965388701069022E-2</v>
      </c>
      <c r="C1288" s="440">
        <v>0.66321526362570515</v>
      </c>
      <c r="D1288" s="440">
        <f t="shared" si="466"/>
        <v>0.7291806523267742</v>
      </c>
      <c r="E1288" s="441"/>
      <c r="F1288" s="440">
        <v>0.24433691499593979</v>
      </c>
      <c r="G1288" s="440">
        <v>0.92292923405905103</v>
      </c>
      <c r="H1288" s="440">
        <f t="shared" si="467"/>
        <v>1.1672661490549907</v>
      </c>
      <c r="I1288" s="441"/>
      <c r="J1288" s="440">
        <v>0.31463077173382326</v>
      </c>
      <c r="K1288" s="440">
        <v>0.96513556674243983</v>
      </c>
      <c r="L1288" s="440">
        <f t="shared" si="468"/>
        <v>1.279766338476263</v>
      </c>
      <c r="M1288" s="352"/>
      <c r="N1288" s="347"/>
    </row>
    <row r="1289" spans="1:14" x14ac:dyDescent="0.2">
      <c r="A1289" s="362" t="str">
        <f>name!E$9</f>
        <v>Caring, leisure and other service</v>
      </c>
      <c r="B1289" s="440">
        <v>4.3464472474967728</v>
      </c>
      <c r="C1289" s="440">
        <v>2.6438860382422633</v>
      </c>
      <c r="D1289" s="440">
        <f t="shared" si="466"/>
        <v>6.9903332857390357</v>
      </c>
      <c r="E1289" s="441"/>
      <c r="F1289" s="440">
        <v>10.287560279487383</v>
      </c>
      <c r="G1289" s="440">
        <v>2.872020587707385</v>
      </c>
      <c r="H1289" s="440">
        <f t="shared" si="467"/>
        <v>13.159580867194769</v>
      </c>
      <c r="I1289" s="441"/>
      <c r="J1289" s="440">
        <v>8.6922142242475484</v>
      </c>
      <c r="K1289" s="440">
        <v>2.9867154450756823</v>
      </c>
      <c r="L1289" s="440">
        <f t="shared" si="468"/>
        <v>11.678929669323232</v>
      </c>
      <c r="M1289" s="352"/>
      <c r="N1289" s="347"/>
    </row>
    <row r="1290" spans="1:14" x14ac:dyDescent="0.2">
      <c r="A1290" s="362" t="str">
        <f>name!E$10</f>
        <v>Sales and customer service</v>
      </c>
      <c r="B1290" s="440">
        <v>0.27840643714445384</v>
      </c>
      <c r="C1290" s="440">
        <v>0.31007620206504488</v>
      </c>
      <c r="D1290" s="440">
        <f t="shared" si="466"/>
        <v>0.58848263920949873</v>
      </c>
      <c r="E1290" s="441"/>
      <c r="F1290" s="440">
        <v>0.49535757932363367</v>
      </c>
      <c r="G1290" s="440">
        <v>0.31844563277697241</v>
      </c>
      <c r="H1290" s="440">
        <f t="shared" si="467"/>
        <v>0.81380321210060602</v>
      </c>
      <c r="I1290" s="441"/>
      <c r="J1290" s="440">
        <v>0.53342245210265449</v>
      </c>
      <c r="K1290" s="440">
        <v>0.37758470191037424</v>
      </c>
      <c r="L1290" s="440">
        <f t="shared" si="468"/>
        <v>0.91100715401302867</v>
      </c>
      <c r="M1290" s="352"/>
      <c r="N1290" s="347"/>
    </row>
    <row r="1291" spans="1:14" x14ac:dyDescent="0.2">
      <c r="A1291" s="362" t="str">
        <f>name!E$11</f>
        <v>Process, plant and machine operatives</v>
      </c>
      <c r="B1291" s="440">
        <v>2.9242134462773014E-2</v>
      </c>
      <c r="C1291" s="440">
        <v>0.70914110198579439</v>
      </c>
      <c r="D1291" s="440">
        <f t="shared" si="466"/>
        <v>0.7383832364485674</v>
      </c>
      <c r="E1291" s="441"/>
      <c r="F1291" s="440">
        <v>4.1338344724789908E-2</v>
      </c>
      <c r="G1291" s="440">
        <v>0.40922295795432956</v>
      </c>
      <c r="H1291" s="440">
        <f t="shared" si="467"/>
        <v>0.45056130267911948</v>
      </c>
      <c r="I1291" s="441"/>
      <c r="J1291" s="440">
        <v>3.0500401516733312E-2</v>
      </c>
      <c r="K1291" s="440">
        <v>0.36184624724143205</v>
      </c>
      <c r="L1291" s="440">
        <f t="shared" si="468"/>
        <v>0.39234664875816538</v>
      </c>
      <c r="M1291" s="352"/>
      <c r="N1291" s="347"/>
    </row>
    <row r="1292" spans="1:14" x14ac:dyDescent="0.2">
      <c r="A1292" s="362" t="str">
        <f>name!E$12</f>
        <v>Elementary occupations</v>
      </c>
      <c r="B1292" s="440">
        <v>1.206304014917728</v>
      </c>
      <c r="C1292" s="440">
        <v>1.5424313688856115</v>
      </c>
      <c r="D1292" s="440">
        <f t="shared" si="466"/>
        <v>2.7487353838033393</v>
      </c>
      <c r="E1292" s="441"/>
      <c r="F1292" s="440">
        <v>0.52324886617253041</v>
      </c>
      <c r="G1292" s="440">
        <v>1.3704900000676843</v>
      </c>
      <c r="H1292" s="440">
        <f t="shared" si="467"/>
        <v>1.8937388662402146</v>
      </c>
      <c r="I1292" s="441"/>
      <c r="J1292" s="440">
        <v>0.51464103897979652</v>
      </c>
      <c r="K1292" s="440">
        <v>1.5188554021751359</v>
      </c>
      <c r="L1292" s="440">
        <f t="shared" si="468"/>
        <v>2.0334964411549326</v>
      </c>
      <c r="M1292" s="352"/>
      <c r="N1292" s="347"/>
    </row>
    <row r="1293" spans="1:14" s="286" customFormat="1" x14ac:dyDescent="0.2">
      <c r="A1293" s="362"/>
      <c r="B1293" s="440"/>
      <c r="C1293" s="440"/>
      <c r="D1293" s="440"/>
      <c r="E1293" s="441"/>
      <c r="F1293" s="440"/>
      <c r="G1293" s="440"/>
      <c r="H1293" s="440"/>
      <c r="I1293" s="441"/>
      <c r="J1293" s="440"/>
      <c r="K1293" s="440"/>
      <c r="L1293" s="440"/>
      <c r="M1293" s="352"/>
      <c r="N1293" s="347"/>
    </row>
    <row r="1294" spans="1:14" x14ac:dyDescent="0.2">
      <c r="A1294" s="357" t="s">
        <v>32</v>
      </c>
      <c r="B1294" s="450">
        <f>SUM(B1284:B1292)</f>
        <v>7.637999999963589</v>
      </c>
      <c r="C1294" s="450">
        <f t="shared" ref="C1294:D1294" si="469">SUM(C1284:C1292)</f>
        <v>8.0760000000126801</v>
      </c>
      <c r="D1294" s="450">
        <f t="shared" si="469"/>
        <v>15.713999999976268</v>
      </c>
      <c r="E1294" s="450"/>
      <c r="F1294" s="450">
        <f t="shared" ref="F1294:H1294" si="470">SUM(F1284:F1292)</f>
        <v>16.541000000326321</v>
      </c>
      <c r="G1294" s="450">
        <f t="shared" si="470"/>
        <v>9.3269999999711679</v>
      </c>
      <c r="H1294" s="450">
        <f t="shared" si="470"/>
        <v>25.868000000297492</v>
      </c>
      <c r="I1294" s="450"/>
      <c r="J1294" s="450">
        <f t="shared" ref="J1294:L1294" si="471">SUM(J1284:J1292)</f>
        <v>16.713000000200342</v>
      </c>
      <c r="K1294" s="450">
        <f t="shared" si="471"/>
        <v>9.9149999998808234</v>
      </c>
      <c r="L1294" s="450">
        <f t="shared" si="471"/>
        <v>26.628000000081165</v>
      </c>
      <c r="M1294" s="352"/>
      <c r="N1294" s="347"/>
    </row>
    <row r="1295" spans="1:14" x14ac:dyDescent="0.2">
      <c r="A1295" s="348"/>
      <c r="B1295" s="348"/>
      <c r="C1295" s="348"/>
      <c r="D1295" s="348"/>
      <c r="E1295" s="348"/>
      <c r="F1295" s="348"/>
      <c r="G1295" s="348"/>
      <c r="H1295" s="348"/>
      <c r="I1295" s="348"/>
      <c r="J1295" s="348"/>
      <c r="K1295" s="348"/>
      <c r="L1295" s="353"/>
      <c r="M1295" s="352"/>
      <c r="N1295" s="347"/>
    </row>
  </sheetData>
  <mergeCells count="228">
    <mergeCell ref="B1264:D1264"/>
    <mergeCell ref="F1264:H1264"/>
    <mergeCell ref="J1264:L1264"/>
    <mergeCell ref="B1281:D1281"/>
    <mergeCell ref="F1281:H1281"/>
    <mergeCell ref="J1281:L1281"/>
    <mergeCell ref="B1230:D1230"/>
    <mergeCell ref="F1230:H1230"/>
    <mergeCell ref="J1230:L1230"/>
    <mergeCell ref="B1247:D1247"/>
    <mergeCell ref="F1247:H1247"/>
    <mergeCell ref="J1247:L1247"/>
    <mergeCell ref="B1196:D1196"/>
    <mergeCell ref="F1196:H1196"/>
    <mergeCell ref="J1196:L1196"/>
    <mergeCell ref="B1213:D1213"/>
    <mergeCell ref="F1213:H1213"/>
    <mergeCell ref="J1213:L1213"/>
    <mergeCell ref="B1162:D1162"/>
    <mergeCell ref="F1162:H1162"/>
    <mergeCell ref="J1162:L1162"/>
    <mergeCell ref="B1179:D1179"/>
    <mergeCell ref="F1179:H1179"/>
    <mergeCell ref="J1179:L1179"/>
    <mergeCell ref="B1128:D1128"/>
    <mergeCell ref="F1128:H1128"/>
    <mergeCell ref="J1128:L1128"/>
    <mergeCell ref="B1145:D1145"/>
    <mergeCell ref="F1145:H1145"/>
    <mergeCell ref="J1145:L1145"/>
    <mergeCell ref="B1094:D1094"/>
    <mergeCell ref="F1094:H1094"/>
    <mergeCell ref="J1094:L1094"/>
    <mergeCell ref="B1111:D1111"/>
    <mergeCell ref="F1111:H1111"/>
    <mergeCell ref="J1111:L1111"/>
    <mergeCell ref="B1060:D1060"/>
    <mergeCell ref="F1060:H1060"/>
    <mergeCell ref="J1060:L1060"/>
    <mergeCell ref="B1077:D1077"/>
    <mergeCell ref="F1077:H1077"/>
    <mergeCell ref="J1077:L1077"/>
    <mergeCell ref="B1026:D1026"/>
    <mergeCell ref="F1026:H1026"/>
    <mergeCell ref="J1026:L1026"/>
    <mergeCell ref="B1043:D1043"/>
    <mergeCell ref="F1043:H1043"/>
    <mergeCell ref="J1043:L1043"/>
    <mergeCell ref="B992:D992"/>
    <mergeCell ref="F992:H992"/>
    <mergeCell ref="J992:L992"/>
    <mergeCell ref="B1009:D1009"/>
    <mergeCell ref="F1009:H1009"/>
    <mergeCell ref="J1009:L1009"/>
    <mergeCell ref="B958:D958"/>
    <mergeCell ref="F958:H958"/>
    <mergeCell ref="J958:L958"/>
    <mergeCell ref="B975:D975"/>
    <mergeCell ref="F975:H975"/>
    <mergeCell ref="J975:L975"/>
    <mergeCell ref="B924:D924"/>
    <mergeCell ref="F924:H924"/>
    <mergeCell ref="J924:L924"/>
    <mergeCell ref="B941:D941"/>
    <mergeCell ref="F941:H941"/>
    <mergeCell ref="J941:L941"/>
    <mergeCell ref="B890:D890"/>
    <mergeCell ref="F890:H890"/>
    <mergeCell ref="J890:L890"/>
    <mergeCell ref="B907:D907"/>
    <mergeCell ref="F907:H907"/>
    <mergeCell ref="J907:L907"/>
    <mergeCell ref="B856:D856"/>
    <mergeCell ref="F856:H856"/>
    <mergeCell ref="J856:L856"/>
    <mergeCell ref="B873:D873"/>
    <mergeCell ref="F873:H873"/>
    <mergeCell ref="J873:L873"/>
    <mergeCell ref="B822:D822"/>
    <mergeCell ref="F822:H822"/>
    <mergeCell ref="J822:L822"/>
    <mergeCell ref="B839:D839"/>
    <mergeCell ref="F839:H839"/>
    <mergeCell ref="J839:L839"/>
    <mergeCell ref="B788:D788"/>
    <mergeCell ref="F788:H788"/>
    <mergeCell ref="J788:L788"/>
    <mergeCell ref="B805:D805"/>
    <mergeCell ref="F805:H805"/>
    <mergeCell ref="J805:L805"/>
    <mergeCell ref="B754:D754"/>
    <mergeCell ref="F754:H754"/>
    <mergeCell ref="J754:L754"/>
    <mergeCell ref="B771:D771"/>
    <mergeCell ref="F771:H771"/>
    <mergeCell ref="J771:L771"/>
    <mergeCell ref="B720:D720"/>
    <mergeCell ref="F720:H720"/>
    <mergeCell ref="J720:L720"/>
    <mergeCell ref="B737:D737"/>
    <mergeCell ref="F737:H737"/>
    <mergeCell ref="J737:L737"/>
    <mergeCell ref="B686:D686"/>
    <mergeCell ref="F686:H686"/>
    <mergeCell ref="J686:L686"/>
    <mergeCell ref="B703:D703"/>
    <mergeCell ref="F703:H703"/>
    <mergeCell ref="J703:L703"/>
    <mergeCell ref="B652:D652"/>
    <mergeCell ref="F652:H652"/>
    <mergeCell ref="J652:L652"/>
    <mergeCell ref="B669:D669"/>
    <mergeCell ref="F669:H669"/>
    <mergeCell ref="J669:L669"/>
    <mergeCell ref="B618:D618"/>
    <mergeCell ref="F618:H618"/>
    <mergeCell ref="J618:L618"/>
    <mergeCell ref="B635:D635"/>
    <mergeCell ref="F635:H635"/>
    <mergeCell ref="J635:L635"/>
    <mergeCell ref="B584:D584"/>
    <mergeCell ref="F584:H584"/>
    <mergeCell ref="J584:L584"/>
    <mergeCell ref="B601:D601"/>
    <mergeCell ref="F601:H601"/>
    <mergeCell ref="J601:L601"/>
    <mergeCell ref="B550:D550"/>
    <mergeCell ref="F550:H550"/>
    <mergeCell ref="J550:L550"/>
    <mergeCell ref="B567:D567"/>
    <mergeCell ref="F567:H567"/>
    <mergeCell ref="J567:L567"/>
    <mergeCell ref="B516:D516"/>
    <mergeCell ref="F516:H516"/>
    <mergeCell ref="J516:L516"/>
    <mergeCell ref="B533:D533"/>
    <mergeCell ref="F533:H533"/>
    <mergeCell ref="J533:L533"/>
    <mergeCell ref="B482:D482"/>
    <mergeCell ref="F482:H482"/>
    <mergeCell ref="J482:L482"/>
    <mergeCell ref="B499:D499"/>
    <mergeCell ref="F499:H499"/>
    <mergeCell ref="J499:L499"/>
    <mergeCell ref="B448:D448"/>
    <mergeCell ref="F448:H448"/>
    <mergeCell ref="J448:L448"/>
    <mergeCell ref="B465:D465"/>
    <mergeCell ref="F465:H465"/>
    <mergeCell ref="J465:L465"/>
    <mergeCell ref="B414:D414"/>
    <mergeCell ref="F414:H414"/>
    <mergeCell ref="J414:L414"/>
    <mergeCell ref="B431:D431"/>
    <mergeCell ref="F431:H431"/>
    <mergeCell ref="J431:L431"/>
    <mergeCell ref="B380:D380"/>
    <mergeCell ref="F380:H380"/>
    <mergeCell ref="J380:L380"/>
    <mergeCell ref="B397:D397"/>
    <mergeCell ref="F397:H397"/>
    <mergeCell ref="J397:L397"/>
    <mergeCell ref="B346:D346"/>
    <mergeCell ref="F346:H346"/>
    <mergeCell ref="J346:L346"/>
    <mergeCell ref="B363:D363"/>
    <mergeCell ref="F363:H363"/>
    <mergeCell ref="J363:L363"/>
    <mergeCell ref="B312:D312"/>
    <mergeCell ref="F312:H312"/>
    <mergeCell ref="J312:L312"/>
    <mergeCell ref="B329:D329"/>
    <mergeCell ref="F329:H329"/>
    <mergeCell ref="J329:L329"/>
    <mergeCell ref="B278:D278"/>
    <mergeCell ref="F278:H278"/>
    <mergeCell ref="J278:L278"/>
    <mergeCell ref="B295:D295"/>
    <mergeCell ref="F295:H295"/>
    <mergeCell ref="J295:L295"/>
    <mergeCell ref="B244:D244"/>
    <mergeCell ref="F244:H244"/>
    <mergeCell ref="J244:L244"/>
    <mergeCell ref="B261:D261"/>
    <mergeCell ref="F261:H261"/>
    <mergeCell ref="J261:L261"/>
    <mergeCell ref="B210:D210"/>
    <mergeCell ref="F210:H210"/>
    <mergeCell ref="J210:L210"/>
    <mergeCell ref="B227:D227"/>
    <mergeCell ref="F227:H227"/>
    <mergeCell ref="J227:L227"/>
    <mergeCell ref="B176:D176"/>
    <mergeCell ref="F176:H176"/>
    <mergeCell ref="J176:L176"/>
    <mergeCell ref="B193:D193"/>
    <mergeCell ref="F193:H193"/>
    <mergeCell ref="J193:L193"/>
    <mergeCell ref="B142:D142"/>
    <mergeCell ref="F142:H142"/>
    <mergeCell ref="J142:L142"/>
    <mergeCell ref="B159:D159"/>
    <mergeCell ref="F159:H159"/>
    <mergeCell ref="J159:L159"/>
    <mergeCell ref="B108:D108"/>
    <mergeCell ref="F108:H108"/>
    <mergeCell ref="J108:L108"/>
    <mergeCell ref="B125:D125"/>
    <mergeCell ref="F125:H125"/>
    <mergeCell ref="J125:L125"/>
    <mergeCell ref="B74:D74"/>
    <mergeCell ref="F74:H74"/>
    <mergeCell ref="J74:L74"/>
    <mergeCell ref="B91:D91"/>
    <mergeCell ref="F91:H91"/>
    <mergeCell ref="J91:L91"/>
    <mergeCell ref="B40:D40"/>
    <mergeCell ref="F40:H40"/>
    <mergeCell ref="J40:L40"/>
    <mergeCell ref="B57:D57"/>
    <mergeCell ref="F57:H57"/>
    <mergeCell ref="J57:L57"/>
    <mergeCell ref="B6:D6"/>
    <mergeCell ref="F6:H6"/>
    <mergeCell ref="J6:L6"/>
    <mergeCell ref="B23:D23"/>
    <mergeCell ref="F23:H23"/>
    <mergeCell ref="J23:L23"/>
  </mergeCells>
  <pageMargins left="0.7" right="0.7" top="0.75" bottom="0.75" header="0.3" footer="0.3"/>
  <pageSetup paperSize="9" scale="78" orientation="portrait" r:id="rId1"/>
  <rowBreaks count="19" manualBreakCount="19">
    <brk id="54" max="16383" man="1"/>
    <brk id="122" max="11" man="1"/>
    <brk id="190" max="11" man="1"/>
    <brk id="258" max="11" man="1"/>
    <brk id="326" max="11" man="1"/>
    <brk id="394" max="11" man="1"/>
    <brk id="462" max="11" man="1"/>
    <brk id="530" max="11" man="1"/>
    <brk id="598" max="11" man="1"/>
    <brk id="666" max="11" man="1"/>
    <brk id="734" max="11" man="1"/>
    <brk id="802" max="11" man="1"/>
    <brk id="870" max="11" man="1"/>
    <brk id="938" max="11" man="1"/>
    <brk id="1006" max="11" man="1"/>
    <brk id="1074" max="11" man="1"/>
    <brk id="1142" max="11" man="1"/>
    <brk id="1210" max="11" man="1"/>
    <brk id="1278" max="11" man="1"/>
  </rowBreaks>
  <colBreaks count="1" manualBreakCount="1"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W1295"/>
  <sheetViews>
    <sheetView showGridLines="0" zoomScale="85" zoomScaleNormal="85" workbookViewId="0"/>
  </sheetViews>
  <sheetFormatPr defaultRowHeight="12.75" x14ac:dyDescent="0.2"/>
  <cols>
    <col min="1" max="1" width="33.140625" bestFit="1" customWidth="1"/>
    <col min="2" max="4" width="4" customWidth="1"/>
    <col min="5" max="5" width="5.5703125" customWidth="1"/>
    <col min="6" max="6" width="4.7109375" customWidth="1"/>
    <col min="7" max="9" width="4" customWidth="1"/>
    <col min="10" max="10" width="5.5703125" customWidth="1"/>
    <col min="11" max="11" width="4.85546875" customWidth="1"/>
    <col min="12" max="14" width="4" customWidth="1"/>
    <col min="15" max="15" width="5.5703125" customWidth="1"/>
    <col min="259" max="259" width="33.140625" bestFit="1" customWidth="1"/>
    <col min="260" max="262" width="7.140625" customWidth="1"/>
    <col min="263" max="263" width="5" customWidth="1"/>
    <col min="264" max="266" width="7.140625" customWidth="1"/>
    <col min="267" max="267" width="5" customWidth="1"/>
    <col min="268" max="270" width="7.140625" customWidth="1"/>
    <col min="515" max="515" width="33.140625" bestFit="1" customWidth="1"/>
    <col min="516" max="518" width="7.140625" customWidth="1"/>
    <col min="519" max="519" width="5" customWidth="1"/>
    <col min="520" max="522" width="7.140625" customWidth="1"/>
    <col min="523" max="523" width="5" customWidth="1"/>
    <col min="524" max="526" width="7.140625" customWidth="1"/>
    <col min="771" max="771" width="33.140625" bestFit="1" customWidth="1"/>
    <col min="772" max="774" width="7.140625" customWidth="1"/>
    <col min="775" max="775" width="5" customWidth="1"/>
    <col min="776" max="778" width="7.140625" customWidth="1"/>
    <col min="779" max="779" width="5" customWidth="1"/>
    <col min="780" max="782" width="7.140625" customWidth="1"/>
    <col min="1027" max="1027" width="33.140625" bestFit="1" customWidth="1"/>
    <col min="1028" max="1030" width="7.140625" customWidth="1"/>
    <col min="1031" max="1031" width="5" customWidth="1"/>
    <col min="1032" max="1034" width="7.140625" customWidth="1"/>
    <col min="1035" max="1035" width="5" customWidth="1"/>
    <col min="1036" max="1038" width="7.140625" customWidth="1"/>
    <col min="1283" max="1283" width="33.140625" bestFit="1" customWidth="1"/>
    <col min="1284" max="1286" width="7.140625" customWidth="1"/>
    <col min="1287" max="1287" width="5" customWidth="1"/>
    <col min="1288" max="1290" width="7.140625" customWidth="1"/>
    <col min="1291" max="1291" width="5" customWidth="1"/>
    <col min="1292" max="1294" width="7.140625" customWidth="1"/>
    <col min="1539" max="1539" width="33.140625" bestFit="1" customWidth="1"/>
    <col min="1540" max="1542" width="7.140625" customWidth="1"/>
    <col min="1543" max="1543" width="5" customWidth="1"/>
    <col min="1544" max="1546" width="7.140625" customWidth="1"/>
    <col min="1547" max="1547" width="5" customWidth="1"/>
    <col min="1548" max="1550" width="7.140625" customWidth="1"/>
    <col min="1795" max="1795" width="33.140625" bestFit="1" customWidth="1"/>
    <col min="1796" max="1798" width="7.140625" customWidth="1"/>
    <col min="1799" max="1799" width="5" customWidth="1"/>
    <col min="1800" max="1802" width="7.140625" customWidth="1"/>
    <col min="1803" max="1803" width="5" customWidth="1"/>
    <col min="1804" max="1806" width="7.140625" customWidth="1"/>
    <col min="2051" max="2051" width="33.140625" bestFit="1" customWidth="1"/>
    <col min="2052" max="2054" width="7.140625" customWidth="1"/>
    <col min="2055" max="2055" width="5" customWidth="1"/>
    <col min="2056" max="2058" width="7.140625" customWidth="1"/>
    <col min="2059" max="2059" width="5" customWidth="1"/>
    <col min="2060" max="2062" width="7.140625" customWidth="1"/>
    <col min="2307" max="2307" width="33.140625" bestFit="1" customWidth="1"/>
    <col min="2308" max="2310" width="7.140625" customWidth="1"/>
    <col min="2311" max="2311" width="5" customWidth="1"/>
    <col min="2312" max="2314" width="7.140625" customWidth="1"/>
    <col min="2315" max="2315" width="5" customWidth="1"/>
    <col min="2316" max="2318" width="7.140625" customWidth="1"/>
    <col min="2563" max="2563" width="33.140625" bestFit="1" customWidth="1"/>
    <col min="2564" max="2566" width="7.140625" customWidth="1"/>
    <col min="2567" max="2567" width="5" customWidth="1"/>
    <col min="2568" max="2570" width="7.140625" customWidth="1"/>
    <col min="2571" max="2571" width="5" customWidth="1"/>
    <col min="2572" max="2574" width="7.140625" customWidth="1"/>
    <col min="2819" max="2819" width="33.140625" bestFit="1" customWidth="1"/>
    <col min="2820" max="2822" width="7.140625" customWidth="1"/>
    <col min="2823" max="2823" width="5" customWidth="1"/>
    <col min="2824" max="2826" width="7.140625" customWidth="1"/>
    <col min="2827" max="2827" width="5" customWidth="1"/>
    <col min="2828" max="2830" width="7.140625" customWidth="1"/>
    <col min="3075" max="3075" width="33.140625" bestFit="1" customWidth="1"/>
    <col min="3076" max="3078" width="7.140625" customWidth="1"/>
    <col min="3079" max="3079" width="5" customWidth="1"/>
    <col min="3080" max="3082" width="7.140625" customWidth="1"/>
    <col min="3083" max="3083" width="5" customWidth="1"/>
    <col min="3084" max="3086" width="7.140625" customWidth="1"/>
    <col min="3331" max="3331" width="33.140625" bestFit="1" customWidth="1"/>
    <col min="3332" max="3334" width="7.140625" customWidth="1"/>
    <col min="3335" max="3335" width="5" customWidth="1"/>
    <col min="3336" max="3338" width="7.140625" customWidth="1"/>
    <col min="3339" max="3339" width="5" customWidth="1"/>
    <col min="3340" max="3342" width="7.140625" customWidth="1"/>
    <col min="3587" max="3587" width="33.140625" bestFit="1" customWidth="1"/>
    <col min="3588" max="3590" width="7.140625" customWidth="1"/>
    <col min="3591" max="3591" width="5" customWidth="1"/>
    <col min="3592" max="3594" width="7.140625" customWidth="1"/>
    <col min="3595" max="3595" width="5" customWidth="1"/>
    <col min="3596" max="3598" width="7.140625" customWidth="1"/>
    <col min="3843" max="3843" width="33.140625" bestFit="1" customWidth="1"/>
    <col min="3844" max="3846" width="7.140625" customWidth="1"/>
    <col min="3847" max="3847" width="5" customWidth="1"/>
    <col min="3848" max="3850" width="7.140625" customWidth="1"/>
    <col min="3851" max="3851" width="5" customWidth="1"/>
    <col min="3852" max="3854" width="7.140625" customWidth="1"/>
    <col min="4099" max="4099" width="33.140625" bestFit="1" customWidth="1"/>
    <col min="4100" max="4102" width="7.140625" customWidth="1"/>
    <col min="4103" max="4103" width="5" customWidth="1"/>
    <col min="4104" max="4106" width="7.140625" customWidth="1"/>
    <col min="4107" max="4107" width="5" customWidth="1"/>
    <col min="4108" max="4110" width="7.140625" customWidth="1"/>
    <col min="4355" max="4355" width="33.140625" bestFit="1" customWidth="1"/>
    <col min="4356" max="4358" width="7.140625" customWidth="1"/>
    <col min="4359" max="4359" width="5" customWidth="1"/>
    <col min="4360" max="4362" width="7.140625" customWidth="1"/>
    <col min="4363" max="4363" width="5" customWidth="1"/>
    <col min="4364" max="4366" width="7.140625" customWidth="1"/>
    <col min="4611" max="4611" width="33.140625" bestFit="1" customWidth="1"/>
    <col min="4612" max="4614" width="7.140625" customWidth="1"/>
    <col min="4615" max="4615" width="5" customWidth="1"/>
    <col min="4616" max="4618" width="7.140625" customWidth="1"/>
    <col min="4619" max="4619" width="5" customWidth="1"/>
    <col min="4620" max="4622" width="7.140625" customWidth="1"/>
    <col min="4867" max="4867" width="33.140625" bestFit="1" customWidth="1"/>
    <col min="4868" max="4870" width="7.140625" customWidth="1"/>
    <col min="4871" max="4871" width="5" customWidth="1"/>
    <col min="4872" max="4874" width="7.140625" customWidth="1"/>
    <col min="4875" max="4875" width="5" customWidth="1"/>
    <col min="4876" max="4878" width="7.140625" customWidth="1"/>
    <col min="5123" max="5123" width="33.140625" bestFit="1" customWidth="1"/>
    <col min="5124" max="5126" width="7.140625" customWidth="1"/>
    <col min="5127" max="5127" width="5" customWidth="1"/>
    <col min="5128" max="5130" width="7.140625" customWidth="1"/>
    <col min="5131" max="5131" width="5" customWidth="1"/>
    <col min="5132" max="5134" width="7.140625" customWidth="1"/>
    <col min="5379" max="5379" width="33.140625" bestFit="1" customWidth="1"/>
    <col min="5380" max="5382" width="7.140625" customWidth="1"/>
    <col min="5383" max="5383" width="5" customWidth="1"/>
    <col min="5384" max="5386" width="7.140625" customWidth="1"/>
    <col min="5387" max="5387" width="5" customWidth="1"/>
    <col min="5388" max="5390" width="7.140625" customWidth="1"/>
    <col min="5635" max="5635" width="33.140625" bestFit="1" customWidth="1"/>
    <col min="5636" max="5638" width="7.140625" customWidth="1"/>
    <col min="5639" max="5639" width="5" customWidth="1"/>
    <col min="5640" max="5642" width="7.140625" customWidth="1"/>
    <col min="5643" max="5643" width="5" customWidth="1"/>
    <col min="5644" max="5646" width="7.140625" customWidth="1"/>
    <col min="5891" max="5891" width="33.140625" bestFit="1" customWidth="1"/>
    <col min="5892" max="5894" width="7.140625" customWidth="1"/>
    <col min="5895" max="5895" width="5" customWidth="1"/>
    <col min="5896" max="5898" width="7.140625" customWidth="1"/>
    <col min="5899" max="5899" width="5" customWidth="1"/>
    <col min="5900" max="5902" width="7.140625" customWidth="1"/>
    <col min="6147" max="6147" width="33.140625" bestFit="1" customWidth="1"/>
    <col min="6148" max="6150" width="7.140625" customWidth="1"/>
    <col min="6151" max="6151" width="5" customWidth="1"/>
    <col min="6152" max="6154" width="7.140625" customWidth="1"/>
    <col min="6155" max="6155" width="5" customWidth="1"/>
    <col min="6156" max="6158" width="7.140625" customWidth="1"/>
    <col min="6403" max="6403" width="33.140625" bestFit="1" customWidth="1"/>
    <col min="6404" max="6406" width="7.140625" customWidth="1"/>
    <col min="6407" max="6407" width="5" customWidth="1"/>
    <col min="6408" max="6410" width="7.140625" customWidth="1"/>
    <col min="6411" max="6411" width="5" customWidth="1"/>
    <col min="6412" max="6414" width="7.140625" customWidth="1"/>
    <col min="6659" max="6659" width="33.140625" bestFit="1" customWidth="1"/>
    <col min="6660" max="6662" width="7.140625" customWidth="1"/>
    <col min="6663" max="6663" width="5" customWidth="1"/>
    <col min="6664" max="6666" width="7.140625" customWidth="1"/>
    <col min="6667" max="6667" width="5" customWidth="1"/>
    <col min="6668" max="6670" width="7.140625" customWidth="1"/>
    <col min="6915" max="6915" width="33.140625" bestFit="1" customWidth="1"/>
    <col min="6916" max="6918" width="7.140625" customWidth="1"/>
    <col min="6919" max="6919" width="5" customWidth="1"/>
    <col min="6920" max="6922" width="7.140625" customWidth="1"/>
    <col min="6923" max="6923" width="5" customWidth="1"/>
    <col min="6924" max="6926" width="7.140625" customWidth="1"/>
    <col min="7171" max="7171" width="33.140625" bestFit="1" customWidth="1"/>
    <col min="7172" max="7174" width="7.140625" customWidth="1"/>
    <col min="7175" max="7175" width="5" customWidth="1"/>
    <col min="7176" max="7178" width="7.140625" customWidth="1"/>
    <col min="7179" max="7179" width="5" customWidth="1"/>
    <col min="7180" max="7182" width="7.140625" customWidth="1"/>
    <col min="7427" max="7427" width="33.140625" bestFit="1" customWidth="1"/>
    <col min="7428" max="7430" width="7.140625" customWidth="1"/>
    <col min="7431" max="7431" width="5" customWidth="1"/>
    <col min="7432" max="7434" width="7.140625" customWidth="1"/>
    <col min="7435" max="7435" width="5" customWidth="1"/>
    <col min="7436" max="7438" width="7.140625" customWidth="1"/>
    <col min="7683" max="7683" width="33.140625" bestFit="1" customWidth="1"/>
    <col min="7684" max="7686" width="7.140625" customWidth="1"/>
    <col min="7687" max="7687" width="5" customWidth="1"/>
    <col min="7688" max="7690" width="7.140625" customWidth="1"/>
    <col min="7691" max="7691" width="5" customWidth="1"/>
    <col min="7692" max="7694" width="7.140625" customWidth="1"/>
    <col min="7939" max="7939" width="33.140625" bestFit="1" customWidth="1"/>
    <col min="7940" max="7942" width="7.140625" customWidth="1"/>
    <col min="7943" max="7943" width="5" customWidth="1"/>
    <col min="7944" max="7946" width="7.140625" customWidth="1"/>
    <col min="7947" max="7947" width="5" customWidth="1"/>
    <col min="7948" max="7950" width="7.140625" customWidth="1"/>
    <col min="8195" max="8195" width="33.140625" bestFit="1" customWidth="1"/>
    <col min="8196" max="8198" width="7.140625" customWidth="1"/>
    <col min="8199" max="8199" width="5" customWidth="1"/>
    <col min="8200" max="8202" width="7.140625" customWidth="1"/>
    <col min="8203" max="8203" width="5" customWidth="1"/>
    <col min="8204" max="8206" width="7.140625" customWidth="1"/>
    <col min="8451" max="8451" width="33.140625" bestFit="1" customWidth="1"/>
    <col min="8452" max="8454" width="7.140625" customWidth="1"/>
    <col min="8455" max="8455" width="5" customWidth="1"/>
    <col min="8456" max="8458" width="7.140625" customWidth="1"/>
    <col min="8459" max="8459" width="5" customWidth="1"/>
    <col min="8460" max="8462" width="7.140625" customWidth="1"/>
    <col min="8707" max="8707" width="33.140625" bestFit="1" customWidth="1"/>
    <col min="8708" max="8710" width="7.140625" customWidth="1"/>
    <col min="8711" max="8711" width="5" customWidth="1"/>
    <col min="8712" max="8714" width="7.140625" customWidth="1"/>
    <col min="8715" max="8715" width="5" customWidth="1"/>
    <col min="8716" max="8718" width="7.140625" customWidth="1"/>
    <col min="8963" max="8963" width="33.140625" bestFit="1" customWidth="1"/>
    <col min="8964" max="8966" width="7.140625" customWidth="1"/>
    <col min="8967" max="8967" width="5" customWidth="1"/>
    <col min="8968" max="8970" width="7.140625" customWidth="1"/>
    <col min="8971" max="8971" width="5" customWidth="1"/>
    <col min="8972" max="8974" width="7.140625" customWidth="1"/>
    <col min="9219" max="9219" width="33.140625" bestFit="1" customWidth="1"/>
    <col min="9220" max="9222" width="7.140625" customWidth="1"/>
    <col min="9223" max="9223" width="5" customWidth="1"/>
    <col min="9224" max="9226" width="7.140625" customWidth="1"/>
    <col min="9227" max="9227" width="5" customWidth="1"/>
    <col min="9228" max="9230" width="7.140625" customWidth="1"/>
    <col min="9475" max="9475" width="33.140625" bestFit="1" customWidth="1"/>
    <col min="9476" max="9478" width="7.140625" customWidth="1"/>
    <col min="9479" max="9479" width="5" customWidth="1"/>
    <col min="9480" max="9482" width="7.140625" customWidth="1"/>
    <col min="9483" max="9483" width="5" customWidth="1"/>
    <col min="9484" max="9486" width="7.140625" customWidth="1"/>
    <col min="9731" max="9731" width="33.140625" bestFit="1" customWidth="1"/>
    <col min="9732" max="9734" width="7.140625" customWidth="1"/>
    <col min="9735" max="9735" width="5" customWidth="1"/>
    <col min="9736" max="9738" width="7.140625" customWidth="1"/>
    <col min="9739" max="9739" width="5" customWidth="1"/>
    <col min="9740" max="9742" width="7.140625" customWidth="1"/>
    <col min="9987" max="9987" width="33.140625" bestFit="1" customWidth="1"/>
    <col min="9988" max="9990" width="7.140625" customWidth="1"/>
    <col min="9991" max="9991" width="5" customWidth="1"/>
    <col min="9992" max="9994" width="7.140625" customWidth="1"/>
    <col min="9995" max="9995" width="5" customWidth="1"/>
    <col min="9996" max="9998" width="7.140625" customWidth="1"/>
    <col min="10243" max="10243" width="33.140625" bestFit="1" customWidth="1"/>
    <col min="10244" max="10246" width="7.140625" customWidth="1"/>
    <col min="10247" max="10247" width="5" customWidth="1"/>
    <col min="10248" max="10250" width="7.140625" customWidth="1"/>
    <col min="10251" max="10251" width="5" customWidth="1"/>
    <col min="10252" max="10254" width="7.140625" customWidth="1"/>
    <col min="10499" max="10499" width="33.140625" bestFit="1" customWidth="1"/>
    <col min="10500" max="10502" width="7.140625" customWidth="1"/>
    <col min="10503" max="10503" width="5" customWidth="1"/>
    <col min="10504" max="10506" width="7.140625" customWidth="1"/>
    <col min="10507" max="10507" width="5" customWidth="1"/>
    <col min="10508" max="10510" width="7.140625" customWidth="1"/>
    <col min="10755" max="10755" width="33.140625" bestFit="1" customWidth="1"/>
    <col min="10756" max="10758" width="7.140625" customWidth="1"/>
    <col min="10759" max="10759" width="5" customWidth="1"/>
    <col min="10760" max="10762" width="7.140625" customWidth="1"/>
    <col min="10763" max="10763" width="5" customWidth="1"/>
    <col min="10764" max="10766" width="7.140625" customWidth="1"/>
    <col min="11011" max="11011" width="33.140625" bestFit="1" customWidth="1"/>
    <col min="11012" max="11014" width="7.140625" customWidth="1"/>
    <col min="11015" max="11015" width="5" customWidth="1"/>
    <col min="11016" max="11018" width="7.140625" customWidth="1"/>
    <col min="11019" max="11019" width="5" customWidth="1"/>
    <col min="11020" max="11022" width="7.140625" customWidth="1"/>
    <col min="11267" max="11267" width="33.140625" bestFit="1" customWidth="1"/>
    <col min="11268" max="11270" width="7.140625" customWidth="1"/>
    <col min="11271" max="11271" width="5" customWidth="1"/>
    <col min="11272" max="11274" width="7.140625" customWidth="1"/>
    <col min="11275" max="11275" width="5" customWidth="1"/>
    <col min="11276" max="11278" width="7.140625" customWidth="1"/>
    <col min="11523" max="11523" width="33.140625" bestFit="1" customWidth="1"/>
    <col min="11524" max="11526" width="7.140625" customWidth="1"/>
    <col min="11527" max="11527" width="5" customWidth="1"/>
    <col min="11528" max="11530" width="7.140625" customWidth="1"/>
    <col min="11531" max="11531" width="5" customWidth="1"/>
    <col min="11532" max="11534" width="7.140625" customWidth="1"/>
    <col min="11779" max="11779" width="33.140625" bestFit="1" customWidth="1"/>
    <col min="11780" max="11782" width="7.140625" customWidth="1"/>
    <col min="11783" max="11783" width="5" customWidth="1"/>
    <col min="11784" max="11786" width="7.140625" customWidth="1"/>
    <col min="11787" max="11787" width="5" customWidth="1"/>
    <col min="11788" max="11790" width="7.140625" customWidth="1"/>
    <col min="12035" max="12035" width="33.140625" bestFit="1" customWidth="1"/>
    <col min="12036" max="12038" width="7.140625" customWidth="1"/>
    <col min="12039" max="12039" width="5" customWidth="1"/>
    <col min="12040" max="12042" width="7.140625" customWidth="1"/>
    <col min="12043" max="12043" width="5" customWidth="1"/>
    <col min="12044" max="12046" width="7.140625" customWidth="1"/>
    <col min="12291" max="12291" width="33.140625" bestFit="1" customWidth="1"/>
    <col min="12292" max="12294" width="7.140625" customWidth="1"/>
    <col min="12295" max="12295" width="5" customWidth="1"/>
    <col min="12296" max="12298" width="7.140625" customWidth="1"/>
    <col min="12299" max="12299" width="5" customWidth="1"/>
    <col min="12300" max="12302" width="7.140625" customWidth="1"/>
    <col min="12547" max="12547" width="33.140625" bestFit="1" customWidth="1"/>
    <col min="12548" max="12550" width="7.140625" customWidth="1"/>
    <col min="12551" max="12551" width="5" customWidth="1"/>
    <col min="12552" max="12554" width="7.140625" customWidth="1"/>
    <col min="12555" max="12555" width="5" customWidth="1"/>
    <col min="12556" max="12558" width="7.140625" customWidth="1"/>
    <col min="12803" max="12803" width="33.140625" bestFit="1" customWidth="1"/>
    <col min="12804" max="12806" width="7.140625" customWidth="1"/>
    <col min="12807" max="12807" width="5" customWidth="1"/>
    <col min="12808" max="12810" width="7.140625" customWidth="1"/>
    <col min="12811" max="12811" width="5" customWidth="1"/>
    <col min="12812" max="12814" width="7.140625" customWidth="1"/>
    <col min="13059" max="13059" width="33.140625" bestFit="1" customWidth="1"/>
    <col min="13060" max="13062" width="7.140625" customWidth="1"/>
    <col min="13063" max="13063" width="5" customWidth="1"/>
    <col min="13064" max="13066" width="7.140625" customWidth="1"/>
    <col min="13067" max="13067" width="5" customWidth="1"/>
    <col min="13068" max="13070" width="7.140625" customWidth="1"/>
    <col min="13315" max="13315" width="33.140625" bestFit="1" customWidth="1"/>
    <col min="13316" max="13318" width="7.140625" customWidth="1"/>
    <col min="13319" max="13319" width="5" customWidth="1"/>
    <col min="13320" max="13322" width="7.140625" customWidth="1"/>
    <col min="13323" max="13323" width="5" customWidth="1"/>
    <col min="13324" max="13326" width="7.140625" customWidth="1"/>
    <col min="13571" max="13571" width="33.140625" bestFit="1" customWidth="1"/>
    <col min="13572" max="13574" width="7.140625" customWidth="1"/>
    <col min="13575" max="13575" width="5" customWidth="1"/>
    <col min="13576" max="13578" width="7.140625" customWidth="1"/>
    <col min="13579" max="13579" width="5" customWidth="1"/>
    <col min="13580" max="13582" width="7.140625" customWidth="1"/>
    <col min="13827" max="13827" width="33.140625" bestFit="1" customWidth="1"/>
    <col min="13828" max="13830" width="7.140625" customWidth="1"/>
    <col min="13831" max="13831" width="5" customWidth="1"/>
    <col min="13832" max="13834" width="7.140625" customWidth="1"/>
    <col min="13835" max="13835" width="5" customWidth="1"/>
    <col min="13836" max="13838" width="7.140625" customWidth="1"/>
    <col min="14083" max="14083" width="33.140625" bestFit="1" customWidth="1"/>
    <col min="14084" max="14086" width="7.140625" customWidth="1"/>
    <col min="14087" max="14087" width="5" customWidth="1"/>
    <col min="14088" max="14090" width="7.140625" customWidth="1"/>
    <col min="14091" max="14091" width="5" customWidth="1"/>
    <col min="14092" max="14094" width="7.140625" customWidth="1"/>
    <col min="14339" max="14339" width="33.140625" bestFit="1" customWidth="1"/>
    <col min="14340" max="14342" width="7.140625" customWidth="1"/>
    <col min="14343" max="14343" width="5" customWidth="1"/>
    <col min="14344" max="14346" width="7.140625" customWidth="1"/>
    <col min="14347" max="14347" width="5" customWidth="1"/>
    <col min="14348" max="14350" width="7.140625" customWidth="1"/>
    <col min="14595" max="14595" width="33.140625" bestFit="1" customWidth="1"/>
    <col min="14596" max="14598" width="7.140625" customWidth="1"/>
    <col min="14599" max="14599" width="5" customWidth="1"/>
    <col min="14600" max="14602" width="7.140625" customWidth="1"/>
    <col min="14603" max="14603" width="5" customWidth="1"/>
    <col min="14604" max="14606" width="7.140625" customWidth="1"/>
    <col min="14851" max="14851" width="33.140625" bestFit="1" customWidth="1"/>
    <col min="14852" max="14854" width="7.140625" customWidth="1"/>
    <col min="14855" max="14855" width="5" customWidth="1"/>
    <col min="14856" max="14858" width="7.140625" customWidth="1"/>
    <col min="14859" max="14859" width="5" customWidth="1"/>
    <col min="14860" max="14862" width="7.140625" customWidth="1"/>
    <col min="15107" max="15107" width="33.140625" bestFit="1" customWidth="1"/>
    <col min="15108" max="15110" width="7.140625" customWidth="1"/>
    <col min="15111" max="15111" width="5" customWidth="1"/>
    <col min="15112" max="15114" width="7.140625" customWidth="1"/>
    <col min="15115" max="15115" width="5" customWidth="1"/>
    <col min="15116" max="15118" width="7.140625" customWidth="1"/>
    <col min="15363" max="15363" width="33.140625" bestFit="1" customWidth="1"/>
    <col min="15364" max="15366" width="7.140625" customWidth="1"/>
    <col min="15367" max="15367" width="5" customWidth="1"/>
    <col min="15368" max="15370" width="7.140625" customWidth="1"/>
    <col min="15371" max="15371" width="5" customWidth="1"/>
    <col min="15372" max="15374" width="7.140625" customWidth="1"/>
    <col min="15619" max="15619" width="33.140625" bestFit="1" customWidth="1"/>
    <col min="15620" max="15622" width="7.140625" customWidth="1"/>
    <col min="15623" max="15623" width="5" customWidth="1"/>
    <col min="15624" max="15626" width="7.140625" customWidth="1"/>
    <col min="15627" max="15627" width="5" customWidth="1"/>
    <col min="15628" max="15630" width="7.140625" customWidth="1"/>
    <col min="15875" max="15875" width="33.140625" bestFit="1" customWidth="1"/>
    <col min="15876" max="15878" width="7.140625" customWidth="1"/>
    <col min="15879" max="15879" width="5" customWidth="1"/>
    <col min="15880" max="15882" width="7.140625" customWidth="1"/>
    <col min="15883" max="15883" width="5" customWidth="1"/>
    <col min="15884" max="15886" width="7.140625" customWidth="1"/>
    <col min="16131" max="16131" width="33.140625" bestFit="1" customWidth="1"/>
    <col min="16132" max="16134" width="7.140625" customWidth="1"/>
    <col min="16135" max="16135" width="5" customWidth="1"/>
    <col min="16136" max="16138" width="7.140625" customWidth="1"/>
    <col min="16139" max="16139" width="5" customWidth="1"/>
    <col min="16140" max="16142" width="7.140625" customWidth="1"/>
  </cols>
  <sheetData>
    <row r="1" spans="1:23" s="286" customFormat="1" ht="15.75" x14ac:dyDescent="0.25">
      <c r="A1" s="265" t="str">
        <f>CONCATENATE("Industry and Occupation Table 2  Occuptation composition by employment status, ",B$6,"-",L$6)</f>
        <v>Industry and Occupation Table 2  Occuptation composition by employment status, 2007-2027</v>
      </c>
    </row>
    <row r="2" spans="1:23" s="286" customFormat="1" x14ac:dyDescent="0.2"/>
    <row r="3" spans="1:23" s="286" customFormat="1" x14ac:dyDescent="0.2"/>
    <row r="4" spans="1:23" s="286" customFormat="1" x14ac:dyDescent="0.2">
      <c r="O4" s="367" t="s">
        <v>35</v>
      </c>
    </row>
    <row r="5" spans="1:23" s="402" customFormat="1" x14ac:dyDescent="0.2">
      <c r="A5" s="355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</row>
    <row r="6" spans="1:23" s="402" customFormat="1" x14ac:dyDescent="0.2">
      <c r="A6" s="354" t="s">
        <v>0</v>
      </c>
      <c r="B6" s="517">
        <v>2007</v>
      </c>
      <c r="C6" s="517"/>
      <c r="D6" s="517"/>
      <c r="E6" s="517"/>
      <c r="F6" s="359"/>
      <c r="G6" s="517">
        <v>2017</v>
      </c>
      <c r="H6" s="517"/>
      <c r="I6" s="517"/>
      <c r="J6" s="517"/>
      <c r="K6" s="401"/>
      <c r="L6" s="517">
        <v>2027</v>
      </c>
      <c r="M6" s="517"/>
      <c r="N6" s="517"/>
      <c r="O6" s="517"/>
      <c r="S6" s="403"/>
      <c r="T6" s="403"/>
      <c r="U6" s="403"/>
      <c r="V6" s="403"/>
      <c r="W6" s="403"/>
    </row>
    <row r="7" spans="1:23" s="402" customFormat="1" x14ac:dyDescent="0.2">
      <c r="A7" s="368"/>
      <c r="B7" s="388" t="str">
        <f>name!$J$5</f>
        <v>FT</v>
      </c>
      <c r="C7" s="388" t="str">
        <f>name!$J$6</f>
        <v>PT</v>
      </c>
      <c r="D7" s="388" t="str">
        <f>name!$J$4</f>
        <v>SE</v>
      </c>
      <c r="E7" s="388" t="s">
        <v>32</v>
      </c>
      <c r="F7" s="404"/>
      <c r="G7" s="388" t="str">
        <f>name!$J$5</f>
        <v>FT</v>
      </c>
      <c r="H7" s="388" t="str">
        <f>name!$J$6</f>
        <v>PT</v>
      </c>
      <c r="I7" s="388" t="str">
        <f>name!$J$4</f>
        <v>SE</v>
      </c>
      <c r="J7" s="388" t="s">
        <v>32</v>
      </c>
      <c r="K7" s="404"/>
      <c r="L7" s="388" t="str">
        <f>name!$J$5</f>
        <v>FT</v>
      </c>
      <c r="M7" s="388" t="str">
        <f>name!$J$6</f>
        <v>PT</v>
      </c>
      <c r="N7" s="388" t="str">
        <f>name!$J$4</f>
        <v>SE</v>
      </c>
      <c r="O7" s="388" t="s">
        <v>32</v>
      </c>
      <c r="T7" s="405"/>
      <c r="V7" s="405"/>
    </row>
    <row r="8" spans="1:23" s="351" customFormat="1" x14ac:dyDescent="0.2">
      <c r="A8" s="352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T8" s="363"/>
      <c r="V8" s="363"/>
    </row>
    <row r="9" spans="1:23" s="351" customFormat="1" x14ac:dyDescent="0.2">
      <c r="A9" s="362" t="str">
        <f>name!E$4</f>
        <v>Managers, directors and senior officials</v>
      </c>
      <c r="B9" s="363">
        <f>SUM(B26,B43,B60,B77,B94,B111,B128,B145,B162,B179,B196,B213,B230,B247,B264,B281,B298,B315,B332,B349,B366,B383,B400,B417,B434,B451,B468,B485,B502,B519,B536,B553,B570,B587,B604,B621,B638,B655,B672,B689,B706,B723,B740,B757,B774,B791,B808,B825,B842,B859,B876,B893,B910,B927,B944,B961,B978,B995,B1012,B1029,B1046,B1063,B1080,B1097,B1114,B1131,B1148,B1165,B1182,B1199,B1216,B1233,B1250,B1267,B1284)</f>
        <v>56.503934751969815</v>
      </c>
      <c r="C9" s="363">
        <f t="shared" ref="C9:D9" si="0">SUM(C26,C43,C60,C77,C94,C111,C128,C145,C162,C179,C196,C213,C230,C247,C264,C281,C298,C315,C332,C349,C366,C383,C400,C417,C434,C451,C468,C485,C502,C519,C536,C553,C570,C587,C604,C621,C638,C655,C672,C689,C706,C723,C740,C757,C774,C791,C808,C825,C842,C859,C876,C893,C910,C927,C944,C961,C978,C995,C1012,C1029,C1046,C1063,C1080,C1097,C1114,C1131,C1148,C1165,C1182,C1199,C1216,C1233,C1250,C1267,C1284)</f>
        <v>9.4435918430572112</v>
      </c>
      <c r="D9" s="363">
        <f t="shared" si="0"/>
        <v>30.418464064469475</v>
      </c>
      <c r="E9" s="363">
        <f>SUM(B9:D9)</f>
        <v>96.365990659496504</v>
      </c>
      <c r="F9" s="364"/>
      <c r="G9" s="363">
        <f>SUM(G26,G43,G60,G77,G94,G111,G128,G145,G162,G179,G196,G213,G230,G247,G264,G281,G298,G315,G332,G349,G366,G383,G400,G417,G434,G451,G468,G485,G502,G519,G536,G553,G570,G587,G604,G621,G638,G655,G672,G689,G706,G723,G740,G757,G774,G791,G808,G825,G842,G859,G876,G893,G910,G927,G944,G961,G978,G995,G1012,G1029,G1046,G1063,G1080,G1097,G1114,G1131,G1148,G1165,G1182,G1199,G1216,G1233,G1250,G1267,G1284)</f>
        <v>70.258307030863378</v>
      </c>
      <c r="H9" s="363">
        <f t="shared" ref="H9:I9" si="1">SUM(H26,H43,H60,H77,H94,H111,H128,H145,H162,H179,H196,H213,H230,H247,H264,H281,H298,H315,H332,H349,H366,H383,H400,H417,H434,H451,H468,H485,H502,H519,H536,H553,H570,H587,H604,H621,H638,H655,H672,H689,H706,H723,H740,H757,H774,H791,H808,H825,H842,H859,H876,H893,H910,H927,H944,H961,H978,H995,H1012,H1029,H1046,H1063,H1080,H1097,H1114,H1131,H1148,H1165,H1182,H1199,H1216,H1233,H1250,H1267,H1284)</f>
        <v>13.68887978890584</v>
      </c>
      <c r="I9" s="363">
        <f t="shared" si="1"/>
        <v>37.442533618918674</v>
      </c>
      <c r="J9" s="363">
        <f>SUM(G9:I9)</f>
        <v>121.38972043868789</v>
      </c>
      <c r="K9" s="364"/>
      <c r="L9" s="363">
        <f>SUM(L26,L43,L60,L77,L94,L111,L128,L145,L162,L179,L196,L213,L230,L247,L264,L281,L298,L315,L332,L349,L366,L383,L400,L417,L434,L451,L468,L485,L502,L519,L536,L553,L570,L587,L604,L621,L638,L655,L672,L689,L706,L723,L740,L757,L774,L791,L808,L825,L842,L859,L876,L893,L910,L927,L944,L961,L978,L995,L1012,L1029,L1046,L1063,L1080,L1097,L1114,L1131,L1148,L1165,L1182,L1199,L1216,L1233,L1250,L1267,L1284)</f>
        <v>82.148471614168926</v>
      </c>
      <c r="M9" s="363">
        <f t="shared" ref="M9:N9" si="2">SUM(M26,M43,M60,M77,M94,M111,M128,M145,M162,M179,M196,M213,M230,M247,M264,M281,M298,M315,M332,M349,M366,M383,M400,M417,M434,M451,M468,M485,M502,M519,M536,M553,M570,M587,M604,M621,M638,M655,M672,M689,M706,M723,M740,M757,M774,M791,M808,M825,M842,M859,M876,M893,M910,M927,M944,M961,M978,M995,M1012,M1029,M1046,M1063,M1080,M1097,M1114,M1131,M1148,M1165,M1182,M1199,M1216,M1233,M1250,M1267,M1284)</f>
        <v>17.936914852541172</v>
      </c>
      <c r="N9" s="363">
        <f t="shared" si="2"/>
        <v>36.633168965158362</v>
      </c>
      <c r="O9" s="363">
        <f>SUM(L9:N9)</f>
        <v>136.71855543186848</v>
      </c>
      <c r="T9" s="363"/>
      <c r="V9" s="363"/>
    </row>
    <row r="10" spans="1:23" s="351" customFormat="1" x14ac:dyDescent="0.2">
      <c r="A10" s="362" t="str">
        <f>name!E$5</f>
        <v>Professional occupations</v>
      </c>
      <c r="B10" s="363">
        <f t="shared" ref="B10:D10" si="3">SUM(B27,B44,B61,B78,B95,B112,B129,B146,B163,B180,B197,B214,B231,B248,B265,B282,B299,B316,B333,B350,B367,B384,B401,B418,B435,B452,B469,B486,B503,B520,B537,B554,B571,B588,B605,B622,B639,B656,B673,B690,B707,B724,B741,B758,B775,B792,B809,B826,B843,B860,B877,B894,B911,B928,B945,B962,B979,B996,B1013,B1030,B1047,B1064,B1081,B1098,B1115,B1132,B1149,B1166,B1183,B1200,B1217,B1234,B1251,B1268,B1285)</f>
        <v>154.10888905629503</v>
      </c>
      <c r="C10" s="363">
        <f t="shared" si="3"/>
        <v>48.362246557911796</v>
      </c>
      <c r="D10" s="363">
        <f t="shared" si="3"/>
        <v>18.610399343532606</v>
      </c>
      <c r="E10" s="363">
        <f t="shared" ref="E10:E17" si="4">SUM(B10:D10)</f>
        <v>221.08153495773942</v>
      </c>
      <c r="F10" s="364"/>
      <c r="G10" s="363">
        <f t="shared" ref="G10:I10" si="5">SUM(G27,G44,G61,G78,G95,G112,G129,G146,G163,G180,G197,G214,G231,G248,G265,G282,G299,G316,G333,G350,G367,G384,G401,G418,G435,G452,G469,G486,G503,G520,G537,G554,G571,G588,G605,G622,G639,G656,G673,G690,G707,G724,G741,G758,G775,G792,G809,G826,G843,G860,G877,G894,G911,G928,G945,G962,G979,G996,G1013,G1030,G1047,G1064,G1081,G1098,G1115,G1132,G1149,G1166,G1183,G1200,G1217,G1234,G1251,G1268,G1285)</f>
        <v>192.02254246122942</v>
      </c>
      <c r="H10" s="363">
        <f t="shared" si="5"/>
        <v>71.833254633813254</v>
      </c>
      <c r="I10" s="363">
        <f t="shared" si="5"/>
        <v>23.076529067699269</v>
      </c>
      <c r="J10" s="363">
        <f t="shared" ref="J10:J17" si="6">SUM(G10:I10)</f>
        <v>286.93232616274196</v>
      </c>
      <c r="K10" s="364"/>
      <c r="L10" s="363">
        <f t="shared" ref="L10:N10" si="7">SUM(L27,L44,L61,L78,L95,L112,L129,L146,L163,L180,L197,L214,L231,L248,L265,L282,L299,L316,L333,L350,L367,L384,L401,L418,L435,L452,L469,L486,L503,L520,L537,L554,L571,L588,L605,L622,L639,L656,L673,L690,L707,L724,L741,L758,L775,L792,L809,L826,L843,L860,L877,L894,L911,L928,L945,L962,L979,L996,L1013,L1030,L1047,L1064,L1081,L1098,L1115,L1132,L1149,L1166,L1183,L1200,L1217,L1234,L1251,L1268,L1285)</f>
        <v>209.62235628066048</v>
      </c>
      <c r="M10" s="363">
        <f t="shared" si="7"/>
        <v>90.431422344026899</v>
      </c>
      <c r="N10" s="363">
        <f t="shared" si="7"/>
        <v>24.711351201285474</v>
      </c>
      <c r="O10" s="363">
        <f t="shared" ref="O10:O17" si="8">SUM(L10:N10)</f>
        <v>324.76512982597285</v>
      </c>
      <c r="T10" s="363"/>
      <c r="V10" s="363"/>
    </row>
    <row r="11" spans="1:23" s="351" customFormat="1" x14ac:dyDescent="0.2">
      <c r="A11" s="362" t="str">
        <f>name!E$6</f>
        <v>Associate professional and technical</v>
      </c>
      <c r="B11" s="363">
        <f t="shared" ref="B11:D11" si="9">SUM(B28,B45,B62,B79,B96,B113,B130,B147,B164,B181,B198,B215,B232,B249,B266,B283,B300,B317,B334,B351,B368,B385,B402,B419,B436,B453,B470,B487,B504,B521,B538,B555,B572,B589,B606,B623,B640,B657,B674,B691,B708,B725,B742,B759,B776,B793,B810,B827,B844,B861,B878,B895,B912,B929,B946,B963,B980,B997,B1014,B1031,B1048,B1065,B1082,B1099,B1116,B1133,B1150,B1167,B1184,B1201,B1218,B1235,B1252,B1269,B1286)</f>
        <v>103.45688479652587</v>
      </c>
      <c r="C11" s="363">
        <f t="shared" si="9"/>
        <v>24.477028626051293</v>
      </c>
      <c r="D11" s="363">
        <f t="shared" si="9"/>
        <v>17.618880562865989</v>
      </c>
      <c r="E11" s="363">
        <f t="shared" si="4"/>
        <v>145.55279398544315</v>
      </c>
      <c r="F11" s="364"/>
      <c r="G11" s="363">
        <f t="shared" ref="G11:I11" si="10">SUM(G28,G45,G62,G79,G96,G113,G130,G147,G164,G181,G198,G215,G232,G249,G266,G283,G300,G317,G334,G351,G368,G385,G402,G419,G436,G453,G470,G487,G504,G521,G538,G555,G572,G589,G606,G623,G640,G657,G674,G691,G708,G725,G742,G759,G776,G793,G810,G827,G844,G861,G878,G895,G912,G929,G946,G963,G980,G997,G1014,G1031,G1048,G1065,G1082,G1099,G1116,G1133,G1150,G1167,G1184,G1201,G1218,G1235,G1252,G1269,G1286)</f>
        <v>113.33874292903678</v>
      </c>
      <c r="H11" s="363">
        <f t="shared" si="10"/>
        <v>30.990975527215888</v>
      </c>
      <c r="I11" s="363">
        <f t="shared" si="10"/>
        <v>27.742400713720841</v>
      </c>
      <c r="J11" s="363">
        <f t="shared" si="6"/>
        <v>172.07211916997352</v>
      </c>
      <c r="K11" s="364"/>
      <c r="L11" s="363">
        <f t="shared" ref="L11:N11" si="11">SUM(L28,L45,L62,L79,L96,L113,L130,L147,L164,L181,L198,L215,L232,L249,L266,L283,L300,L317,L334,L351,L368,L385,L402,L419,L436,L453,L470,L487,L504,L521,L538,L555,L572,L589,L606,L623,L640,L657,L674,L691,L708,L725,L742,L759,L776,L793,L810,L827,L844,L861,L878,L895,L912,L929,L946,L963,L980,L997,L1014,L1031,L1048,L1065,L1082,L1099,L1116,L1133,L1150,L1167,L1184,L1201,L1218,L1235,L1252,L1269,L1286)</f>
        <v>121.22684986575925</v>
      </c>
      <c r="M11" s="363">
        <f t="shared" si="11"/>
        <v>38.338902707547447</v>
      </c>
      <c r="N11" s="363">
        <f t="shared" si="11"/>
        <v>29.443658962202928</v>
      </c>
      <c r="O11" s="363">
        <f t="shared" si="8"/>
        <v>189.00941153550963</v>
      </c>
      <c r="T11" s="363"/>
      <c r="V11" s="363"/>
    </row>
    <row r="12" spans="1:23" s="351" customFormat="1" x14ac:dyDescent="0.2">
      <c r="A12" s="362" t="str">
        <f>name!E$7</f>
        <v>Administrative and secretarial</v>
      </c>
      <c r="B12" s="363">
        <f t="shared" ref="B12:D12" si="12">SUM(B29,B46,B63,B80,B97,B114,B131,B148,B165,B182,B199,B216,B233,B250,B267,B284,B301,B318,B335,B352,B369,B386,B403,B420,B437,B454,B471,B488,B505,B522,B539,B556,B573,B590,B607,B624,B641,B658,B675,B692,B709,B726,B743,B760,B777,B794,B811,B828,B845,B862,B879,B896,B913,B930,B947,B964,B981,B998,B1015,B1032,B1049,B1066,B1083,B1100,B1117,B1134,B1151,B1168,B1185,B1202,B1219,B1236,B1253,B1270,B1287)</f>
        <v>97.246050561217416</v>
      </c>
      <c r="C12" s="363">
        <f t="shared" si="12"/>
        <v>66.255982277786316</v>
      </c>
      <c r="D12" s="363">
        <f t="shared" si="12"/>
        <v>4.3178224087260295</v>
      </c>
      <c r="E12" s="363">
        <f t="shared" si="4"/>
        <v>167.81985524772975</v>
      </c>
      <c r="F12" s="364"/>
      <c r="G12" s="363">
        <f t="shared" ref="G12:I12" si="13">SUM(G29,G46,G63,G80,G97,G114,G131,G148,G165,G182,G199,G216,G233,G250,G267,G284,G301,G318,G335,G352,G369,G386,G403,G420,G437,G454,G471,G488,G505,G522,G539,G556,G573,G590,G607,G624,G641,G658,G675,G692,G709,G726,G743,G760,G777,G794,G811,G828,G845,G862,G879,G896,G913,G930,G947,G964,G981,G998,G1015,G1032,G1049,G1066,G1083,G1100,G1117,G1134,G1151,G1168,G1185,G1202,G1219,G1236,G1253,G1270,G1287)</f>
        <v>92.082708062752118</v>
      </c>
      <c r="H12" s="363">
        <f t="shared" si="13"/>
        <v>63.352405806378577</v>
      </c>
      <c r="I12" s="363">
        <f t="shared" si="13"/>
        <v>5.1965116097742676</v>
      </c>
      <c r="J12" s="363">
        <f t="shared" si="6"/>
        <v>160.63162547890497</v>
      </c>
      <c r="K12" s="364"/>
      <c r="L12" s="363">
        <f t="shared" ref="L12:N12" si="14">SUM(L29,L46,L63,L80,L97,L114,L131,L148,L165,L182,L199,L216,L233,L250,L267,L284,L301,L318,L335,L352,L369,L386,L403,L420,L437,L454,L471,L488,L505,L522,L539,L556,L573,L590,L607,L624,L641,L658,L675,L692,L709,L726,L743,L760,L777,L794,L811,L828,L845,L862,L879,L896,L913,L930,L947,L964,L981,L998,L1015,L1032,L1049,L1066,L1083,L1100,L1117,L1134,L1151,L1168,L1185,L1202,L1219,L1236,L1253,L1270,L1287)</f>
        <v>80.402558522979405</v>
      </c>
      <c r="M12" s="363">
        <f t="shared" si="14"/>
        <v>54.406912057349274</v>
      </c>
      <c r="N12" s="363">
        <f t="shared" si="14"/>
        <v>3.9219560310641319</v>
      </c>
      <c r="O12" s="363">
        <f t="shared" si="8"/>
        <v>138.73142661139281</v>
      </c>
      <c r="T12" s="363"/>
      <c r="V12" s="363"/>
    </row>
    <row r="13" spans="1:23" s="351" customFormat="1" x14ac:dyDescent="0.2">
      <c r="A13" s="362" t="str">
        <f>name!E$8</f>
        <v>Skilled trades occupations</v>
      </c>
      <c r="B13" s="363">
        <f t="shared" ref="B13:D13" si="15">SUM(B30,B47,B64,B81,B98,B115,B132,B149,B166,B183,B200,B217,B234,B251,B268,B285,B302,B319,B336,B353,B370,B387,B404,B421,B438,B455,B472,B489,B506,B523,B540,B557,B574,B591,B608,B625,B642,B659,B676,B693,B710,B727,B744,B761,B778,B795,B812,B829,B846,B863,B880,B897,B914,B931,B948,B965,B982,B999,B1016,B1033,B1050,B1067,B1084,B1101,B1118,B1135,B1152,B1169,B1186,B1203,B1220,B1237,B1254,B1271,B1288)</f>
        <v>105.14358203561032</v>
      </c>
      <c r="C13" s="363">
        <f t="shared" si="15"/>
        <v>15.984663912597105</v>
      </c>
      <c r="D13" s="363">
        <f t="shared" si="15"/>
        <v>71.489336394665344</v>
      </c>
      <c r="E13" s="363">
        <f t="shared" si="4"/>
        <v>192.61758234287277</v>
      </c>
      <c r="F13" s="364"/>
      <c r="G13" s="363">
        <f t="shared" ref="G13:I13" si="16">SUM(G30,G47,G64,G81,G98,G115,G132,G149,G166,G183,G200,G217,G234,G251,G268,G285,G302,G319,G336,G353,G370,G387,G404,G421,G438,G455,G472,G489,G506,G523,G540,G557,G574,G591,G608,G625,G642,G659,G676,G693,G710,G727,G744,G761,G778,G795,G812,G829,G846,G863,G880,G897,G914,G931,G948,G965,G982,G999,G1016,G1033,G1050,G1067,G1084,G1101,G1118,G1135,G1152,G1169,G1186,G1203,G1220,G1237,G1254,G1271,G1288)</f>
        <v>107.25170251540966</v>
      </c>
      <c r="H13" s="363">
        <f t="shared" si="16"/>
        <v>15.865306781304641</v>
      </c>
      <c r="I13" s="363">
        <f t="shared" si="16"/>
        <v>81.542906848483838</v>
      </c>
      <c r="J13" s="363">
        <f t="shared" si="6"/>
        <v>204.65991614519814</v>
      </c>
      <c r="K13" s="364"/>
      <c r="L13" s="363">
        <f t="shared" ref="L13:N13" si="17">SUM(L30,L47,L64,L81,L98,L115,L132,L149,L166,L183,L200,L217,L234,L251,L268,L285,L302,L319,L336,L353,L370,L387,L404,L421,L438,L455,L472,L489,L506,L523,L540,L557,L574,L591,L608,L625,L642,L659,L676,L693,L710,L727,L744,L761,L778,L795,L812,L829,L846,L863,L880,L897,L914,L931,L948,L965,L982,L999,L1016,L1033,L1050,L1067,L1084,L1101,L1118,L1135,L1152,L1169,L1186,L1203,L1220,L1237,L1254,L1271,L1288)</f>
        <v>98.472388356053884</v>
      </c>
      <c r="M13" s="363">
        <f t="shared" si="17"/>
        <v>15.034449480272135</v>
      </c>
      <c r="N13" s="363">
        <f t="shared" si="17"/>
        <v>76.878446105314595</v>
      </c>
      <c r="O13" s="363">
        <f t="shared" si="8"/>
        <v>190.38528394164061</v>
      </c>
      <c r="T13" s="363"/>
      <c r="V13" s="363"/>
    </row>
    <row r="14" spans="1:23" s="351" customFormat="1" x14ac:dyDescent="0.2">
      <c r="A14" s="362" t="str">
        <f>name!E$9</f>
        <v>Caring, leisure and other service</v>
      </c>
      <c r="B14" s="363">
        <f t="shared" ref="B14:D14" si="18">SUM(B31,B48,B65,B82,B99,B116,B133,B150,B167,B184,B201,B218,B235,B252,B269,B286,B303,B320,B337,B354,B371,B388,B405,B422,B439,B456,B473,B490,B507,B524,B541,B558,B575,B592,B609,B626,B643,B660,B677,B694,B711,B728,B745,B762,B779,B796,B813,B830,B847,B864,B881,B898,B915,B932,B949,B966,B983,B1000,B1017,B1034,B1051,B1068,B1085,B1102,B1119,B1136,B1153,B1170,B1187,B1204,B1221,B1238,B1255,B1272,B1289)</f>
        <v>63.631877333687321</v>
      </c>
      <c r="C14" s="363">
        <f t="shared" si="18"/>
        <v>54.651240384568368</v>
      </c>
      <c r="D14" s="363">
        <f t="shared" si="18"/>
        <v>7.8660125177764293</v>
      </c>
      <c r="E14" s="363">
        <f t="shared" si="4"/>
        <v>126.14913023603211</v>
      </c>
      <c r="F14" s="364"/>
      <c r="G14" s="363">
        <f t="shared" ref="G14:I14" si="19">SUM(G31,G48,G65,G82,G99,G116,G133,G150,G167,G184,G201,G218,G235,G252,G269,G286,G303,G320,G337,G354,G371,G388,G405,G422,G439,G456,G473,G490,G507,G524,G541,G558,G575,G592,G609,G626,G643,G660,G677,G694,G711,G728,G745,G762,G779,G796,G813,G830,G847,G864,G881,G898,G915,G932,G949,G966,G983,G1000,G1017,G1034,G1051,G1068,G1085,G1102,G1119,G1136,G1153,G1170,G1187,G1204,G1221,G1238,G1255,G1272,G1289)</f>
        <v>75.531761417110957</v>
      </c>
      <c r="H14" s="363">
        <f t="shared" si="19"/>
        <v>76.279574423232376</v>
      </c>
      <c r="I14" s="363">
        <f t="shared" si="19"/>
        <v>16.304835037609369</v>
      </c>
      <c r="J14" s="363">
        <f t="shared" si="6"/>
        <v>168.1161708779527</v>
      </c>
      <c r="K14" s="364"/>
      <c r="L14" s="363">
        <f t="shared" ref="L14:N14" si="20">SUM(L31,L48,L65,L82,L99,L116,L133,L150,L167,L184,L201,L218,L235,L252,L269,L286,L303,L320,L337,L354,L371,L388,L405,L422,L439,L456,L473,L490,L507,L524,L541,L558,L575,L592,L609,L626,L643,L660,L677,L694,L711,L728,L745,L762,L779,L796,L813,L830,L847,L864,L881,L898,L915,L932,L949,L966,L983,L1000,L1017,L1034,L1051,L1068,L1085,L1102,L1119,L1136,L1153,L1170,L1187,L1204,L1221,L1238,L1255,L1272,L1289)</f>
        <v>80.431145800191018</v>
      </c>
      <c r="M14" s="363">
        <f t="shared" si="20"/>
        <v>93.339106361358574</v>
      </c>
      <c r="N14" s="363">
        <f t="shared" si="20"/>
        <v>15.025001713569448</v>
      </c>
      <c r="O14" s="363">
        <f t="shared" si="8"/>
        <v>188.79525387511904</v>
      </c>
      <c r="T14" s="363"/>
      <c r="V14" s="363"/>
    </row>
    <row r="15" spans="1:23" s="351" customFormat="1" x14ac:dyDescent="0.2">
      <c r="A15" s="362" t="str">
        <f>name!E$10</f>
        <v>Sales and customer service</v>
      </c>
      <c r="B15" s="363">
        <f t="shared" ref="B15:D15" si="21">SUM(B32,B49,B66,B83,B100,B117,B134,B151,B168,B185,B202,B219,B236,B253,B270,B287,B304,B321,B338,B355,B372,B389,B406,B423,B440,B457,B474,B491,B508,B525,B542,B559,B576,B593,B610,B627,B644,B661,B678,B695,B712,B729,B746,B763,B780,B797,B814,B831,B848,B865,B882,B899,B916,B933,B950,B967,B984,B1001,B1018,B1035,B1052,B1069,B1086,B1103,B1120,B1137,B1154,B1171,B1188,B1205,B1222,B1239,B1256,B1273,B1290)</f>
        <v>47.026797962030926</v>
      </c>
      <c r="C15" s="363">
        <f t="shared" si="21"/>
        <v>80.599815996870888</v>
      </c>
      <c r="D15" s="363">
        <f t="shared" si="21"/>
        <v>3.7766631547661587</v>
      </c>
      <c r="E15" s="363">
        <f t="shared" si="4"/>
        <v>131.40327711366797</v>
      </c>
      <c r="F15" s="364"/>
      <c r="G15" s="363">
        <f t="shared" ref="G15:I15" si="22">SUM(G32,G49,G66,G83,G100,G117,G134,G151,G168,G185,G202,G219,G236,G253,G270,G287,G304,G321,G338,G355,G372,G389,G406,G423,G440,G457,G474,G491,G508,G525,G542,G559,G576,G593,G610,G627,G644,G661,G678,G695,G712,G729,G746,G763,G780,G797,G814,G831,G848,G865,G882,G899,G916,G933,G950,G967,G984,G1001,G1018,G1035,G1052,G1069,G1086,G1103,G1120,G1137,G1154,G1171,G1188,G1205,G1222,G1239,G1256,G1273,G1290)</f>
        <v>46.676239102139469</v>
      </c>
      <c r="H15" s="363">
        <f t="shared" si="22"/>
        <v>75.075992719329051</v>
      </c>
      <c r="I15" s="363">
        <f t="shared" si="22"/>
        <v>3.9176471971484705</v>
      </c>
      <c r="J15" s="363">
        <f t="shared" si="6"/>
        <v>125.66987901861698</v>
      </c>
      <c r="K15" s="364"/>
      <c r="L15" s="363">
        <f t="shared" ref="L15:N15" si="23">SUM(L32,L49,L66,L83,L100,L117,L134,L151,L168,L185,L202,L219,L236,L253,L270,L287,L304,L321,L338,L355,L372,L389,L406,L423,L440,L457,L474,L491,L508,L525,L542,L559,L576,L593,L610,L627,L644,L661,L678,L695,L712,L729,L746,L763,L780,L797,L814,L831,L848,L865,L882,L899,L916,L933,L950,L967,L984,L1001,L1018,L1035,L1052,L1069,L1086,L1103,L1120,L1137,L1154,L1171,L1188,L1205,L1222,L1239,L1256,L1273,L1290)</f>
        <v>44.740151807130545</v>
      </c>
      <c r="M15" s="363">
        <f t="shared" si="23"/>
        <v>74.491302936833208</v>
      </c>
      <c r="N15" s="363">
        <f t="shared" si="23"/>
        <v>2.9175829810541072</v>
      </c>
      <c r="O15" s="363">
        <f t="shared" si="8"/>
        <v>122.14903772501786</v>
      </c>
      <c r="T15" s="363"/>
      <c r="V15" s="363"/>
    </row>
    <row r="16" spans="1:23" s="351" customFormat="1" x14ac:dyDescent="0.2">
      <c r="A16" s="362" t="str">
        <f>name!E$11</f>
        <v>Process, plant and machine operatives</v>
      </c>
      <c r="B16" s="363">
        <f t="shared" ref="B16:D16" si="24">SUM(B33,B50,B67,B84,B101,B118,B135,B152,B169,B186,B203,B220,B237,B254,B271,B288,B305,B322,B339,B356,B373,B390,B407,B424,B441,B458,B475,B492,B509,B526,B543,B560,B577,B594,B611,B628,B645,B662,B679,B696,B713,B730,B747,B764,B781,B798,B815,B832,B849,B866,B883,B900,B917,B934,B951,B968,B985,B1002,B1019,B1036,B1053,B1070,B1087,B1104,B1121,B1138,B1155,B1172,B1189,B1206,B1223,B1240,B1257,B1274,B1291)</f>
        <v>103.0415210877855</v>
      </c>
      <c r="C16" s="363">
        <f t="shared" si="24"/>
        <v>14.967686492448244</v>
      </c>
      <c r="D16" s="363">
        <f t="shared" si="24"/>
        <v>12.97286446892187</v>
      </c>
      <c r="E16" s="363">
        <f t="shared" si="4"/>
        <v>130.98207204915562</v>
      </c>
      <c r="F16" s="364"/>
      <c r="G16" s="363">
        <f t="shared" ref="G16:I16" si="25">SUM(G33,G50,G67,G84,G101,G118,G135,G152,G169,G186,G203,G220,G237,G254,G271,G288,G305,G322,G339,G356,G373,G390,G407,G424,G441,G458,G475,G492,G509,G526,G543,G560,G577,G594,G611,G628,G645,G662,G679,G696,G713,G730,G747,G764,G781,G798,G815,G832,G849,G866,G883,G900,G917,G934,G951,G968,G985,G1002,G1019,G1036,G1053,G1070,G1087,G1104,G1121,G1138,G1155,G1172,G1189,G1206,G1223,G1240,G1257,G1274,G1291)</f>
        <v>87.842353496277497</v>
      </c>
      <c r="H16" s="363">
        <f t="shared" si="25"/>
        <v>14.936283677758809</v>
      </c>
      <c r="I16" s="363">
        <f t="shared" si="25"/>
        <v>11.047101888553293</v>
      </c>
      <c r="J16" s="363">
        <f t="shared" si="6"/>
        <v>113.82573906258961</v>
      </c>
      <c r="K16" s="364"/>
      <c r="L16" s="363">
        <f t="shared" ref="L16:N16" si="26">SUM(L33,L50,L67,L84,L101,L118,L135,L152,L169,L186,L203,L220,L237,L254,L271,L288,L305,L322,L339,L356,L373,L390,L407,L424,L441,L458,L475,L492,L509,L526,L543,L560,L577,L594,L611,L628,L645,L662,L679,L696,L713,L730,L747,L764,L781,L798,L815,L832,L849,L866,L883,L900,L917,L934,L951,L968,L985,L1002,L1019,L1036,L1053,L1070,L1087,L1104,L1121,L1138,L1155,L1172,L1189,L1206,L1223,L1240,L1257,L1274,L1291)</f>
        <v>77.056933347436882</v>
      </c>
      <c r="M16" s="363">
        <f t="shared" si="26"/>
        <v>16.037383160586195</v>
      </c>
      <c r="N16" s="363">
        <f t="shared" si="26"/>
        <v>9.8925666784119048</v>
      </c>
      <c r="O16" s="363">
        <f t="shared" si="8"/>
        <v>102.98688318643498</v>
      </c>
      <c r="T16" s="363"/>
      <c r="V16" s="363"/>
    </row>
    <row r="17" spans="1:15" s="351" customFormat="1" x14ac:dyDescent="0.2">
      <c r="A17" s="362" t="str">
        <f>name!E$12</f>
        <v>Elementary occupations</v>
      </c>
      <c r="B17" s="363">
        <f t="shared" ref="B17:D17" si="27">SUM(B34,B51,B68,B85,B102,B119,B136,B153,B170,B187,B204,B221,B238,B255,B272,B289,B306,B323,B340,B357,B374,B391,B408,B425,B442,B459,B476,B493,B510,B527,B544,B561,B578,B595,B612,B629,B646,B663,B680,B697,B714,B731,B748,B765,B782,B799,B816,B833,B850,B867,B884,B901,B918,B935,B952,B969,B986,B1003,B1020,B1037,B1054,B1071,B1088,B1105,B1122,B1139,B1156,B1173,B1190,B1207,B1224,B1241,B1258,B1275,B1292)</f>
        <v>77.313462417202359</v>
      </c>
      <c r="C17" s="363">
        <f t="shared" si="27"/>
        <v>108.08674390767116</v>
      </c>
      <c r="D17" s="363">
        <f t="shared" si="27"/>
        <v>11.594557084933388</v>
      </c>
      <c r="E17" s="363">
        <f t="shared" si="4"/>
        <v>196.99476340980692</v>
      </c>
      <c r="F17" s="364"/>
      <c r="G17" s="363">
        <f t="shared" ref="G17:I17" si="28">SUM(G34,G51,G68,G85,G102,G119,G136,G153,G170,G187,G204,G221,G238,G255,G272,G289,G306,G323,G340,G357,G374,G391,G408,G425,G442,G459,G476,G493,G510,G527,G544,G561,G578,G595,G612,G629,G646,G663,G680,G697,G714,G731,G748,G765,G782,G799,G816,G833,G850,G867,G884,G901,G918,G935,G952,G969,G986,G1003,G1020,G1037,G1054,G1071,G1088,G1105,G1122,G1139,G1156,G1173,G1190,G1207,G1224,G1241,G1258,G1275,G1292)</f>
        <v>77.527642984236081</v>
      </c>
      <c r="H17" s="363">
        <f t="shared" si="28"/>
        <v>88.048326643546034</v>
      </c>
      <c r="I17" s="363">
        <f t="shared" si="28"/>
        <v>10.886534018394745</v>
      </c>
      <c r="J17" s="363">
        <f t="shared" si="6"/>
        <v>176.46250364617686</v>
      </c>
      <c r="K17" s="364"/>
      <c r="L17" s="363">
        <f t="shared" ref="L17:N17" si="29">SUM(L34,L51,L68,L85,L102,L119,L136,L153,L170,L187,L204,L221,L238,L255,L272,L289,L306,L323,L340,L357,L374,L391,L408,L425,L442,L459,L476,L493,L510,L527,L544,L561,L578,L595,L612,L629,L646,L663,L680,L697,L714,L731,L748,L765,L782,L799,L816,L833,L850,L867,L884,L901,L918,L935,L952,L969,L986,L1003,L1020,L1037,L1054,L1071,L1088,L1105,L1122,L1139,L1156,L1173,L1190,L1207,L1224,L1241,L1258,L1275,L1292)</f>
        <v>76.528144405845254</v>
      </c>
      <c r="M17" s="363">
        <f t="shared" si="29"/>
        <v>89.763606100475641</v>
      </c>
      <c r="N17" s="363">
        <f t="shared" si="29"/>
        <v>9.3402673626085839</v>
      </c>
      <c r="O17" s="363">
        <f t="shared" si="8"/>
        <v>175.63201786892949</v>
      </c>
    </row>
    <row r="18" spans="1:15" s="351" customFormat="1" x14ac:dyDescent="0.2">
      <c r="A18" s="362"/>
      <c r="B18" s="363"/>
      <c r="C18" s="363"/>
      <c r="D18" s="363"/>
      <c r="E18" s="363"/>
      <c r="F18" s="364"/>
      <c r="G18" s="363"/>
      <c r="H18" s="363"/>
      <c r="I18" s="363"/>
      <c r="J18" s="363"/>
      <c r="K18" s="364"/>
      <c r="L18" s="363"/>
      <c r="M18" s="363"/>
      <c r="N18" s="363"/>
      <c r="O18" s="363"/>
    </row>
    <row r="19" spans="1:15" s="351" customFormat="1" x14ac:dyDescent="0.2">
      <c r="A19" s="357" t="s">
        <v>32</v>
      </c>
      <c r="B19" s="360">
        <f>SUM(B9:B17)</f>
        <v>807.47300000232462</v>
      </c>
      <c r="C19" s="360">
        <f t="shared" ref="C19:O19" si="30">SUM(C9:C17)</f>
        <v>422.82899999896239</v>
      </c>
      <c r="D19" s="360">
        <f t="shared" si="30"/>
        <v>178.6650000006573</v>
      </c>
      <c r="E19" s="360">
        <f t="shared" si="30"/>
        <v>1408.9670000019441</v>
      </c>
      <c r="F19" s="360"/>
      <c r="G19" s="360">
        <f t="shared" si="30"/>
        <v>862.5319999990553</v>
      </c>
      <c r="H19" s="360">
        <f t="shared" si="30"/>
        <v>450.07100000148449</v>
      </c>
      <c r="I19" s="360">
        <f t="shared" si="30"/>
        <v>217.15700000030276</v>
      </c>
      <c r="J19" s="360">
        <f t="shared" si="30"/>
        <v>1529.7600000008426</v>
      </c>
      <c r="K19" s="360"/>
      <c r="L19" s="360">
        <f t="shared" si="30"/>
        <v>870.62900000022569</v>
      </c>
      <c r="M19" s="360">
        <f t="shared" si="30"/>
        <v>489.78000000099064</v>
      </c>
      <c r="N19" s="360">
        <f t="shared" si="30"/>
        <v>208.76400000066951</v>
      </c>
      <c r="O19" s="360">
        <f t="shared" si="30"/>
        <v>1569.1730000018861</v>
      </c>
    </row>
    <row r="20" spans="1:15" s="351" customFormat="1" x14ac:dyDescent="0.2">
      <c r="A20" s="348"/>
      <c r="B20" s="349"/>
      <c r="C20" s="349"/>
      <c r="D20" s="349"/>
      <c r="E20" s="349"/>
      <c r="F20" s="349"/>
      <c r="G20" s="349"/>
      <c r="H20" s="349"/>
      <c r="I20" s="349"/>
      <c r="J20" s="349"/>
      <c r="K20" s="349"/>
      <c r="L20" s="349"/>
      <c r="M20" s="349"/>
      <c r="N20" s="350"/>
    </row>
    <row r="21" spans="1:15" s="351" customFormat="1" x14ac:dyDescent="0.2">
      <c r="A21" s="348"/>
      <c r="B21" s="348"/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53"/>
      <c r="O21" s="367" t="s">
        <v>35</v>
      </c>
    </row>
    <row r="22" spans="1:15" s="351" customFormat="1" x14ac:dyDescent="0.2">
      <c r="A22" s="355"/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</row>
    <row r="23" spans="1:15" s="351" customFormat="1" x14ac:dyDescent="0.2">
      <c r="A23" s="354" t="str">
        <f>name!A4</f>
        <v>Agriculture, etc</v>
      </c>
      <c r="B23" s="519">
        <f>$B$6</f>
        <v>2007</v>
      </c>
      <c r="C23" s="519"/>
      <c r="D23" s="519"/>
      <c r="E23" s="519"/>
      <c r="F23" s="380"/>
      <c r="G23" s="519">
        <f>$G$6</f>
        <v>2017</v>
      </c>
      <c r="H23" s="519"/>
      <c r="I23" s="519"/>
      <c r="J23" s="519"/>
      <c r="K23" s="380"/>
      <c r="L23" s="519">
        <f>$L$6</f>
        <v>2027</v>
      </c>
      <c r="M23" s="519"/>
      <c r="N23" s="519"/>
      <c r="O23" s="519"/>
    </row>
    <row r="24" spans="1:15" s="351" customFormat="1" x14ac:dyDescent="0.2">
      <c r="A24" s="370"/>
      <c r="B24" s="388" t="str">
        <f>$B$7</f>
        <v>FT</v>
      </c>
      <c r="C24" s="388" t="str">
        <f>$C$7</f>
        <v>PT</v>
      </c>
      <c r="D24" s="388" t="str">
        <f>$D$7</f>
        <v>SE</v>
      </c>
      <c r="E24" s="388" t="str">
        <f>$E$7</f>
        <v>Total</v>
      </c>
      <c r="F24" s="388"/>
      <c r="G24" s="388" t="str">
        <f>$G$7</f>
        <v>FT</v>
      </c>
      <c r="H24" s="388" t="str">
        <f>$H$7</f>
        <v>PT</v>
      </c>
      <c r="I24" s="388" t="str">
        <f>$I$7</f>
        <v>SE</v>
      </c>
      <c r="J24" s="388" t="str">
        <f>$J$7</f>
        <v>Total</v>
      </c>
      <c r="K24" s="388"/>
      <c r="L24" s="388" t="str">
        <f>$L$7</f>
        <v>FT</v>
      </c>
      <c r="M24" s="388" t="str">
        <f>$M$7</f>
        <v>PT</v>
      </c>
      <c r="N24" s="388" t="str">
        <f>$N$7</f>
        <v>SE</v>
      </c>
      <c r="O24" s="388" t="str">
        <f>$O$7</f>
        <v>Total</v>
      </c>
    </row>
    <row r="25" spans="1:15" s="351" customFormat="1" x14ac:dyDescent="0.2">
      <c r="A25" s="374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</row>
    <row r="26" spans="1:15" s="351" customFormat="1" x14ac:dyDescent="0.2">
      <c r="A26" s="362" t="str">
        <f>name!E$4</f>
        <v>Managers, directors and senior officials</v>
      </c>
      <c r="B26" s="440">
        <v>0.81652977403741189</v>
      </c>
      <c r="C26" s="440">
        <v>0.45743421004169194</v>
      </c>
      <c r="D26" s="440">
        <v>1.0820217315215899</v>
      </c>
      <c r="E26" s="440">
        <f>SUM(B26:D26)</f>
        <v>2.3559857156006938</v>
      </c>
      <c r="F26" s="441"/>
      <c r="G26" s="440">
        <v>1.1981876406243013</v>
      </c>
      <c r="H26" s="440">
        <v>0.76255156612403063</v>
      </c>
      <c r="I26" s="440">
        <v>2.0552258000710659</v>
      </c>
      <c r="J26" s="440">
        <f>SUM(G26:I26)</f>
        <v>4.0159650068193979</v>
      </c>
      <c r="K26" s="441"/>
      <c r="L26" s="440">
        <v>1.2740165902333795</v>
      </c>
      <c r="M26" s="440">
        <v>1.1792490233998401</v>
      </c>
      <c r="N26" s="440">
        <v>2.012261864858583</v>
      </c>
      <c r="O26" s="440">
        <f>SUM(L26:N26)</f>
        <v>4.4655274784918024</v>
      </c>
    </row>
    <row r="27" spans="1:15" s="351" customFormat="1" x14ac:dyDescent="0.2">
      <c r="A27" s="362" t="str">
        <f>name!E$5</f>
        <v>Professional occupations</v>
      </c>
      <c r="B27" s="440">
        <v>0.54536165159314265</v>
      </c>
      <c r="C27" s="440">
        <v>0.15790416750325909</v>
      </c>
      <c r="D27" s="440">
        <v>9.5359657935607703E-2</v>
      </c>
      <c r="E27" s="440">
        <f t="shared" ref="E27:E34" si="31">SUM(B27:D27)</f>
        <v>0.79862547703200948</v>
      </c>
      <c r="F27" s="441"/>
      <c r="G27" s="440">
        <v>0.59829899577295753</v>
      </c>
      <c r="H27" s="440">
        <v>0.22509797796563255</v>
      </c>
      <c r="I27" s="440">
        <v>0.21613628430499351</v>
      </c>
      <c r="J27" s="440">
        <f t="shared" ref="J27:J34" si="32">SUM(G27:I27)</f>
        <v>1.0395332580435837</v>
      </c>
      <c r="K27" s="441"/>
      <c r="L27" s="440">
        <v>0.73207455647462305</v>
      </c>
      <c r="M27" s="440">
        <v>0.32009894505643616</v>
      </c>
      <c r="N27" s="440">
        <v>0.2593658114727484</v>
      </c>
      <c r="O27" s="440">
        <f t="shared" ref="O27:O34" si="33">SUM(L27:N27)</f>
        <v>1.3115393130038075</v>
      </c>
    </row>
    <row r="28" spans="1:15" s="351" customFormat="1" x14ac:dyDescent="0.2">
      <c r="A28" s="362" t="str">
        <f>name!E$6</f>
        <v>Associate professional and technical</v>
      </c>
      <c r="B28" s="440">
        <v>0.50997297738869485</v>
      </c>
      <c r="C28" s="440">
        <v>0.13727506029535541</v>
      </c>
      <c r="D28" s="440">
        <v>7.2977967679735509E-2</v>
      </c>
      <c r="E28" s="440">
        <f t="shared" si="31"/>
        <v>0.72022600536378578</v>
      </c>
      <c r="F28" s="441"/>
      <c r="G28" s="440">
        <v>0.85343064166789839</v>
      </c>
      <c r="H28" s="440">
        <v>0.16642017277440754</v>
      </c>
      <c r="I28" s="440">
        <v>0.15941071196096554</v>
      </c>
      <c r="J28" s="440">
        <f t="shared" si="32"/>
        <v>1.1792615264032715</v>
      </c>
      <c r="K28" s="441"/>
      <c r="L28" s="440">
        <v>1.0128592095704609</v>
      </c>
      <c r="M28" s="440">
        <v>0.22701486677257601</v>
      </c>
      <c r="N28" s="440">
        <v>0.21316572165613357</v>
      </c>
      <c r="O28" s="440">
        <f t="shared" si="33"/>
        <v>1.4530397979991705</v>
      </c>
    </row>
    <row r="29" spans="1:15" s="351" customFormat="1" x14ac:dyDescent="0.2">
      <c r="A29" s="362" t="str">
        <f>name!E$7</f>
        <v>Administrative and secretarial</v>
      </c>
      <c r="B29" s="440">
        <v>0.50708159506061368</v>
      </c>
      <c r="C29" s="440">
        <v>0.49121456218294424</v>
      </c>
      <c r="D29" s="440">
        <v>0.14838091629076836</v>
      </c>
      <c r="E29" s="440">
        <f t="shared" si="31"/>
        <v>1.1466770735343264</v>
      </c>
      <c r="F29" s="441"/>
      <c r="G29" s="440">
        <v>0.43252975868338767</v>
      </c>
      <c r="H29" s="440">
        <v>0.70374604297306353</v>
      </c>
      <c r="I29" s="440">
        <v>0.22517875410992552</v>
      </c>
      <c r="J29" s="440">
        <f t="shared" si="32"/>
        <v>1.3614545557663766</v>
      </c>
      <c r="K29" s="441"/>
      <c r="L29" s="440">
        <v>0.49535512079777905</v>
      </c>
      <c r="M29" s="440">
        <v>0.76723507308152139</v>
      </c>
      <c r="N29" s="440">
        <v>0.12185749050819282</v>
      </c>
      <c r="O29" s="440">
        <f t="shared" si="33"/>
        <v>1.3844476843874933</v>
      </c>
    </row>
    <row r="30" spans="1:15" s="351" customFormat="1" x14ac:dyDescent="0.2">
      <c r="A30" s="362" t="str">
        <f>name!E$8</f>
        <v>Skilled trades occupations</v>
      </c>
      <c r="B30" s="440">
        <v>3.3623789905046135</v>
      </c>
      <c r="C30" s="440">
        <v>1.5669495856866205</v>
      </c>
      <c r="D30" s="440">
        <v>16.192078895244563</v>
      </c>
      <c r="E30" s="440">
        <f t="shared" si="31"/>
        <v>21.121407471435798</v>
      </c>
      <c r="F30" s="441"/>
      <c r="G30" s="440">
        <v>4.7959263970960304</v>
      </c>
      <c r="H30" s="440">
        <v>1.6177422297872139</v>
      </c>
      <c r="I30" s="440">
        <v>33.182894532265408</v>
      </c>
      <c r="J30" s="440">
        <f>SUM(G30:I30)</f>
        <v>39.596563159148651</v>
      </c>
      <c r="K30" s="441"/>
      <c r="L30" s="440">
        <v>5.2541887183510152</v>
      </c>
      <c r="M30" s="440">
        <v>2.2367450851527737</v>
      </c>
      <c r="N30" s="440">
        <v>30.453581145898038</v>
      </c>
      <c r="O30" s="440">
        <f t="shared" si="33"/>
        <v>37.944514949401828</v>
      </c>
    </row>
    <row r="31" spans="1:15" s="351" customFormat="1" x14ac:dyDescent="0.2">
      <c r="A31" s="362" t="str">
        <f>name!E$9</f>
        <v>Caring, leisure and other service</v>
      </c>
      <c r="B31" s="440">
        <v>1.3490883536688354</v>
      </c>
      <c r="C31" s="440">
        <v>0.81640116947718677</v>
      </c>
      <c r="D31" s="440">
        <v>0.14622350922024932</v>
      </c>
      <c r="E31" s="440">
        <f t="shared" si="31"/>
        <v>2.3117130323662716</v>
      </c>
      <c r="F31" s="441"/>
      <c r="G31" s="440">
        <v>1.5994929835186937</v>
      </c>
      <c r="H31" s="440">
        <v>1.0490258748488765</v>
      </c>
      <c r="I31" s="440">
        <v>0.21367205107340845</v>
      </c>
      <c r="J31" s="440">
        <f t="shared" si="32"/>
        <v>2.8621909094409785</v>
      </c>
      <c r="K31" s="441"/>
      <c r="L31" s="440">
        <v>1.9680667535936842</v>
      </c>
      <c r="M31" s="440">
        <v>1.4504338324220034</v>
      </c>
      <c r="N31" s="440">
        <v>0.21587447720167449</v>
      </c>
      <c r="O31" s="440">
        <f t="shared" si="33"/>
        <v>3.6343750632173619</v>
      </c>
    </row>
    <row r="32" spans="1:15" s="351" customFormat="1" x14ac:dyDescent="0.2">
      <c r="A32" s="362" t="str">
        <f>name!E$10</f>
        <v>Sales and customer service</v>
      </c>
      <c r="B32" s="440">
        <v>0.16325234528053534</v>
      </c>
      <c r="C32" s="440">
        <v>0.33874668462191415</v>
      </c>
      <c r="D32" s="440">
        <v>1.9413109870911403E-2</v>
      </c>
      <c r="E32" s="440">
        <f t="shared" si="31"/>
        <v>0.52141213977336087</v>
      </c>
      <c r="F32" s="441"/>
      <c r="G32" s="440">
        <v>0.20112826326940533</v>
      </c>
      <c r="H32" s="440">
        <v>0.253228845378557</v>
      </c>
      <c r="I32" s="440">
        <v>3.3055537443891697E-2</v>
      </c>
      <c r="J32" s="440">
        <f t="shared" si="32"/>
        <v>0.48741264609185397</v>
      </c>
      <c r="K32" s="441"/>
      <c r="L32" s="440">
        <v>0.22443951873116313</v>
      </c>
      <c r="M32" s="440">
        <v>0.32721971583563242</v>
      </c>
      <c r="N32" s="440">
        <v>2.8130190223729444E-2</v>
      </c>
      <c r="O32" s="440">
        <f t="shared" si="33"/>
        <v>0.57978942479052498</v>
      </c>
    </row>
    <row r="33" spans="1:15" s="351" customFormat="1" x14ac:dyDescent="0.2">
      <c r="A33" s="362" t="str">
        <f>name!E$11</f>
        <v>Process, plant and machine operatives</v>
      </c>
      <c r="B33" s="440">
        <v>1.3174778365456377</v>
      </c>
      <c r="C33" s="440">
        <v>0.52748511429296252</v>
      </c>
      <c r="D33" s="440">
        <v>5.2066244760176558E-2</v>
      </c>
      <c r="E33" s="440">
        <f t="shared" si="31"/>
        <v>1.8970291955987766</v>
      </c>
      <c r="F33" s="441"/>
      <c r="G33" s="440">
        <v>2.1298325849568438</v>
      </c>
      <c r="H33" s="440">
        <v>0.1301222567272711</v>
      </c>
      <c r="I33" s="440">
        <v>3.5297855728350813E-2</v>
      </c>
      <c r="J33" s="440">
        <f t="shared" si="32"/>
        <v>2.2952526974124656</v>
      </c>
      <c r="K33" s="441"/>
      <c r="L33" s="440">
        <v>2.2511505846317497</v>
      </c>
      <c r="M33" s="440">
        <v>0.18638783301167264</v>
      </c>
      <c r="N33" s="440">
        <v>3.3277313446296614E-2</v>
      </c>
      <c r="O33" s="440">
        <f t="shared" si="33"/>
        <v>2.470815731089719</v>
      </c>
    </row>
    <row r="34" spans="1:15" s="351" customFormat="1" x14ac:dyDescent="0.2">
      <c r="A34" s="362" t="str">
        <f>name!E$12</f>
        <v>Elementary occupations</v>
      </c>
      <c r="B34" s="440">
        <v>3.3928564759097508</v>
      </c>
      <c r="C34" s="440">
        <v>1.980589445871654</v>
      </c>
      <c r="D34" s="440">
        <v>0.8714779675168447</v>
      </c>
      <c r="E34" s="440">
        <f t="shared" si="31"/>
        <v>6.2449238892982502</v>
      </c>
      <c r="F34" s="441"/>
      <c r="G34" s="440">
        <v>5.0581727344184539</v>
      </c>
      <c r="H34" s="440">
        <v>1.2010650334976125</v>
      </c>
      <c r="I34" s="440">
        <v>0.72412847349030851</v>
      </c>
      <c r="J34" s="440">
        <f t="shared" si="32"/>
        <v>6.9833662414063751</v>
      </c>
      <c r="K34" s="441"/>
      <c r="L34" s="440">
        <v>4.3338489474512247</v>
      </c>
      <c r="M34" s="440">
        <v>1.798615625362961</v>
      </c>
      <c r="N34" s="440">
        <v>0.62948598512991738</v>
      </c>
      <c r="O34" s="440">
        <f t="shared" si="33"/>
        <v>6.761950557944103</v>
      </c>
    </row>
    <row r="35" spans="1:15" s="351" customFormat="1" x14ac:dyDescent="0.2">
      <c r="A35" s="362"/>
      <c r="B35" s="440"/>
      <c r="C35" s="440"/>
      <c r="D35" s="440"/>
      <c r="E35" s="440"/>
      <c r="F35" s="441"/>
      <c r="G35" s="440"/>
      <c r="H35" s="440"/>
      <c r="I35" s="440"/>
      <c r="J35" s="440"/>
      <c r="K35" s="441"/>
      <c r="L35" s="440"/>
      <c r="M35" s="440"/>
      <c r="N35" s="440"/>
      <c r="O35" s="440"/>
    </row>
    <row r="36" spans="1:15" s="351" customFormat="1" x14ac:dyDescent="0.2">
      <c r="A36" s="357" t="s">
        <v>32</v>
      </c>
      <c r="B36" s="450">
        <f>SUM(B26:B34)</f>
        <v>11.963999999989237</v>
      </c>
      <c r="C36" s="450">
        <f t="shared" ref="C36:O36" si="34">SUM(C26:C34)</f>
        <v>6.4739999999735893</v>
      </c>
      <c r="D36" s="450">
        <f t="shared" si="34"/>
        <v>18.680000000040447</v>
      </c>
      <c r="E36" s="450">
        <f t="shared" si="34"/>
        <v>37.118000000003271</v>
      </c>
      <c r="F36" s="450"/>
      <c r="G36" s="450">
        <f t="shared" si="34"/>
        <v>16.867000000007973</v>
      </c>
      <c r="H36" s="450">
        <f t="shared" si="34"/>
        <v>6.1090000000766658</v>
      </c>
      <c r="I36" s="450">
        <f t="shared" si="34"/>
        <v>36.845000000448323</v>
      </c>
      <c r="J36" s="450">
        <f t="shared" si="34"/>
        <v>59.821000000532948</v>
      </c>
      <c r="K36" s="450"/>
      <c r="L36" s="450">
        <f t="shared" si="34"/>
        <v>17.545999999835082</v>
      </c>
      <c r="M36" s="450">
        <f t="shared" si="34"/>
        <v>8.4930000000954173</v>
      </c>
      <c r="N36" s="450">
        <f t="shared" si="34"/>
        <v>33.967000000395309</v>
      </c>
      <c r="O36" s="450">
        <f t="shared" si="34"/>
        <v>60.006000000325812</v>
      </c>
    </row>
    <row r="37" spans="1:15" s="351" customFormat="1" x14ac:dyDescent="0.2">
      <c r="A37" s="348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53"/>
    </row>
    <row r="38" spans="1:15" s="351" customForma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53"/>
      <c r="O38" s="367" t="s">
        <v>35</v>
      </c>
    </row>
    <row r="39" spans="1:15" s="351" customFormat="1" x14ac:dyDescent="0.2">
      <c r="A39" s="355"/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</row>
    <row r="40" spans="1:15" s="351" customFormat="1" x14ac:dyDescent="0.2">
      <c r="A40" s="354" t="str">
        <f>name!A5</f>
        <v>Coal, oil &amp; gas; Mining &amp; related</v>
      </c>
      <c r="B40" s="519">
        <f>$B$6</f>
        <v>2007</v>
      </c>
      <c r="C40" s="519"/>
      <c r="D40" s="519"/>
      <c r="E40" s="519"/>
      <c r="F40" s="380"/>
      <c r="G40" s="519">
        <f>$G$6</f>
        <v>2017</v>
      </c>
      <c r="H40" s="519"/>
      <c r="I40" s="519"/>
      <c r="J40" s="519"/>
      <c r="K40" s="380"/>
      <c r="L40" s="519">
        <f>$L$6</f>
        <v>2027</v>
      </c>
      <c r="M40" s="519"/>
      <c r="N40" s="519"/>
      <c r="O40" s="519"/>
    </row>
    <row r="41" spans="1:15" s="351" customFormat="1" x14ac:dyDescent="0.2">
      <c r="A41" s="370"/>
      <c r="B41" s="388" t="str">
        <f>$B$7</f>
        <v>FT</v>
      </c>
      <c r="C41" s="388" t="str">
        <f>$C$7</f>
        <v>PT</v>
      </c>
      <c r="D41" s="388" t="str">
        <f>$D$7</f>
        <v>SE</v>
      </c>
      <c r="E41" s="388" t="str">
        <f>$E$7</f>
        <v>Total</v>
      </c>
      <c r="F41" s="388"/>
      <c r="G41" s="388" t="str">
        <f>$G$7</f>
        <v>FT</v>
      </c>
      <c r="H41" s="388" t="str">
        <f>$H$7</f>
        <v>PT</v>
      </c>
      <c r="I41" s="388" t="str">
        <f>$I$7</f>
        <v>SE</v>
      </c>
      <c r="J41" s="388" t="str">
        <f>$J$7</f>
        <v>Total</v>
      </c>
      <c r="K41" s="388"/>
      <c r="L41" s="388" t="str">
        <f>$L$7</f>
        <v>FT</v>
      </c>
      <c r="M41" s="388" t="str">
        <f>$M$7</f>
        <v>PT</v>
      </c>
      <c r="N41" s="388" t="str">
        <f>$N$7</f>
        <v>SE</v>
      </c>
      <c r="O41" s="388" t="str">
        <f>$O$7</f>
        <v>Total</v>
      </c>
    </row>
    <row r="42" spans="1:15" s="351" customFormat="1" x14ac:dyDescent="0.2">
      <c r="A42" s="374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</row>
    <row r="43" spans="1:15" s="351" customFormat="1" x14ac:dyDescent="0.2">
      <c r="A43" s="362" t="str">
        <f>name!E$4</f>
        <v>Managers, directors and senior officials</v>
      </c>
      <c r="B43" s="440">
        <v>0.13193303313958457</v>
      </c>
      <c r="C43" s="440">
        <v>1.0094202447017493E-2</v>
      </c>
      <c r="D43" s="440">
        <v>1.3353150087584614E-4</v>
      </c>
      <c r="E43" s="440">
        <f>SUM(B43:D43)</f>
        <v>0.14216076708747791</v>
      </c>
      <c r="F43" s="441"/>
      <c r="G43" s="440">
        <v>0.29135703296799736</v>
      </c>
      <c r="H43" s="440">
        <v>9.135887187648545E-4</v>
      </c>
      <c r="I43" s="440">
        <v>2.1384996828192789E-2</v>
      </c>
      <c r="J43" s="440">
        <f>SUM(G43:I43)</f>
        <v>0.31365561851495499</v>
      </c>
      <c r="K43" s="441"/>
      <c r="L43" s="440">
        <v>0.27656099731707373</v>
      </c>
      <c r="M43" s="440">
        <v>9.6657943636652708E-4</v>
      </c>
      <c r="N43" s="440">
        <v>2.1809295087008452E-2</v>
      </c>
      <c r="O43" s="440">
        <f>SUM(L43:N43)</f>
        <v>0.29933687184044871</v>
      </c>
    </row>
    <row r="44" spans="1:15" s="351" customFormat="1" x14ac:dyDescent="0.2">
      <c r="A44" s="362" t="str">
        <f>name!E$5</f>
        <v>Professional occupations</v>
      </c>
      <c r="B44" s="440">
        <v>0.22231978067500927</v>
      </c>
      <c r="C44" s="440">
        <v>1.3247877770032215E-2</v>
      </c>
      <c r="D44" s="440">
        <v>1.5103125857514219E-4</v>
      </c>
      <c r="E44" s="440">
        <f t="shared" ref="E44:E51" si="35">SUM(B44:D44)</f>
        <v>0.23571868970361662</v>
      </c>
      <c r="F44" s="441"/>
      <c r="G44" s="440">
        <v>0.58266786322600805</v>
      </c>
      <c r="H44" s="440">
        <v>3.7453759189610284E-3</v>
      </c>
      <c r="I44" s="440">
        <v>6.915398833204329E-3</v>
      </c>
      <c r="J44" s="440">
        <f t="shared" ref="J44:J46" si="36">SUM(G44:I44)</f>
        <v>0.59332863797817348</v>
      </c>
      <c r="K44" s="441"/>
      <c r="L44" s="440">
        <v>0.50051743540023896</v>
      </c>
      <c r="M44" s="440">
        <v>3.267214097358969E-3</v>
      </c>
      <c r="N44" s="440">
        <v>8.7543785524426317E-3</v>
      </c>
      <c r="O44" s="440">
        <f t="shared" ref="O44:O51" si="37">SUM(L44:N44)</f>
        <v>0.51253902805004059</v>
      </c>
    </row>
    <row r="45" spans="1:15" s="351" customFormat="1" x14ac:dyDescent="0.2">
      <c r="A45" s="362" t="str">
        <f>name!E$6</f>
        <v>Associate professional and technical</v>
      </c>
      <c r="B45" s="440">
        <v>0.13838257966545336</v>
      </c>
      <c r="C45" s="440">
        <v>7.6417058410083597E-3</v>
      </c>
      <c r="D45" s="440">
        <v>1.0926040657357054E-4</v>
      </c>
      <c r="E45" s="440">
        <f t="shared" si="35"/>
        <v>0.14613354591303532</v>
      </c>
      <c r="F45" s="441"/>
      <c r="G45" s="440">
        <v>0.2385850248080649</v>
      </c>
      <c r="H45" s="440">
        <v>2.1166540589783898E-3</v>
      </c>
      <c r="I45" s="440">
        <v>1.243078400360562E-2</v>
      </c>
      <c r="J45" s="440">
        <f t="shared" si="36"/>
        <v>0.25313246287064894</v>
      </c>
      <c r="K45" s="441"/>
      <c r="L45" s="440">
        <v>0.22361151851040761</v>
      </c>
      <c r="M45" s="440">
        <v>2.0271532710715631E-3</v>
      </c>
      <c r="N45" s="440">
        <v>1.5386325234473468E-2</v>
      </c>
      <c r="O45" s="440">
        <f t="shared" si="37"/>
        <v>0.24102499701595265</v>
      </c>
    </row>
    <row r="46" spans="1:15" s="351" customFormat="1" x14ac:dyDescent="0.2">
      <c r="A46" s="362" t="str">
        <f>name!E$7</f>
        <v>Administrative and secretarial</v>
      </c>
      <c r="B46" s="440">
        <v>7.1040549943768683E-2</v>
      </c>
      <c r="C46" s="440">
        <v>2.2623743329876347E-2</v>
      </c>
      <c r="D46" s="440">
        <v>1.5501635581528927E-4</v>
      </c>
      <c r="E46" s="440">
        <f t="shared" si="35"/>
        <v>9.3819309629460321E-2</v>
      </c>
      <c r="F46" s="441"/>
      <c r="G46" s="440">
        <v>9.3474810456027208E-2</v>
      </c>
      <c r="H46" s="440">
        <v>4.6834152098028763E-3</v>
      </c>
      <c r="I46" s="440">
        <v>2.0745521420007761E-2</v>
      </c>
      <c r="J46" s="440">
        <f t="shared" si="36"/>
        <v>0.11890374708583784</v>
      </c>
      <c r="K46" s="441"/>
      <c r="L46" s="440">
        <v>8.2414266947207562E-2</v>
      </c>
      <c r="M46" s="440">
        <v>3.1012954359831697E-3</v>
      </c>
      <c r="N46" s="440">
        <v>1.2747694016899213E-2</v>
      </c>
      <c r="O46" s="440">
        <f t="shared" si="37"/>
        <v>9.8263256400089941E-2</v>
      </c>
    </row>
    <row r="47" spans="1:15" s="351" customFormat="1" x14ac:dyDescent="0.2">
      <c r="A47" s="362" t="str">
        <f>name!E$8</f>
        <v>Skilled trades occupations</v>
      </c>
      <c r="B47" s="440">
        <v>0.273880202341653</v>
      </c>
      <c r="C47" s="440">
        <v>9.5302200689824767E-3</v>
      </c>
      <c r="D47" s="440">
        <v>1.6700136906042461E-5</v>
      </c>
      <c r="E47" s="440">
        <f t="shared" si="35"/>
        <v>0.28342712254754149</v>
      </c>
      <c r="F47" s="441"/>
      <c r="G47" s="440">
        <v>0.41868976167146615</v>
      </c>
      <c r="H47" s="440">
        <v>5.4850854977664312E-4</v>
      </c>
      <c r="I47" s="440">
        <v>1.3723896338307137E-3</v>
      </c>
      <c r="J47" s="440">
        <f>SUM(G47:I47)</f>
        <v>0.42061065985507351</v>
      </c>
      <c r="K47" s="441"/>
      <c r="L47" s="440">
        <v>0.28367272384623099</v>
      </c>
      <c r="M47" s="440">
        <v>3.7661374269167604E-4</v>
      </c>
      <c r="N47" s="440">
        <v>1.8661487676938772E-3</v>
      </c>
      <c r="O47" s="440">
        <f t="shared" si="37"/>
        <v>0.28591548635661651</v>
      </c>
    </row>
    <row r="48" spans="1:15" s="351" customFormat="1" x14ac:dyDescent="0.2">
      <c r="A48" s="362" t="str">
        <f>name!E$9</f>
        <v>Caring, leisure and other service</v>
      </c>
      <c r="B48" s="440">
        <v>2.4178136032836157E-2</v>
      </c>
      <c r="C48" s="440">
        <v>1.147614557553066E-2</v>
      </c>
      <c r="D48" s="440">
        <v>2.3471086279011982E-4</v>
      </c>
      <c r="E48" s="440">
        <f t="shared" si="35"/>
        <v>3.5888992471156941E-2</v>
      </c>
      <c r="F48" s="441"/>
      <c r="G48" s="440">
        <v>9.9146948069949309E-2</v>
      </c>
      <c r="H48" s="440">
        <v>4.3713254687845291E-3</v>
      </c>
      <c r="I48" s="440">
        <v>3.3990821868576711E-3</v>
      </c>
      <c r="J48" s="440">
        <f t="shared" ref="J48:J51" si="38">SUM(G48:I48)</f>
        <v>0.10691735572559151</v>
      </c>
      <c r="K48" s="441"/>
      <c r="L48" s="440">
        <v>4.0139407990261868E-2</v>
      </c>
      <c r="M48" s="440">
        <v>3.8485674957854021E-3</v>
      </c>
      <c r="N48" s="440">
        <v>3.8113762321780498E-3</v>
      </c>
      <c r="O48" s="440">
        <f t="shared" si="37"/>
        <v>4.7799351718225323E-2</v>
      </c>
    </row>
    <row r="49" spans="1:15" s="351" customFormat="1" x14ac:dyDescent="0.2">
      <c r="A49" s="362" t="str">
        <f>name!E$10</f>
        <v>Sales and customer service</v>
      </c>
      <c r="B49" s="440">
        <v>2.2956660430808139E-2</v>
      </c>
      <c r="C49" s="440">
        <v>1.0648626677497554E-2</v>
      </c>
      <c r="D49" s="440">
        <v>2.7277408551923659E-5</v>
      </c>
      <c r="E49" s="440">
        <f t="shared" si="35"/>
        <v>3.3632564516857616E-2</v>
      </c>
      <c r="F49" s="441"/>
      <c r="G49" s="440">
        <v>4.2529574050908375E-2</v>
      </c>
      <c r="H49" s="440">
        <v>4.985339568959384E-3</v>
      </c>
      <c r="I49" s="440">
        <v>3.9414270961673431E-3</v>
      </c>
      <c r="J49" s="440">
        <f t="shared" si="38"/>
        <v>5.1456340716035102E-2</v>
      </c>
      <c r="K49" s="441"/>
      <c r="L49" s="440">
        <v>3.716527736980349E-2</v>
      </c>
      <c r="M49" s="440">
        <v>4.279477396210719E-3</v>
      </c>
      <c r="N49" s="440">
        <v>3.4476858751185972E-3</v>
      </c>
      <c r="O49" s="440">
        <f t="shared" si="37"/>
        <v>4.4892440641132805E-2</v>
      </c>
    </row>
    <row r="50" spans="1:15" s="351" customFormat="1" x14ac:dyDescent="0.2">
      <c r="A50" s="362" t="str">
        <f>name!E$11</f>
        <v>Process, plant and machine operatives</v>
      </c>
      <c r="B50" s="440">
        <v>0.59794416787996985</v>
      </c>
      <c r="C50" s="440">
        <v>1.8415616026004167E-2</v>
      </c>
      <c r="D50" s="440">
        <v>1.5113561183319106E-5</v>
      </c>
      <c r="E50" s="440">
        <f t="shared" si="35"/>
        <v>0.61637489746715735</v>
      </c>
      <c r="F50" s="441"/>
      <c r="G50" s="440">
        <v>0.80646371987947507</v>
      </c>
      <c r="H50" s="440">
        <v>1.0423746039281928E-3</v>
      </c>
      <c r="I50" s="440">
        <v>1.4743820663728449E-3</v>
      </c>
      <c r="J50" s="440">
        <f t="shared" si="38"/>
        <v>0.80898047654977612</v>
      </c>
      <c r="K50" s="441"/>
      <c r="L50" s="440">
        <v>0.65081928176946302</v>
      </c>
      <c r="M50" s="440">
        <v>9.5082596360794374E-4</v>
      </c>
      <c r="N50" s="440">
        <v>1.4284655969610031E-3</v>
      </c>
      <c r="O50" s="440">
        <f t="shared" si="37"/>
        <v>0.65319857333003195</v>
      </c>
    </row>
    <row r="51" spans="1:15" s="351" customFormat="1" x14ac:dyDescent="0.2">
      <c r="A51" s="362" t="str">
        <f>name!E$12</f>
        <v>Elementary occupations</v>
      </c>
      <c r="B51" s="440">
        <v>2.8364889887761615E-2</v>
      </c>
      <c r="C51" s="440">
        <v>1.2321862263447482E-2</v>
      </c>
      <c r="D51" s="440">
        <v>1.5735850872404566E-4</v>
      </c>
      <c r="E51" s="440">
        <f t="shared" si="35"/>
        <v>4.0844110659933139E-2</v>
      </c>
      <c r="F51" s="441"/>
      <c r="G51" s="440">
        <v>4.808526486419018E-2</v>
      </c>
      <c r="H51" s="440">
        <v>6.5934179019933254E-3</v>
      </c>
      <c r="I51" s="440">
        <v>2.336017931777097E-3</v>
      </c>
      <c r="J51" s="440">
        <f t="shared" si="38"/>
        <v>5.7014700697960601E-2</v>
      </c>
      <c r="K51" s="441"/>
      <c r="L51" s="440">
        <v>2.6099090838483063E-2</v>
      </c>
      <c r="M51" s="440">
        <v>5.1822731609244511E-3</v>
      </c>
      <c r="N51" s="440">
        <v>1.7486306373331315E-3</v>
      </c>
      <c r="O51" s="440">
        <f t="shared" si="37"/>
        <v>3.3029994636740646E-2</v>
      </c>
    </row>
    <row r="52" spans="1:15" s="351" customFormat="1" x14ac:dyDescent="0.2">
      <c r="A52" s="362"/>
      <c r="B52" s="440"/>
      <c r="C52" s="440"/>
      <c r="D52" s="440"/>
      <c r="E52" s="440"/>
      <c r="F52" s="441"/>
      <c r="G52" s="440"/>
      <c r="H52" s="440"/>
      <c r="I52" s="440"/>
      <c r="J52" s="440"/>
      <c r="K52" s="441"/>
      <c r="L52" s="440"/>
      <c r="M52" s="440"/>
      <c r="N52" s="440"/>
      <c r="O52" s="440"/>
    </row>
    <row r="53" spans="1:15" s="351" customFormat="1" x14ac:dyDescent="0.2">
      <c r="A53" s="357" t="s">
        <v>32</v>
      </c>
      <c r="B53" s="450">
        <f>SUM(B43:B51)</f>
        <v>1.5109999999968444</v>
      </c>
      <c r="C53" s="450">
        <f t="shared" ref="C53:E53" si="39">SUM(C43:C51)</f>
        <v>0.11599999999939675</v>
      </c>
      <c r="D53" s="450">
        <f t="shared" si="39"/>
        <v>9.999999999952987E-4</v>
      </c>
      <c r="E53" s="450">
        <f t="shared" si="39"/>
        <v>1.6279999999962365</v>
      </c>
      <c r="F53" s="450"/>
      <c r="G53" s="450">
        <f t="shared" ref="G53:J53" si="40">SUM(G43:G51)</f>
        <v>2.6209999999940865</v>
      </c>
      <c r="H53" s="450">
        <f t="shared" si="40"/>
        <v>2.8999999999949223E-2</v>
      </c>
      <c r="I53" s="450">
        <f t="shared" si="40"/>
        <v>7.4000000000016178E-2</v>
      </c>
      <c r="J53" s="450">
        <f t="shared" si="40"/>
        <v>2.7239999999940521</v>
      </c>
      <c r="K53" s="450"/>
      <c r="L53" s="450">
        <f t="shared" ref="L53:O53" si="41">SUM(L43:L51)</f>
        <v>2.1209999999891709</v>
      </c>
      <c r="M53" s="450">
        <f t="shared" si="41"/>
        <v>2.4000000000000424E-2</v>
      </c>
      <c r="N53" s="450">
        <f t="shared" si="41"/>
        <v>7.1000000000108421E-2</v>
      </c>
      <c r="O53" s="450">
        <f t="shared" si="41"/>
        <v>2.215999999989279</v>
      </c>
    </row>
    <row r="54" spans="1:15" s="351" customFormat="1" x14ac:dyDescent="0.2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53"/>
    </row>
    <row r="55" spans="1:15" s="351" customFormat="1" x14ac:dyDescent="0.2">
      <c r="A55" s="348"/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53"/>
      <c r="O55" s="367" t="s">
        <v>35</v>
      </c>
    </row>
    <row r="56" spans="1:15" s="351" customFormat="1" x14ac:dyDescent="0.2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</row>
    <row r="57" spans="1:15" s="351" customFormat="1" x14ac:dyDescent="0.2">
      <c r="A57" s="354" t="str">
        <f>name!A6</f>
        <v>Food products</v>
      </c>
      <c r="B57" s="519">
        <f>$B$6</f>
        <v>2007</v>
      </c>
      <c r="C57" s="519"/>
      <c r="D57" s="519"/>
      <c r="E57" s="519"/>
      <c r="F57" s="380"/>
      <c r="G57" s="519">
        <f>$G$6</f>
        <v>2017</v>
      </c>
      <c r="H57" s="519"/>
      <c r="I57" s="519"/>
      <c r="J57" s="519"/>
      <c r="K57" s="380"/>
      <c r="L57" s="519">
        <f>$L$6</f>
        <v>2027</v>
      </c>
      <c r="M57" s="519"/>
      <c r="N57" s="519"/>
      <c r="O57" s="519"/>
    </row>
    <row r="58" spans="1:15" s="351" customFormat="1" x14ac:dyDescent="0.2">
      <c r="A58" s="370"/>
      <c r="B58" s="388" t="str">
        <f>$B$7</f>
        <v>FT</v>
      </c>
      <c r="C58" s="388" t="str">
        <f>$C$7</f>
        <v>PT</v>
      </c>
      <c r="D58" s="388" t="str">
        <f>$D$7</f>
        <v>SE</v>
      </c>
      <c r="E58" s="388" t="str">
        <f>$E$7</f>
        <v>Total</v>
      </c>
      <c r="F58" s="388"/>
      <c r="G58" s="388" t="str">
        <f>$G$7</f>
        <v>FT</v>
      </c>
      <c r="H58" s="388" t="str">
        <f>$H$7</f>
        <v>PT</v>
      </c>
      <c r="I58" s="388" t="str">
        <f>$I$7</f>
        <v>SE</v>
      </c>
      <c r="J58" s="388" t="str">
        <f>$J$7</f>
        <v>Total</v>
      </c>
      <c r="K58" s="388"/>
      <c r="L58" s="388" t="str">
        <f>$L$7</f>
        <v>FT</v>
      </c>
      <c r="M58" s="388" t="str">
        <f>$M$7</f>
        <v>PT</v>
      </c>
      <c r="N58" s="388" t="str">
        <f>$N$7</f>
        <v>SE</v>
      </c>
      <c r="O58" s="388" t="str">
        <f>$O$7</f>
        <v>Total</v>
      </c>
    </row>
    <row r="59" spans="1:15" s="351" customFormat="1" x14ac:dyDescent="0.2">
      <c r="A59" s="374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</row>
    <row r="60" spans="1:15" s="351" customFormat="1" x14ac:dyDescent="0.2">
      <c r="A60" s="362" t="str">
        <f>name!E$4</f>
        <v>Managers, directors and senior officials</v>
      </c>
      <c r="B60" s="440">
        <v>0.96019382017785648</v>
      </c>
      <c r="C60" s="440">
        <v>8.884118493798035E-2</v>
      </c>
      <c r="D60" s="440">
        <v>0.25517777475668502</v>
      </c>
      <c r="E60" s="440">
        <f>SUM(B60:D60)</f>
        <v>1.3042127798725218</v>
      </c>
      <c r="F60" s="441"/>
      <c r="G60" s="440">
        <v>0.77410440772974753</v>
      </c>
      <c r="H60" s="440">
        <v>0.12979508437063417</v>
      </c>
      <c r="I60" s="440">
        <v>0.20306658042748155</v>
      </c>
      <c r="J60" s="440">
        <f>SUM(G60:I60)</f>
        <v>1.1069660725278632</v>
      </c>
      <c r="K60" s="441"/>
      <c r="L60" s="440">
        <v>0.8773317984727429</v>
      </c>
      <c r="M60" s="440">
        <v>0.17487392291353723</v>
      </c>
      <c r="N60" s="440">
        <v>0.17762733415603327</v>
      </c>
      <c r="O60" s="440">
        <f>SUM(L60:N60)</f>
        <v>1.2298330555423134</v>
      </c>
    </row>
    <row r="61" spans="1:15" s="351" customFormat="1" x14ac:dyDescent="0.2">
      <c r="A61" s="362" t="str">
        <f>name!E$5</f>
        <v>Professional occupations</v>
      </c>
      <c r="B61" s="440">
        <v>0.69463313083522371</v>
      </c>
      <c r="C61" s="440">
        <v>3.0506240419241656E-2</v>
      </c>
      <c r="D61" s="440">
        <v>3.6071681848233707E-2</v>
      </c>
      <c r="E61" s="440">
        <f t="shared" ref="E61:E68" si="42">SUM(B61:D61)</f>
        <v>0.7612110531026991</v>
      </c>
      <c r="F61" s="441"/>
      <c r="G61" s="440">
        <v>0.4870819243105316</v>
      </c>
      <c r="H61" s="440">
        <v>3.7221120540619962E-2</v>
      </c>
      <c r="I61" s="440">
        <v>3.0663951494432354E-2</v>
      </c>
      <c r="J61" s="440">
        <f t="shared" ref="J61:J63" si="43">SUM(G61:I61)</f>
        <v>0.55496699634558389</v>
      </c>
      <c r="K61" s="441"/>
      <c r="L61" s="440">
        <v>0.57751274948150511</v>
      </c>
      <c r="M61" s="440">
        <v>4.8646909614799429E-2</v>
      </c>
      <c r="N61" s="440">
        <v>2.6858445600003715E-2</v>
      </c>
      <c r="O61" s="440">
        <f t="shared" ref="O61:O68" si="44">SUM(L61:N61)</f>
        <v>0.65301810469630828</v>
      </c>
    </row>
    <row r="62" spans="1:15" s="351" customFormat="1" x14ac:dyDescent="0.2">
      <c r="A62" s="362" t="str">
        <f>name!E$6</f>
        <v>Associate professional and technical</v>
      </c>
      <c r="B62" s="440">
        <v>0.96231464306722081</v>
      </c>
      <c r="C62" s="440">
        <v>0.10618340610792157</v>
      </c>
      <c r="D62" s="440">
        <v>7.1679199745154215E-2</v>
      </c>
      <c r="E62" s="440">
        <f t="shared" si="42"/>
        <v>1.1401772489202966</v>
      </c>
      <c r="F62" s="441"/>
      <c r="G62" s="440">
        <v>0.89713375166420639</v>
      </c>
      <c r="H62" s="440">
        <v>8.3948626855962369E-2</v>
      </c>
      <c r="I62" s="440">
        <v>7.545967111233004E-2</v>
      </c>
      <c r="J62" s="440">
        <f t="shared" si="43"/>
        <v>1.0565420496324989</v>
      </c>
      <c r="K62" s="441"/>
      <c r="L62" s="440">
        <v>0.94548778135237199</v>
      </c>
      <c r="M62" s="440">
        <v>8.8876007626221429E-2</v>
      </c>
      <c r="N62" s="440">
        <v>3.4404334742341551E-2</v>
      </c>
      <c r="O62" s="440">
        <f t="shared" si="44"/>
        <v>1.068768123720935</v>
      </c>
    </row>
    <row r="63" spans="1:15" s="351" customFormat="1" x14ac:dyDescent="0.2">
      <c r="A63" s="362" t="str">
        <f>name!E$7</f>
        <v>Administrative and secretarial</v>
      </c>
      <c r="B63" s="440">
        <v>0.28202354128565044</v>
      </c>
      <c r="C63" s="440">
        <v>0.12884857114907725</v>
      </c>
      <c r="D63" s="440">
        <v>0.26234486195904866</v>
      </c>
      <c r="E63" s="440">
        <f t="shared" si="42"/>
        <v>0.67321697439377637</v>
      </c>
      <c r="F63" s="441"/>
      <c r="G63" s="440">
        <v>0.3024517278983116</v>
      </c>
      <c r="H63" s="440">
        <v>6.0847137431590953E-2</v>
      </c>
      <c r="I63" s="440">
        <v>7.8823308414445681E-2</v>
      </c>
      <c r="J63" s="440">
        <f t="shared" si="43"/>
        <v>0.4421221737443482</v>
      </c>
      <c r="K63" s="441"/>
      <c r="L63" s="440">
        <v>0.305129523858791</v>
      </c>
      <c r="M63" s="440">
        <v>6.4055722781009836E-2</v>
      </c>
      <c r="N63" s="440">
        <v>7.2393405748511072E-3</v>
      </c>
      <c r="O63" s="440">
        <f t="shared" si="44"/>
        <v>0.37642458721465194</v>
      </c>
    </row>
    <row r="64" spans="1:15" s="351" customFormat="1" x14ac:dyDescent="0.2">
      <c r="A64" s="362" t="str">
        <f>name!E$8</f>
        <v>Skilled trades occupations</v>
      </c>
      <c r="B64" s="440">
        <v>2.3896565871446116</v>
      </c>
      <c r="C64" s="440">
        <v>8.2672746724230278E-2</v>
      </c>
      <c r="D64" s="440">
        <v>8.6925934634895771E-2</v>
      </c>
      <c r="E64" s="440">
        <f t="shared" si="42"/>
        <v>2.5592552685037373</v>
      </c>
      <c r="F64" s="441"/>
      <c r="G64" s="440">
        <v>1.4661804170422639</v>
      </c>
      <c r="H64" s="440">
        <v>5.611736518195639E-2</v>
      </c>
      <c r="I64" s="440">
        <v>9.1834684025348792E-2</v>
      </c>
      <c r="J64" s="440">
        <f>SUM(G64:I64)</f>
        <v>1.6141324662495691</v>
      </c>
      <c r="K64" s="441"/>
      <c r="L64" s="440">
        <v>1.1602044152621742</v>
      </c>
      <c r="M64" s="440">
        <v>5.7373245739757231E-2</v>
      </c>
      <c r="N64" s="440">
        <v>0.21778319280985081</v>
      </c>
      <c r="O64" s="440">
        <f t="shared" si="44"/>
        <v>1.4353608538117824</v>
      </c>
    </row>
    <row r="65" spans="1:15" s="351" customFormat="1" x14ac:dyDescent="0.2">
      <c r="A65" s="362" t="str">
        <f>name!E$9</f>
        <v>Caring, leisure and other service</v>
      </c>
      <c r="B65" s="440">
        <v>5.4436803510567983E-2</v>
      </c>
      <c r="C65" s="440">
        <v>8.6299068937341541E-3</v>
      </c>
      <c r="D65" s="440">
        <v>2.6731604494637077E-2</v>
      </c>
      <c r="E65" s="440">
        <f t="shared" si="42"/>
        <v>8.9798314898939205E-2</v>
      </c>
      <c r="F65" s="441"/>
      <c r="G65" s="440">
        <v>5.6457337224061092E-2</v>
      </c>
      <c r="H65" s="440">
        <v>1.0079016808245691E-2</v>
      </c>
      <c r="I65" s="440">
        <v>3.7475537943250731E-2</v>
      </c>
      <c r="J65" s="440">
        <f t="shared" ref="J65:J68" si="45">SUM(G65:I65)</f>
        <v>0.10401189197555752</v>
      </c>
      <c r="K65" s="441"/>
      <c r="L65" s="440">
        <v>6.016055306282421E-2</v>
      </c>
      <c r="M65" s="440">
        <v>1.357522294246801E-2</v>
      </c>
      <c r="N65" s="440">
        <v>3.3786867684066565E-2</v>
      </c>
      <c r="O65" s="440">
        <f t="shared" si="44"/>
        <v>0.10752264368935878</v>
      </c>
    </row>
    <row r="66" spans="1:15" s="351" customFormat="1" x14ac:dyDescent="0.2">
      <c r="A66" s="362" t="str">
        <f>name!E$10</f>
        <v>Sales and customer service</v>
      </c>
      <c r="B66" s="440">
        <v>0.13149774358195332</v>
      </c>
      <c r="C66" s="440">
        <v>0.19837027235128421</v>
      </c>
      <c r="D66" s="440">
        <v>3.8648739588540593E-2</v>
      </c>
      <c r="E66" s="440">
        <f t="shared" si="42"/>
        <v>0.36851675552177815</v>
      </c>
      <c r="F66" s="441"/>
      <c r="G66" s="440">
        <v>0.13744544116906848</v>
      </c>
      <c r="H66" s="440">
        <v>0.21917432669652692</v>
      </c>
      <c r="I66" s="440">
        <v>2.8874523150364911E-2</v>
      </c>
      <c r="J66" s="440">
        <f t="shared" si="45"/>
        <v>0.38549429101596033</v>
      </c>
      <c r="K66" s="441"/>
      <c r="L66" s="440">
        <v>0.14198016400792748</v>
      </c>
      <c r="M66" s="440">
        <v>0.23045800124156993</v>
      </c>
      <c r="N66" s="440">
        <v>1.6961072025528181E-2</v>
      </c>
      <c r="O66" s="440">
        <f t="shared" si="44"/>
        <v>0.38939923727502557</v>
      </c>
    </row>
    <row r="67" spans="1:15" s="351" customFormat="1" x14ac:dyDescent="0.2">
      <c r="A67" s="362" t="str">
        <f>name!E$11</f>
        <v>Process, plant and machine operatives</v>
      </c>
      <c r="B67" s="440">
        <v>11.352159685148894</v>
      </c>
      <c r="C67" s="440">
        <v>1.0294158376179792</v>
      </c>
      <c r="D67" s="440">
        <v>0.11937915126808998</v>
      </c>
      <c r="E67" s="440">
        <f t="shared" si="42"/>
        <v>12.500954674034963</v>
      </c>
      <c r="F67" s="441"/>
      <c r="G67" s="440">
        <v>9.0060029445145755</v>
      </c>
      <c r="H67" s="440">
        <v>0.73403004292752783</v>
      </c>
      <c r="I67" s="440">
        <v>0.35956592855073594</v>
      </c>
      <c r="J67" s="440">
        <f t="shared" si="45"/>
        <v>10.099598915992839</v>
      </c>
      <c r="K67" s="441"/>
      <c r="L67" s="440">
        <v>7.2855781616214532</v>
      </c>
      <c r="M67" s="440">
        <v>0.58127985659925774</v>
      </c>
      <c r="N67" s="440">
        <v>0.25144700130571368</v>
      </c>
      <c r="O67" s="440">
        <f t="shared" si="44"/>
        <v>8.1183050195264244</v>
      </c>
    </row>
    <row r="68" spans="1:15" s="351" customFormat="1" x14ac:dyDescent="0.2">
      <c r="A68" s="362" t="str">
        <f>name!E$12</f>
        <v>Elementary occupations</v>
      </c>
      <c r="B68" s="440">
        <v>1.7830840451427032</v>
      </c>
      <c r="C68" s="440">
        <v>0.3905318337926682</v>
      </c>
      <c r="D68" s="440">
        <v>0.16004105169046215</v>
      </c>
      <c r="E68" s="440">
        <f t="shared" si="42"/>
        <v>2.3336569306258337</v>
      </c>
      <c r="F68" s="441"/>
      <c r="G68" s="440">
        <v>2.2261420484900709</v>
      </c>
      <c r="H68" s="440">
        <v>0.41378727922664671</v>
      </c>
      <c r="I68" s="440">
        <v>0.26723581490519138</v>
      </c>
      <c r="J68" s="440">
        <f t="shared" si="45"/>
        <v>2.9071651426219089</v>
      </c>
      <c r="K68" s="441"/>
      <c r="L68" s="440">
        <v>2.1926148526838234</v>
      </c>
      <c r="M68" s="440">
        <v>0.54886111056753772</v>
      </c>
      <c r="N68" s="440">
        <v>0.25089241111764654</v>
      </c>
      <c r="O68" s="440">
        <f t="shared" si="44"/>
        <v>2.9923683743690077</v>
      </c>
    </row>
    <row r="69" spans="1:15" s="351" customFormat="1" x14ac:dyDescent="0.2">
      <c r="A69" s="362"/>
      <c r="B69" s="440"/>
      <c r="C69" s="440"/>
      <c r="D69" s="440"/>
      <c r="E69" s="440"/>
      <c r="F69" s="441"/>
      <c r="G69" s="440"/>
      <c r="H69" s="440"/>
      <c r="I69" s="440"/>
      <c r="J69" s="440"/>
      <c r="K69" s="441"/>
      <c r="L69" s="440"/>
      <c r="M69" s="440"/>
      <c r="N69" s="440"/>
      <c r="O69" s="440"/>
    </row>
    <row r="70" spans="1:15" s="351" customFormat="1" x14ac:dyDescent="0.2">
      <c r="A70" s="357" t="s">
        <v>32</v>
      </c>
      <c r="B70" s="450">
        <f>SUM(B60:B68)</f>
        <v>18.609999999894683</v>
      </c>
      <c r="C70" s="450">
        <f t="shared" ref="C70:E70" si="46">SUM(C60:C68)</f>
        <v>2.0639999999941168</v>
      </c>
      <c r="D70" s="450">
        <f t="shared" si="46"/>
        <v>1.0569999999857471</v>
      </c>
      <c r="E70" s="450">
        <f t="shared" si="46"/>
        <v>21.730999999874548</v>
      </c>
      <c r="F70" s="450"/>
      <c r="G70" s="450">
        <f t="shared" ref="G70:J70" si="47">SUM(G60:G68)</f>
        <v>15.353000000042837</v>
      </c>
      <c r="H70" s="450">
        <f t="shared" si="47"/>
        <v>1.745000000039711</v>
      </c>
      <c r="I70" s="450">
        <f t="shared" si="47"/>
        <v>1.1730000000235814</v>
      </c>
      <c r="J70" s="450">
        <f t="shared" si="47"/>
        <v>18.271000000106131</v>
      </c>
      <c r="K70" s="450"/>
      <c r="L70" s="450">
        <f t="shared" ref="L70:O70" si="48">SUM(L60:L68)</f>
        <v>13.545999999803614</v>
      </c>
      <c r="M70" s="450">
        <f t="shared" si="48"/>
        <v>1.8080000000261585</v>
      </c>
      <c r="N70" s="450">
        <f t="shared" si="48"/>
        <v>1.0170000000160353</v>
      </c>
      <c r="O70" s="450">
        <f t="shared" si="48"/>
        <v>16.370999999845807</v>
      </c>
    </row>
    <row r="71" spans="1:15" s="351" customFormat="1" x14ac:dyDescent="0.2">
      <c r="A71" s="348"/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53"/>
    </row>
    <row r="72" spans="1:15" s="351" customFormat="1" x14ac:dyDescent="0.2">
      <c r="A72" s="348"/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53"/>
      <c r="O72" s="367" t="s">
        <v>35</v>
      </c>
    </row>
    <row r="73" spans="1:15" s="351" customFormat="1" x14ac:dyDescent="0.2">
      <c r="A73" s="355"/>
      <c r="B73" s="355"/>
      <c r="C73" s="355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</row>
    <row r="74" spans="1:15" s="351" customFormat="1" x14ac:dyDescent="0.2">
      <c r="A74" s="354" t="str">
        <f>name!A7</f>
        <v>Beverages and tobacco</v>
      </c>
      <c r="B74" s="519">
        <f>$B$6</f>
        <v>2007</v>
      </c>
      <c r="C74" s="519"/>
      <c r="D74" s="519"/>
      <c r="E74" s="519"/>
      <c r="F74" s="380"/>
      <c r="G74" s="519">
        <f>$G$6</f>
        <v>2017</v>
      </c>
      <c r="H74" s="519"/>
      <c r="I74" s="519"/>
      <c r="J74" s="519"/>
      <c r="K74" s="380"/>
      <c r="L74" s="519">
        <f>$L$6</f>
        <v>2027</v>
      </c>
      <c r="M74" s="519"/>
      <c r="N74" s="519"/>
      <c r="O74" s="519"/>
    </row>
    <row r="75" spans="1:15" s="351" customFormat="1" x14ac:dyDescent="0.2">
      <c r="A75" s="370"/>
      <c r="B75" s="388" t="str">
        <f>$B$7</f>
        <v>FT</v>
      </c>
      <c r="C75" s="388" t="str">
        <f>$C$7</f>
        <v>PT</v>
      </c>
      <c r="D75" s="388" t="str">
        <f>$D$7</f>
        <v>SE</v>
      </c>
      <c r="E75" s="388" t="str">
        <f>$E$7</f>
        <v>Total</v>
      </c>
      <c r="F75" s="388"/>
      <c r="G75" s="388" t="str">
        <f>$G$7</f>
        <v>FT</v>
      </c>
      <c r="H75" s="388" t="str">
        <f>$H$7</f>
        <v>PT</v>
      </c>
      <c r="I75" s="388" t="str">
        <f>$I$7</f>
        <v>SE</v>
      </c>
      <c r="J75" s="388" t="str">
        <f>$J$7</f>
        <v>Total</v>
      </c>
      <c r="K75" s="388"/>
      <c r="L75" s="388" t="str">
        <f>$L$7</f>
        <v>FT</v>
      </c>
      <c r="M75" s="388" t="str">
        <f>$M$7</f>
        <v>PT</v>
      </c>
      <c r="N75" s="388" t="str">
        <f>$N$7</f>
        <v>SE</v>
      </c>
      <c r="O75" s="388" t="str">
        <f>$O$7</f>
        <v>Total</v>
      </c>
    </row>
    <row r="76" spans="1:15" s="351" customFormat="1" x14ac:dyDescent="0.2">
      <c r="A76" s="374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</row>
    <row r="77" spans="1:15" s="351" customFormat="1" x14ac:dyDescent="0.2">
      <c r="A77" s="362" t="str">
        <f>name!E$4</f>
        <v>Managers, directors and senior officials</v>
      </c>
      <c r="B77" s="440">
        <v>0.16656883354663352</v>
      </c>
      <c r="C77" s="440">
        <v>2.4050126711626669E-2</v>
      </c>
      <c r="D77" s="440">
        <v>8.5138103025598939E-3</v>
      </c>
      <c r="E77" s="440">
        <f>SUM(B77:D77)</f>
        <v>0.1991327705608201</v>
      </c>
      <c r="F77" s="441"/>
      <c r="G77" s="440">
        <v>0.2227730936182982</v>
      </c>
      <c r="H77" s="440">
        <v>2.0112208024280428E-2</v>
      </c>
      <c r="I77" s="440">
        <v>1.6029055349047548E-2</v>
      </c>
      <c r="J77" s="440">
        <f>SUM(G77:I77)</f>
        <v>0.25891435699162618</v>
      </c>
      <c r="K77" s="441"/>
      <c r="L77" s="440">
        <v>0.2428402100929776</v>
      </c>
      <c r="M77" s="440">
        <v>2.5744429990846526E-2</v>
      </c>
      <c r="N77" s="440">
        <v>1.4785424146794341E-2</v>
      </c>
      <c r="O77" s="440">
        <f>SUM(L77:N77)</f>
        <v>0.28337006423061845</v>
      </c>
    </row>
    <row r="78" spans="1:15" s="351" customFormat="1" x14ac:dyDescent="0.2">
      <c r="A78" s="362" t="str">
        <f>name!E$5</f>
        <v>Professional occupations</v>
      </c>
      <c r="B78" s="440">
        <v>0.16582751587955369</v>
      </c>
      <c r="C78" s="440">
        <v>2.4161062968325705E-2</v>
      </c>
      <c r="D78" s="440">
        <v>4.001681028960302E-3</v>
      </c>
      <c r="E78" s="440">
        <f t="shared" ref="E78:E85" si="49">SUM(B78:D78)</f>
        <v>0.19399025987683971</v>
      </c>
      <c r="F78" s="441"/>
      <c r="G78" s="440">
        <v>0.17192243103345239</v>
      </c>
      <c r="H78" s="440">
        <v>1.6736010754546386E-2</v>
      </c>
      <c r="I78" s="440">
        <v>2.461989547171468E-2</v>
      </c>
      <c r="J78" s="440">
        <f t="shared" ref="J78:J80" si="50">SUM(G78:I78)</f>
        <v>0.21327833725971346</v>
      </c>
      <c r="K78" s="441"/>
      <c r="L78" s="440">
        <v>0.17738153477485225</v>
      </c>
      <c r="M78" s="440">
        <v>1.958888251107184E-2</v>
      </c>
      <c r="N78" s="440">
        <v>2.6867844626422284E-2</v>
      </c>
      <c r="O78" s="440">
        <f t="shared" ref="O78:O85" si="51">SUM(L78:N78)</f>
        <v>0.22383826191234635</v>
      </c>
    </row>
    <row r="79" spans="1:15" s="351" customFormat="1" x14ac:dyDescent="0.2">
      <c r="A79" s="362" t="str">
        <f>name!E$6</f>
        <v>Associate professional and technical</v>
      </c>
      <c r="B79" s="440">
        <v>0.22106331242004681</v>
      </c>
      <c r="C79" s="440">
        <v>5.998043034812673E-2</v>
      </c>
      <c r="D79" s="440">
        <v>6.2277557057801745E-3</v>
      </c>
      <c r="E79" s="440">
        <f t="shared" si="49"/>
        <v>0.28727149847395372</v>
      </c>
      <c r="F79" s="441"/>
      <c r="G79" s="440">
        <v>0.22996456088560041</v>
      </c>
      <c r="H79" s="440">
        <v>3.4395582757270164E-2</v>
      </c>
      <c r="I79" s="440">
        <v>1.3224622920829893E-2</v>
      </c>
      <c r="J79" s="440">
        <f t="shared" si="50"/>
        <v>0.27758476656370046</v>
      </c>
      <c r="K79" s="441"/>
      <c r="L79" s="440">
        <v>0.22559221555747902</v>
      </c>
      <c r="M79" s="440">
        <v>3.6148291062488763E-2</v>
      </c>
      <c r="N79" s="440">
        <v>1.0232576783147495E-2</v>
      </c>
      <c r="O79" s="440">
        <f t="shared" si="51"/>
        <v>0.27197308340311527</v>
      </c>
    </row>
    <row r="80" spans="1:15" s="351" customFormat="1" x14ac:dyDescent="0.2">
      <c r="A80" s="362" t="str">
        <f>name!E$7</f>
        <v>Administrative and secretarial</v>
      </c>
      <c r="B80" s="440">
        <v>0.1069580358395973</v>
      </c>
      <c r="C80" s="440">
        <v>4.6450629432372888E-2</v>
      </c>
      <c r="D80" s="440">
        <v>1.2281159835263221E-2</v>
      </c>
      <c r="E80" s="440">
        <f t="shared" si="49"/>
        <v>0.16568982510723343</v>
      </c>
      <c r="F80" s="441"/>
      <c r="G80" s="440">
        <v>8.5452572534747057E-2</v>
      </c>
      <c r="H80" s="440">
        <v>1.975408723281144E-2</v>
      </c>
      <c r="I80" s="440">
        <v>3.920992934790612E-3</v>
      </c>
      <c r="J80" s="440">
        <f t="shared" si="50"/>
        <v>0.10912765270234911</v>
      </c>
      <c r="K80" s="441"/>
      <c r="L80" s="440">
        <v>7.0635223887788645E-2</v>
      </c>
      <c r="M80" s="440">
        <v>1.5727402633856608E-2</v>
      </c>
      <c r="N80" s="440">
        <v>2.0124762420203248E-3</v>
      </c>
      <c r="O80" s="440">
        <f t="shared" si="51"/>
        <v>8.8375102763665572E-2</v>
      </c>
    </row>
    <row r="81" spans="1:15" s="351" customFormat="1" x14ac:dyDescent="0.2">
      <c r="A81" s="362" t="str">
        <f>name!E$8</f>
        <v>Skilled trades occupations</v>
      </c>
      <c r="B81" s="440">
        <v>0.12903059240359038</v>
      </c>
      <c r="C81" s="440">
        <v>5.5409517376454323E-3</v>
      </c>
      <c r="D81" s="440">
        <v>3.603886438404516E-3</v>
      </c>
      <c r="E81" s="440">
        <f t="shared" si="49"/>
        <v>0.13817543057964032</v>
      </c>
      <c r="F81" s="441"/>
      <c r="G81" s="440">
        <v>9.5603730235626183E-2</v>
      </c>
      <c r="H81" s="440">
        <v>2.4639837353308551E-3</v>
      </c>
      <c r="I81" s="440">
        <v>9.7334109808757882E-3</v>
      </c>
      <c r="J81" s="440">
        <f>SUM(G81:I81)</f>
        <v>0.10780112495183283</v>
      </c>
      <c r="K81" s="441"/>
      <c r="L81" s="440">
        <v>7.0828338648596154E-2</v>
      </c>
      <c r="M81" s="440">
        <v>2.0216433063355399E-3</v>
      </c>
      <c r="N81" s="440">
        <v>9.1210754537933685E-3</v>
      </c>
      <c r="O81" s="440">
        <f t="shared" si="51"/>
        <v>8.1971057408725068E-2</v>
      </c>
    </row>
    <row r="82" spans="1:15" s="351" customFormat="1" x14ac:dyDescent="0.2">
      <c r="A82" s="362" t="str">
        <f>name!E$9</f>
        <v>Caring, leisure and other service</v>
      </c>
      <c r="B82" s="440">
        <v>4.9871494404258213E-2</v>
      </c>
      <c r="C82" s="440">
        <v>1.4997850660186565E-2</v>
      </c>
      <c r="D82" s="440">
        <v>3.2354623626446627E-3</v>
      </c>
      <c r="E82" s="440">
        <f t="shared" si="49"/>
        <v>6.8104807427089437E-2</v>
      </c>
      <c r="F82" s="441"/>
      <c r="G82" s="440">
        <v>5.1027954681059903E-2</v>
      </c>
      <c r="H82" s="440">
        <v>7.372473258875834E-3</v>
      </c>
      <c r="I82" s="440">
        <v>1.0505604637321793E-2</v>
      </c>
      <c r="J82" s="440">
        <f t="shared" ref="J82:J85" si="52">SUM(G82:I82)</f>
        <v>6.8906032577257526E-2</v>
      </c>
      <c r="K82" s="441"/>
      <c r="L82" s="440">
        <v>5.3241329686130663E-2</v>
      </c>
      <c r="M82" s="440">
        <v>7.4339268278281537E-3</v>
      </c>
      <c r="N82" s="440">
        <v>7.9227606327919656E-3</v>
      </c>
      <c r="O82" s="440">
        <f t="shared" si="51"/>
        <v>6.8598017146750789E-2</v>
      </c>
    </row>
    <row r="83" spans="1:15" s="351" customFormat="1" x14ac:dyDescent="0.2">
      <c r="A83" s="362" t="str">
        <f>name!E$10</f>
        <v>Sales and customer service</v>
      </c>
      <c r="B83" s="440">
        <v>5.1719794707596835E-2</v>
      </c>
      <c r="C83" s="440">
        <v>3.172524400634949E-2</v>
      </c>
      <c r="D83" s="440">
        <v>2.1877403749089423E-2</v>
      </c>
      <c r="E83" s="440">
        <f t="shared" si="49"/>
        <v>0.10532244246303574</v>
      </c>
      <c r="F83" s="441"/>
      <c r="G83" s="440">
        <v>5.2285416708155966E-2</v>
      </c>
      <c r="H83" s="440">
        <v>2.1151697089378772E-2</v>
      </c>
      <c r="I83" s="440">
        <v>3.5735886223019733E-3</v>
      </c>
      <c r="J83" s="440">
        <f t="shared" si="52"/>
        <v>7.7010702419836707E-2</v>
      </c>
      <c r="K83" s="441"/>
      <c r="L83" s="440">
        <v>4.5813401209803879E-2</v>
      </c>
      <c r="M83" s="440">
        <v>2.1009443883702232E-2</v>
      </c>
      <c r="N83" s="440">
        <v>1.8395206122637587E-3</v>
      </c>
      <c r="O83" s="440">
        <f t="shared" si="51"/>
        <v>6.8662365705769876E-2</v>
      </c>
    </row>
    <row r="84" spans="1:15" s="351" customFormat="1" x14ac:dyDescent="0.2">
      <c r="A84" s="362" t="str">
        <f>name!E$11</f>
        <v>Process, plant and machine operatives</v>
      </c>
      <c r="B84" s="440">
        <v>0.72086893300700605</v>
      </c>
      <c r="C84" s="440">
        <v>3.018402757988569E-2</v>
      </c>
      <c r="D84" s="440">
        <v>9.3058065919653359E-3</v>
      </c>
      <c r="E84" s="440">
        <f t="shared" si="49"/>
        <v>0.76035876717885709</v>
      </c>
      <c r="F84" s="441"/>
      <c r="G84" s="440">
        <v>0.58774787850995069</v>
      </c>
      <c r="H84" s="440">
        <v>1.3218746698762463E-2</v>
      </c>
      <c r="I84" s="440">
        <v>4.3747059346264912E-3</v>
      </c>
      <c r="J84" s="440">
        <f t="shared" si="52"/>
        <v>0.60534133114333966</v>
      </c>
      <c r="K84" s="441"/>
      <c r="L84" s="440">
        <v>0.45397603796740693</v>
      </c>
      <c r="M84" s="440">
        <v>8.8162410931300061E-3</v>
      </c>
      <c r="N84" s="440">
        <v>3.2013783179070401E-3</v>
      </c>
      <c r="O84" s="440">
        <f t="shared" si="51"/>
        <v>0.465993657378444</v>
      </c>
    </row>
    <row r="85" spans="1:15" s="351" customFormat="1" x14ac:dyDescent="0.2">
      <c r="A85" s="362" t="str">
        <f>name!E$12</f>
        <v>Elementary occupations</v>
      </c>
      <c r="B85" s="440">
        <v>0.17409148778470682</v>
      </c>
      <c r="C85" s="440">
        <v>3.3909676554783989E-2</v>
      </c>
      <c r="D85" s="440">
        <v>9.9530339845623136E-3</v>
      </c>
      <c r="E85" s="440">
        <f t="shared" si="49"/>
        <v>0.21795419832405313</v>
      </c>
      <c r="F85" s="441"/>
      <c r="G85" s="440">
        <v>0.1752223617914031</v>
      </c>
      <c r="H85" s="440">
        <v>1.1795210448917447E-2</v>
      </c>
      <c r="I85" s="440">
        <v>7.0181231486675282E-3</v>
      </c>
      <c r="J85" s="440">
        <f t="shared" si="52"/>
        <v>0.1940356953889881</v>
      </c>
      <c r="K85" s="441"/>
      <c r="L85" s="440">
        <v>0.14469170815855478</v>
      </c>
      <c r="M85" s="440">
        <v>9.509738691862453E-3</v>
      </c>
      <c r="N85" s="440">
        <v>6.0169431854328395E-3</v>
      </c>
      <c r="O85" s="440">
        <f t="shared" si="51"/>
        <v>0.16021839003585006</v>
      </c>
    </row>
    <row r="86" spans="1:15" s="351" customFormat="1" x14ac:dyDescent="0.2">
      <c r="A86" s="362"/>
      <c r="B86" s="440"/>
      <c r="C86" s="440"/>
      <c r="D86" s="440"/>
      <c r="E86" s="440"/>
      <c r="F86" s="441"/>
      <c r="G86" s="440"/>
      <c r="H86" s="440"/>
      <c r="I86" s="440"/>
      <c r="J86" s="440"/>
      <c r="K86" s="441"/>
      <c r="L86" s="440"/>
      <c r="M86" s="440"/>
      <c r="N86" s="440"/>
      <c r="O86" s="440"/>
    </row>
    <row r="87" spans="1:15" s="351" customFormat="1" x14ac:dyDescent="0.2">
      <c r="A87" s="357" t="s">
        <v>32</v>
      </c>
      <c r="B87" s="450">
        <f>SUM(B77:B85)</f>
        <v>1.7859999999929896</v>
      </c>
      <c r="C87" s="450">
        <f t="shared" ref="C87:E87" si="53">SUM(C77:C85)</f>
        <v>0.27099999999930313</v>
      </c>
      <c r="D87" s="450">
        <f t="shared" si="53"/>
        <v>7.8999999999229853E-2</v>
      </c>
      <c r="E87" s="450">
        <f t="shared" si="53"/>
        <v>2.1359999999915225</v>
      </c>
      <c r="F87" s="450"/>
      <c r="G87" s="450">
        <f t="shared" ref="G87:J87" si="54">SUM(G77:G85)</f>
        <v>1.6719999999982937</v>
      </c>
      <c r="H87" s="450">
        <f t="shared" si="54"/>
        <v>0.1470000000001738</v>
      </c>
      <c r="I87" s="450">
        <f t="shared" si="54"/>
        <v>9.3000000000176303E-2</v>
      </c>
      <c r="J87" s="450">
        <f t="shared" si="54"/>
        <v>1.9119999999986441</v>
      </c>
      <c r="K87" s="450"/>
      <c r="L87" s="450">
        <f t="shared" ref="L87:O87" si="55">SUM(L77:L85)</f>
        <v>1.4849999999835899</v>
      </c>
      <c r="M87" s="450">
        <f t="shared" si="55"/>
        <v>0.14600000000112212</v>
      </c>
      <c r="N87" s="450">
        <f t="shared" si="55"/>
        <v>8.200000000057342E-2</v>
      </c>
      <c r="O87" s="450">
        <f t="shared" si="55"/>
        <v>1.7129999999852854</v>
      </c>
    </row>
    <row r="88" spans="1:15" s="351" customFormat="1" x14ac:dyDescent="0.2">
      <c r="A88" s="348"/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48"/>
      <c r="M88" s="348"/>
      <c r="N88" s="353"/>
    </row>
    <row r="89" spans="1:15" s="351" customFormat="1" x14ac:dyDescent="0.2">
      <c r="A89" s="348"/>
      <c r="B89" s="348"/>
      <c r="C89" s="348"/>
      <c r="D89" s="348"/>
      <c r="E89" s="348"/>
      <c r="F89" s="348"/>
      <c r="G89" s="348"/>
      <c r="H89" s="348"/>
      <c r="I89" s="348"/>
      <c r="J89" s="348"/>
      <c r="K89" s="348"/>
      <c r="L89" s="348"/>
      <c r="M89" s="348"/>
      <c r="N89" s="353"/>
      <c r="O89" s="367" t="s">
        <v>35</v>
      </c>
    </row>
    <row r="90" spans="1:15" s="351" customFormat="1" x14ac:dyDescent="0.2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</row>
    <row r="91" spans="1:15" s="351" customFormat="1" x14ac:dyDescent="0.2">
      <c r="A91" s="354" t="str">
        <f>name!A8</f>
        <v>Textiles</v>
      </c>
      <c r="B91" s="519">
        <f>$B$6</f>
        <v>2007</v>
      </c>
      <c r="C91" s="519"/>
      <c r="D91" s="519"/>
      <c r="E91" s="519"/>
      <c r="F91" s="380"/>
      <c r="G91" s="519">
        <f>$G$6</f>
        <v>2017</v>
      </c>
      <c r="H91" s="519"/>
      <c r="I91" s="519"/>
      <c r="J91" s="519"/>
      <c r="K91" s="380"/>
      <c r="L91" s="519">
        <f>$L$6</f>
        <v>2027</v>
      </c>
      <c r="M91" s="519"/>
      <c r="N91" s="519"/>
      <c r="O91" s="519"/>
    </row>
    <row r="92" spans="1:15" s="351" customFormat="1" x14ac:dyDescent="0.2">
      <c r="A92" s="370"/>
      <c r="B92" s="388" t="str">
        <f>$B$7</f>
        <v>FT</v>
      </c>
      <c r="C92" s="388" t="str">
        <f>$C$7</f>
        <v>PT</v>
      </c>
      <c r="D92" s="388" t="str">
        <f>$D$7</f>
        <v>SE</v>
      </c>
      <c r="E92" s="388" t="str">
        <f>$E$7</f>
        <v>Total</v>
      </c>
      <c r="F92" s="388"/>
      <c r="G92" s="388" t="str">
        <f>$G$7</f>
        <v>FT</v>
      </c>
      <c r="H92" s="388" t="str">
        <f>$H$7</f>
        <v>PT</v>
      </c>
      <c r="I92" s="388" t="str">
        <f>$I$7</f>
        <v>SE</v>
      </c>
      <c r="J92" s="388" t="str">
        <f>$J$7</f>
        <v>Total</v>
      </c>
      <c r="K92" s="388"/>
      <c r="L92" s="388" t="str">
        <f>$L$7</f>
        <v>FT</v>
      </c>
      <c r="M92" s="388" t="str">
        <f>$M$7</f>
        <v>PT</v>
      </c>
      <c r="N92" s="388" t="str">
        <f>$N$7</f>
        <v>SE</v>
      </c>
      <c r="O92" s="388" t="str">
        <f>$O$7</f>
        <v>Total</v>
      </c>
    </row>
    <row r="93" spans="1:15" s="351" customFormat="1" x14ac:dyDescent="0.2">
      <c r="A93" s="374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</row>
    <row r="94" spans="1:15" s="351" customFormat="1" x14ac:dyDescent="0.2">
      <c r="A94" s="362" t="str">
        <f>name!E$4</f>
        <v>Managers, directors and senior officials</v>
      </c>
      <c r="B94" s="440">
        <v>7.0608739271090015E-2</v>
      </c>
      <c r="C94" s="440">
        <v>8.40184743051536E-3</v>
      </c>
      <c r="D94" s="440">
        <v>4.5133797081500004E-2</v>
      </c>
      <c r="E94" s="440">
        <f>SUM(B94:D94)</f>
        <v>0.12414438378310538</v>
      </c>
      <c r="F94" s="441"/>
      <c r="G94" s="440">
        <v>7.7625851877565252E-2</v>
      </c>
      <c r="H94" s="440">
        <v>1.2482468201000621E-2</v>
      </c>
      <c r="I94" s="440">
        <v>7.9749199551355607E-2</v>
      </c>
      <c r="J94" s="440">
        <f>SUM(G94:I94)</f>
        <v>0.16985751962992146</v>
      </c>
      <c r="K94" s="441"/>
      <c r="L94" s="440">
        <v>7.9535281162543173E-2</v>
      </c>
      <c r="M94" s="440">
        <v>1.2614563691009134E-2</v>
      </c>
      <c r="N94" s="440">
        <v>6.3396312081989939E-2</v>
      </c>
      <c r="O94" s="440">
        <f>SUM(L94:N94)</f>
        <v>0.15554615693554225</v>
      </c>
    </row>
    <row r="95" spans="1:15" s="351" customFormat="1" x14ac:dyDescent="0.2">
      <c r="A95" s="362" t="str">
        <f>name!E$5</f>
        <v>Professional occupations</v>
      </c>
      <c r="B95" s="440">
        <v>9.233461993965611E-2</v>
      </c>
      <c r="C95" s="440">
        <v>1.0658188102174221E-2</v>
      </c>
      <c r="D95" s="440">
        <v>1.9286578294547468E-2</v>
      </c>
      <c r="E95" s="440">
        <f t="shared" ref="E95:E102" si="56">SUM(B95:D95)</f>
        <v>0.1222793863363778</v>
      </c>
      <c r="F95" s="441"/>
      <c r="G95" s="440">
        <v>9.278003256123403E-2</v>
      </c>
      <c r="H95" s="440">
        <v>1.8646953668271821E-2</v>
      </c>
      <c r="I95" s="440">
        <v>5.7286637938827219E-2</v>
      </c>
      <c r="J95" s="440">
        <f t="shared" ref="J95:J97" si="57">SUM(G95:I95)</f>
        <v>0.16871362416833308</v>
      </c>
      <c r="K95" s="441"/>
      <c r="L95" s="440">
        <v>9.7810553164356329E-2</v>
      </c>
      <c r="M95" s="440">
        <v>1.8217963308341287E-2</v>
      </c>
      <c r="N95" s="440">
        <v>5.5333856941947167E-2</v>
      </c>
      <c r="O95" s="440">
        <f t="shared" ref="O95:O102" si="58">SUM(L95:N95)</f>
        <v>0.17136237341464478</v>
      </c>
    </row>
    <row r="96" spans="1:15" s="351" customFormat="1" x14ac:dyDescent="0.2">
      <c r="A96" s="362" t="str">
        <f>name!E$6</f>
        <v>Associate professional and technical</v>
      </c>
      <c r="B96" s="440">
        <v>0.12132353567671512</v>
      </c>
      <c r="C96" s="440">
        <v>2.0278747469427361E-2</v>
      </c>
      <c r="D96" s="440">
        <v>2.384878743004841E-2</v>
      </c>
      <c r="E96" s="440">
        <f t="shared" si="56"/>
        <v>0.16545107057619091</v>
      </c>
      <c r="F96" s="441"/>
      <c r="G96" s="440">
        <v>8.0552140717404436E-2</v>
      </c>
      <c r="H96" s="440">
        <v>2.7863457341951104E-2</v>
      </c>
      <c r="I96" s="440">
        <v>4.3622777527091441E-2</v>
      </c>
      <c r="J96" s="440">
        <f t="shared" si="57"/>
        <v>0.15203837558644698</v>
      </c>
      <c r="K96" s="441"/>
      <c r="L96" s="440">
        <v>7.8167899780643688E-2</v>
      </c>
      <c r="M96" s="440">
        <v>2.1839709207474994E-2</v>
      </c>
      <c r="N96" s="440">
        <v>3.4520768824605128E-2</v>
      </c>
      <c r="O96" s="440">
        <f t="shared" si="58"/>
        <v>0.13452837781272381</v>
      </c>
    </row>
    <row r="97" spans="1:15" s="351" customFormat="1" x14ac:dyDescent="0.2">
      <c r="A97" s="362" t="str">
        <f>name!E$7</f>
        <v>Administrative and secretarial</v>
      </c>
      <c r="B97" s="440">
        <v>6.485917420209221E-2</v>
      </c>
      <c r="C97" s="440">
        <v>4.6909234448246781E-2</v>
      </c>
      <c r="D97" s="440">
        <v>2.3117749716830122E-3</v>
      </c>
      <c r="E97" s="440">
        <f t="shared" si="56"/>
        <v>0.11408018362202201</v>
      </c>
      <c r="F97" s="441"/>
      <c r="G97" s="440">
        <v>6.9128968037460478E-2</v>
      </c>
      <c r="H97" s="440">
        <v>1.9184929403887298E-2</v>
      </c>
      <c r="I97" s="440">
        <v>4.404460102990739E-3</v>
      </c>
      <c r="J97" s="440">
        <f t="shared" si="57"/>
        <v>9.271835754433852E-2</v>
      </c>
      <c r="K97" s="441"/>
      <c r="L97" s="440">
        <v>6.0516227204231304E-2</v>
      </c>
      <c r="M97" s="440">
        <v>7.549783638784828E-3</v>
      </c>
      <c r="N97" s="440">
        <v>2.8865998042141832E-3</v>
      </c>
      <c r="O97" s="440">
        <f t="shared" si="58"/>
        <v>7.0952610647230324E-2</v>
      </c>
    </row>
    <row r="98" spans="1:15" s="351" customFormat="1" x14ac:dyDescent="0.2">
      <c r="A98" s="362" t="str">
        <f>name!E$8</f>
        <v>Skilled trades occupations</v>
      </c>
      <c r="B98" s="440">
        <v>0.20855512695087128</v>
      </c>
      <c r="C98" s="440">
        <v>3.055064378075031E-2</v>
      </c>
      <c r="D98" s="440">
        <v>6.8608933799487445E-2</v>
      </c>
      <c r="E98" s="440">
        <f t="shared" si="56"/>
        <v>0.30771470453110905</v>
      </c>
      <c r="F98" s="441"/>
      <c r="G98" s="440">
        <v>0.16049311263540011</v>
      </c>
      <c r="H98" s="440">
        <v>3.3199931858512298E-2</v>
      </c>
      <c r="I98" s="440">
        <v>6.1994853037818015E-2</v>
      </c>
      <c r="J98" s="440">
        <f>SUM(G98:I98)</f>
        <v>0.25568789753173043</v>
      </c>
      <c r="K98" s="441"/>
      <c r="L98" s="440">
        <v>0.11735143029649478</v>
      </c>
      <c r="M98" s="440">
        <v>2.3205562371423901E-2</v>
      </c>
      <c r="N98" s="440">
        <v>2.2254065621641953E-2</v>
      </c>
      <c r="O98" s="440">
        <f t="shared" si="58"/>
        <v>0.16281105828956063</v>
      </c>
    </row>
    <row r="99" spans="1:15" s="351" customFormat="1" x14ac:dyDescent="0.2">
      <c r="A99" s="362" t="str">
        <f>name!E$9</f>
        <v>Caring, leisure and other service</v>
      </c>
      <c r="B99" s="440">
        <v>4.9910476828247771E-2</v>
      </c>
      <c r="C99" s="440">
        <v>2.64286184823734E-3</v>
      </c>
      <c r="D99" s="440">
        <v>7.3108213045878648E-3</v>
      </c>
      <c r="E99" s="440">
        <f t="shared" si="56"/>
        <v>5.9864159981072973E-2</v>
      </c>
      <c r="F99" s="441"/>
      <c r="G99" s="440">
        <v>3.7908180814258084E-2</v>
      </c>
      <c r="H99" s="440">
        <v>4.1846586358611337E-3</v>
      </c>
      <c r="I99" s="440">
        <v>3.0594102347985874E-2</v>
      </c>
      <c r="J99" s="440">
        <f t="shared" ref="J99:J102" si="59">SUM(G99:I99)</f>
        <v>7.2686941798105087E-2</v>
      </c>
      <c r="K99" s="441"/>
      <c r="L99" s="440">
        <v>3.6452849865142967E-2</v>
      </c>
      <c r="M99" s="440">
        <v>3.5613519565609077E-3</v>
      </c>
      <c r="N99" s="440">
        <v>2.7217929543115745E-2</v>
      </c>
      <c r="O99" s="440">
        <f t="shared" si="58"/>
        <v>6.7232131364819619E-2</v>
      </c>
    </row>
    <row r="100" spans="1:15" s="351" customFormat="1" x14ac:dyDescent="0.2">
      <c r="A100" s="362" t="str">
        <f>name!E$10</f>
        <v>Sales and customer service</v>
      </c>
      <c r="B100" s="440">
        <v>3.7764819090526792E-2</v>
      </c>
      <c r="C100" s="440">
        <v>5.574717539131091E-2</v>
      </c>
      <c r="D100" s="440">
        <v>9.9749726624330636E-3</v>
      </c>
      <c r="E100" s="440">
        <f t="shared" si="56"/>
        <v>0.10348696714427076</v>
      </c>
      <c r="F100" s="441"/>
      <c r="G100" s="440">
        <v>3.7402795828930406E-2</v>
      </c>
      <c r="H100" s="440">
        <v>9.0805572721236946E-2</v>
      </c>
      <c r="I100" s="440">
        <v>3.1070660551585458E-2</v>
      </c>
      <c r="J100" s="440">
        <f t="shared" si="59"/>
        <v>0.15927902910175279</v>
      </c>
      <c r="K100" s="441"/>
      <c r="L100" s="440">
        <v>3.2648851084315068E-2</v>
      </c>
      <c r="M100" s="440">
        <v>7.9176768427519306E-2</v>
      </c>
      <c r="N100" s="440">
        <v>1.9543917030197967E-2</v>
      </c>
      <c r="O100" s="440">
        <f t="shared" si="58"/>
        <v>0.13136953654203234</v>
      </c>
    </row>
    <row r="101" spans="1:15" s="351" customFormat="1" x14ac:dyDescent="0.2">
      <c r="A101" s="362" t="str">
        <f>name!E$11</f>
        <v>Process, plant and machine operatives</v>
      </c>
      <c r="B101" s="440">
        <v>0.43850630552136888</v>
      </c>
      <c r="C101" s="440">
        <v>0.12198455712163027</v>
      </c>
      <c r="D101" s="440">
        <v>3.4205548478743304E-2</v>
      </c>
      <c r="E101" s="440">
        <f t="shared" si="56"/>
        <v>0.59469641112174254</v>
      </c>
      <c r="F101" s="441"/>
      <c r="G101" s="440">
        <v>0.27660215692697632</v>
      </c>
      <c r="H101" s="440">
        <v>0.16836787016956326</v>
      </c>
      <c r="I101" s="440">
        <v>3.9230373801605142E-2</v>
      </c>
      <c r="J101" s="440">
        <f t="shared" si="59"/>
        <v>0.4842004008981447</v>
      </c>
      <c r="K101" s="441"/>
      <c r="L101" s="440">
        <v>0.18465649516716803</v>
      </c>
      <c r="M101" s="440">
        <v>0.11114071212854704</v>
      </c>
      <c r="N101" s="440">
        <v>1.2384032564992872E-2</v>
      </c>
      <c r="O101" s="440">
        <f t="shared" si="58"/>
        <v>0.30818123986070795</v>
      </c>
    </row>
    <row r="102" spans="1:15" s="351" customFormat="1" x14ac:dyDescent="0.2">
      <c r="A102" s="362" t="str">
        <f>name!E$12</f>
        <v>Elementary occupations</v>
      </c>
      <c r="B102" s="440">
        <v>0.10613720251107781</v>
      </c>
      <c r="C102" s="440">
        <v>3.3826744407372197E-2</v>
      </c>
      <c r="D102" s="440">
        <v>1.9318785978749496E-2</v>
      </c>
      <c r="E102" s="440">
        <f t="shared" si="56"/>
        <v>0.15928273289719949</v>
      </c>
      <c r="F102" s="441"/>
      <c r="G102" s="440">
        <v>7.3506760601664931E-2</v>
      </c>
      <c r="H102" s="440">
        <v>6.926415801704619E-2</v>
      </c>
      <c r="I102" s="440">
        <v>5.204693514336825E-2</v>
      </c>
      <c r="J102" s="440">
        <f t="shared" si="59"/>
        <v>0.19481785376207936</v>
      </c>
      <c r="K102" s="441"/>
      <c r="L102" s="440">
        <v>5.8860412269723966E-2</v>
      </c>
      <c r="M102" s="440">
        <v>6.8693585277816147E-2</v>
      </c>
      <c r="N102" s="440">
        <v>3.5462517587477524E-2</v>
      </c>
      <c r="O102" s="440">
        <f t="shared" si="58"/>
        <v>0.16301651513501764</v>
      </c>
    </row>
    <row r="103" spans="1:15" s="351" customFormat="1" x14ac:dyDescent="0.2">
      <c r="A103" s="362"/>
      <c r="B103" s="440"/>
      <c r="C103" s="440"/>
      <c r="D103" s="440"/>
      <c r="E103" s="440"/>
      <c r="F103" s="441"/>
      <c r="G103" s="440"/>
      <c r="H103" s="440"/>
      <c r="I103" s="440"/>
      <c r="J103" s="440"/>
      <c r="K103" s="441"/>
      <c r="L103" s="440"/>
      <c r="M103" s="440"/>
      <c r="N103" s="440"/>
      <c r="O103" s="440"/>
    </row>
    <row r="104" spans="1:15" s="351" customFormat="1" x14ac:dyDescent="0.2">
      <c r="A104" s="357" t="s">
        <v>32</v>
      </c>
      <c r="B104" s="450">
        <f>SUM(B94:B102)</f>
        <v>1.189999999991646</v>
      </c>
      <c r="C104" s="450">
        <f t="shared" ref="C104:E104" si="60">SUM(C94:C102)</f>
        <v>0.33099999999966478</v>
      </c>
      <c r="D104" s="450">
        <f t="shared" si="60"/>
        <v>0.23000000000178006</v>
      </c>
      <c r="E104" s="450">
        <f t="shared" si="60"/>
        <v>1.750999999993091</v>
      </c>
      <c r="F104" s="450"/>
      <c r="G104" s="450">
        <f t="shared" ref="G104:J104" si="61">SUM(G94:G102)</f>
        <v>0.90600000000089398</v>
      </c>
      <c r="H104" s="450">
        <f t="shared" si="61"/>
        <v>0.44400000001733064</v>
      </c>
      <c r="I104" s="450">
        <f t="shared" si="61"/>
        <v>0.40000000000262781</v>
      </c>
      <c r="J104" s="450">
        <f t="shared" si="61"/>
        <v>1.7500000000208522</v>
      </c>
      <c r="K104" s="450"/>
      <c r="L104" s="450">
        <f t="shared" ref="L104:O104" si="62">SUM(L94:L102)</f>
        <v>0.7459999999946193</v>
      </c>
      <c r="M104" s="450">
        <f t="shared" si="62"/>
        <v>0.34600000000747755</v>
      </c>
      <c r="N104" s="450">
        <f t="shared" si="62"/>
        <v>0.27300000000018249</v>
      </c>
      <c r="O104" s="450">
        <f t="shared" si="62"/>
        <v>1.3650000000022793</v>
      </c>
    </row>
    <row r="105" spans="1:15" s="351" customFormat="1" x14ac:dyDescent="0.2">
      <c r="A105" s="348"/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48"/>
      <c r="M105" s="348"/>
      <c r="N105" s="353"/>
    </row>
    <row r="106" spans="1:15" s="351" customFormat="1" x14ac:dyDescent="0.2">
      <c r="A106" s="348"/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348"/>
      <c r="N106" s="353"/>
      <c r="O106" s="367" t="s">
        <v>35</v>
      </c>
    </row>
    <row r="107" spans="1:15" s="351" customFormat="1" x14ac:dyDescent="0.2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</row>
    <row r="108" spans="1:15" s="351" customFormat="1" x14ac:dyDescent="0.2">
      <c r="A108" s="354" t="str">
        <f>name!A9</f>
        <v>Wearing apparel; Leather, etc</v>
      </c>
      <c r="B108" s="519">
        <f>$B$6</f>
        <v>2007</v>
      </c>
      <c r="C108" s="519"/>
      <c r="D108" s="519"/>
      <c r="E108" s="519"/>
      <c r="F108" s="380"/>
      <c r="G108" s="519">
        <f>$G$6</f>
        <v>2017</v>
      </c>
      <c r="H108" s="519"/>
      <c r="I108" s="519"/>
      <c r="J108" s="519"/>
      <c r="K108" s="380"/>
      <c r="L108" s="519">
        <f>$L$6</f>
        <v>2027</v>
      </c>
      <c r="M108" s="519"/>
      <c r="N108" s="519"/>
      <c r="O108" s="519"/>
    </row>
    <row r="109" spans="1:15" s="351" customFormat="1" x14ac:dyDescent="0.2">
      <c r="A109" s="370"/>
      <c r="B109" s="388" t="str">
        <f>$B$7</f>
        <v>FT</v>
      </c>
      <c r="C109" s="388" t="str">
        <f>$C$7</f>
        <v>PT</v>
      </c>
      <c r="D109" s="388" t="str">
        <f>$D$7</f>
        <v>SE</v>
      </c>
      <c r="E109" s="388" t="str">
        <f>$E$7</f>
        <v>Total</v>
      </c>
      <c r="F109" s="388"/>
      <c r="G109" s="388" t="str">
        <f>$G$7</f>
        <v>FT</v>
      </c>
      <c r="H109" s="388" t="str">
        <f>$H$7</f>
        <v>PT</v>
      </c>
      <c r="I109" s="388" t="str">
        <f>$I$7</f>
        <v>SE</v>
      </c>
      <c r="J109" s="388" t="str">
        <f>$J$7</f>
        <v>Total</v>
      </c>
      <c r="K109" s="388"/>
      <c r="L109" s="388" t="str">
        <f>$L$7</f>
        <v>FT</v>
      </c>
      <c r="M109" s="388" t="str">
        <f>$M$7</f>
        <v>PT</v>
      </c>
      <c r="N109" s="388" t="str">
        <f>$N$7</f>
        <v>SE</v>
      </c>
      <c r="O109" s="388" t="str">
        <f>$O$7</f>
        <v>Total</v>
      </c>
    </row>
    <row r="110" spans="1:15" s="351" customFormat="1" x14ac:dyDescent="0.2">
      <c r="A110" s="374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</row>
    <row r="111" spans="1:15" s="351" customFormat="1" x14ac:dyDescent="0.2">
      <c r="A111" s="362" t="str">
        <f>name!E$4</f>
        <v>Managers, directors and senior officials</v>
      </c>
      <c r="B111" s="440">
        <v>2.2261280053835594E-2</v>
      </c>
      <c r="C111" s="440">
        <v>2.2387439558551338E-3</v>
      </c>
      <c r="D111" s="440">
        <v>5.6228072018851124E-3</v>
      </c>
      <c r="E111" s="440">
        <f>SUM(B111:D111)</f>
        <v>3.0122831211575839E-2</v>
      </c>
      <c r="F111" s="441"/>
      <c r="G111" s="440">
        <v>6.8035553688532466E-2</v>
      </c>
      <c r="H111" s="440">
        <v>3.0803690021214574E-3</v>
      </c>
      <c r="I111" s="440">
        <v>3.4617095283122623E-2</v>
      </c>
      <c r="J111" s="440">
        <f>SUM(G111:I111)</f>
        <v>0.10573301797377654</v>
      </c>
      <c r="K111" s="441"/>
      <c r="L111" s="440">
        <v>5.8448848595714135E-2</v>
      </c>
      <c r="M111" s="440">
        <v>3.235766400477793E-3</v>
      </c>
      <c r="N111" s="440">
        <v>2.9219915630909171E-2</v>
      </c>
      <c r="O111" s="440">
        <f>SUM(L111:N111)</f>
        <v>9.0904530627101104E-2</v>
      </c>
    </row>
    <row r="112" spans="1:15" s="351" customFormat="1" x14ac:dyDescent="0.2">
      <c r="A112" s="362" t="str">
        <f>name!E$5</f>
        <v>Professional occupations</v>
      </c>
      <c r="B112" s="440">
        <v>5.532898049543572E-2</v>
      </c>
      <c r="C112" s="440">
        <v>2.2209817259381702E-3</v>
      </c>
      <c r="D112" s="440">
        <v>4.0920637159311025E-3</v>
      </c>
      <c r="E112" s="440">
        <f t="shared" ref="E112:E119" si="63">SUM(B112:D112)</f>
        <v>6.1642025937304987E-2</v>
      </c>
      <c r="F112" s="441"/>
      <c r="G112" s="440">
        <v>0.20636463578343994</v>
      </c>
      <c r="H112" s="440">
        <v>3.6956960893921196E-3</v>
      </c>
      <c r="I112" s="440">
        <v>2.7042271540627012E-2</v>
      </c>
      <c r="J112" s="440">
        <f t="shared" ref="J112:J114" si="64">SUM(G112:I112)</f>
        <v>0.2371026034134591</v>
      </c>
      <c r="K112" s="441"/>
      <c r="L112" s="440">
        <v>0.18970466488722701</v>
      </c>
      <c r="M112" s="440">
        <v>3.7288632428586813E-3</v>
      </c>
      <c r="N112" s="440">
        <v>2.6610581603604216E-2</v>
      </c>
      <c r="O112" s="440">
        <f t="shared" ref="O112:O119" si="65">SUM(L112:N112)</f>
        <v>0.2200441097336899</v>
      </c>
    </row>
    <row r="113" spans="1:15" s="351" customFormat="1" x14ac:dyDescent="0.2">
      <c r="A113" s="362" t="str">
        <f>name!E$6</f>
        <v>Associate professional and technical</v>
      </c>
      <c r="B113" s="440">
        <v>4.1390691018899431E-2</v>
      </c>
      <c r="C113" s="440">
        <v>5.5150086947090352E-3</v>
      </c>
      <c r="D113" s="440">
        <v>5.6240252956647474E-3</v>
      </c>
      <c r="E113" s="440">
        <f t="shared" si="63"/>
        <v>5.2529725009273213E-2</v>
      </c>
      <c r="F113" s="441"/>
      <c r="G113" s="440">
        <v>0.12119005129549421</v>
      </c>
      <c r="H113" s="440">
        <v>4.5185152562475682E-3</v>
      </c>
      <c r="I113" s="440">
        <v>3.7827926794125062E-2</v>
      </c>
      <c r="J113" s="440">
        <f t="shared" si="64"/>
        <v>0.16353649334586684</v>
      </c>
      <c r="K113" s="441"/>
      <c r="L113" s="440">
        <v>0.10689222971182261</v>
      </c>
      <c r="M113" s="440">
        <v>3.255705408835869E-3</v>
      </c>
      <c r="N113" s="440">
        <v>2.9668690299973967E-2</v>
      </c>
      <c r="O113" s="440">
        <f t="shared" si="65"/>
        <v>0.13981662542063245</v>
      </c>
    </row>
    <row r="114" spans="1:15" s="351" customFormat="1" x14ac:dyDescent="0.2">
      <c r="A114" s="362" t="str">
        <f>name!E$7</f>
        <v>Administrative and secretarial</v>
      </c>
      <c r="B114" s="440">
        <v>2.309687738994427E-2</v>
      </c>
      <c r="C114" s="440">
        <v>8.4518176954625178E-3</v>
      </c>
      <c r="D114" s="440">
        <v>7.4464886730494432E-4</v>
      </c>
      <c r="E114" s="440">
        <f t="shared" si="63"/>
        <v>3.2293343952711731E-2</v>
      </c>
      <c r="F114" s="441"/>
      <c r="G114" s="440">
        <v>0.11065761937655366</v>
      </c>
      <c r="H114" s="440">
        <v>2.6136094923563179E-3</v>
      </c>
      <c r="I114" s="440">
        <v>3.6978754358929023E-3</v>
      </c>
      <c r="J114" s="440">
        <f t="shared" si="64"/>
        <v>0.11696910430480288</v>
      </c>
      <c r="K114" s="441"/>
      <c r="L114" s="440">
        <v>9.2084782537045329E-2</v>
      </c>
      <c r="M114" s="440">
        <v>1.2690669023105036E-3</v>
      </c>
      <c r="N114" s="440">
        <v>2.4277774002781118E-3</v>
      </c>
      <c r="O114" s="440">
        <f t="shared" si="65"/>
        <v>9.578162683963394E-2</v>
      </c>
    </row>
    <row r="115" spans="1:15" s="351" customFormat="1" x14ac:dyDescent="0.2">
      <c r="A115" s="362" t="str">
        <f>name!E$8</f>
        <v>Skilled trades occupations</v>
      </c>
      <c r="B115" s="440">
        <v>4.1921977468476881E-2</v>
      </c>
      <c r="C115" s="440">
        <v>6.8531339828579426E-3</v>
      </c>
      <c r="D115" s="440">
        <v>2.0116973375283755E-2</v>
      </c>
      <c r="E115" s="440">
        <f t="shared" si="63"/>
        <v>6.8892084826618585E-2</v>
      </c>
      <c r="F115" s="441"/>
      <c r="G115" s="440">
        <v>7.1588581174317087E-2</v>
      </c>
      <c r="H115" s="440">
        <v>3.1350967673314379E-3</v>
      </c>
      <c r="I115" s="440">
        <v>5.9056282171693682E-2</v>
      </c>
      <c r="J115" s="440">
        <f>SUM(G115:I115)</f>
        <v>0.1337799601133422</v>
      </c>
      <c r="K115" s="441"/>
      <c r="L115" s="440">
        <v>4.3725721489230769E-2</v>
      </c>
      <c r="M115" s="440">
        <v>9.9440382803978066E-4</v>
      </c>
      <c r="N115" s="440">
        <v>2.5629648126388502E-2</v>
      </c>
      <c r="O115" s="440">
        <f t="shared" si="65"/>
        <v>7.0349773443659058E-2</v>
      </c>
    </row>
    <row r="116" spans="1:15" s="351" customFormat="1" x14ac:dyDescent="0.2">
      <c r="A116" s="362" t="str">
        <f>name!E$9</f>
        <v>Caring, leisure and other service</v>
      </c>
      <c r="B116" s="440">
        <v>5.8701467695621602E-2</v>
      </c>
      <c r="C116" s="440">
        <v>5.3444950327695487E-3</v>
      </c>
      <c r="D116" s="440">
        <v>2.4421870924216352E-3</v>
      </c>
      <c r="E116" s="440">
        <f t="shared" si="63"/>
        <v>6.6488149820812789E-2</v>
      </c>
      <c r="F116" s="441"/>
      <c r="G116" s="440">
        <v>0.10947361425516974</v>
      </c>
      <c r="H116" s="440">
        <v>2.2981654792064033E-3</v>
      </c>
      <c r="I116" s="440">
        <v>4.122250849773907E-2</v>
      </c>
      <c r="J116" s="440">
        <f t="shared" ref="J116:J119" si="66">SUM(G116:I116)</f>
        <v>0.15299428823211522</v>
      </c>
      <c r="K116" s="441"/>
      <c r="L116" s="440">
        <v>8.3433944705337798E-2</v>
      </c>
      <c r="M116" s="440">
        <v>1.0950916685105523E-3</v>
      </c>
      <c r="N116" s="440">
        <v>3.2139148645872695E-2</v>
      </c>
      <c r="O116" s="440">
        <f t="shared" si="65"/>
        <v>0.11666818501972105</v>
      </c>
    </row>
    <row r="117" spans="1:15" s="351" customFormat="1" x14ac:dyDescent="0.2">
      <c r="A117" s="362" t="str">
        <f>name!E$10</f>
        <v>Sales and customer service</v>
      </c>
      <c r="B117" s="440">
        <v>1.1537408908671339E-2</v>
      </c>
      <c r="C117" s="440">
        <v>1.0851340495277582E-2</v>
      </c>
      <c r="D117" s="440">
        <v>1.168447326760715E-3</v>
      </c>
      <c r="E117" s="440">
        <f t="shared" si="63"/>
        <v>2.3557196730709638E-2</v>
      </c>
      <c r="F117" s="441"/>
      <c r="G117" s="440">
        <v>4.54122006160632E-2</v>
      </c>
      <c r="H117" s="440">
        <v>1.4901120806672384E-2</v>
      </c>
      <c r="I117" s="440">
        <v>6.2879522154862177E-3</v>
      </c>
      <c r="J117" s="440">
        <f t="shared" si="66"/>
        <v>6.6601273638221797E-2</v>
      </c>
      <c r="K117" s="441"/>
      <c r="L117" s="440">
        <v>3.8673874365507829E-2</v>
      </c>
      <c r="M117" s="440">
        <v>1.4251985035711427E-2</v>
      </c>
      <c r="N117" s="440">
        <v>4.2198860711385663E-3</v>
      </c>
      <c r="O117" s="440">
        <f t="shared" si="65"/>
        <v>5.7145745472357824E-2</v>
      </c>
    </row>
    <row r="118" spans="1:15" s="351" customFormat="1" x14ac:dyDescent="0.2">
      <c r="A118" s="362" t="str">
        <f>name!E$11</f>
        <v>Process, plant and machine operatives</v>
      </c>
      <c r="B118" s="440">
        <v>0.13636561411020376</v>
      </c>
      <c r="C118" s="440">
        <v>2.919640123611392E-2</v>
      </c>
      <c r="D118" s="440">
        <v>7.610388254949866E-3</v>
      </c>
      <c r="E118" s="440">
        <f t="shared" si="63"/>
        <v>0.17317240360126754</v>
      </c>
      <c r="F118" s="441"/>
      <c r="G118" s="440">
        <v>5.0235963281392931E-2</v>
      </c>
      <c r="H118" s="440">
        <v>1.5555868149313196E-2</v>
      </c>
      <c r="I118" s="440">
        <v>1.5340796943795115E-2</v>
      </c>
      <c r="J118" s="440">
        <f t="shared" si="66"/>
        <v>8.1132628374501248E-2</v>
      </c>
      <c r="K118" s="441"/>
      <c r="L118" s="440">
        <v>3.0961918368887374E-2</v>
      </c>
      <c r="M118" s="440">
        <v>1.0262801491947974E-2</v>
      </c>
      <c r="N118" s="440">
        <v>6.8756404109716236E-3</v>
      </c>
      <c r="O118" s="440">
        <f t="shared" si="65"/>
        <v>4.8100360271806974E-2</v>
      </c>
    </row>
    <row r="119" spans="1:15" s="351" customFormat="1" x14ac:dyDescent="0.2">
      <c r="A119" s="362" t="str">
        <f>name!E$12</f>
        <v>Elementary occupations</v>
      </c>
      <c r="B119" s="440">
        <v>5.539570285660253E-2</v>
      </c>
      <c r="C119" s="440">
        <v>1.332807718067913E-2</v>
      </c>
      <c r="D119" s="440">
        <v>8.5784588706897379E-3</v>
      </c>
      <c r="E119" s="440">
        <f t="shared" si="63"/>
        <v>7.7302238907971402E-2</v>
      </c>
      <c r="F119" s="441"/>
      <c r="G119" s="440">
        <v>0.1750417805292081</v>
      </c>
      <c r="H119" s="440">
        <v>1.3201558959718722E-2</v>
      </c>
      <c r="I119" s="440">
        <v>5.2907291121790594E-2</v>
      </c>
      <c r="J119" s="440">
        <f t="shared" si="66"/>
        <v>0.24115063061071743</v>
      </c>
      <c r="K119" s="441"/>
      <c r="L119" s="440">
        <v>0.13507401533562488</v>
      </c>
      <c r="M119" s="440">
        <v>1.1906316022484979E-2</v>
      </c>
      <c r="N119" s="440">
        <v>3.2208711812471778E-2</v>
      </c>
      <c r="O119" s="440">
        <f t="shared" si="65"/>
        <v>0.17918904317058165</v>
      </c>
    </row>
    <row r="120" spans="1:15" s="351" customFormat="1" x14ac:dyDescent="0.2">
      <c r="A120" s="362"/>
      <c r="B120" s="440"/>
      <c r="C120" s="440"/>
      <c r="D120" s="440"/>
      <c r="E120" s="440"/>
      <c r="F120" s="441"/>
      <c r="G120" s="440"/>
      <c r="H120" s="440"/>
      <c r="I120" s="440"/>
      <c r="J120" s="440"/>
      <c r="K120" s="441"/>
      <c r="L120" s="440"/>
      <c r="M120" s="440"/>
      <c r="N120" s="440"/>
      <c r="O120" s="440"/>
    </row>
    <row r="121" spans="1:15" s="351" customFormat="1" x14ac:dyDescent="0.2">
      <c r="A121" s="357" t="s">
        <v>32</v>
      </c>
      <c r="B121" s="450">
        <f>SUM(B111:B119)</f>
        <v>0.44599999999769113</v>
      </c>
      <c r="C121" s="450">
        <f t="shared" ref="C121:E121" si="67">SUM(C111:C119)</f>
        <v>8.3999999999662983E-2</v>
      </c>
      <c r="D121" s="450">
        <f t="shared" si="67"/>
        <v>5.6000000000891614E-2</v>
      </c>
      <c r="E121" s="450">
        <f t="shared" si="67"/>
        <v>0.5859999999982457</v>
      </c>
      <c r="F121" s="450"/>
      <c r="G121" s="450">
        <f t="shared" ref="G121:J121" si="68">SUM(G111:G119)</f>
        <v>0.95800000000017138</v>
      </c>
      <c r="H121" s="450">
        <f t="shared" si="68"/>
        <v>6.3000000002359599E-2</v>
      </c>
      <c r="I121" s="450">
        <f t="shared" si="68"/>
        <v>0.27800000000427227</v>
      </c>
      <c r="J121" s="450">
        <f t="shared" si="68"/>
        <v>1.2990000000068032</v>
      </c>
      <c r="K121" s="450"/>
      <c r="L121" s="450">
        <f t="shared" ref="L121:O121" si="69">SUM(L111:L119)</f>
        <v>0.7789999999963978</v>
      </c>
      <c r="M121" s="450">
        <f t="shared" si="69"/>
        <v>5.0000000001177554E-2</v>
      </c>
      <c r="N121" s="450">
        <f t="shared" si="69"/>
        <v>0.18900000000160863</v>
      </c>
      <c r="O121" s="450">
        <f t="shared" si="69"/>
        <v>1.017999999999184</v>
      </c>
    </row>
    <row r="122" spans="1:15" s="351" customFormat="1" x14ac:dyDescent="0.2">
      <c r="A122" s="348"/>
      <c r="B122" s="348"/>
      <c r="C122" s="348"/>
      <c r="D122" s="348"/>
      <c r="E122" s="348"/>
      <c r="F122" s="348"/>
      <c r="G122" s="348"/>
      <c r="H122" s="348"/>
      <c r="I122" s="348"/>
      <c r="J122" s="348"/>
      <c r="K122" s="348"/>
      <c r="L122" s="348"/>
      <c r="M122" s="348"/>
      <c r="N122" s="353"/>
    </row>
    <row r="123" spans="1:15" s="351" customFormat="1" x14ac:dyDescent="0.2">
      <c r="A123" s="348"/>
      <c r="B123" s="348"/>
      <c r="C123" s="348"/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53"/>
      <c r="O123" s="367" t="s">
        <v>35</v>
      </c>
    </row>
    <row r="124" spans="1:15" s="351" customFormat="1" x14ac:dyDescent="0.2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</row>
    <row r="125" spans="1:15" s="351" customFormat="1" x14ac:dyDescent="0.2">
      <c r="A125" s="354" t="str">
        <f>name!A10</f>
        <v xml:space="preserve">Wood and cork </v>
      </c>
      <c r="B125" s="519">
        <f>$B$6</f>
        <v>2007</v>
      </c>
      <c r="C125" s="519"/>
      <c r="D125" s="519"/>
      <c r="E125" s="519"/>
      <c r="F125" s="380"/>
      <c r="G125" s="519">
        <f>$G$6</f>
        <v>2017</v>
      </c>
      <c r="H125" s="519"/>
      <c r="I125" s="519"/>
      <c r="J125" s="519"/>
      <c r="K125" s="380"/>
      <c r="L125" s="519">
        <f>$L$6</f>
        <v>2027</v>
      </c>
      <c r="M125" s="519"/>
      <c r="N125" s="519"/>
      <c r="O125" s="519"/>
    </row>
    <row r="126" spans="1:15" s="351" customFormat="1" x14ac:dyDescent="0.2">
      <c r="A126" s="370"/>
      <c r="B126" s="388" t="str">
        <f>$B$7</f>
        <v>FT</v>
      </c>
      <c r="C126" s="388" t="str">
        <f>$C$7</f>
        <v>PT</v>
      </c>
      <c r="D126" s="388" t="str">
        <f>$D$7</f>
        <v>SE</v>
      </c>
      <c r="E126" s="388" t="str">
        <f>$E$7</f>
        <v>Total</v>
      </c>
      <c r="F126" s="388"/>
      <c r="G126" s="388" t="str">
        <f>$G$7</f>
        <v>FT</v>
      </c>
      <c r="H126" s="388" t="str">
        <f>$H$7</f>
        <v>PT</v>
      </c>
      <c r="I126" s="388" t="str">
        <f>$I$7</f>
        <v>SE</v>
      </c>
      <c r="J126" s="388" t="str">
        <f>$J$7</f>
        <v>Total</v>
      </c>
      <c r="K126" s="388"/>
      <c r="L126" s="388" t="str">
        <f>$L$7</f>
        <v>FT</v>
      </c>
      <c r="M126" s="388" t="str">
        <f>$M$7</f>
        <v>PT</v>
      </c>
      <c r="N126" s="388" t="str">
        <f>$N$7</f>
        <v>SE</v>
      </c>
      <c r="O126" s="388" t="str">
        <f>$O$7</f>
        <v>Total</v>
      </c>
    </row>
    <row r="127" spans="1:15" s="351" customFormat="1" x14ac:dyDescent="0.2">
      <c r="A127" s="374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</row>
    <row r="128" spans="1:15" s="351" customFormat="1" x14ac:dyDescent="0.2">
      <c r="A128" s="362" t="str">
        <f>name!E$4</f>
        <v>Managers, directors and senior officials</v>
      </c>
      <c r="B128" s="440">
        <v>0.1632246053310607</v>
      </c>
      <c r="C128" s="440">
        <v>2.341295693601704E-3</v>
      </c>
      <c r="D128" s="440">
        <v>2.6293485382809515E-2</v>
      </c>
      <c r="E128" s="440">
        <f>SUM(B128:D128)</f>
        <v>0.19185938640747191</v>
      </c>
      <c r="F128" s="441"/>
      <c r="G128" s="440">
        <v>0.14708169505709742</v>
      </c>
      <c r="H128" s="440">
        <v>1.7345147612239604E-2</v>
      </c>
      <c r="I128" s="440">
        <v>3.4785009850568031E-2</v>
      </c>
      <c r="J128" s="440">
        <f>SUM(G128:I128)</f>
        <v>0.19921185251990506</v>
      </c>
      <c r="K128" s="441"/>
      <c r="L128" s="440">
        <v>0.14756686911977007</v>
      </c>
      <c r="M128" s="440">
        <v>2.1642627997309021E-2</v>
      </c>
      <c r="N128" s="440">
        <v>3.5349291682870418E-2</v>
      </c>
      <c r="O128" s="440">
        <f>SUM(L128:N128)</f>
        <v>0.20455878879994949</v>
      </c>
    </row>
    <row r="129" spans="1:15" s="351" customFormat="1" x14ac:dyDescent="0.2">
      <c r="A129" s="362" t="str">
        <f>name!E$5</f>
        <v>Professional occupations</v>
      </c>
      <c r="B129" s="440">
        <v>0.10823309280703299</v>
      </c>
      <c r="C129" s="440">
        <v>9.8039095195692478E-4</v>
      </c>
      <c r="D129" s="440">
        <v>4.7572498730565401E-3</v>
      </c>
      <c r="E129" s="440">
        <f t="shared" ref="E129:E136" si="70">SUM(B129:D129)</f>
        <v>0.11397073363204645</v>
      </c>
      <c r="F129" s="441"/>
      <c r="G129" s="440">
        <v>0.10445952948316077</v>
      </c>
      <c r="H129" s="440">
        <v>4.7412577966445251E-3</v>
      </c>
      <c r="I129" s="440">
        <v>3.8971811694782877E-3</v>
      </c>
      <c r="J129" s="440">
        <f t="shared" ref="J129:J131" si="71">SUM(G129:I129)</f>
        <v>0.11309796844928359</v>
      </c>
      <c r="K129" s="441"/>
      <c r="L129" s="440">
        <v>0.10812855229732413</v>
      </c>
      <c r="M129" s="440">
        <v>5.7361532711002316E-3</v>
      </c>
      <c r="N129" s="440">
        <v>4.3353550595298575E-3</v>
      </c>
      <c r="O129" s="440">
        <f t="shared" ref="O129:O136" si="72">SUM(L129:N129)</f>
        <v>0.11820006062795421</v>
      </c>
    </row>
    <row r="130" spans="1:15" s="351" customFormat="1" x14ac:dyDescent="0.2">
      <c r="A130" s="362" t="str">
        <f>name!E$6</f>
        <v>Associate professional and technical</v>
      </c>
      <c r="B130" s="440">
        <v>0.15778361228918525</v>
      </c>
      <c r="C130" s="440">
        <v>1.5399770678731941E-3</v>
      </c>
      <c r="D130" s="440">
        <v>3.7980499706053096E-3</v>
      </c>
      <c r="E130" s="440">
        <f t="shared" si="70"/>
        <v>0.16312163932766377</v>
      </c>
      <c r="F130" s="441"/>
      <c r="G130" s="440">
        <v>0.19027563793852714</v>
      </c>
      <c r="H130" s="440">
        <v>6.3398160953877097E-3</v>
      </c>
      <c r="I130" s="440">
        <v>3.1462541841175088E-3</v>
      </c>
      <c r="J130" s="440">
        <f t="shared" si="71"/>
        <v>0.19976170821803235</v>
      </c>
      <c r="K130" s="441"/>
      <c r="L130" s="440">
        <v>0.17869950725713157</v>
      </c>
      <c r="M130" s="440">
        <v>8.1949415356954679E-3</v>
      </c>
      <c r="N130" s="440">
        <v>3.2523860869721967E-3</v>
      </c>
      <c r="O130" s="440">
        <f t="shared" si="72"/>
        <v>0.19014683487979925</v>
      </c>
    </row>
    <row r="131" spans="1:15" s="351" customFormat="1" x14ac:dyDescent="0.2">
      <c r="A131" s="362" t="str">
        <f>name!E$7</f>
        <v>Administrative and secretarial</v>
      </c>
      <c r="B131" s="440">
        <v>0.15665744620005995</v>
      </c>
      <c r="C131" s="440">
        <v>1.5002648131986183E-2</v>
      </c>
      <c r="D131" s="440">
        <v>3.3002868426462782E-3</v>
      </c>
      <c r="E131" s="440">
        <f t="shared" si="70"/>
        <v>0.1749603811746924</v>
      </c>
      <c r="F131" s="441"/>
      <c r="G131" s="440">
        <v>8.6699266401839656E-2</v>
      </c>
      <c r="H131" s="440">
        <v>5.6777607308567237E-3</v>
      </c>
      <c r="I131" s="440">
        <v>7.5347901600839162E-3</v>
      </c>
      <c r="J131" s="440">
        <f t="shared" si="71"/>
        <v>9.99118172927803E-2</v>
      </c>
      <c r="K131" s="441"/>
      <c r="L131" s="440">
        <v>7.029830935904717E-2</v>
      </c>
      <c r="M131" s="440">
        <v>1.323751082304861E-3</v>
      </c>
      <c r="N131" s="440">
        <v>5.8692763936642172E-3</v>
      </c>
      <c r="O131" s="440">
        <f t="shared" si="72"/>
        <v>7.7491336835016245E-2</v>
      </c>
    </row>
    <row r="132" spans="1:15" s="351" customFormat="1" x14ac:dyDescent="0.2">
      <c r="A132" s="362" t="str">
        <f>name!E$8</f>
        <v>Skilled trades occupations</v>
      </c>
      <c r="B132" s="440">
        <v>1.0418668578242785</v>
      </c>
      <c r="C132" s="440">
        <v>3.0432306016002519E-3</v>
      </c>
      <c r="D132" s="440">
        <v>0.22885152006088133</v>
      </c>
      <c r="E132" s="440">
        <f t="shared" si="70"/>
        <v>1.27376160848676</v>
      </c>
      <c r="F132" s="441"/>
      <c r="G132" s="440">
        <v>1.4780049044415731</v>
      </c>
      <c r="H132" s="440">
        <v>1.7190462918664919E-2</v>
      </c>
      <c r="I132" s="440">
        <v>0.1621914688929719</v>
      </c>
      <c r="J132" s="440">
        <f>SUM(G132:I132)</f>
        <v>1.65738683625321</v>
      </c>
      <c r="K132" s="441"/>
      <c r="L132" s="440">
        <v>1.2871947427894079</v>
      </c>
      <c r="M132" s="440">
        <v>2.3394123479450805E-2</v>
      </c>
      <c r="N132" s="440">
        <v>0.15276958264105234</v>
      </c>
      <c r="O132" s="440">
        <f t="shared" si="72"/>
        <v>1.463358448909911</v>
      </c>
    </row>
    <row r="133" spans="1:15" s="351" customFormat="1" x14ac:dyDescent="0.2">
      <c r="A133" s="362" t="str">
        <f>name!E$9</f>
        <v>Caring, leisure and other service</v>
      </c>
      <c r="B133" s="440">
        <v>5.1950139348779366E-2</v>
      </c>
      <c r="C133" s="440">
        <v>3.835704173120008E-3</v>
      </c>
      <c r="D133" s="440">
        <v>1.5098832505583601E-3</v>
      </c>
      <c r="E133" s="440">
        <f t="shared" si="70"/>
        <v>5.7295726772457735E-2</v>
      </c>
      <c r="F133" s="441"/>
      <c r="G133" s="440">
        <v>7.6236308574303566E-2</v>
      </c>
      <c r="H133" s="440">
        <v>1.319592051708667E-2</v>
      </c>
      <c r="I133" s="440">
        <v>2.620339603619827E-3</v>
      </c>
      <c r="J133" s="440">
        <f t="shared" ref="J133:J136" si="73">SUM(G133:I133)</f>
        <v>9.2052568695010051E-2</v>
      </c>
      <c r="K133" s="441"/>
      <c r="L133" s="440">
        <v>8.8959492002643512E-2</v>
      </c>
      <c r="M133" s="440">
        <v>1.3926836751998064E-2</v>
      </c>
      <c r="N133" s="440">
        <v>2.542140119857783E-3</v>
      </c>
      <c r="O133" s="440">
        <f t="shared" si="72"/>
        <v>0.10542846887449936</v>
      </c>
    </row>
    <row r="134" spans="1:15" s="351" customFormat="1" x14ac:dyDescent="0.2">
      <c r="A134" s="362" t="str">
        <f>name!E$10</f>
        <v>Sales and customer service</v>
      </c>
      <c r="B134" s="440">
        <v>4.2967057313415782E-2</v>
      </c>
      <c r="C134" s="440">
        <v>2.5206957324975842E-3</v>
      </c>
      <c r="D134" s="440">
        <v>9.8680692503760512E-4</v>
      </c>
      <c r="E134" s="440">
        <f t="shared" si="70"/>
        <v>4.6474559970950971E-2</v>
      </c>
      <c r="F134" s="441"/>
      <c r="G134" s="440">
        <v>3.2503784516452652E-2</v>
      </c>
      <c r="H134" s="440">
        <v>6.6828917455159136E-3</v>
      </c>
      <c r="I134" s="440">
        <v>7.2481358821665988E-4</v>
      </c>
      <c r="J134" s="440">
        <f t="shared" si="73"/>
        <v>3.9911489850185229E-2</v>
      </c>
      <c r="K134" s="441"/>
      <c r="L134" s="440">
        <v>2.7848343840753631E-2</v>
      </c>
      <c r="M134" s="440">
        <v>6.6861888547752489E-3</v>
      </c>
      <c r="N134" s="440">
        <v>7.7348003510270156E-4</v>
      </c>
      <c r="O134" s="440">
        <f t="shared" si="72"/>
        <v>3.5308012730631576E-2</v>
      </c>
    </row>
    <row r="135" spans="1:15" s="351" customFormat="1" x14ac:dyDescent="0.2">
      <c r="A135" s="362" t="str">
        <f>name!E$11</f>
        <v>Process, plant and machine operatives</v>
      </c>
      <c r="B135" s="440">
        <v>1.1737245782922168</v>
      </c>
      <c r="C135" s="440">
        <v>5.3217051333664615E-3</v>
      </c>
      <c r="D135" s="440">
        <v>1.2819825045691126E-2</v>
      </c>
      <c r="E135" s="440">
        <f t="shared" si="70"/>
        <v>1.1918661084712745</v>
      </c>
      <c r="F135" s="441"/>
      <c r="G135" s="440">
        <v>1.2213569205161992</v>
      </c>
      <c r="H135" s="440">
        <v>2.7203651089241714E-2</v>
      </c>
      <c r="I135" s="440">
        <v>1.9443177328976047E-3</v>
      </c>
      <c r="J135" s="440">
        <f t="shared" si="73"/>
        <v>1.2505048893383384</v>
      </c>
      <c r="K135" s="441"/>
      <c r="L135" s="440">
        <v>0.98626895393473979</v>
      </c>
      <c r="M135" s="440">
        <v>3.2869821234431273E-2</v>
      </c>
      <c r="N135" s="440">
        <v>2.8603705261386727E-3</v>
      </c>
      <c r="O135" s="440">
        <f t="shared" si="72"/>
        <v>1.0219991456953097</v>
      </c>
    </row>
    <row r="136" spans="1:15" s="351" customFormat="1" x14ac:dyDescent="0.2">
      <c r="A136" s="362" t="str">
        <f>name!E$12</f>
        <v>Elementary occupations</v>
      </c>
      <c r="B136" s="440">
        <v>0.28659261059435537</v>
      </c>
      <c r="C136" s="440">
        <v>6.4143525136321888E-3</v>
      </c>
      <c r="D136" s="440">
        <v>2.8682892650561464E-2</v>
      </c>
      <c r="E136" s="440">
        <f t="shared" si="70"/>
        <v>0.32168985575854903</v>
      </c>
      <c r="F136" s="441"/>
      <c r="G136" s="440">
        <v>0.37338195307760647</v>
      </c>
      <c r="H136" s="440">
        <v>1.1623091494650743E-2</v>
      </c>
      <c r="I136" s="440">
        <v>1.4155824820427541E-2</v>
      </c>
      <c r="J136" s="440">
        <f t="shared" si="73"/>
        <v>0.39916086939268475</v>
      </c>
      <c r="K136" s="441"/>
      <c r="L136" s="440">
        <v>0.30903522933904298</v>
      </c>
      <c r="M136" s="440">
        <v>1.4225555791720522E-2</v>
      </c>
      <c r="N136" s="440">
        <v>1.1248117456362117E-2</v>
      </c>
      <c r="O136" s="440">
        <f t="shared" si="72"/>
        <v>0.33450890258712562</v>
      </c>
    </row>
    <row r="137" spans="1:15" s="351" customFormat="1" x14ac:dyDescent="0.2">
      <c r="A137" s="362"/>
      <c r="B137" s="440"/>
      <c r="C137" s="440"/>
      <c r="D137" s="440"/>
      <c r="E137" s="440"/>
      <c r="F137" s="441"/>
      <c r="G137" s="440"/>
      <c r="H137" s="440"/>
      <c r="I137" s="440"/>
      <c r="J137" s="440"/>
      <c r="K137" s="441"/>
      <c r="L137" s="440"/>
      <c r="M137" s="440"/>
      <c r="N137" s="440"/>
      <c r="O137" s="440"/>
    </row>
    <row r="138" spans="1:15" s="351" customFormat="1" x14ac:dyDescent="0.2">
      <c r="A138" s="357" t="s">
        <v>32</v>
      </c>
      <c r="B138" s="450">
        <f>SUM(B128:B136)</f>
        <v>3.1830000000003844</v>
      </c>
      <c r="C138" s="450">
        <f t="shared" ref="C138:E138" si="74">SUM(C128:C136)</f>
        <v>4.0999999999634502E-2</v>
      </c>
      <c r="D138" s="450">
        <f t="shared" si="74"/>
        <v>0.31100000000184752</v>
      </c>
      <c r="E138" s="450">
        <f t="shared" si="74"/>
        <v>3.5350000000018666</v>
      </c>
      <c r="F138" s="450"/>
      <c r="G138" s="450">
        <f t="shared" ref="G138:J138" si="75">SUM(G128:G136)</f>
        <v>3.7100000000067599</v>
      </c>
      <c r="H138" s="450">
        <f t="shared" si="75"/>
        <v>0.11000000000028851</v>
      </c>
      <c r="I138" s="450">
        <f t="shared" si="75"/>
        <v>0.23100000000238127</v>
      </c>
      <c r="J138" s="450">
        <f t="shared" si="75"/>
        <v>4.0510000000094299</v>
      </c>
      <c r="K138" s="450"/>
      <c r="L138" s="450">
        <f t="shared" ref="L138:O138" si="76">SUM(L128:L136)</f>
        <v>3.2039999999398607</v>
      </c>
      <c r="M138" s="450">
        <f t="shared" si="76"/>
        <v>0.12799999999878547</v>
      </c>
      <c r="N138" s="450">
        <f t="shared" si="76"/>
        <v>0.21900000000155029</v>
      </c>
      <c r="O138" s="450">
        <f t="shared" si="76"/>
        <v>3.5509999999401969</v>
      </c>
    </row>
    <row r="139" spans="1:15" s="351" customFormat="1" x14ac:dyDescent="0.2">
      <c r="A139" s="348"/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53"/>
    </row>
    <row r="140" spans="1:15" s="351" customFormat="1" x14ac:dyDescent="0.2">
      <c r="A140" s="348"/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53"/>
      <c r="O140" s="367" t="s">
        <v>35</v>
      </c>
    </row>
    <row r="141" spans="1:15" s="351" customFormat="1" x14ac:dyDescent="0.2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</row>
    <row r="142" spans="1:15" s="351" customFormat="1" x14ac:dyDescent="0.2">
      <c r="A142" s="354" t="str">
        <f>name!A11</f>
        <v>Paper, etc</v>
      </c>
      <c r="B142" s="519">
        <f>$B$6</f>
        <v>2007</v>
      </c>
      <c r="C142" s="519"/>
      <c r="D142" s="519"/>
      <c r="E142" s="519"/>
      <c r="F142" s="380"/>
      <c r="G142" s="519">
        <f>$G$6</f>
        <v>2017</v>
      </c>
      <c r="H142" s="519"/>
      <c r="I142" s="519"/>
      <c r="J142" s="519"/>
      <c r="K142" s="380"/>
      <c r="L142" s="519">
        <f>$L$6</f>
        <v>2027</v>
      </c>
      <c r="M142" s="519"/>
      <c r="N142" s="519"/>
      <c r="O142" s="519"/>
    </row>
    <row r="143" spans="1:15" s="351" customFormat="1" x14ac:dyDescent="0.2">
      <c r="A143" s="370"/>
      <c r="B143" s="388" t="str">
        <f>$B$7</f>
        <v>FT</v>
      </c>
      <c r="C143" s="388" t="str">
        <f>$C$7</f>
        <v>PT</v>
      </c>
      <c r="D143" s="388" t="str">
        <f>$D$7</f>
        <v>SE</v>
      </c>
      <c r="E143" s="388" t="str">
        <f>$E$7</f>
        <v>Total</v>
      </c>
      <c r="F143" s="388"/>
      <c r="G143" s="388" t="str">
        <f>$G$7</f>
        <v>FT</v>
      </c>
      <c r="H143" s="388" t="str">
        <f>$H$7</f>
        <v>PT</v>
      </c>
      <c r="I143" s="388" t="str">
        <f>$I$7</f>
        <v>SE</v>
      </c>
      <c r="J143" s="388" t="str">
        <f>$J$7</f>
        <v>Total</v>
      </c>
      <c r="K143" s="388"/>
      <c r="L143" s="388" t="str">
        <f>$L$7</f>
        <v>FT</v>
      </c>
      <c r="M143" s="388" t="str">
        <f>$M$7</f>
        <v>PT</v>
      </c>
      <c r="N143" s="388" t="str">
        <f>$N$7</f>
        <v>SE</v>
      </c>
      <c r="O143" s="388" t="str">
        <f>$O$7</f>
        <v>Total</v>
      </c>
    </row>
    <row r="144" spans="1:15" s="351" customFormat="1" x14ac:dyDescent="0.2">
      <c r="A144" s="374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</row>
    <row r="145" spans="1:15" s="351" customFormat="1" x14ac:dyDescent="0.2">
      <c r="A145" s="362" t="str">
        <f>name!E$4</f>
        <v>Managers, directors and senior officials</v>
      </c>
      <c r="B145" s="440">
        <v>0.24043796097014919</v>
      </c>
      <c r="C145" s="440">
        <v>4.1856526040417496E-3</v>
      </c>
      <c r="D145" s="440">
        <v>0.1001790189745532</v>
      </c>
      <c r="E145" s="440">
        <f>SUM(B145:D145)</f>
        <v>0.3448026325487441</v>
      </c>
      <c r="F145" s="441"/>
      <c r="G145" s="440">
        <v>0.1257663516719694</v>
      </c>
      <c r="H145" s="440">
        <v>6.5007278789704038E-3</v>
      </c>
      <c r="I145" s="440">
        <v>3.4099411571033383E-2</v>
      </c>
      <c r="J145" s="440">
        <f>SUM(G145:I145)</f>
        <v>0.16636649112197319</v>
      </c>
      <c r="K145" s="441"/>
      <c r="L145" s="440">
        <v>0.13164379980037916</v>
      </c>
      <c r="M145" s="440">
        <v>9.4119562815521904E-3</v>
      </c>
      <c r="N145" s="440">
        <v>3.647892992259389E-2</v>
      </c>
      <c r="O145" s="440">
        <f>SUM(L145:N145)</f>
        <v>0.17753468600452524</v>
      </c>
    </row>
    <row r="146" spans="1:15" s="351" customFormat="1" x14ac:dyDescent="0.2">
      <c r="A146" s="362" t="str">
        <f>name!E$5</f>
        <v>Professional occupations</v>
      </c>
      <c r="B146" s="440">
        <v>0.2625421201996565</v>
      </c>
      <c r="C146" s="440">
        <v>4.4958006105706282E-3</v>
      </c>
      <c r="D146" s="440">
        <v>3.5309957937783312E-2</v>
      </c>
      <c r="E146" s="440">
        <f t="shared" ref="E146:E153" si="77">SUM(B146:D146)</f>
        <v>0.30234787874801045</v>
      </c>
      <c r="F146" s="441"/>
      <c r="G146" s="440">
        <v>0.13666723883891257</v>
      </c>
      <c r="H146" s="440">
        <v>7.3181847957069094E-3</v>
      </c>
      <c r="I146" s="440">
        <v>1.5229222349996895E-2</v>
      </c>
      <c r="J146" s="440">
        <f t="shared" ref="J146:J148" si="78">SUM(G146:I146)</f>
        <v>0.1592146459846164</v>
      </c>
      <c r="K146" s="441"/>
      <c r="L146" s="440">
        <v>0.14231485710189007</v>
      </c>
      <c r="M146" s="440">
        <v>9.9768817512553617E-3</v>
      </c>
      <c r="N146" s="440">
        <v>1.4254379655790935E-2</v>
      </c>
      <c r="O146" s="440">
        <f t="shared" ref="O146:O153" si="79">SUM(L146:N146)</f>
        <v>0.16654611850893636</v>
      </c>
    </row>
    <row r="147" spans="1:15" s="351" customFormat="1" x14ac:dyDescent="0.2">
      <c r="A147" s="362" t="str">
        <f>name!E$6</f>
        <v>Associate professional and technical</v>
      </c>
      <c r="B147" s="440">
        <v>0.41436223444311193</v>
      </c>
      <c r="C147" s="440">
        <v>1.51623363051156E-2</v>
      </c>
      <c r="D147" s="440">
        <v>4.7125059127826913E-2</v>
      </c>
      <c r="E147" s="440">
        <f t="shared" si="77"/>
        <v>0.47664962987605441</v>
      </c>
      <c r="F147" s="441"/>
      <c r="G147" s="440">
        <v>0.14046968950283234</v>
      </c>
      <c r="H147" s="440">
        <v>2.0954801753693793E-2</v>
      </c>
      <c r="I147" s="440">
        <v>4.7743688647129405E-2</v>
      </c>
      <c r="J147" s="440">
        <f t="shared" si="78"/>
        <v>0.20916817990365555</v>
      </c>
      <c r="K147" s="441"/>
      <c r="L147" s="440">
        <v>0.14647315530603292</v>
      </c>
      <c r="M147" s="440">
        <v>2.7755199056448149E-2</v>
      </c>
      <c r="N147" s="440">
        <v>2.1476840124397115E-2</v>
      </c>
      <c r="O147" s="440">
        <f t="shared" si="79"/>
        <v>0.19570519448687818</v>
      </c>
    </row>
    <row r="148" spans="1:15" s="351" customFormat="1" x14ac:dyDescent="0.2">
      <c r="A148" s="362" t="str">
        <f>name!E$7</f>
        <v>Administrative and secretarial</v>
      </c>
      <c r="B148" s="440">
        <v>0.38941265605994968</v>
      </c>
      <c r="C148" s="440">
        <v>5.7018348222241652E-2</v>
      </c>
      <c r="D148" s="440">
        <v>8.0698454981903874E-3</v>
      </c>
      <c r="E148" s="440">
        <f t="shared" si="77"/>
        <v>0.45450084978038174</v>
      </c>
      <c r="F148" s="441"/>
      <c r="G148" s="440">
        <v>0.11992290436302518</v>
      </c>
      <c r="H148" s="440">
        <v>4.0887953969993431E-2</v>
      </c>
      <c r="I148" s="440">
        <v>3.7680280153042029E-3</v>
      </c>
      <c r="J148" s="440">
        <f t="shared" si="78"/>
        <v>0.16457888634832282</v>
      </c>
      <c r="K148" s="441"/>
      <c r="L148" s="440">
        <v>9.7413660736156232E-2</v>
      </c>
      <c r="M148" s="440">
        <v>3.5231267684937194E-2</v>
      </c>
      <c r="N148" s="440">
        <v>2.4880520377100379E-3</v>
      </c>
      <c r="O148" s="440">
        <f t="shared" si="79"/>
        <v>0.13513298045880348</v>
      </c>
    </row>
    <row r="149" spans="1:15" s="351" customFormat="1" x14ac:dyDescent="0.2">
      <c r="A149" s="362" t="str">
        <f>name!E$8</f>
        <v>Skilled trades occupations</v>
      </c>
      <c r="B149" s="440">
        <v>0.96986843297611058</v>
      </c>
      <c r="C149" s="440">
        <v>1.1226844534282578E-2</v>
      </c>
      <c r="D149" s="440">
        <v>0.18263036468639565</v>
      </c>
      <c r="E149" s="440">
        <f t="shared" si="77"/>
        <v>1.1637256421967888</v>
      </c>
      <c r="F149" s="441"/>
      <c r="G149" s="440">
        <v>0.57020893429924557</v>
      </c>
      <c r="H149" s="440">
        <v>1.1255467597470368E-2</v>
      </c>
      <c r="I149" s="440">
        <v>3.8829542419716291E-2</v>
      </c>
      <c r="J149" s="440">
        <f>SUM(G149:I149)</f>
        <v>0.62029394431643214</v>
      </c>
      <c r="K149" s="441"/>
      <c r="L149" s="440">
        <v>0.45451463096959532</v>
      </c>
      <c r="M149" s="440">
        <v>1.1295415045160934E-2</v>
      </c>
      <c r="N149" s="440">
        <v>3.373304056745962E-2</v>
      </c>
      <c r="O149" s="440">
        <f t="shared" si="79"/>
        <v>0.49954308658221591</v>
      </c>
    </row>
    <row r="150" spans="1:15" s="351" customFormat="1" x14ac:dyDescent="0.2">
      <c r="A150" s="362" t="str">
        <f>name!E$9</f>
        <v>Caring, leisure and other service</v>
      </c>
      <c r="B150" s="440">
        <v>0.1525050655945602</v>
      </c>
      <c r="C150" s="440">
        <v>1.0444417543939891E-2</v>
      </c>
      <c r="D150" s="440">
        <v>5.1671681773658735E-3</v>
      </c>
      <c r="E150" s="440">
        <f t="shared" si="77"/>
        <v>0.16811665131586598</v>
      </c>
      <c r="F150" s="441"/>
      <c r="G150" s="440">
        <v>5.0045707933307426E-2</v>
      </c>
      <c r="H150" s="440">
        <v>1.3773705081814675E-2</v>
      </c>
      <c r="I150" s="440">
        <v>2.7055922264127463E-3</v>
      </c>
      <c r="J150" s="440">
        <f t="shared" ref="J150:J153" si="80">SUM(G150:I150)</f>
        <v>6.6525005241534846E-2</v>
      </c>
      <c r="K150" s="441"/>
      <c r="L150" s="440">
        <v>4.8152683761907282E-2</v>
      </c>
      <c r="M150" s="440">
        <v>1.5014302846642574E-2</v>
      </c>
      <c r="N150" s="440">
        <v>6.0181946990386405E-3</v>
      </c>
      <c r="O150" s="440">
        <f t="shared" si="79"/>
        <v>6.9185181307588495E-2</v>
      </c>
    </row>
    <row r="151" spans="1:15" s="351" customFormat="1" x14ac:dyDescent="0.2">
      <c r="A151" s="362" t="str">
        <f>name!E$10</f>
        <v>Sales and customer service</v>
      </c>
      <c r="B151" s="440">
        <v>7.1831260274469289E-2</v>
      </c>
      <c r="C151" s="440">
        <v>1.5970967950851098E-2</v>
      </c>
      <c r="D151" s="440">
        <v>5.897751492534198E-3</v>
      </c>
      <c r="E151" s="440">
        <f t="shared" si="77"/>
        <v>9.3699979717854584E-2</v>
      </c>
      <c r="F151" s="441"/>
      <c r="G151" s="440">
        <v>3.7904349152541705E-2</v>
      </c>
      <c r="H151" s="440">
        <v>1.3242378879142081E-2</v>
      </c>
      <c r="I151" s="440">
        <v>1.9242981196427636E-3</v>
      </c>
      <c r="J151" s="440">
        <f t="shared" si="80"/>
        <v>5.3071026151326549E-2</v>
      </c>
      <c r="K151" s="441"/>
      <c r="L151" s="440">
        <v>4.0414886312572382E-2</v>
      </c>
      <c r="M151" s="440">
        <v>1.2857068584533997E-2</v>
      </c>
      <c r="N151" s="440">
        <v>2.6496792570903163E-3</v>
      </c>
      <c r="O151" s="440">
        <f t="shared" si="79"/>
        <v>5.5921634154196695E-2</v>
      </c>
    </row>
    <row r="152" spans="1:15" s="351" customFormat="1" x14ac:dyDescent="0.2">
      <c r="A152" s="362" t="str">
        <f>name!E$11</f>
        <v>Process, plant and machine operatives</v>
      </c>
      <c r="B152" s="440">
        <v>1.9133498537187754</v>
      </c>
      <c r="C152" s="440">
        <v>3.0066575793107234E-2</v>
      </c>
      <c r="D152" s="440">
        <v>2.330485950494544E-2</v>
      </c>
      <c r="E152" s="440">
        <f t="shared" si="77"/>
        <v>1.9667212890168282</v>
      </c>
      <c r="F152" s="441"/>
      <c r="G152" s="440">
        <v>0.99502778793918489</v>
      </c>
      <c r="H152" s="440">
        <v>3.230308330034961E-2</v>
      </c>
      <c r="I152" s="440">
        <v>8.830975686005783E-3</v>
      </c>
      <c r="J152" s="440">
        <f t="shared" si="80"/>
        <v>1.0361618469255405</v>
      </c>
      <c r="K152" s="441"/>
      <c r="L152" s="440">
        <v>0.82967714865508058</v>
      </c>
      <c r="M152" s="440">
        <v>2.7477692633560508E-2</v>
      </c>
      <c r="N152" s="440">
        <v>7.5801544386738876E-3</v>
      </c>
      <c r="O152" s="440">
        <f t="shared" si="79"/>
        <v>0.86473499572731494</v>
      </c>
    </row>
    <row r="153" spans="1:15" s="351" customFormat="1" x14ac:dyDescent="0.2">
      <c r="A153" s="362" t="str">
        <f>name!E$12</f>
        <v>Elementary occupations</v>
      </c>
      <c r="B153" s="440">
        <v>0.63869041574019592</v>
      </c>
      <c r="C153" s="440">
        <v>6.1429056434501979E-2</v>
      </c>
      <c r="D153" s="440">
        <v>4.1315974599878895E-2</v>
      </c>
      <c r="E153" s="440">
        <f t="shared" si="77"/>
        <v>0.74143544677457685</v>
      </c>
      <c r="F153" s="441"/>
      <c r="G153" s="440">
        <v>0.34298703630257787</v>
      </c>
      <c r="H153" s="440">
        <v>7.4763696746033156E-2</v>
      </c>
      <c r="I153" s="440">
        <v>1.1869240964647242E-2</v>
      </c>
      <c r="J153" s="440">
        <f t="shared" si="80"/>
        <v>0.4296199740132583</v>
      </c>
      <c r="K153" s="441"/>
      <c r="L153" s="440">
        <v>0.29939517732314747</v>
      </c>
      <c r="M153" s="440">
        <v>9.7980216115551161E-2</v>
      </c>
      <c r="N153" s="440">
        <v>3.0320729297610784E-2</v>
      </c>
      <c r="O153" s="440">
        <f t="shared" si="79"/>
        <v>0.42769612273630941</v>
      </c>
    </row>
    <row r="154" spans="1:15" s="351" customFormat="1" x14ac:dyDescent="0.2">
      <c r="A154" s="362"/>
      <c r="B154" s="440"/>
      <c r="C154" s="440"/>
      <c r="D154" s="440"/>
      <c r="E154" s="440"/>
      <c r="F154" s="441"/>
      <c r="G154" s="440"/>
      <c r="H154" s="440"/>
      <c r="I154" s="440"/>
      <c r="J154" s="440"/>
      <c r="K154" s="441"/>
      <c r="L154" s="440"/>
      <c r="M154" s="440"/>
      <c r="N154" s="440"/>
      <c r="O154" s="440"/>
    </row>
    <row r="155" spans="1:15" s="351" customFormat="1" x14ac:dyDescent="0.2">
      <c r="A155" s="357" t="s">
        <v>32</v>
      </c>
      <c r="B155" s="450">
        <f>SUM(B145:B153)</f>
        <v>5.0529999999769784</v>
      </c>
      <c r="C155" s="450">
        <f t="shared" ref="C155:E155" si="81">SUM(C145:C153)</f>
        <v>0.2099999999986524</v>
      </c>
      <c r="D155" s="450">
        <f t="shared" si="81"/>
        <v>0.44899999999947393</v>
      </c>
      <c r="E155" s="450">
        <f t="shared" si="81"/>
        <v>5.711999999975105</v>
      </c>
      <c r="F155" s="450"/>
      <c r="G155" s="450">
        <f t="shared" ref="G155:J155" si="82">SUM(G145:G153)</f>
        <v>2.5190000000035968</v>
      </c>
      <c r="H155" s="450">
        <f t="shared" si="82"/>
        <v>0.22100000000317443</v>
      </c>
      <c r="I155" s="450">
        <f t="shared" si="82"/>
        <v>0.16499999999988871</v>
      </c>
      <c r="J155" s="450">
        <f t="shared" si="82"/>
        <v>2.9050000000066603</v>
      </c>
      <c r="K155" s="450"/>
      <c r="L155" s="450">
        <f t="shared" ref="L155:O155" si="83">SUM(L145:L153)</f>
        <v>2.1899999999667612</v>
      </c>
      <c r="M155" s="450">
        <f t="shared" si="83"/>
        <v>0.24699999999964206</v>
      </c>
      <c r="N155" s="450">
        <f t="shared" si="83"/>
        <v>0.15500000000036521</v>
      </c>
      <c r="O155" s="450">
        <f t="shared" si="83"/>
        <v>2.5919999999667684</v>
      </c>
    </row>
    <row r="156" spans="1:15" s="351" customFormat="1" x14ac:dyDescent="0.2">
      <c r="A156" s="348"/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  <c r="L156" s="348"/>
      <c r="M156" s="348"/>
      <c r="N156" s="353"/>
    </row>
    <row r="157" spans="1:15" s="351" customFormat="1" x14ac:dyDescent="0.2">
      <c r="A157" s="348"/>
      <c r="B157" s="348"/>
      <c r="C157" s="348"/>
      <c r="D157" s="348"/>
      <c r="E157" s="348"/>
      <c r="F157" s="348"/>
      <c r="G157" s="348"/>
      <c r="H157" s="348"/>
      <c r="I157" s="348"/>
      <c r="J157" s="348"/>
      <c r="K157" s="348"/>
      <c r="L157" s="348"/>
      <c r="M157" s="348"/>
      <c r="N157" s="353"/>
      <c r="O157" s="367" t="s">
        <v>35</v>
      </c>
    </row>
    <row r="158" spans="1:15" s="351" customFormat="1" x14ac:dyDescent="0.2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</row>
    <row r="159" spans="1:15" s="351" customFormat="1" x14ac:dyDescent="0.2">
      <c r="A159" s="354" t="str">
        <f>name!A12</f>
        <v>Printing and recording</v>
      </c>
      <c r="B159" s="519">
        <f>$B$6</f>
        <v>2007</v>
      </c>
      <c r="C159" s="519"/>
      <c r="D159" s="519"/>
      <c r="E159" s="519"/>
      <c r="F159" s="380"/>
      <c r="G159" s="519">
        <f>$G$6</f>
        <v>2017</v>
      </c>
      <c r="H159" s="519"/>
      <c r="I159" s="519"/>
      <c r="J159" s="519"/>
      <c r="K159" s="380"/>
      <c r="L159" s="519">
        <f>$L$6</f>
        <v>2027</v>
      </c>
      <c r="M159" s="519"/>
      <c r="N159" s="519"/>
      <c r="O159" s="519"/>
    </row>
    <row r="160" spans="1:15" s="351" customFormat="1" x14ac:dyDescent="0.2">
      <c r="A160" s="370"/>
      <c r="B160" s="388" t="str">
        <f>$B$7</f>
        <v>FT</v>
      </c>
      <c r="C160" s="388" t="str">
        <f>$C$7</f>
        <v>PT</v>
      </c>
      <c r="D160" s="388" t="str">
        <f>$D$7</f>
        <v>SE</v>
      </c>
      <c r="E160" s="388" t="str">
        <f>$E$7</f>
        <v>Total</v>
      </c>
      <c r="F160" s="388"/>
      <c r="G160" s="388" t="str">
        <f>$G$7</f>
        <v>FT</v>
      </c>
      <c r="H160" s="388" t="str">
        <f>$H$7</f>
        <v>PT</v>
      </c>
      <c r="I160" s="388" t="str">
        <f>$I$7</f>
        <v>SE</v>
      </c>
      <c r="J160" s="388" t="str">
        <f>$J$7</f>
        <v>Total</v>
      </c>
      <c r="K160" s="388"/>
      <c r="L160" s="388" t="str">
        <f>$L$7</f>
        <v>FT</v>
      </c>
      <c r="M160" s="388" t="str">
        <f>$M$7</f>
        <v>PT</v>
      </c>
      <c r="N160" s="388" t="str">
        <f>$N$7</f>
        <v>SE</v>
      </c>
      <c r="O160" s="388" t="str">
        <f>$O$7</f>
        <v>Total</v>
      </c>
    </row>
    <row r="161" spans="1:15" s="351" customFormat="1" x14ac:dyDescent="0.2">
      <c r="A161" s="374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</row>
    <row r="162" spans="1:15" s="351" customFormat="1" x14ac:dyDescent="0.2">
      <c r="A162" s="362" t="str">
        <f>name!E$4</f>
        <v>Managers, directors and senior officials</v>
      </c>
      <c r="B162" s="440">
        <v>0.26264826276324438</v>
      </c>
      <c r="C162" s="440">
        <v>3.0658819351987134E-2</v>
      </c>
      <c r="D162" s="440">
        <v>9.6793812810986021E-2</v>
      </c>
      <c r="E162" s="440">
        <f>SUM(B162:D162)</f>
        <v>0.39010089492621752</v>
      </c>
      <c r="F162" s="441"/>
      <c r="G162" s="440">
        <v>0.54783652737910415</v>
      </c>
      <c r="H162" s="440">
        <v>1.4705423295180015E-2</v>
      </c>
      <c r="I162" s="440">
        <v>7.2427087249673977E-2</v>
      </c>
      <c r="J162" s="440">
        <f>SUM(G162:I162)</f>
        <v>0.63496903792395809</v>
      </c>
      <c r="K162" s="441"/>
      <c r="L162" s="440">
        <v>0.60312698230805561</v>
      </c>
      <c r="M162" s="440">
        <v>2.2095996556388924E-2</v>
      </c>
      <c r="N162" s="440">
        <v>7.6200323171600304E-2</v>
      </c>
      <c r="O162" s="440">
        <f>SUM(L162:N162)</f>
        <v>0.70142330203604486</v>
      </c>
    </row>
    <row r="163" spans="1:15" s="351" customFormat="1" x14ac:dyDescent="0.2">
      <c r="A163" s="362" t="str">
        <f>name!E$5</f>
        <v>Professional occupations</v>
      </c>
      <c r="B163" s="440">
        <v>0.29220716236124006</v>
      </c>
      <c r="C163" s="440">
        <v>2.4637776143337106E-2</v>
      </c>
      <c r="D163" s="440">
        <v>2.9187461528725648E-2</v>
      </c>
      <c r="E163" s="440">
        <f t="shared" ref="E163:E170" si="84">SUM(B163:D163)</f>
        <v>0.34603240003330282</v>
      </c>
      <c r="F163" s="441"/>
      <c r="G163" s="440">
        <v>0.47183376478969391</v>
      </c>
      <c r="H163" s="440">
        <v>2.2815507265278378E-2</v>
      </c>
      <c r="I163" s="440">
        <v>3.05496341485577E-2</v>
      </c>
      <c r="J163" s="440">
        <f t="shared" ref="J163:J165" si="85">SUM(G163:I163)</f>
        <v>0.52519890620352994</v>
      </c>
      <c r="K163" s="441"/>
      <c r="L163" s="440">
        <v>0.52071622015117691</v>
      </c>
      <c r="M163" s="440">
        <v>3.2121192719974885E-2</v>
      </c>
      <c r="N163" s="440">
        <v>3.3815842182105177E-2</v>
      </c>
      <c r="O163" s="440">
        <f t="shared" ref="O163:O170" si="86">SUM(L163:N163)</f>
        <v>0.58665325505325705</v>
      </c>
    </row>
    <row r="164" spans="1:15" s="351" customFormat="1" x14ac:dyDescent="0.2">
      <c r="A164" s="362" t="str">
        <f>name!E$6</f>
        <v>Associate professional and technical</v>
      </c>
      <c r="B164" s="440">
        <v>0.42425622482586578</v>
      </c>
      <c r="C164" s="440">
        <v>9.2758724598943132E-2</v>
      </c>
      <c r="D164" s="440">
        <v>9.3925556856103598E-2</v>
      </c>
      <c r="E164" s="440">
        <f t="shared" si="84"/>
        <v>0.61094050628091245</v>
      </c>
      <c r="F164" s="441"/>
      <c r="G164" s="440">
        <v>0.51506426235656644</v>
      </c>
      <c r="H164" s="440">
        <v>7.259981885912882E-2</v>
      </c>
      <c r="I164" s="440">
        <v>0.12014059566464126</v>
      </c>
      <c r="J164" s="440">
        <f t="shared" si="85"/>
        <v>0.70780467688033655</v>
      </c>
      <c r="K164" s="441"/>
      <c r="L164" s="440">
        <v>0.56471724796967337</v>
      </c>
      <c r="M164" s="440">
        <v>9.4716717879852169E-2</v>
      </c>
      <c r="N164" s="440">
        <v>0.11996279384543733</v>
      </c>
      <c r="O164" s="440">
        <f t="shared" si="86"/>
        <v>0.7793967596949628</v>
      </c>
    </row>
    <row r="165" spans="1:15" s="351" customFormat="1" x14ac:dyDescent="0.2">
      <c r="A165" s="362" t="str">
        <f>name!E$7</f>
        <v>Administrative and secretarial</v>
      </c>
      <c r="B165" s="440">
        <v>0.37976690121558004</v>
      </c>
      <c r="C165" s="440">
        <v>0.1746346288987119</v>
      </c>
      <c r="D165" s="440">
        <v>1.2598300247841056E-2</v>
      </c>
      <c r="E165" s="440">
        <f t="shared" si="84"/>
        <v>0.56699983036213297</v>
      </c>
      <c r="F165" s="441"/>
      <c r="G165" s="440">
        <v>0.39289004932775684</v>
      </c>
      <c r="H165" s="440">
        <v>0.16681926207575901</v>
      </c>
      <c r="I165" s="440">
        <v>8.9663442407377867E-3</v>
      </c>
      <c r="J165" s="440">
        <f t="shared" si="85"/>
        <v>0.56867565564425371</v>
      </c>
      <c r="K165" s="441"/>
      <c r="L165" s="440">
        <v>0.32016989060916401</v>
      </c>
      <c r="M165" s="440">
        <v>0.14954650678898976</v>
      </c>
      <c r="N165" s="440">
        <v>5.1019323782722503E-3</v>
      </c>
      <c r="O165" s="440">
        <f t="shared" si="86"/>
        <v>0.47481832977642602</v>
      </c>
    </row>
    <row r="166" spans="1:15" s="351" customFormat="1" x14ac:dyDescent="0.2">
      <c r="A166" s="362" t="str">
        <f>name!E$8</f>
        <v>Skilled trades occupations</v>
      </c>
      <c r="B166" s="440">
        <v>1.1661435315310007</v>
      </c>
      <c r="C166" s="440">
        <v>6.2655992018117404E-2</v>
      </c>
      <c r="D166" s="440">
        <v>0.13750933264190757</v>
      </c>
      <c r="E166" s="440">
        <f t="shared" si="84"/>
        <v>1.3663088561910257</v>
      </c>
      <c r="F166" s="441"/>
      <c r="G166" s="440">
        <v>1.4537231317276686</v>
      </c>
      <c r="H166" s="440">
        <v>1.7706043808942723E-2</v>
      </c>
      <c r="I166" s="440">
        <v>7.4746307842529697E-2</v>
      </c>
      <c r="J166" s="440">
        <f>SUM(G166:I166)</f>
        <v>1.546175483379141</v>
      </c>
      <c r="K166" s="441"/>
      <c r="L166" s="440">
        <v>1.1657771667691923</v>
      </c>
      <c r="M166" s="440">
        <v>1.9237997544724245E-2</v>
      </c>
      <c r="N166" s="440">
        <v>6.7979910215182696E-2</v>
      </c>
      <c r="O166" s="440">
        <f t="shared" si="86"/>
        <v>1.2529950745290994</v>
      </c>
    </row>
    <row r="167" spans="1:15" s="351" customFormat="1" x14ac:dyDescent="0.2">
      <c r="A167" s="362" t="str">
        <f>name!E$9</f>
        <v>Caring, leisure and other service</v>
      </c>
      <c r="B167" s="440">
        <v>1.6134856820129686E-2</v>
      </c>
      <c r="C167" s="440">
        <v>1.1562784802162596E-2</v>
      </c>
      <c r="D167" s="440">
        <v>7.204116246513243E-3</v>
      </c>
      <c r="E167" s="440">
        <f t="shared" si="84"/>
        <v>3.4901757868805526E-2</v>
      </c>
      <c r="F167" s="441"/>
      <c r="G167" s="440">
        <v>1.6638905669367387E-2</v>
      </c>
      <c r="H167" s="440">
        <v>7.5328316092880291E-3</v>
      </c>
      <c r="I167" s="440">
        <v>5.5851005286339994E-3</v>
      </c>
      <c r="J167" s="440">
        <f t="shared" ref="J167:J170" si="87">SUM(G167:I167)</f>
        <v>2.9756837807289417E-2</v>
      </c>
      <c r="K167" s="441"/>
      <c r="L167" s="440">
        <v>1.6648461179908595E-2</v>
      </c>
      <c r="M167" s="440">
        <v>8.8212870954969946E-3</v>
      </c>
      <c r="N167" s="440">
        <v>4.95088093001376E-3</v>
      </c>
      <c r="O167" s="440">
        <f t="shared" si="86"/>
        <v>3.0420629205419346E-2</v>
      </c>
    </row>
    <row r="168" spans="1:15" s="351" customFormat="1" x14ac:dyDescent="0.2">
      <c r="A168" s="362" t="str">
        <f>name!E$10</f>
        <v>Sales and customer service</v>
      </c>
      <c r="B168" s="440">
        <v>8.0483100397849963E-2</v>
      </c>
      <c r="C168" s="440">
        <v>5.5801123914206788E-2</v>
      </c>
      <c r="D168" s="440">
        <v>7.4894975870820005E-3</v>
      </c>
      <c r="E168" s="440">
        <f t="shared" si="84"/>
        <v>0.14377372189913876</v>
      </c>
      <c r="F168" s="441"/>
      <c r="G168" s="440">
        <v>0.17700935523893843</v>
      </c>
      <c r="H168" s="440">
        <v>2.971183830113491E-2</v>
      </c>
      <c r="I168" s="440">
        <v>4.3042852564408943E-3</v>
      </c>
      <c r="J168" s="440">
        <f t="shared" si="87"/>
        <v>0.21102547879651423</v>
      </c>
      <c r="K168" s="441"/>
      <c r="L168" s="440">
        <v>0.1770147883517543</v>
      </c>
      <c r="M168" s="440">
        <v>3.1422434471203457E-2</v>
      </c>
      <c r="N168" s="440">
        <v>3.1486123922281326E-3</v>
      </c>
      <c r="O168" s="440">
        <f t="shared" si="86"/>
        <v>0.2115858352151859</v>
      </c>
    </row>
    <row r="169" spans="1:15" s="351" customFormat="1" x14ac:dyDescent="0.2">
      <c r="A169" s="362" t="str">
        <f>name!E$11</f>
        <v>Process, plant and machine operatives</v>
      </c>
      <c r="B169" s="440">
        <v>0.45201023850314481</v>
      </c>
      <c r="C169" s="440">
        <v>7.472645177087836E-2</v>
      </c>
      <c r="D169" s="440">
        <v>1.3878627240900849E-2</v>
      </c>
      <c r="E169" s="440">
        <f t="shared" si="84"/>
        <v>0.54061531751492398</v>
      </c>
      <c r="F169" s="441"/>
      <c r="G169" s="440">
        <v>0.54413638217428983</v>
      </c>
      <c r="H169" s="440">
        <v>3.5342862912566851E-2</v>
      </c>
      <c r="I169" s="440">
        <v>1.5006605560723611E-2</v>
      </c>
      <c r="J169" s="440">
        <f t="shared" si="87"/>
        <v>0.59448585064758031</v>
      </c>
      <c r="K169" s="441"/>
      <c r="L169" s="440">
        <v>0.50352917563099175</v>
      </c>
      <c r="M169" s="440">
        <v>3.9531150546284345E-2</v>
      </c>
      <c r="N169" s="440">
        <v>1.7994879937381532E-2</v>
      </c>
      <c r="O169" s="440">
        <f t="shared" si="86"/>
        <v>0.56105520611465765</v>
      </c>
    </row>
    <row r="170" spans="1:15" s="351" customFormat="1" x14ac:dyDescent="0.2">
      <c r="A170" s="362" t="str">
        <f>name!E$12</f>
        <v>Elementary occupations</v>
      </c>
      <c r="B170" s="440">
        <v>0.4193497215708139</v>
      </c>
      <c r="C170" s="440">
        <v>0.33056369849838213</v>
      </c>
      <c r="D170" s="440">
        <v>1.3413294838270824E-2</v>
      </c>
      <c r="E170" s="440">
        <f t="shared" si="84"/>
        <v>0.76332671490746684</v>
      </c>
      <c r="F170" s="441"/>
      <c r="G170" s="440">
        <v>0.7078676213297147</v>
      </c>
      <c r="H170" s="440">
        <v>0.14976641188090939</v>
      </c>
      <c r="I170" s="440">
        <v>1.3274039507110039E-2</v>
      </c>
      <c r="J170" s="440">
        <f t="shared" si="87"/>
        <v>0.87090807271773407</v>
      </c>
      <c r="K170" s="441"/>
      <c r="L170" s="440">
        <v>0.67330006698546963</v>
      </c>
      <c r="M170" s="440">
        <v>0.19050671639920447</v>
      </c>
      <c r="N170" s="440">
        <v>1.7844824948044197E-2</v>
      </c>
      <c r="O170" s="440">
        <f t="shared" si="86"/>
        <v>0.88165160833271827</v>
      </c>
    </row>
    <row r="171" spans="1:15" s="351" customFormat="1" x14ac:dyDescent="0.2">
      <c r="A171" s="362"/>
      <c r="B171" s="440"/>
      <c r="C171" s="440"/>
      <c r="D171" s="440"/>
      <c r="E171" s="440"/>
      <c r="F171" s="441"/>
      <c r="G171" s="440"/>
      <c r="H171" s="440"/>
      <c r="I171" s="440"/>
      <c r="J171" s="440"/>
      <c r="K171" s="441"/>
      <c r="L171" s="440"/>
      <c r="M171" s="440"/>
      <c r="N171" s="440"/>
      <c r="O171" s="440"/>
    </row>
    <row r="172" spans="1:15" s="351" customFormat="1" x14ac:dyDescent="0.2">
      <c r="A172" s="357" t="s">
        <v>32</v>
      </c>
      <c r="B172" s="450">
        <f>SUM(B162:B170)</f>
        <v>3.4929999999888692</v>
      </c>
      <c r="C172" s="450">
        <f t="shared" ref="C172:E172" si="88">SUM(C162:C170)</f>
        <v>0.85799999999672649</v>
      </c>
      <c r="D172" s="450">
        <f t="shared" si="88"/>
        <v>0.41199999999833081</v>
      </c>
      <c r="E172" s="450">
        <f t="shared" si="88"/>
        <v>4.7629999999839265</v>
      </c>
      <c r="F172" s="450"/>
      <c r="G172" s="450">
        <f t="shared" ref="G172:J172" si="89">SUM(G162:G170)</f>
        <v>4.8269999999931006</v>
      </c>
      <c r="H172" s="450">
        <f t="shared" si="89"/>
        <v>0.51700000000818802</v>
      </c>
      <c r="I172" s="450">
        <f t="shared" si="89"/>
        <v>0.3449999999990489</v>
      </c>
      <c r="J172" s="450">
        <f t="shared" si="89"/>
        <v>5.6890000000003385</v>
      </c>
      <c r="K172" s="450"/>
      <c r="L172" s="450">
        <f t="shared" ref="L172:O172" si="90">SUM(L162:L170)</f>
        <v>4.5449999999553867</v>
      </c>
      <c r="M172" s="450">
        <f t="shared" si="90"/>
        <v>0.58800000000211927</v>
      </c>
      <c r="N172" s="450">
        <f t="shared" si="90"/>
        <v>0.34700000000026537</v>
      </c>
      <c r="O172" s="450">
        <f t="shared" si="90"/>
        <v>5.4799999999577711</v>
      </c>
    </row>
    <row r="173" spans="1:15" s="351" customFormat="1" x14ac:dyDescent="0.2">
      <c r="A173" s="348"/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53"/>
    </row>
    <row r="174" spans="1:15" s="351" customFormat="1" x14ac:dyDescent="0.2">
      <c r="A174" s="348"/>
      <c r="B174" s="348"/>
      <c r="C174" s="348"/>
      <c r="D174" s="348"/>
      <c r="E174" s="348"/>
      <c r="F174" s="348"/>
      <c r="G174" s="348"/>
      <c r="H174" s="348"/>
      <c r="I174" s="348"/>
      <c r="J174" s="348"/>
      <c r="K174" s="348"/>
      <c r="L174" s="348"/>
      <c r="M174" s="348"/>
      <c r="N174" s="353"/>
      <c r="O174" s="367" t="s">
        <v>35</v>
      </c>
    </row>
    <row r="175" spans="1:15" s="351" customFormat="1" x14ac:dyDescent="0.2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</row>
    <row r="176" spans="1:15" s="351" customFormat="1" x14ac:dyDescent="0.2">
      <c r="A176" s="354" t="str">
        <f>name!A13</f>
        <v>Coke and petroleum; Chemicals, etc</v>
      </c>
      <c r="B176" s="519">
        <f>$B$6</f>
        <v>2007</v>
      </c>
      <c r="C176" s="519"/>
      <c r="D176" s="519"/>
      <c r="E176" s="519"/>
      <c r="F176" s="380"/>
      <c r="G176" s="519">
        <f>$G$6</f>
        <v>2017</v>
      </c>
      <c r="H176" s="519"/>
      <c r="I176" s="519"/>
      <c r="J176" s="519"/>
      <c r="K176" s="380"/>
      <c r="L176" s="519">
        <f>$L$6</f>
        <v>2027</v>
      </c>
      <c r="M176" s="519"/>
      <c r="N176" s="519"/>
      <c r="O176" s="519"/>
    </row>
    <row r="177" spans="1:15" s="351" customFormat="1" x14ac:dyDescent="0.2">
      <c r="A177" s="370"/>
      <c r="B177" s="388" t="str">
        <f>$B$7</f>
        <v>FT</v>
      </c>
      <c r="C177" s="388" t="str">
        <f>$C$7</f>
        <v>PT</v>
      </c>
      <c r="D177" s="388" t="str">
        <f>$D$7</f>
        <v>SE</v>
      </c>
      <c r="E177" s="388" t="str">
        <f>$E$7</f>
        <v>Total</v>
      </c>
      <c r="F177" s="388"/>
      <c r="G177" s="388" t="str">
        <f>$G$7</f>
        <v>FT</v>
      </c>
      <c r="H177" s="388" t="str">
        <f>$H$7</f>
        <v>PT</v>
      </c>
      <c r="I177" s="388" t="str">
        <f>$I$7</f>
        <v>SE</v>
      </c>
      <c r="J177" s="388" t="str">
        <f>$J$7</f>
        <v>Total</v>
      </c>
      <c r="K177" s="388"/>
      <c r="L177" s="388" t="str">
        <f>$L$7</f>
        <v>FT</v>
      </c>
      <c r="M177" s="388" t="str">
        <f>$M$7</f>
        <v>PT</v>
      </c>
      <c r="N177" s="388" t="str">
        <f>$N$7</f>
        <v>SE</v>
      </c>
      <c r="O177" s="388" t="str">
        <f>$O$7</f>
        <v>Total</v>
      </c>
    </row>
    <row r="178" spans="1:15" s="351" customFormat="1" x14ac:dyDescent="0.2">
      <c r="A178" s="374"/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</row>
    <row r="179" spans="1:15" s="351" customFormat="1" x14ac:dyDescent="0.2">
      <c r="A179" s="362" t="str">
        <f>name!E$4</f>
        <v>Managers, directors and senior officials</v>
      </c>
      <c r="B179" s="440">
        <v>0.79839853759716162</v>
      </c>
      <c r="C179" s="440">
        <v>1.1830907234582416E-2</v>
      </c>
      <c r="D179" s="440">
        <v>4.9883797830580508E-2</v>
      </c>
      <c r="E179" s="440">
        <f>SUM(B179:D179)</f>
        <v>0.86011324266232458</v>
      </c>
      <c r="F179" s="441"/>
      <c r="G179" s="440">
        <v>0.54954670427668106</v>
      </c>
      <c r="H179" s="440">
        <v>1.2628731379180667E-2</v>
      </c>
      <c r="I179" s="440">
        <v>2.7279312356691419E-2</v>
      </c>
      <c r="J179" s="440">
        <f>SUM(G179:I179)</f>
        <v>0.58945474801255315</v>
      </c>
      <c r="K179" s="441"/>
      <c r="L179" s="440">
        <v>0.57840006444453618</v>
      </c>
      <c r="M179" s="440">
        <v>2.2326974624382934E-2</v>
      </c>
      <c r="N179" s="440">
        <v>1.5282765715852258E-2</v>
      </c>
      <c r="O179" s="440">
        <f>SUM(L179:N179)</f>
        <v>0.61600980478477141</v>
      </c>
    </row>
    <row r="180" spans="1:15" s="351" customFormat="1" x14ac:dyDescent="0.2">
      <c r="A180" s="362" t="str">
        <f>name!E$5</f>
        <v>Professional occupations</v>
      </c>
      <c r="B180" s="440">
        <v>1.2873340570761469</v>
      </c>
      <c r="C180" s="440">
        <v>1.8658625232145655E-2</v>
      </c>
      <c r="D180" s="440">
        <v>7.7487671423817905E-2</v>
      </c>
      <c r="E180" s="440">
        <f t="shared" ref="E180:E187" si="91">SUM(B180:D180)</f>
        <v>1.3834803537321105</v>
      </c>
      <c r="F180" s="441"/>
      <c r="G180" s="440">
        <v>1.0376487177430922</v>
      </c>
      <c r="H180" s="440">
        <v>2.0509425098476492E-2</v>
      </c>
      <c r="I180" s="440">
        <v>4.8658280104986566E-2</v>
      </c>
      <c r="J180" s="440">
        <f t="shared" ref="J180:J182" si="92">SUM(G180:I180)</f>
        <v>1.1068164229465554</v>
      </c>
      <c r="K180" s="441"/>
      <c r="L180" s="440">
        <v>1.0652931895640345</v>
      </c>
      <c r="M180" s="440">
        <v>3.600791249087304E-2</v>
      </c>
      <c r="N180" s="440">
        <v>2.0321470778069076E-2</v>
      </c>
      <c r="O180" s="440">
        <f t="shared" ref="O180:O187" si="93">SUM(L180:N180)</f>
        <v>1.1216225728329765</v>
      </c>
    </row>
    <row r="181" spans="1:15" s="351" customFormat="1" x14ac:dyDescent="0.2">
      <c r="A181" s="362" t="str">
        <f>name!E$6</f>
        <v>Associate professional and technical</v>
      </c>
      <c r="B181" s="440">
        <v>1.2219051976734674</v>
      </c>
      <c r="C181" s="440">
        <v>2.4031980745261756E-2</v>
      </c>
      <c r="D181" s="440">
        <v>3.7843837015842464E-2</v>
      </c>
      <c r="E181" s="440">
        <f t="shared" si="91"/>
        <v>1.2837810154345717</v>
      </c>
      <c r="F181" s="441"/>
      <c r="G181" s="440">
        <v>0.62273906111450139</v>
      </c>
      <c r="H181" s="440">
        <v>2.3587843599743686E-2</v>
      </c>
      <c r="I181" s="440">
        <v>3.033015571769182E-2</v>
      </c>
      <c r="J181" s="440">
        <f t="shared" si="92"/>
        <v>0.67665706043193685</v>
      </c>
      <c r="K181" s="441"/>
      <c r="L181" s="440">
        <v>0.60868012275832617</v>
      </c>
      <c r="M181" s="440">
        <v>3.8320235208857502E-2</v>
      </c>
      <c r="N181" s="440">
        <v>1.0770228728276857E-2</v>
      </c>
      <c r="O181" s="440">
        <f t="shared" si="93"/>
        <v>0.65777058669546051</v>
      </c>
    </row>
    <row r="182" spans="1:15" s="351" customFormat="1" x14ac:dyDescent="0.2">
      <c r="A182" s="362" t="str">
        <f>name!E$7</f>
        <v>Administrative and secretarial</v>
      </c>
      <c r="B182" s="440">
        <v>0.5398644999706268</v>
      </c>
      <c r="C182" s="440">
        <v>6.7001631545175383E-2</v>
      </c>
      <c r="D182" s="440">
        <v>2.1684619631569615E-2</v>
      </c>
      <c r="E182" s="440">
        <f t="shared" si="91"/>
        <v>0.6285507511473718</v>
      </c>
      <c r="F182" s="441"/>
      <c r="G182" s="440">
        <v>0.27276007971224675</v>
      </c>
      <c r="H182" s="440">
        <v>6.1173507674441172E-2</v>
      </c>
      <c r="I182" s="440">
        <v>3.7200689967724523E-3</v>
      </c>
      <c r="J182" s="440">
        <f t="shared" si="92"/>
        <v>0.3376536563834604</v>
      </c>
      <c r="K182" s="441"/>
      <c r="L182" s="440">
        <v>0.2229664819009303</v>
      </c>
      <c r="M182" s="440">
        <v>7.6266065775373926E-2</v>
      </c>
      <c r="N182" s="440">
        <v>5.9077227515723207E-3</v>
      </c>
      <c r="O182" s="440">
        <f t="shared" si="93"/>
        <v>0.30514027042787656</v>
      </c>
    </row>
    <row r="183" spans="1:15" s="351" customFormat="1" x14ac:dyDescent="0.2">
      <c r="A183" s="362" t="str">
        <f>name!E$8</f>
        <v>Skilled trades occupations</v>
      </c>
      <c r="B183" s="440">
        <v>1.086699223807529</v>
      </c>
      <c r="C183" s="440">
        <v>2.8708656881105712E-2</v>
      </c>
      <c r="D183" s="440">
        <v>9.8676745498658222E-2</v>
      </c>
      <c r="E183" s="440">
        <f t="shared" si="91"/>
        <v>1.2140846261872928</v>
      </c>
      <c r="F183" s="441"/>
      <c r="G183" s="440">
        <v>0.31463372960926328</v>
      </c>
      <c r="H183" s="440">
        <v>2.5612602666791863E-2</v>
      </c>
      <c r="I183" s="440">
        <v>2.5648195709994034E-2</v>
      </c>
      <c r="J183" s="440">
        <f>SUM(G183:I183)</f>
        <v>0.36589452798604921</v>
      </c>
      <c r="K183" s="441"/>
      <c r="L183" s="440">
        <v>0.24650485485597551</v>
      </c>
      <c r="M183" s="440">
        <v>4.1591873006434001E-2</v>
      </c>
      <c r="N183" s="440">
        <v>7.4314417218264072E-3</v>
      </c>
      <c r="O183" s="440">
        <f t="shared" si="93"/>
        <v>0.29552816958423594</v>
      </c>
    </row>
    <row r="184" spans="1:15" s="351" customFormat="1" x14ac:dyDescent="0.2">
      <c r="A184" s="362" t="str">
        <f>name!E$9</f>
        <v>Caring, leisure and other service</v>
      </c>
      <c r="B184" s="440">
        <v>9.135717886792899E-2</v>
      </c>
      <c r="C184" s="440">
        <v>9.1071155407031409E-3</v>
      </c>
      <c r="D184" s="440">
        <v>1.5401741262057336E-2</v>
      </c>
      <c r="E184" s="440">
        <f t="shared" si="91"/>
        <v>0.11586603567068947</v>
      </c>
      <c r="F184" s="441"/>
      <c r="G184" s="440">
        <v>4.5102790223332044E-2</v>
      </c>
      <c r="H184" s="440">
        <v>7.4258352492760377E-3</v>
      </c>
      <c r="I184" s="440">
        <v>2.5144196394181622E-2</v>
      </c>
      <c r="J184" s="440">
        <f t="shared" ref="J184:J187" si="94">SUM(G184:I184)</f>
        <v>7.7672821866789699E-2</v>
      </c>
      <c r="K184" s="441"/>
      <c r="L184" s="440">
        <v>4.5263326714074195E-2</v>
      </c>
      <c r="M184" s="440">
        <v>1.3348756010005713E-2</v>
      </c>
      <c r="N184" s="440">
        <v>3.4216687647388618E-2</v>
      </c>
      <c r="O184" s="440">
        <f t="shared" si="93"/>
        <v>9.2828770371468528E-2</v>
      </c>
    </row>
    <row r="185" spans="1:15" s="351" customFormat="1" x14ac:dyDescent="0.2">
      <c r="A185" s="362" t="str">
        <f>name!E$10</f>
        <v>Sales and customer service</v>
      </c>
      <c r="B185" s="440">
        <v>0.20225096128141154</v>
      </c>
      <c r="C185" s="440">
        <v>3.1806145468608965E-2</v>
      </c>
      <c r="D185" s="440">
        <v>5.6192050997165453E-3</v>
      </c>
      <c r="E185" s="440">
        <f t="shared" si="91"/>
        <v>0.23967631184973706</v>
      </c>
      <c r="F185" s="441"/>
      <c r="G185" s="440">
        <v>0.11541080031622516</v>
      </c>
      <c r="H185" s="440">
        <v>2.6360343958127756E-2</v>
      </c>
      <c r="I185" s="440">
        <v>3.1102843588922389E-3</v>
      </c>
      <c r="J185" s="440">
        <f t="shared" si="94"/>
        <v>0.14488142863324516</v>
      </c>
      <c r="K185" s="441"/>
      <c r="L185" s="440">
        <v>0.10644430920705977</v>
      </c>
      <c r="M185" s="440">
        <v>3.5749042750025564E-2</v>
      </c>
      <c r="N185" s="440">
        <v>1.6335935656795625E-3</v>
      </c>
      <c r="O185" s="440">
        <f t="shared" si="93"/>
        <v>0.1438269455227649</v>
      </c>
    </row>
    <row r="186" spans="1:15" s="351" customFormat="1" x14ac:dyDescent="0.2">
      <c r="A186" s="362" t="str">
        <f>name!E$11</f>
        <v>Process, plant and machine operatives</v>
      </c>
      <c r="B186" s="440">
        <v>2.5483636857348166</v>
      </c>
      <c r="C186" s="440">
        <v>0.10300080963255023</v>
      </c>
      <c r="D186" s="440">
        <v>3.5620260920689012E-2</v>
      </c>
      <c r="E186" s="440">
        <f t="shared" si="91"/>
        <v>2.6869847562880556</v>
      </c>
      <c r="F186" s="441"/>
      <c r="G186" s="440">
        <v>1.1064247070598052</v>
      </c>
      <c r="H186" s="440">
        <v>8.9701542857277883E-2</v>
      </c>
      <c r="I186" s="440">
        <v>7.1965352115457145E-3</v>
      </c>
      <c r="J186" s="440">
        <f t="shared" si="94"/>
        <v>1.2033227851286288</v>
      </c>
      <c r="K186" s="441"/>
      <c r="L186" s="440">
        <v>0.79194510653261874</v>
      </c>
      <c r="M186" s="440">
        <v>0.10695815217038691</v>
      </c>
      <c r="N186" s="440">
        <v>9.3675325263644163E-4</v>
      </c>
      <c r="O186" s="440">
        <f t="shared" si="93"/>
        <v>0.89984001195564212</v>
      </c>
    </row>
    <row r="187" spans="1:15" s="351" customFormat="1" x14ac:dyDescent="0.2">
      <c r="A187" s="362" t="str">
        <f>name!E$12</f>
        <v>Elementary occupations</v>
      </c>
      <c r="B187" s="440">
        <v>0.64482665792834393</v>
      </c>
      <c r="C187" s="440">
        <v>0.12185412771866021</v>
      </c>
      <c r="D187" s="440">
        <v>2.5782121314610898E-2</v>
      </c>
      <c r="E187" s="440">
        <f t="shared" si="91"/>
        <v>0.79246290696161503</v>
      </c>
      <c r="F187" s="441"/>
      <c r="G187" s="440">
        <v>0.35473340993364028</v>
      </c>
      <c r="H187" s="440">
        <v>7.6000167524381781E-2</v>
      </c>
      <c r="I187" s="440">
        <v>8.9129711444169354E-3</v>
      </c>
      <c r="J187" s="440">
        <f t="shared" si="94"/>
        <v>0.43964654860243896</v>
      </c>
      <c r="K187" s="441"/>
      <c r="L187" s="440">
        <v>0.30750254401725863</v>
      </c>
      <c r="M187" s="440">
        <v>0.12743098796957419</v>
      </c>
      <c r="N187" s="440">
        <v>9.499335838011028E-3</v>
      </c>
      <c r="O187" s="440">
        <f t="shared" si="93"/>
        <v>0.44443286782484387</v>
      </c>
    </row>
    <row r="188" spans="1:15" s="351" customFormat="1" x14ac:dyDescent="0.2">
      <c r="A188" s="362"/>
      <c r="B188" s="440"/>
      <c r="C188" s="440"/>
      <c r="D188" s="440"/>
      <c r="E188" s="440"/>
      <c r="F188" s="441"/>
      <c r="G188" s="440"/>
      <c r="H188" s="440"/>
      <c r="I188" s="440"/>
      <c r="J188" s="440"/>
      <c r="K188" s="441"/>
      <c r="L188" s="440"/>
      <c r="M188" s="440"/>
      <c r="N188" s="440"/>
      <c r="O188" s="440"/>
    </row>
    <row r="189" spans="1:15" s="351" customFormat="1" x14ac:dyDescent="0.2">
      <c r="A189" s="357" t="s">
        <v>32</v>
      </c>
      <c r="B189" s="450">
        <f>SUM(B179:B187)</f>
        <v>8.4209999999374325</v>
      </c>
      <c r="C189" s="450">
        <f t="shared" ref="C189:E189" si="95">SUM(C179:C187)</f>
        <v>0.4159999999987935</v>
      </c>
      <c r="D189" s="450">
        <f t="shared" si="95"/>
        <v>0.36799999999754252</v>
      </c>
      <c r="E189" s="450">
        <f t="shared" si="95"/>
        <v>9.2049999999337686</v>
      </c>
      <c r="F189" s="450"/>
      <c r="G189" s="450">
        <f t="shared" ref="G189:J189" si="96">SUM(G179:G187)</f>
        <v>4.4189999999887872</v>
      </c>
      <c r="H189" s="450">
        <f t="shared" si="96"/>
        <v>0.34300000000769731</v>
      </c>
      <c r="I189" s="450">
        <f t="shared" si="96"/>
        <v>0.1799999999951728</v>
      </c>
      <c r="J189" s="450">
        <f t="shared" si="96"/>
        <v>4.9419999999916575</v>
      </c>
      <c r="K189" s="450"/>
      <c r="L189" s="450">
        <f t="shared" ref="L189:O189" si="97">SUM(L179:L187)</f>
        <v>3.9729999999948142</v>
      </c>
      <c r="M189" s="450">
        <f t="shared" si="97"/>
        <v>0.49800000000591377</v>
      </c>
      <c r="N189" s="450">
        <f t="shared" si="97"/>
        <v>0.10599999999931257</v>
      </c>
      <c r="O189" s="450">
        <f t="shared" si="97"/>
        <v>4.5770000000000399</v>
      </c>
    </row>
    <row r="190" spans="1:15" s="351" customFormat="1" x14ac:dyDescent="0.2">
      <c r="A190" s="348"/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53"/>
    </row>
    <row r="191" spans="1:15" s="351" customFormat="1" x14ac:dyDescent="0.2">
      <c r="A191" s="348"/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53"/>
      <c r="O191" s="367" t="s">
        <v>35</v>
      </c>
    </row>
    <row r="192" spans="1:15" s="351" customFormat="1" x14ac:dyDescent="0.2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</row>
    <row r="193" spans="1:15" s="351" customFormat="1" x14ac:dyDescent="0.2">
      <c r="A193" s="354" t="str">
        <f>name!A14</f>
        <v>Pharmaceuticals</v>
      </c>
      <c r="B193" s="519">
        <f>$B$6</f>
        <v>2007</v>
      </c>
      <c r="C193" s="519"/>
      <c r="D193" s="519"/>
      <c r="E193" s="519"/>
      <c r="F193" s="380"/>
      <c r="G193" s="519">
        <f>$G$6</f>
        <v>2017</v>
      </c>
      <c r="H193" s="519"/>
      <c r="I193" s="519"/>
      <c r="J193" s="519"/>
      <c r="K193" s="380"/>
      <c r="L193" s="519">
        <f>$L$6</f>
        <v>2027</v>
      </c>
      <c r="M193" s="519"/>
      <c r="N193" s="519"/>
      <c r="O193" s="519"/>
    </row>
    <row r="194" spans="1:15" s="351" customFormat="1" x14ac:dyDescent="0.2">
      <c r="A194" s="370"/>
      <c r="B194" s="388" t="str">
        <f>$B$7</f>
        <v>FT</v>
      </c>
      <c r="C194" s="388" t="str">
        <f>$C$7</f>
        <v>PT</v>
      </c>
      <c r="D194" s="388" t="str">
        <f>$D$7</f>
        <v>SE</v>
      </c>
      <c r="E194" s="388" t="str">
        <f>$E$7</f>
        <v>Total</v>
      </c>
      <c r="F194" s="388"/>
      <c r="G194" s="388" t="str">
        <f>$G$7</f>
        <v>FT</v>
      </c>
      <c r="H194" s="388" t="str">
        <f>$H$7</f>
        <v>PT</v>
      </c>
      <c r="I194" s="388" t="str">
        <f>$I$7</f>
        <v>SE</v>
      </c>
      <c r="J194" s="388" t="str">
        <f>$J$7</f>
        <v>Total</v>
      </c>
      <c r="K194" s="388"/>
      <c r="L194" s="388" t="str">
        <f>$L$7</f>
        <v>FT</v>
      </c>
      <c r="M194" s="388" t="str">
        <f>$M$7</f>
        <v>PT</v>
      </c>
      <c r="N194" s="388" t="str">
        <f>$N$7</f>
        <v>SE</v>
      </c>
      <c r="O194" s="388" t="str">
        <f>$O$7</f>
        <v>Total</v>
      </c>
    </row>
    <row r="195" spans="1:15" s="351" customFormat="1" x14ac:dyDescent="0.2">
      <c r="A195" s="374"/>
      <c r="B195" s="350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</row>
    <row r="196" spans="1:15" s="351" customFormat="1" x14ac:dyDescent="0.2">
      <c r="A196" s="362" t="str">
        <f>name!E$4</f>
        <v>Managers, directors and senior officials</v>
      </c>
      <c r="B196" s="440">
        <v>0.20469264399371914</v>
      </c>
      <c r="C196" s="440">
        <v>1.05527022934224E-2</v>
      </c>
      <c r="D196" s="440">
        <v>1.3757108751475993E-2</v>
      </c>
      <c r="E196" s="440">
        <f>SUM(B196:D196)</f>
        <v>0.22900245503861752</v>
      </c>
      <c r="F196" s="441"/>
      <c r="G196" s="440">
        <v>0.24040590633930381</v>
      </c>
      <c r="H196" s="440">
        <v>1.5852722262496389E-2</v>
      </c>
      <c r="I196" s="440">
        <v>3.5628654722361576E-2</v>
      </c>
      <c r="J196" s="440">
        <f>SUM(G196:I196)</f>
        <v>0.29188728332416181</v>
      </c>
      <c r="K196" s="441"/>
      <c r="L196" s="440">
        <v>0.19948218399536602</v>
      </c>
      <c r="M196" s="440">
        <v>3.4997869544008124E-2</v>
      </c>
      <c r="N196" s="440">
        <v>4.9866908548367894E-2</v>
      </c>
      <c r="O196" s="440">
        <f>SUM(L196:N196)</f>
        <v>0.28434696208774202</v>
      </c>
    </row>
    <row r="197" spans="1:15" s="351" customFormat="1" x14ac:dyDescent="0.2">
      <c r="A197" s="362" t="str">
        <f>name!E$5</f>
        <v>Professional occupations</v>
      </c>
      <c r="B197" s="440">
        <v>0.70606962707575938</v>
      </c>
      <c r="C197" s="440">
        <v>2.6647747657386874E-2</v>
      </c>
      <c r="D197" s="440">
        <v>2.262175095804227E-2</v>
      </c>
      <c r="E197" s="440">
        <f t="shared" ref="E197:E204" si="98">SUM(B197:D197)</f>
        <v>0.75533912569118855</v>
      </c>
      <c r="F197" s="441"/>
      <c r="G197" s="440">
        <v>0.96648253581190324</v>
      </c>
      <c r="H197" s="440">
        <v>3.548906920905949E-2</v>
      </c>
      <c r="I197" s="440">
        <v>5.6334891228092279E-2</v>
      </c>
      <c r="J197" s="440">
        <f t="shared" ref="J197:J199" si="99">SUM(G197:I197)</f>
        <v>1.0583064962490552</v>
      </c>
      <c r="K197" s="441"/>
      <c r="L197" s="440">
        <v>0.91217478885453152</v>
      </c>
      <c r="M197" s="440">
        <v>7.2000895714156674E-2</v>
      </c>
      <c r="N197" s="440">
        <v>7.548110495617423E-2</v>
      </c>
      <c r="O197" s="440">
        <f t="shared" ref="O197:O204" si="100">SUM(L197:N197)</f>
        <v>1.0596567895248625</v>
      </c>
    </row>
    <row r="198" spans="1:15" s="351" customFormat="1" x14ac:dyDescent="0.2">
      <c r="A198" s="362" t="str">
        <f>name!E$6</f>
        <v>Associate professional and technical</v>
      </c>
      <c r="B198" s="440">
        <v>0.38732895260782557</v>
      </c>
      <c r="C198" s="440">
        <v>2.6231941941934265E-2</v>
      </c>
      <c r="D198" s="440">
        <v>1.5944745772349722E-2</v>
      </c>
      <c r="E198" s="440">
        <f t="shared" si="98"/>
        <v>0.42950564032210958</v>
      </c>
      <c r="F198" s="441"/>
      <c r="G198" s="440">
        <v>0.40592606925348185</v>
      </c>
      <c r="H198" s="440">
        <v>3.0983191051626377E-2</v>
      </c>
      <c r="I198" s="440">
        <v>3.2936224637765278E-2</v>
      </c>
      <c r="J198" s="440">
        <f t="shared" si="99"/>
        <v>0.46984548494287354</v>
      </c>
      <c r="K198" s="441"/>
      <c r="L198" s="440">
        <v>0.36775671165514356</v>
      </c>
      <c r="M198" s="440">
        <v>5.9783329653720275E-2</v>
      </c>
      <c r="N198" s="440">
        <v>4.2718868307166785E-2</v>
      </c>
      <c r="O198" s="440">
        <f t="shared" si="100"/>
        <v>0.47025890961603067</v>
      </c>
    </row>
    <row r="199" spans="1:15" s="351" customFormat="1" x14ac:dyDescent="0.2">
      <c r="A199" s="362" t="str">
        <f>name!E$7</f>
        <v>Administrative and secretarial</v>
      </c>
      <c r="B199" s="440">
        <v>0.17541782639130968</v>
      </c>
      <c r="C199" s="440">
        <v>2.7101267444365248E-2</v>
      </c>
      <c r="D199" s="440">
        <v>3.7019996734601861E-3</v>
      </c>
      <c r="E199" s="440">
        <f t="shared" si="98"/>
        <v>0.20622109350913512</v>
      </c>
      <c r="F199" s="441"/>
      <c r="G199" s="440">
        <v>0.15629954169028726</v>
      </c>
      <c r="H199" s="440">
        <v>2.8443246230537424E-2</v>
      </c>
      <c r="I199" s="440">
        <v>1.1039915752176766E-2</v>
      </c>
      <c r="J199" s="440">
        <f t="shared" si="99"/>
        <v>0.19578270367300146</v>
      </c>
      <c r="K199" s="441"/>
      <c r="L199" s="440">
        <v>0.12795393456800824</v>
      </c>
      <c r="M199" s="440">
        <v>3.8670507031247768E-2</v>
      </c>
      <c r="N199" s="440">
        <v>8.8739443291551961E-3</v>
      </c>
      <c r="O199" s="440">
        <f t="shared" si="100"/>
        <v>0.17549838592841122</v>
      </c>
    </row>
    <row r="200" spans="1:15" s="351" customFormat="1" x14ac:dyDescent="0.2">
      <c r="A200" s="362" t="str">
        <f>name!E$8</f>
        <v>Skilled trades occupations</v>
      </c>
      <c r="B200" s="440">
        <v>0.17332194907652548</v>
      </c>
      <c r="C200" s="440">
        <v>5.0857691558055737E-3</v>
      </c>
      <c r="D200" s="440">
        <v>1.4067651410975353E-2</v>
      </c>
      <c r="E200" s="440">
        <f t="shared" si="98"/>
        <v>0.19247536964330642</v>
      </c>
      <c r="F200" s="441"/>
      <c r="G200" s="440">
        <v>0.16032577476994364</v>
      </c>
      <c r="H200" s="440">
        <v>5.9688122095608786E-3</v>
      </c>
      <c r="I200" s="440">
        <v>2.7183885099826124E-2</v>
      </c>
      <c r="J200" s="440">
        <f>SUM(G200:I200)</f>
        <v>0.19347847207933067</v>
      </c>
      <c r="K200" s="441"/>
      <c r="L200" s="440">
        <v>9.3507177588114929E-2</v>
      </c>
      <c r="M200" s="440">
        <v>1.0537333785973728E-2</v>
      </c>
      <c r="N200" s="440">
        <v>3.8447366438971502E-2</v>
      </c>
      <c r="O200" s="440">
        <f t="shared" si="100"/>
        <v>0.14249187781306016</v>
      </c>
    </row>
    <row r="201" spans="1:15" s="351" customFormat="1" x14ac:dyDescent="0.2">
      <c r="A201" s="362" t="str">
        <f>name!E$9</f>
        <v>Caring, leisure and other service</v>
      </c>
      <c r="B201" s="440">
        <v>8.9942573010446197E-2</v>
      </c>
      <c r="C201" s="440">
        <v>1.9687425224179472E-2</v>
      </c>
      <c r="D201" s="440">
        <v>2.4913181363435729E-3</v>
      </c>
      <c r="E201" s="440">
        <f t="shared" si="98"/>
        <v>0.11212131637096924</v>
      </c>
      <c r="F201" s="441"/>
      <c r="G201" s="440">
        <v>9.5220916106935893E-2</v>
      </c>
      <c r="H201" s="440">
        <v>2.2199894284444865E-2</v>
      </c>
      <c r="I201" s="440">
        <v>1.5758026724131839E-2</v>
      </c>
      <c r="J201" s="440">
        <f t="shared" ref="J201:J204" si="101">SUM(G201:I201)</f>
        <v>0.13317883711551259</v>
      </c>
      <c r="K201" s="441"/>
      <c r="L201" s="440">
        <v>9.9567843210124976E-2</v>
      </c>
      <c r="M201" s="440">
        <v>4.1807767315985074E-2</v>
      </c>
      <c r="N201" s="440">
        <v>2.106941508103518E-2</v>
      </c>
      <c r="O201" s="440">
        <f t="shared" si="100"/>
        <v>0.16244502560714524</v>
      </c>
    </row>
    <row r="202" spans="1:15" s="351" customFormat="1" x14ac:dyDescent="0.2">
      <c r="A202" s="362" t="str">
        <f>name!E$10</f>
        <v>Sales and customer service</v>
      </c>
      <c r="B202" s="440">
        <v>5.096135399230222E-2</v>
      </c>
      <c r="C202" s="440">
        <v>5.8794547059994144E-3</v>
      </c>
      <c r="D202" s="440">
        <v>2.877218704610409E-3</v>
      </c>
      <c r="E202" s="440">
        <f t="shared" si="98"/>
        <v>5.9718027402912044E-2</v>
      </c>
      <c r="F202" s="441"/>
      <c r="G202" s="440">
        <v>6.3991745370552369E-2</v>
      </c>
      <c r="H202" s="440">
        <v>7.500210690305968E-3</v>
      </c>
      <c r="I202" s="440">
        <v>1.0717589161256981E-2</v>
      </c>
      <c r="J202" s="440">
        <f t="shared" si="101"/>
        <v>8.2209545222115321E-2</v>
      </c>
      <c r="K202" s="441"/>
      <c r="L202" s="440">
        <v>6.0906328069309131E-2</v>
      </c>
      <c r="M202" s="440">
        <v>1.4955711686567877E-2</v>
      </c>
      <c r="N202" s="440">
        <v>1.3237511452013748E-2</v>
      </c>
      <c r="O202" s="440">
        <f t="shared" si="100"/>
        <v>8.9099551207890759E-2</v>
      </c>
    </row>
    <row r="203" spans="1:15" s="351" customFormat="1" x14ac:dyDescent="0.2">
      <c r="A203" s="362" t="str">
        <f>name!E$11</f>
        <v>Process, plant and machine operatives</v>
      </c>
      <c r="B203" s="440">
        <v>0.48919984799081229</v>
      </c>
      <c r="C203" s="440">
        <v>2.5465867611835519E-2</v>
      </c>
      <c r="D203" s="440">
        <v>1.582710888584454E-2</v>
      </c>
      <c r="E203" s="440">
        <f t="shared" si="98"/>
        <v>0.53049282448849233</v>
      </c>
      <c r="F203" s="441"/>
      <c r="G203" s="440">
        <v>0.42982012552943943</v>
      </c>
      <c r="H203" s="440">
        <v>3.0095451209774988E-2</v>
      </c>
      <c r="I203" s="440">
        <v>3.1710872128730978E-2</v>
      </c>
      <c r="J203" s="440">
        <f t="shared" si="101"/>
        <v>0.49162644886794538</v>
      </c>
      <c r="K203" s="441"/>
      <c r="L203" s="440">
        <v>0.25252946380858871</v>
      </c>
      <c r="M203" s="440">
        <v>4.5708042601196458E-2</v>
      </c>
      <c r="N203" s="440">
        <v>3.3765415122369427E-2</v>
      </c>
      <c r="O203" s="440">
        <f t="shared" si="100"/>
        <v>0.3320029215321546</v>
      </c>
    </row>
    <row r="204" spans="1:15" s="351" customFormat="1" x14ac:dyDescent="0.2">
      <c r="A204" s="362" t="str">
        <f>name!E$12</f>
        <v>Elementary occupations</v>
      </c>
      <c r="B204" s="440">
        <v>0.21106522584796128</v>
      </c>
      <c r="C204" s="440">
        <v>4.9347823964392808E-2</v>
      </c>
      <c r="D204" s="440">
        <v>8.7110977068109476E-3</v>
      </c>
      <c r="E204" s="440">
        <f t="shared" si="98"/>
        <v>0.26912414751916502</v>
      </c>
      <c r="F204" s="441"/>
      <c r="G204" s="440">
        <v>0.21252738511815869</v>
      </c>
      <c r="H204" s="440">
        <v>7.1467402857150086E-2</v>
      </c>
      <c r="I204" s="440">
        <v>0.10868994054954909</v>
      </c>
      <c r="J204" s="440">
        <f t="shared" si="101"/>
        <v>0.39268472852485781</v>
      </c>
      <c r="K204" s="441"/>
      <c r="L204" s="440">
        <v>0.22612156824461796</v>
      </c>
      <c r="M204" s="440">
        <v>0.1415385426736169</v>
      </c>
      <c r="N204" s="440">
        <v>0.14053946576769105</v>
      </c>
      <c r="O204" s="440">
        <f t="shared" si="100"/>
        <v>0.50819957668592597</v>
      </c>
    </row>
    <row r="205" spans="1:15" s="351" customFormat="1" x14ac:dyDescent="0.2">
      <c r="A205" s="362"/>
      <c r="B205" s="440"/>
      <c r="C205" s="440"/>
      <c r="D205" s="440"/>
      <c r="E205" s="440"/>
      <c r="F205" s="441"/>
      <c r="G205" s="440"/>
      <c r="H205" s="440"/>
      <c r="I205" s="440"/>
      <c r="J205" s="440"/>
      <c r="K205" s="441"/>
      <c r="L205" s="440"/>
      <c r="M205" s="440"/>
      <c r="N205" s="440"/>
      <c r="O205" s="440"/>
    </row>
    <row r="206" spans="1:15" s="351" customFormat="1" x14ac:dyDescent="0.2">
      <c r="A206" s="357" t="s">
        <v>32</v>
      </c>
      <c r="B206" s="450">
        <f>SUM(B196:B204)</f>
        <v>2.4879999999866613</v>
      </c>
      <c r="C206" s="450">
        <f t="shared" ref="C206:E206" si="102">SUM(C196:C204)</f>
        <v>0.19599999999932158</v>
      </c>
      <c r="D206" s="450">
        <f t="shared" si="102"/>
        <v>9.9999999999912992E-2</v>
      </c>
      <c r="E206" s="450">
        <f t="shared" si="102"/>
        <v>2.783999999985896</v>
      </c>
      <c r="F206" s="450"/>
      <c r="G206" s="450">
        <f t="shared" ref="G206:J206" si="103">SUM(G196:G204)</f>
        <v>2.7309999999900065</v>
      </c>
      <c r="H206" s="450">
        <f t="shared" si="103"/>
        <v>0.24800000000495645</v>
      </c>
      <c r="I206" s="450">
        <f t="shared" si="103"/>
        <v>0.33000000000389096</v>
      </c>
      <c r="J206" s="450">
        <f t="shared" si="103"/>
        <v>3.3089999999988531</v>
      </c>
      <c r="K206" s="450"/>
      <c r="L206" s="450">
        <f t="shared" ref="L206:O206" si="104">SUM(L196:L204)</f>
        <v>2.3399999999938053</v>
      </c>
      <c r="M206" s="450">
        <f t="shared" si="104"/>
        <v>0.4600000000064729</v>
      </c>
      <c r="N206" s="450">
        <f t="shared" si="104"/>
        <v>0.42400000000294502</v>
      </c>
      <c r="O206" s="450">
        <f t="shared" si="104"/>
        <v>3.2240000000032234</v>
      </c>
    </row>
    <row r="207" spans="1:15" s="351" customFormat="1" x14ac:dyDescent="0.2">
      <c r="A207" s="348"/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53"/>
    </row>
    <row r="208" spans="1:15" s="351" customFormat="1" x14ac:dyDescent="0.2">
      <c r="A208" s="348"/>
      <c r="B208" s="348"/>
      <c r="C208" s="348"/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53"/>
      <c r="O208" s="367" t="s">
        <v>35</v>
      </c>
    </row>
    <row r="209" spans="1:15" s="351" customFormat="1" x14ac:dyDescent="0.2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</row>
    <row r="210" spans="1:15" s="351" customFormat="1" x14ac:dyDescent="0.2">
      <c r="A210" s="354" t="str">
        <f>name!A15</f>
        <v>Rubber and plastic</v>
      </c>
      <c r="B210" s="519">
        <f>$B$6</f>
        <v>2007</v>
      </c>
      <c r="C210" s="519"/>
      <c r="D210" s="519"/>
      <c r="E210" s="519"/>
      <c r="F210" s="380"/>
      <c r="G210" s="519">
        <f>$G$6</f>
        <v>2017</v>
      </c>
      <c r="H210" s="519"/>
      <c r="I210" s="519"/>
      <c r="J210" s="519"/>
      <c r="K210" s="380"/>
      <c r="L210" s="519">
        <f>$L$6</f>
        <v>2027</v>
      </c>
      <c r="M210" s="519"/>
      <c r="N210" s="519"/>
      <c r="O210" s="519"/>
    </row>
    <row r="211" spans="1:15" s="351" customFormat="1" x14ac:dyDescent="0.2">
      <c r="A211" s="370"/>
      <c r="B211" s="388" t="str">
        <f>$B$7</f>
        <v>FT</v>
      </c>
      <c r="C211" s="388" t="str">
        <f>$C$7</f>
        <v>PT</v>
      </c>
      <c r="D211" s="388" t="str">
        <f>$D$7</f>
        <v>SE</v>
      </c>
      <c r="E211" s="388" t="str">
        <f>$E$7</f>
        <v>Total</v>
      </c>
      <c r="F211" s="388"/>
      <c r="G211" s="388" t="str">
        <f>$G$7</f>
        <v>FT</v>
      </c>
      <c r="H211" s="388" t="str">
        <f>$H$7</f>
        <v>PT</v>
      </c>
      <c r="I211" s="388" t="str">
        <f>$I$7</f>
        <v>SE</v>
      </c>
      <c r="J211" s="388" t="str">
        <f>$J$7</f>
        <v>Total</v>
      </c>
      <c r="K211" s="388"/>
      <c r="L211" s="388" t="str">
        <f>$L$7</f>
        <v>FT</v>
      </c>
      <c r="M211" s="388" t="str">
        <f>$M$7</f>
        <v>PT</v>
      </c>
      <c r="N211" s="388" t="str">
        <f>$N$7</f>
        <v>SE</v>
      </c>
      <c r="O211" s="388" t="str">
        <f>$O$7</f>
        <v>Total</v>
      </c>
    </row>
    <row r="212" spans="1:15" s="351" customFormat="1" x14ac:dyDescent="0.2">
      <c r="A212" s="374"/>
      <c r="B212" s="350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</row>
    <row r="213" spans="1:15" s="351" customFormat="1" x14ac:dyDescent="0.2">
      <c r="A213" s="362" t="str">
        <f>name!E$4</f>
        <v>Managers, directors and senior officials</v>
      </c>
      <c r="B213" s="440">
        <v>0.69868595747642737</v>
      </c>
      <c r="C213" s="440">
        <v>1.8766166482643783E-2</v>
      </c>
      <c r="D213" s="440">
        <v>0.1656382219727765</v>
      </c>
      <c r="E213" s="440">
        <f>SUM(B213:D213)</f>
        <v>0.88309034593184754</v>
      </c>
      <c r="F213" s="441"/>
      <c r="G213" s="440">
        <v>0.58259537152533791</v>
      </c>
      <c r="H213" s="440">
        <v>4.7171080568469928E-2</v>
      </c>
      <c r="I213" s="440">
        <v>0.10199522094311027</v>
      </c>
      <c r="J213" s="440">
        <f>SUM(G213:I213)</f>
        <v>0.73176167303691819</v>
      </c>
      <c r="K213" s="441"/>
      <c r="L213" s="440">
        <v>0.56359134682994638</v>
      </c>
      <c r="M213" s="440">
        <v>4.8724014645421782E-2</v>
      </c>
      <c r="N213" s="440">
        <v>7.129902748240223E-2</v>
      </c>
      <c r="O213" s="440">
        <f>SUM(L213:N213)</f>
        <v>0.68361438895777038</v>
      </c>
    </row>
    <row r="214" spans="1:15" s="351" customFormat="1" x14ac:dyDescent="0.2">
      <c r="A214" s="362" t="str">
        <f>name!E$5</f>
        <v>Professional occupations</v>
      </c>
      <c r="B214" s="440">
        <v>0.58854926078127678</v>
      </c>
      <c r="C214" s="440">
        <v>1.3186374603587712E-2</v>
      </c>
      <c r="D214" s="440">
        <v>3.1554080402555425E-2</v>
      </c>
      <c r="E214" s="440">
        <f t="shared" ref="E214:E221" si="105">SUM(B214:D214)</f>
        <v>0.63328971578741999</v>
      </c>
      <c r="F214" s="441"/>
      <c r="G214" s="440">
        <v>0.5384676212723789</v>
      </c>
      <c r="H214" s="440">
        <v>3.1684930672229827E-2</v>
      </c>
      <c r="I214" s="440">
        <v>2.4083806332428036E-2</v>
      </c>
      <c r="J214" s="440">
        <f t="shared" ref="J214:J216" si="106">SUM(G214:I214)</f>
        <v>0.59423635827703669</v>
      </c>
      <c r="K214" s="441"/>
      <c r="L214" s="440">
        <v>0.51596790998667352</v>
      </c>
      <c r="M214" s="440">
        <v>3.0806616285389828E-2</v>
      </c>
      <c r="N214" s="440">
        <v>1.9013813054170835E-2</v>
      </c>
      <c r="O214" s="440">
        <f t="shared" ref="O214:O221" si="107">SUM(L214:N214)</f>
        <v>0.56578833932623418</v>
      </c>
    </row>
    <row r="215" spans="1:15" s="351" customFormat="1" x14ac:dyDescent="0.2">
      <c r="A215" s="362" t="str">
        <f>name!E$6</f>
        <v>Associate professional and technical</v>
      </c>
      <c r="B215" s="440">
        <v>0.73325306198312679</v>
      </c>
      <c r="C215" s="440">
        <v>2.5390230740518469E-2</v>
      </c>
      <c r="D215" s="440">
        <v>6.2126114019704547E-2</v>
      </c>
      <c r="E215" s="440">
        <f t="shared" si="105"/>
        <v>0.82076940674334986</v>
      </c>
      <c r="F215" s="441"/>
      <c r="G215" s="440">
        <v>0.6540385278925096</v>
      </c>
      <c r="H215" s="440">
        <v>4.7735509130539519E-2</v>
      </c>
      <c r="I215" s="440">
        <v>4.0292413512229813E-2</v>
      </c>
      <c r="J215" s="440">
        <f t="shared" si="106"/>
        <v>0.74206645053527887</v>
      </c>
      <c r="K215" s="441"/>
      <c r="L215" s="440">
        <v>0.5907965269700669</v>
      </c>
      <c r="M215" s="440">
        <v>4.0362236092374951E-2</v>
      </c>
      <c r="N215" s="440">
        <v>2.8105160374982778E-2</v>
      </c>
      <c r="O215" s="440">
        <f t="shared" si="107"/>
        <v>0.65926392343742468</v>
      </c>
    </row>
    <row r="216" spans="1:15" s="351" customFormat="1" x14ac:dyDescent="0.2">
      <c r="A216" s="362" t="str">
        <f>name!E$7</f>
        <v>Administrative and secretarial</v>
      </c>
      <c r="B216" s="440">
        <v>0.63518521066483302</v>
      </c>
      <c r="C216" s="440">
        <v>0.14986497064896523</v>
      </c>
      <c r="D216" s="440">
        <v>2.5557046216612513E-2</v>
      </c>
      <c r="E216" s="440">
        <f t="shared" si="105"/>
        <v>0.8106072275304107</v>
      </c>
      <c r="F216" s="441"/>
      <c r="G216" s="440">
        <v>0.37689451590822443</v>
      </c>
      <c r="H216" s="440">
        <v>0.27251501915269466</v>
      </c>
      <c r="I216" s="440">
        <v>2.8239403312695064E-2</v>
      </c>
      <c r="J216" s="440">
        <f t="shared" si="106"/>
        <v>0.67764893837361406</v>
      </c>
      <c r="K216" s="441"/>
      <c r="L216" s="440">
        <v>0.32058390552547017</v>
      </c>
      <c r="M216" s="440">
        <v>0.1668770888506006</v>
      </c>
      <c r="N216" s="440">
        <v>1.0087134444883482E-2</v>
      </c>
      <c r="O216" s="440">
        <f t="shared" si="107"/>
        <v>0.49754812882095423</v>
      </c>
    </row>
    <row r="217" spans="1:15" s="351" customFormat="1" x14ac:dyDescent="0.2">
      <c r="A217" s="362" t="str">
        <f>name!E$8</f>
        <v>Skilled trades occupations</v>
      </c>
      <c r="B217" s="440">
        <v>2.0824113197075582</v>
      </c>
      <c r="C217" s="440">
        <v>2.4187998007573475E-2</v>
      </c>
      <c r="D217" s="440">
        <v>0.35321761570086846</v>
      </c>
      <c r="E217" s="440">
        <f t="shared" si="105"/>
        <v>2.4598169334160001</v>
      </c>
      <c r="F217" s="441"/>
      <c r="G217" s="440">
        <v>1.4783816192471197</v>
      </c>
      <c r="H217" s="440">
        <v>5.824924991345954E-2</v>
      </c>
      <c r="I217" s="440">
        <v>0.10097774396087654</v>
      </c>
      <c r="J217" s="440">
        <f>SUM(G217:I217)</f>
        <v>1.6376086131214558</v>
      </c>
      <c r="K217" s="441"/>
      <c r="L217" s="440">
        <v>1.180398465290017</v>
      </c>
      <c r="M217" s="440">
        <v>5.7421594207236679E-2</v>
      </c>
      <c r="N217" s="440">
        <v>8.2325166733752217E-2</v>
      </c>
      <c r="O217" s="440">
        <f t="shared" si="107"/>
        <v>1.3201452262310058</v>
      </c>
    </row>
    <row r="218" spans="1:15" s="351" customFormat="1" x14ac:dyDescent="0.2">
      <c r="A218" s="362" t="str">
        <f>name!E$9</f>
        <v>Caring, leisure and other service</v>
      </c>
      <c r="B218" s="440">
        <v>0.22720206553706929</v>
      </c>
      <c r="C218" s="440">
        <v>5.056092157377947E-2</v>
      </c>
      <c r="D218" s="440">
        <v>9.736458882947158E-3</v>
      </c>
      <c r="E218" s="440">
        <f t="shared" si="105"/>
        <v>0.2874994459937959</v>
      </c>
      <c r="F218" s="441"/>
      <c r="G218" s="440">
        <v>0.17051213661329803</v>
      </c>
      <c r="H218" s="440">
        <v>9.9323307386554316E-2</v>
      </c>
      <c r="I218" s="440">
        <v>1.6514716451220841E-2</v>
      </c>
      <c r="J218" s="440">
        <f t="shared" ref="J218:J221" si="108">SUM(G218:I218)</f>
        <v>0.2863501604510732</v>
      </c>
      <c r="K218" s="441"/>
      <c r="L218" s="440">
        <v>0.18954757052689258</v>
      </c>
      <c r="M218" s="440">
        <v>8.5812423507636335E-2</v>
      </c>
      <c r="N218" s="440">
        <v>1.3197852304810815E-2</v>
      </c>
      <c r="O218" s="440">
        <f t="shared" si="107"/>
        <v>0.28855784633933973</v>
      </c>
    </row>
    <row r="219" spans="1:15" s="351" customFormat="1" x14ac:dyDescent="0.2">
      <c r="A219" s="362" t="str">
        <f>name!E$10</f>
        <v>Sales and customer service</v>
      </c>
      <c r="B219" s="440">
        <v>0.17992109527373076</v>
      </c>
      <c r="C219" s="440">
        <v>3.8954867859831384E-2</v>
      </c>
      <c r="D219" s="440">
        <v>2.7276874790505098E-2</v>
      </c>
      <c r="E219" s="440">
        <f t="shared" si="105"/>
        <v>0.24615283792406722</v>
      </c>
      <c r="F219" s="441"/>
      <c r="G219" s="440">
        <v>0.25654757165745579</v>
      </c>
      <c r="H219" s="440">
        <v>7.5387010837063825E-2</v>
      </c>
      <c r="I219" s="440">
        <v>2.0224447941384321E-2</v>
      </c>
      <c r="J219" s="440">
        <f t="shared" si="108"/>
        <v>0.35215903043590396</v>
      </c>
      <c r="K219" s="441"/>
      <c r="L219" s="440">
        <v>0.21633726677340717</v>
      </c>
      <c r="M219" s="440">
        <v>5.682829375334944E-2</v>
      </c>
      <c r="N219" s="440">
        <v>1.1413437971659274E-2</v>
      </c>
      <c r="O219" s="440">
        <f t="shared" si="107"/>
        <v>0.28457899849841589</v>
      </c>
    </row>
    <row r="220" spans="1:15" s="351" customFormat="1" x14ac:dyDescent="0.2">
      <c r="A220" s="362" t="str">
        <f>name!E$11</f>
        <v>Process, plant and machine operatives</v>
      </c>
      <c r="B220" s="440">
        <v>4.2532070025766995</v>
      </c>
      <c r="C220" s="440">
        <v>0.1584338319631072</v>
      </c>
      <c r="D220" s="440">
        <v>0.19239626012308436</v>
      </c>
      <c r="E220" s="440">
        <f t="shared" si="105"/>
        <v>4.6040370946628908</v>
      </c>
      <c r="F220" s="441"/>
      <c r="G220" s="440">
        <v>2.7431055956448107</v>
      </c>
      <c r="H220" s="440">
        <v>0.2173736952008383</v>
      </c>
      <c r="I220" s="440">
        <v>5.0892051740608013E-2</v>
      </c>
      <c r="J220" s="440">
        <f t="shared" si="108"/>
        <v>3.0113713425862572</v>
      </c>
      <c r="K220" s="441"/>
      <c r="L220" s="440">
        <v>1.9424109011136372</v>
      </c>
      <c r="M220" s="440">
        <v>0.15625321670634537</v>
      </c>
      <c r="N220" s="440">
        <v>3.2755965068318758E-2</v>
      </c>
      <c r="O220" s="440">
        <f t="shared" si="107"/>
        <v>2.1314200828883014</v>
      </c>
    </row>
    <row r="221" spans="1:15" s="351" customFormat="1" x14ac:dyDescent="0.2">
      <c r="A221" s="362" t="str">
        <f>name!E$12</f>
        <v>Elementary occupations</v>
      </c>
      <c r="B221" s="440">
        <v>0.69858502594355554</v>
      </c>
      <c r="C221" s="440">
        <v>9.8654638116016796E-2</v>
      </c>
      <c r="D221" s="440">
        <v>5.7497327898177929E-2</v>
      </c>
      <c r="E221" s="440">
        <f t="shared" si="105"/>
        <v>0.85473699195775032</v>
      </c>
      <c r="F221" s="441"/>
      <c r="G221" s="440">
        <v>0.60845704024150948</v>
      </c>
      <c r="H221" s="440">
        <v>0.12856019715877279</v>
      </c>
      <c r="I221" s="440">
        <v>0.17278019581950418</v>
      </c>
      <c r="J221" s="440">
        <f t="shared" si="108"/>
        <v>0.90979743321978646</v>
      </c>
      <c r="K221" s="441"/>
      <c r="L221" s="440">
        <v>0.50736610691789696</v>
      </c>
      <c r="M221" s="440">
        <v>9.1914515958539542E-2</v>
      </c>
      <c r="N221" s="440">
        <v>0.12980244257083626</v>
      </c>
      <c r="O221" s="440">
        <f t="shared" si="107"/>
        <v>0.72908306544727275</v>
      </c>
    </row>
    <row r="222" spans="1:15" s="351" customFormat="1" x14ac:dyDescent="0.2">
      <c r="A222" s="362"/>
      <c r="B222" s="440"/>
      <c r="C222" s="440"/>
      <c r="D222" s="440"/>
      <c r="E222" s="440"/>
      <c r="F222" s="441"/>
      <c r="G222" s="440"/>
      <c r="H222" s="440"/>
      <c r="I222" s="440"/>
      <c r="J222" s="440"/>
      <c r="K222" s="441"/>
      <c r="L222" s="440"/>
      <c r="M222" s="440"/>
      <c r="N222" s="440"/>
      <c r="O222" s="440"/>
    </row>
    <row r="223" spans="1:15" s="351" customFormat="1" x14ac:dyDescent="0.2">
      <c r="A223" s="357" t="s">
        <v>32</v>
      </c>
      <c r="B223" s="450">
        <f>SUM(B213:B221)</f>
        <v>10.096999999944277</v>
      </c>
      <c r="C223" s="450">
        <f t="shared" ref="C223:E223" si="109">SUM(C213:C221)</f>
        <v>0.57799999999602358</v>
      </c>
      <c r="D223" s="450">
        <f t="shared" si="109"/>
        <v>0.92500000000723193</v>
      </c>
      <c r="E223" s="450">
        <f t="shared" si="109"/>
        <v>11.599999999947533</v>
      </c>
      <c r="F223" s="450"/>
      <c r="G223" s="450">
        <f t="shared" ref="G223:J223" si="110">SUM(G213:G221)</f>
        <v>7.4090000000026448</v>
      </c>
      <c r="H223" s="450">
        <f t="shared" si="110"/>
        <v>0.9780000000206226</v>
      </c>
      <c r="I223" s="450">
        <f t="shared" si="110"/>
        <v>0.55600000001405703</v>
      </c>
      <c r="J223" s="450">
        <f t="shared" si="110"/>
        <v>8.9430000000373244</v>
      </c>
      <c r="K223" s="450"/>
      <c r="L223" s="450">
        <f t="shared" ref="L223:O223" si="111">SUM(L213:L221)</f>
        <v>6.0269999999340085</v>
      </c>
      <c r="M223" s="450">
        <f t="shared" si="111"/>
        <v>0.73500000000689458</v>
      </c>
      <c r="N223" s="450">
        <f t="shared" si="111"/>
        <v>0.3980000000058167</v>
      </c>
      <c r="O223" s="450">
        <f t="shared" si="111"/>
        <v>7.1599999999467192</v>
      </c>
    </row>
    <row r="224" spans="1:15" s="351" customFormat="1" x14ac:dyDescent="0.2">
      <c r="A224" s="348"/>
      <c r="B224" s="348"/>
      <c r="C224" s="348"/>
      <c r="D224" s="348"/>
      <c r="E224" s="348"/>
      <c r="F224" s="348"/>
      <c r="G224" s="348"/>
      <c r="H224" s="348"/>
      <c r="I224" s="348"/>
      <c r="J224" s="348"/>
      <c r="K224" s="348"/>
      <c r="L224" s="348"/>
      <c r="M224" s="348"/>
      <c r="N224" s="353"/>
    </row>
    <row r="225" spans="1:15" s="351" customFormat="1" x14ac:dyDescent="0.2">
      <c r="A225" s="348"/>
      <c r="B225" s="348"/>
      <c r="C225" s="348"/>
      <c r="D225" s="348"/>
      <c r="E225" s="348"/>
      <c r="F225" s="348"/>
      <c r="G225" s="348"/>
      <c r="H225" s="348"/>
      <c r="I225" s="348"/>
      <c r="J225" s="348"/>
      <c r="K225" s="348"/>
      <c r="L225" s="348"/>
      <c r="M225" s="348"/>
      <c r="N225" s="353"/>
      <c r="O225" s="367" t="s">
        <v>35</v>
      </c>
    </row>
    <row r="226" spans="1:15" s="351" customFormat="1" x14ac:dyDescent="0.2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</row>
    <row r="227" spans="1:15" s="351" customFormat="1" x14ac:dyDescent="0.2">
      <c r="A227" s="354" t="str">
        <f>name!A16</f>
        <v>Other non-metallic</v>
      </c>
      <c r="B227" s="519">
        <f>$B$6</f>
        <v>2007</v>
      </c>
      <c r="C227" s="519"/>
      <c r="D227" s="519"/>
      <c r="E227" s="519"/>
      <c r="F227" s="380"/>
      <c r="G227" s="519">
        <f>$G$6</f>
        <v>2017</v>
      </c>
      <c r="H227" s="519"/>
      <c r="I227" s="519"/>
      <c r="J227" s="519"/>
      <c r="K227" s="380"/>
      <c r="L227" s="519">
        <f>$L$6</f>
        <v>2027</v>
      </c>
      <c r="M227" s="519"/>
      <c r="N227" s="519"/>
      <c r="O227" s="519"/>
    </row>
    <row r="228" spans="1:15" s="351" customFormat="1" x14ac:dyDescent="0.2">
      <c r="A228" s="370"/>
      <c r="B228" s="388" t="str">
        <f>$B$7</f>
        <v>FT</v>
      </c>
      <c r="C228" s="388" t="str">
        <f>$C$7</f>
        <v>PT</v>
      </c>
      <c r="D228" s="388" t="str">
        <f>$D$7</f>
        <v>SE</v>
      </c>
      <c r="E228" s="388" t="str">
        <f>$E$7</f>
        <v>Total</v>
      </c>
      <c r="F228" s="388"/>
      <c r="G228" s="388" t="str">
        <f>$G$7</f>
        <v>FT</v>
      </c>
      <c r="H228" s="388" t="str">
        <f>$H$7</f>
        <v>PT</v>
      </c>
      <c r="I228" s="388" t="str">
        <f>$I$7</f>
        <v>SE</v>
      </c>
      <c r="J228" s="388" t="str">
        <f>$J$7</f>
        <v>Total</v>
      </c>
      <c r="K228" s="388"/>
      <c r="L228" s="388" t="str">
        <f>$L$7</f>
        <v>FT</v>
      </c>
      <c r="M228" s="388" t="str">
        <f>$M$7</f>
        <v>PT</v>
      </c>
      <c r="N228" s="388" t="str">
        <f>$N$7</f>
        <v>SE</v>
      </c>
      <c r="O228" s="388" t="str">
        <f>$O$7</f>
        <v>Total</v>
      </c>
    </row>
    <row r="229" spans="1:15" s="351" customFormat="1" x14ac:dyDescent="0.2">
      <c r="A229" s="374"/>
      <c r="B229" s="350"/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</row>
    <row r="230" spans="1:15" s="351" customFormat="1" x14ac:dyDescent="0.2">
      <c r="A230" s="362" t="str">
        <f>name!E$4</f>
        <v>Managers, directors and senior officials</v>
      </c>
      <c r="B230" s="440">
        <v>0.41398706838426647</v>
      </c>
      <c r="C230" s="440">
        <v>3.9391258117365911E-3</v>
      </c>
      <c r="D230" s="440">
        <v>6.6944987828744917E-2</v>
      </c>
      <c r="E230" s="440">
        <f>SUM(B230:D230)</f>
        <v>0.48487118202474799</v>
      </c>
      <c r="F230" s="441"/>
      <c r="G230" s="440">
        <v>0.238354808775599</v>
      </c>
      <c r="H230" s="440">
        <v>2.0917384824722531E-2</v>
      </c>
      <c r="I230" s="440">
        <v>2.0516915505705561E-2</v>
      </c>
      <c r="J230" s="440">
        <f>SUM(G230:I230)</f>
        <v>0.27978910910602711</v>
      </c>
      <c r="K230" s="441"/>
      <c r="L230" s="440">
        <v>0.22279198311524492</v>
      </c>
      <c r="M230" s="440">
        <v>1.8049802052872238E-2</v>
      </c>
      <c r="N230" s="440">
        <v>1.5958026995816096E-2</v>
      </c>
      <c r="O230" s="440">
        <f>SUM(L230:N230)</f>
        <v>0.25679981216393327</v>
      </c>
    </row>
    <row r="231" spans="1:15" s="351" customFormat="1" x14ac:dyDescent="0.2">
      <c r="A231" s="362" t="str">
        <f>name!E$5</f>
        <v>Professional occupations</v>
      </c>
      <c r="B231" s="440">
        <v>0.51025909794339386</v>
      </c>
      <c r="C231" s="440">
        <v>3.8762245773537531E-3</v>
      </c>
      <c r="D231" s="440">
        <v>1.3199749973704893E-2</v>
      </c>
      <c r="E231" s="440">
        <f t="shared" ref="E231:E238" si="112">SUM(B231:D231)</f>
        <v>0.52733507249445244</v>
      </c>
      <c r="F231" s="441"/>
      <c r="G231" s="440">
        <v>0.2183769356447679</v>
      </c>
      <c r="H231" s="440">
        <v>1.6624468995308908E-2</v>
      </c>
      <c r="I231" s="440">
        <v>5.482226555451033E-3</v>
      </c>
      <c r="J231" s="440">
        <f t="shared" ref="J231:J233" si="113">SUM(G231:I231)</f>
        <v>0.24048363119552782</v>
      </c>
      <c r="K231" s="441"/>
      <c r="L231" s="440">
        <v>0.2044198079532821</v>
      </c>
      <c r="M231" s="440">
        <v>1.0827219571258635E-2</v>
      </c>
      <c r="N231" s="440">
        <v>4.2533790970472685E-3</v>
      </c>
      <c r="O231" s="440">
        <f t="shared" ref="O231:O238" si="114">SUM(L231:N231)</f>
        <v>0.21950040662158798</v>
      </c>
    </row>
    <row r="232" spans="1:15" s="351" customFormat="1" x14ac:dyDescent="0.2">
      <c r="A232" s="362" t="str">
        <f>name!E$6</f>
        <v>Associate professional and technical</v>
      </c>
      <c r="B232" s="440">
        <v>0.31094090025325938</v>
      </c>
      <c r="C232" s="440">
        <v>1.9879612566829734E-2</v>
      </c>
      <c r="D232" s="440">
        <v>1.7437694323993412E-2</v>
      </c>
      <c r="E232" s="440">
        <f t="shared" si="112"/>
        <v>0.34825820714408251</v>
      </c>
      <c r="F232" s="441"/>
      <c r="G232" s="440">
        <v>0.1590763385583987</v>
      </c>
      <c r="H232" s="440">
        <v>3.764163961557962E-2</v>
      </c>
      <c r="I232" s="440">
        <v>9.0209139565746478E-3</v>
      </c>
      <c r="J232" s="440">
        <f t="shared" si="113"/>
        <v>0.20573889213055296</v>
      </c>
      <c r="K232" s="441"/>
      <c r="L232" s="440">
        <v>0.1445978797274946</v>
      </c>
      <c r="M232" s="440">
        <v>1.9765769543544535E-2</v>
      </c>
      <c r="N232" s="440">
        <v>6.8719021013281699E-3</v>
      </c>
      <c r="O232" s="440">
        <f t="shared" si="114"/>
        <v>0.17123555137236732</v>
      </c>
    </row>
    <row r="233" spans="1:15" s="351" customFormat="1" x14ac:dyDescent="0.2">
      <c r="A233" s="362" t="str">
        <f>name!E$7</f>
        <v>Administrative and secretarial</v>
      </c>
      <c r="B233" s="440">
        <v>0.2341408637518074</v>
      </c>
      <c r="C233" s="440">
        <v>2.2500514918820776E-2</v>
      </c>
      <c r="D233" s="440">
        <v>1.3882039074491388E-2</v>
      </c>
      <c r="E233" s="440">
        <f t="shared" si="112"/>
        <v>0.27052341774511957</v>
      </c>
      <c r="F233" s="441"/>
      <c r="G233" s="440">
        <v>7.4171956435577766E-2</v>
      </c>
      <c r="H233" s="440">
        <v>7.6040488039801485E-2</v>
      </c>
      <c r="I233" s="440">
        <v>4.6611170676708865E-3</v>
      </c>
      <c r="J233" s="440">
        <f t="shared" si="113"/>
        <v>0.15487356154305013</v>
      </c>
      <c r="K233" s="441"/>
      <c r="L233" s="440">
        <v>5.5996376266180592E-2</v>
      </c>
      <c r="M233" s="440">
        <v>4.2495057833260561E-2</v>
      </c>
      <c r="N233" s="440">
        <v>2.4028499386551925E-3</v>
      </c>
      <c r="O233" s="440">
        <f t="shared" si="114"/>
        <v>0.10089428403809635</v>
      </c>
    </row>
    <row r="234" spans="1:15" s="351" customFormat="1" x14ac:dyDescent="0.2">
      <c r="A234" s="362" t="str">
        <f>name!E$8</f>
        <v>Skilled trades occupations</v>
      </c>
      <c r="B234" s="440">
        <v>0.78191385380406631</v>
      </c>
      <c r="C234" s="440">
        <v>1.9240159651127296E-3</v>
      </c>
      <c r="D234" s="440">
        <v>0.30705407992733763</v>
      </c>
      <c r="E234" s="440">
        <f t="shared" si="112"/>
        <v>1.0908919496965166</v>
      </c>
      <c r="F234" s="441"/>
      <c r="G234" s="440">
        <v>0.23995312034766783</v>
      </c>
      <c r="H234" s="440">
        <v>0.10751079038045173</v>
      </c>
      <c r="I234" s="440">
        <v>9.1983043584931881E-2</v>
      </c>
      <c r="J234" s="440">
        <f>SUM(G234:I234)</f>
        <v>0.43944695431305142</v>
      </c>
      <c r="K234" s="441"/>
      <c r="L234" s="440">
        <v>0.1763672661720625</v>
      </c>
      <c r="M234" s="440">
        <v>0.12755180501917235</v>
      </c>
      <c r="N234" s="440">
        <v>6.3819325518296319E-2</v>
      </c>
      <c r="O234" s="440">
        <f t="shared" si="114"/>
        <v>0.36773839670953118</v>
      </c>
    </row>
    <row r="235" spans="1:15" s="351" customFormat="1" x14ac:dyDescent="0.2">
      <c r="A235" s="362" t="str">
        <f>name!E$9</f>
        <v>Caring, leisure and other service</v>
      </c>
      <c r="B235" s="440">
        <v>1.6866939652102605E-2</v>
      </c>
      <c r="C235" s="440">
        <v>2.9099758210608347E-3</v>
      </c>
      <c r="D235" s="440">
        <v>3.3494605751199081E-3</v>
      </c>
      <c r="E235" s="440">
        <f t="shared" si="112"/>
        <v>2.312637604828335E-2</v>
      </c>
      <c r="F235" s="441"/>
      <c r="G235" s="440">
        <v>6.3652048639940978E-3</v>
      </c>
      <c r="H235" s="440">
        <v>1.3031014157322359E-2</v>
      </c>
      <c r="I235" s="440">
        <v>1.8522481030115486E-3</v>
      </c>
      <c r="J235" s="440">
        <f t="shared" ref="J235:J238" si="115">SUM(G235:I235)</f>
        <v>2.1248467124328003E-2</v>
      </c>
      <c r="K235" s="441"/>
      <c r="L235" s="440">
        <v>6.8399237216510075E-3</v>
      </c>
      <c r="M235" s="440">
        <v>1.0266993179735114E-2</v>
      </c>
      <c r="N235" s="440">
        <v>1.6217240601639254E-3</v>
      </c>
      <c r="O235" s="440">
        <f t="shared" si="114"/>
        <v>1.8728640961550046E-2</v>
      </c>
    </row>
    <row r="236" spans="1:15" s="351" customFormat="1" x14ac:dyDescent="0.2">
      <c r="A236" s="362" t="str">
        <f>name!E$10</f>
        <v>Sales and customer service</v>
      </c>
      <c r="B236" s="440">
        <v>7.0152020923992461E-2</v>
      </c>
      <c r="C236" s="440">
        <v>7.0668698525069235E-3</v>
      </c>
      <c r="D236" s="440">
        <v>6.141796829053252E-3</v>
      </c>
      <c r="E236" s="440">
        <f t="shared" si="112"/>
        <v>8.3360687605552639E-2</v>
      </c>
      <c r="F236" s="441"/>
      <c r="G236" s="440">
        <v>3.1890329248762075E-2</v>
      </c>
      <c r="H236" s="440">
        <v>2.3158275457423941E-2</v>
      </c>
      <c r="I236" s="440">
        <v>2.185322980037257E-3</v>
      </c>
      <c r="J236" s="440">
        <f t="shared" si="115"/>
        <v>5.723392768622327E-2</v>
      </c>
      <c r="K236" s="441"/>
      <c r="L236" s="440">
        <v>2.7439474030222781E-2</v>
      </c>
      <c r="M236" s="440">
        <v>1.7172395921483733E-2</v>
      </c>
      <c r="N236" s="440">
        <v>1.527678290598378E-3</v>
      </c>
      <c r="O236" s="440">
        <f t="shared" si="114"/>
        <v>4.6139548242304894E-2</v>
      </c>
    </row>
    <row r="237" spans="1:15" s="351" customFormat="1" x14ac:dyDescent="0.2">
      <c r="A237" s="362" t="str">
        <f>name!E$11</f>
        <v>Process, plant and machine operatives</v>
      </c>
      <c r="B237" s="440">
        <v>2.6146157454407701</v>
      </c>
      <c r="C237" s="440">
        <v>3.5235588387598779E-3</v>
      </c>
      <c r="D237" s="440">
        <v>7.6593190069456057E-2</v>
      </c>
      <c r="E237" s="440">
        <f t="shared" si="112"/>
        <v>2.6947324943489863</v>
      </c>
      <c r="F237" s="441"/>
      <c r="G237" s="440">
        <v>1.2912608061717652</v>
      </c>
      <c r="H237" s="440">
        <v>3.6025937251819781E-2</v>
      </c>
      <c r="I237" s="440">
        <v>1.9317493054085696E-2</v>
      </c>
      <c r="J237" s="440">
        <f t="shared" si="115"/>
        <v>1.3466042364776705</v>
      </c>
      <c r="K237" s="441"/>
      <c r="L237" s="440">
        <v>0.9644153773991011</v>
      </c>
      <c r="M237" s="440">
        <v>2.5608076954791351E-2</v>
      </c>
      <c r="N237" s="440">
        <v>1.370536523375397E-2</v>
      </c>
      <c r="O237" s="440">
        <f t="shared" si="114"/>
        <v>1.0037288195876464</v>
      </c>
    </row>
    <row r="238" spans="1:15" s="351" customFormat="1" x14ac:dyDescent="0.2">
      <c r="A238" s="362" t="str">
        <f>name!E$12</f>
        <v>Elementary occupations</v>
      </c>
      <c r="B238" s="440">
        <v>0.215123509848199</v>
      </c>
      <c r="C238" s="440">
        <v>5.3380101647258697E-2</v>
      </c>
      <c r="D238" s="440">
        <v>2.8397001402934909E-2</v>
      </c>
      <c r="E238" s="440">
        <f t="shared" si="112"/>
        <v>0.29690061289839259</v>
      </c>
      <c r="F238" s="441"/>
      <c r="G238" s="440">
        <v>0.12755049995239148</v>
      </c>
      <c r="H238" s="440">
        <v>0.19905000129335743</v>
      </c>
      <c r="I238" s="440">
        <v>1.0980719194001516E-2</v>
      </c>
      <c r="J238" s="440">
        <f t="shared" si="115"/>
        <v>0.33758122043975042</v>
      </c>
      <c r="K238" s="441"/>
      <c r="L238" s="440">
        <v>9.3131911588770447E-2</v>
      </c>
      <c r="M238" s="440">
        <v>0.1322628799274983</v>
      </c>
      <c r="N238" s="440">
        <v>8.8397487646518259E-3</v>
      </c>
      <c r="O238" s="440">
        <f t="shared" si="114"/>
        <v>0.23423454028092056</v>
      </c>
    </row>
    <row r="239" spans="1:15" s="351" customFormat="1" x14ac:dyDescent="0.2">
      <c r="A239" s="362"/>
      <c r="B239" s="440"/>
      <c r="C239" s="440"/>
      <c r="D239" s="440"/>
      <c r="E239" s="440"/>
      <c r="F239" s="441"/>
      <c r="G239" s="440"/>
      <c r="H239" s="440"/>
      <c r="I239" s="440"/>
      <c r="J239" s="440"/>
      <c r="K239" s="441"/>
      <c r="L239" s="440"/>
      <c r="M239" s="440"/>
      <c r="N239" s="440"/>
      <c r="O239" s="440"/>
    </row>
    <row r="240" spans="1:15" s="351" customFormat="1" x14ac:dyDescent="0.2">
      <c r="A240" s="357" t="s">
        <v>32</v>
      </c>
      <c r="B240" s="450">
        <f>SUM(B230:B238)</f>
        <v>5.1680000000018582</v>
      </c>
      <c r="C240" s="450">
        <f t="shared" ref="C240:E240" si="116">SUM(C230:C238)</f>
        <v>0.11899999999943991</v>
      </c>
      <c r="D240" s="450">
        <f t="shared" si="116"/>
        <v>0.53300000000483638</v>
      </c>
      <c r="E240" s="450">
        <f t="shared" si="116"/>
        <v>5.820000000006134</v>
      </c>
      <c r="F240" s="450"/>
      <c r="G240" s="450">
        <f t="shared" ref="G240:J240" si="117">SUM(G230:G238)</f>
        <v>2.3869999999989235</v>
      </c>
      <c r="H240" s="450">
        <f t="shared" si="117"/>
        <v>0.53000000001578784</v>
      </c>
      <c r="I240" s="450">
        <f t="shared" si="117"/>
        <v>0.16600000000147003</v>
      </c>
      <c r="J240" s="450">
        <f t="shared" si="117"/>
        <v>3.0830000000161815</v>
      </c>
      <c r="K240" s="450"/>
      <c r="L240" s="450">
        <f t="shared" ref="L240:O240" si="118">SUM(L230:L238)</f>
        <v>1.8959999999740103</v>
      </c>
      <c r="M240" s="450">
        <f t="shared" si="118"/>
        <v>0.4040000000036168</v>
      </c>
      <c r="N240" s="450">
        <f t="shared" si="118"/>
        <v>0.11900000000031115</v>
      </c>
      <c r="O240" s="450">
        <f t="shared" si="118"/>
        <v>2.4189999999779381</v>
      </c>
    </row>
    <row r="241" spans="1:15" s="351" customFormat="1" x14ac:dyDescent="0.2">
      <c r="A241" s="348"/>
      <c r="B241" s="348"/>
      <c r="C241" s="348"/>
      <c r="D241" s="348"/>
      <c r="E241" s="348"/>
      <c r="F241" s="348"/>
      <c r="G241" s="348"/>
      <c r="H241" s="348"/>
      <c r="I241" s="348"/>
      <c r="J241" s="348"/>
      <c r="K241" s="348"/>
      <c r="L241" s="348"/>
      <c r="M241" s="348"/>
      <c r="N241" s="353"/>
    </row>
    <row r="242" spans="1:15" s="351" customFormat="1" x14ac:dyDescent="0.2">
      <c r="A242" s="348"/>
      <c r="B242" s="348"/>
      <c r="C242" s="348"/>
      <c r="D242" s="348"/>
      <c r="E242" s="348"/>
      <c r="F242" s="348"/>
      <c r="G242" s="348"/>
      <c r="H242" s="348"/>
      <c r="I242" s="348"/>
      <c r="J242" s="348"/>
      <c r="K242" s="348"/>
      <c r="L242" s="348"/>
      <c r="M242" s="348"/>
      <c r="N242" s="353"/>
      <c r="O242" s="367" t="s">
        <v>35</v>
      </c>
    </row>
    <row r="243" spans="1:15" s="351" customFormat="1" x14ac:dyDescent="0.2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</row>
    <row r="244" spans="1:15" s="351" customFormat="1" x14ac:dyDescent="0.2">
      <c r="A244" s="354" t="str">
        <f>name!A17</f>
        <v>Basic metals</v>
      </c>
      <c r="B244" s="519">
        <f>$B$6</f>
        <v>2007</v>
      </c>
      <c r="C244" s="519"/>
      <c r="D244" s="519"/>
      <c r="E244" s="519"/>
      <c r="F244" s="380"/>
      <c r="G244" s="519">
        <f>$G$6</f>
        <v>2017</v>
      </c>
      <c r="H244" s="519"/>
      <c r="I244" s="519"/>
      <c r="J244" s="519"/>
      <c r="K244" s="380"/>
      <c r="L244" s="519">
        <f>$L$6</f>
        <v>2027</v>
      </c>
      <c r="M244" s="519"/>
      <c r="N244" s="519"/>
      <c r="O244" s="519"/>
    </row>
    <row r="245" spans="1:15" s="351" customFormat="1" x14ac:dyDescent="0.2">
      <c r="A245" s="370"/>
      <c r="B245" s="388" t="str">
        <f>$B$7</f>
        <v>FT</v>
      </c>
      <c r="C245" s="388" t="str">
        <f>$C$7</f>
        <v>PT</v>
      </c>
      <c r="D245" s="388" t="str">
        <f>$D$7</f>
        <v>SE</v>
      </c>
      <c r="E245" s="388" t="str">
        <f>$E$7</f>
        <v>Total</v>
      </c>
      <c r="F245" s="388"/>
      <c r="G245" s="388" t="str">
        <f>$G$7</f>
        <v>FT</v>
      </c>
      <c r="H245" s="388" t="str">
        <f>$H$7</f>
        <v>PT</v>
      </c>
      <c r="I245" s="388" t="str">
        <f>$I$7</f>
        <v>SE</v>
      </c>
      <c r="J245" s="388" t="str">
        <f>$J$7</f>
        <v>Total</v>
      </c>
      <c r="K245" s="388"/>
      <c r="L245" s="388" t="str">
        <f>$L$7</f>
        <v>FT</v>
      </c>
      <c r="M245" s="388" t="str">
        <f>$M$7</f>
        <v>PT</v>
      </c>
      <c r="N245" s="388" t="str">
        <f>$N$7</f>
        <v>SE</v>
      </c>
      <c r="O245" s="388" t="str">
        <f>$O$7</f>
        <v>Total</v>
      </c>
    </row>
    <row r="246" spans="1:15" s="351" customFormat="1" x14ac:dyDescent="0.2">
      <c r="A246" s="374"/>
      <c r="B246" s="350"/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</row>
    <row r="247" spans="1:15" s="351" customFormat="1" x14ac:dyDescent="0.2">
      <c r="A247" s="362" t="str">
        <f>name!E$4</f>
        <v>Managers, directors and senior officials</v>
      </c>
      <c r="B247" s="440">
        <v>0.53421515210308312</v>
      </c>
      <c r="C247" s="440">
        <v>5.7551023107393871E-3</v>
      </c>
      <c r="D247" s="440">
        <v>0.21234775467867076</v>
      </c>
      <c r="E247" s="440">
        <f>SUM(B247:D247)</f>
        <v>0.75231800909249325</v>
      </c>
      <c r="F247" s="441"/>
      <c r="G247" s="440">
        <v>0.5456089756095539</v>
      </c>
      <c r="H247" s="440">
        <v>1.0217299426915162E-2</v>
      </c>
      <c r="I247" s="440">
        <v>0.10853149683279228</v>
      </c>
      <c r="J247" s="440">
        <f>SUM(G247:I247)</f>
        <v>0.66435777186926137</v>
      </c>
      <c r="K247" s="441"/>
      <c r="L247" s="440">
        <v>0.52825481920506601</v>
      </c>
      <c r="M247" s="440">
        <v>1.1062294158797684E-2</v>
      </c>
      <c r="N247" s="440">
        <v>0.13659859749565226</v>
      </c>
      <c r="O247" s="440">
        <f>SUM(L247:N247)</f>
        <v>0.67591571085951596</v>
      </c>
    </row>
    <row r="248" spans="1:15" s="351" customFormat="1" x14ac:dyDescent="0.2">
      <c r="A248" s="362" t="str">
        <f>name!E$5</f>
        <v>Professional occupations</v>
      </c>
      <c r="B248" s="440">
        <v>0.36174079986255919</v>
      </c>
      <c r="C248" s="440">
        <v>1.0254490526139618E-2</v>
      </c>
      <c r="D248" s="440">
        <v>0.3190381012027006</v>
      </c>
      <c r="E248" s="440">
        <f t="shared" ref="E248:E255" si="119">SUM(B248:D248)</f>
        <v>0.69103339159139943</v>
      </c>
      <c r="F248" s="441"/>
      <c r="G248" s="440">
        <v>0.36581386628716134</v>
      </c>
      <c r="H248" s="440">
        <v>4.7182511349099111E-3</v>
      </c>
      <c r="I248" s="440">
        <v>9.7959074097611759E-2</v>
      </c>
      <c r="J248" s="440">
        <f t="shared" ref="J248:J250" si="120">SUM(G248:I248)</f>
        <v>0.46849119151968299</v>
      </c>
      <c r="K248" s="441"/>
      <c r="L248" s="440">
        <v>0.3364516042365715</v>
      </c>
      <c r="M248" s="440">
        <v>2.0435635080247108E-3</v>
      </c>
      <c r="N248" s="440">
        <v>9.4741021495726982E-2</v>
      </c>
      <c r="O248" s="440">
        <f t="shared" ref="O248:O255" si="121">SUM(L248:N248)</f>
        <v>0.4332361892403232</v>
      </c>
    </row>
    <row r="249" spans="1:15" s="351" customFormat="1" x14ac:dyDescent="0.2">
      <c r="A249" s="362" t="str">
        <f>name!E$6</f>
        <v>Associate professional and technical</v>
      </c>
      <c r="B249" s="440">
        <v>0.70458145668864447</v>
      </c>
      <c r="C249" s="440">
        <v>3.9459958673380806E-3</v>
      </c>
      <c r="D249" s="440">
        <v>8.4870024668901894E-2</v>
      </c>
      <c r="E249" s="440">
        <f t="shared" si="119"/>
        <v>0.79339747722488452</v>
      </c>
      <c r="F249" s="441"/>
      <c r="G249" s="440">
        <v>0.77560397991482988</v>
      </c>
      <c r="H249" s="440">
        <v>6.5184075792681746E-3</v>
      </c>
      <c r="I249" s="440">
        <v>6.1949460448570678E-2</v>
      </c>
      <c r="J249" s="440">
        <f t="shared" si="120"/>
        <v>0.84407184794266865</v>
      </c>
      <c r="K249" s="441"/>
      <c r="L249" s="440">
        <v>0.67890106080240875</v>
      </c>
      <c r="M249" s="440">
        <v>6.8755671736615226E-3</v>
      </c>
      <c r="N249" s="440">
        <v>7.3451409205834969E-2</v>
      </c>
      <c r="O249" s="440">
        <f t="shared" si="121"/>
        <v>0.75922803718190524</v>
      </c>
    </row>
    <row r="250" spans="1:15" s="351" customFormat="1" x14ac:dyDescent="0.2">
      <c r="A250" s="362" t="str">
        <f>name!E$7</f>
        <v>Administrative and secretarial</v>
      </c>
      <c r="B250" s="440">
        <v>0.27425314096397246</v>
      </c>
      <c r="C250" s="440">
        <v>1.1540365356692377E-2</v>
      </c>
      <c r="D250" s="440">
        <v>2.3504559226062462E-2</v>
      </c>
      <c r="E250" s="440">
        <f t="shared" si="119"/>
        <v>0.30929806554672734</v>
      </c>
      <c r="F250" s="441"/>
      <c r="G250" s="440">
        <v>0.60590279602628061</v>
      </c>
      <c r="H250" s="440">
        <v>5.3918779337253616E-3</v>
      </c>
      <c r="I250" s="440">
        <v>8.6334616306421013E-3</v>
      </c>
      <c r="J250" s="440">
        <f t="shared" si="120"/>
        <v>0.61992813559064797</v>
      </c>
      <c r="K250" s="441"/>
      <c r="L250" s="440">
        <v>0.51648031135061712</v>
      </c>
      <c r="M250" s="440">
        <v>3.6821977361178554E-3</v>
      </c>
      <c r="N250" s="440">
        <v>7.0875427384674561E-3</v>
      </c>
      <c r="O250" s="440">
        <f t="shared" si="121"/>
        <v>0.52725005182520246</v>
      </c>
    </row>
    <row r="251" spans="1:15" s="351" customFormat="1" x14ac:dyDescent="0.2">
      <c r="A251" s="362" t="str">
        <f>name!E$8</f>
        <v>Skilled trades occupations</v>
      </c>
      <c r="B251" s="440">
        <v>3.6168979127257219</v>
      </c>
      <c r="C251" s="440">
        <v>5.3173227149997636E-3</v>
      </c>
      <c r="D251" s="440">
        <v>0.3832168632260749</v>
      </c>
      <c r="E251" s="440">
        <f t="shared" si="119"/>
        <v>4.0054320986667964</v>
      </c>
      <c r="F251" s="441"/>
      <c r="G251" s="440">
        <v>3.9908789900836013</v>
      </c>
      <c r="H251" s="440">
        <v>1.672230394196331E-2</v>
      </c>
      <c r="I251" s="440">
        <v>6.8598994516812117E-2</v>
      </c>
      <c r="J251" s="440">
        <f>SUM(G251:I251)</f>
        <v>4.0762002885423767</v>
      </c>
      <c r="K251" s="441"/>
      <c r="L251" s="440">
        <v>3.0005382252524231</v>
      </c>
      <c r="M251" s="440">
        <v>1.5934267483420354E-2</v>
      </c>
      <c r="N251" s="440">
        <v>7.9239024423140139E-2</v>
      </c>
      <c r="O251" s="440">
        <f t="shared" si="121"/>
        <v>3.0957115171589837</v>
      </c>
    </row>
    <row r="252" spans="1:15" s="351" customFormat="1" x14ac:dyDescent="0.2">
      <c r="A252" s="362" t="str">
        <f>name!E$9</f>
        <v>Caring, leisure and other service</v>
      </c>
      <c r="B252" s="440">
        <v>0.25773461647001933</v>
      </c>
      <c r="C252" s="440">
        <v>1.0643075439274114E-2</v>
      </c>
      <c r="D252" s="440">
        <v>1.10714632806847E-2</v>
      </c>
      <c r="E252" s="440">
        <f t="shared" si="119"/>
        <v>0.27944915518997815</v>
      </c>
      <c r="F252" s="441"/>
      <c r="G252" s="440">
        <v>0.36101833942713402</v>
      </c>
      <c r="H252" s="440">
        <v>1.2177090041398195E-2</v>
      </c>
      <c r="I252" s="440">
        <v>4.7425584573006973E-3</v>
      </c>
      <c r="J252" s="440">
        <f t="shared" ref="J252:J255" si="122">SUM(G252:I252)</f>
        <v>0.37793798792583294</v>
      </c>
      <c r="K252" s="441"/>
      <c r="L252" s="440">
        <v>0.36329888841344665</v>
      </c>
      <c r="M252" s="440">
        <v>1.4904415369295326E-2</v>
      </c>
      <c r="N252" s="440">
        <v>5.5615055056884837E-3</v>
      </c>
      <c r="O252" s="440">
        <f t="shared" si="121"/>
        <v>0.38376480928843043</v>
      </c>
    </row>
    <row r="253" spans="1:15" s="351" customFormat="1" x14ac:dyDescent="0.2">
      <c r="A253" s="362" t="str">
        <f>name!E$10</f>
        <v>Sales and customer service</v>
      </c>
      <c r="B253" s="440">
        <v>0.10838768559327587</v>
      </c>
      <c r="C253" s="440">
        <v>1.5067813103174497E-3</v>
      </c>
      <c r="D253" s="440">
        <v>1.3780010967605481E-2</v>
      </c>
      <c r="E253" s="440">
        <f t="shared" si="119"/>
        <v>0.1236744778711988</v>
      </c>
      <c r="F253" s="441"/>
      <c r="G253" s="440">
        <v>0.14154714266708587</v>
      </c>
      <c r="H253" s="440">
        <v>3.1672762483882159E-3</v>
      </c>
      <c r="I253" s="440">
        <v>8.2439872586812461E-3</v>
      </c>
      <c r="J253" s="440">
        <f t="shared" si="122"/>
        <v>0.15295840617415535</v>
      </c>
      <c r="K253" s="441"/>
      <c r="L253" s="440">
        <v>0.12575085124921093</v>
      </c>
      <c r="M253" s="440">
        <v>2.9046899371039619E-3</v>
      </c>
      <c r="N253" s="440">
        <v>7.4176164695970116E-3</v>
      </c>
      <c r="O253" s="440">
        <f t="shared" si="121"/>
        <v>0.13607315765591191</v>
      </c>
    </row>
    <row r="254" spans="1:15" s="351" customFormat="1" x14ac:dyDescent="0.2">
      <c r="A254" s="362" t="str">
        <f>name!E$11</f>
        <v>Process, plant and machine operatives</v>
      </c>
      <c r="B254" s="440">
        <v>3.5210833798481036</v>
      </c>
      <c r="C254" s="440">
        <v>7.6803278005708187E-3</v>
      </c>
      <c r="D254" s="440">
        <v>0.23897683516118237</v>
      </c>
      <c r="E254" s="440">
        <f t="shared" si="119"/>
        <v>3.7677405428098569</v>
      </c>
      <c r="F254" s="441"/>
      <c r="G254" s="440">
        <v>3.8800444115427557</v>
      </c>
      <c r="H254" s="440">
        <v>3.0384788776859139E-2</v>
      </c>
      <c r="I254" s="440">
        <v>6.1785446556365031E-2</v>
      </c>
      <c r="J254" s="440">
        <f t="shared" si="122"/>
        <v>3.97221464687598</v>
      </c>
      <c r="K254" s="441"/>
      <c r="L254" s="440">
        <v>2.9812003868333052</v>
      </c>
      <c r="M254" s="440">
        <v>2.6092733812272402E-2</v>
      </c>
      <c r="N254" s="440">
        <v>6.763601247817938E-2</v>
      </c>
      <c r="O254" s="440">
        <f t="shared" si="121"/>
        <v>3.0749291331237569</v>
      </c>
    </row>
    <row r="255" spans="1:15" s="351" customFormat="1" x14ac:dyDescent="0.2">
      <c r="A255" s="362" t="str">
        <f>name!E$12</f>
        <v>Elementary occupations</v>
      </c>
      <c r="B255" s="440">
        <v>1.1031058557565203</v>
      </c>
      <c r="C255" s="440">
        <v>2.6356538673308012E-2</v>
      </c>
      <c r="D255" s="440">
        <v>0.18819438759067972</v>
      </c>
      <c r="E255" s="440">
        <f t="shared" si="119"/>
        <v>1.3176567820205081</v>
      </c>
      <c r="F255" s="441"/>
      <c r="G255" s="440">
        <v>1.0235814984511784</v>
      </c>
      <c r="H255" s="440">
        <v>2.4702704917765494E-2</v>
      </c>
      <c r="I255" s="440">
        <v>5.2555520197490345E-2</v>
      </c>
      <c r="J255" s="440">
        <f t="shared" si="122"/>
        <v>1.1008397235664342</v>
      </c>
      <c r="K255" s="441"/>
      <c r="L255" s="440">
        <v>0.80112385250514007</v>
      </c>
      <c r="M255" s="440">
        <v>2.4500270820887671E-2</v>
      </c>
      <c r="N255" s="440">
        <v>6.3267270183294907E-2</v>
      </c>
      <c r="O255" s="440">
        <f t="shared" si="121"/>
        <v>0.88889139350932267</v>
      </c>
    </row>
    <row r="256" spans="1:15" s="351" customFormat="1" x14ac:dyDescent="0.2">
      <c r="A256" s="362"/>
      <c r="B256" s="440"/>
      <c r="C256" s="440"/>
      <c r="D256" s="440"/>
      <c r="E256" s="440"/>
      <c r="F256" s="441"/>
      <c r="G256" s="440"/>
      <c r="H256" s="440"/>
      <c r="I256" s="440"/>
      <c r="J256" s="440"/>
      <c r="K256" s="441"/>
      <c r="L256" s="440"/>
      <c r="M256" s="440"/>
      <c r="N256" s="440"/>
      <c r="O256" s="440"/>
    </row>
    <row r="257" spans="1:15" s="351" customFormat="1" x14ac:dyDescent="0.2">
      <c r="A257" s="357" t="s">
        <v>32</v>
      </c>
      <c r="B257" s="450">
        <f>SUM(B247:B255)</f>
        <v>10.482000000011901</v>
      </c>
      <c r="C257" s="450">
        <f t="shared" ref="C257:E257" si="123">SUM(C247:C255)</f>
        <v>8.2999999999379626E-2</v>
      </c>
      <c r="D257" s="450">
        <f t="shared" si="123"/>
        <v>1.4750000000025627</v>
      </c>
      <c r="E257" s="450">
        <f t="shared" si="123"/>
        <v>12.040000000013842</v>
      </c>
      <c r="F257" s="450"/>
      <c r="G257" s="450">
        <f t="shared" ref="G257:J257" si="124">SUM(G247:G255)</f>
        <v>11.690000000009581</v>
      </c>
      <c r="H257" s="450">
        <f t="shared" si="124"/>
        <v>0.11400000000119295</v>
      </c>
      <c r="I257" s="450">
        <f t="shared" si="124"/>
        <v>0.47299999999626624</v>
      </c>
      <c r="J257" s="450">
        <f t="shared" si="124"/>
        <v>12.277000000007039</v>
      </c>
      <c r="K257" s="450"/>
      <c r="L257" s="450">
        <f t="shared" ref="L257:O257" si="125">SUM(L247:L255)</f>
        <v>9.3319999998481897</v>
      </c>
      <c r="M257" s="450">
        <f t="shared" si="125"/>
        <v>0.10799999999958147</v>
      </c>
      <c r="N257" s="450">
        <f t="shared" si="125"/>
        <v>0.53499999999558157</v>
      </c>
      <c r="O257" s="450">
        <f t="shared" si="125"/>
        <v>9.9749999998433516</v>
      </c>
    </row>
    <row r="258" spans="1:15" s="351" customFormat="1" x14ac:dyDescent="0.2">
      <c r="A258" s="348"/>
      <c r="B258" s="348"/>
      <c r="C258" s="348"/>
      <c r="D258" s="348"/>
      <c r="E258" s="348"/>
      <c r="F258" s="348"/>
      <c r="G258" s="348"/>
      <c r="H258" s="348"/>
      <c r="I258" s="348"/>
      <c r="J258" s="348"/>
      <c r="K258" s="348"/>
      <c r="L258" s="348"/>
      <c r="M258" s="348"/>
      <c r="N258" s="353"/>
    </row>
    <row r="259" spans="1:15" s="351" customFormat="1" x14ac:dyDescent="0.2">
      <c r="A259" s="348"/>
      <c r="B259" s="348"/>
      <c r="C259" s="348"/>
      <c r="D259" s="348"/>
      <c r="E259" s="348"/>
      <c r="F259" s="348"/>
      <c r="G259" s="348"/>
      <c r="H259" s="348"/>
      <c r="I259" s="348"/>
      <c r="J259" s="348"/>
      <c r="K259" s="348"/>
      <c r="L259" s="348"/>
      <c r="M259" s="348"/>
      <c r="N259" s="353"/>
      <c r="O259" s="367" t="s">
        <v>35</v>
      </c>
    </row>
    <row r="260" spans="1:15" s="351" customFormat="1" x14ac:dyDescent="0.2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</row>
    <row r="261" spans="1:15" s="351" customFormat="1" x14ac:dyDescent="0.2">
      <c r="A261" s="354" t="str">
        <f>name!A18</f>
        <v>Metal products</v>
      </c>
      <c r="B261" s="519">
        <f>$B$6</f>
        <v>2007</v>
      </c>
      <c r="C261" s="519"/>
      <c r="D261" s="519"/>
      <c r="E261" s="519"/>
      <c r="F261" s="380"/>
      <c r="G261" s="519">
        <f>$G$6</f>
        <v>2017</v>
      </c>
      <c r="H261" s="519"/>
      <c r="I261" s="519"/>
      <c r="J261" s="519"/>
      <c r="K261" s="380"/>
      <c r="L261" s="519">
        <f>$L$6</f>
        <v>2027</v>
      </c>
      <c r="M261" s="519"/>
      <c r="N261" s="519"/>
      <c r="O261" s="519"/>
    </row>
    <row r="262" spans="1:15" s="351" customFormat="1" x14ac:dyDescent="0.2">
      <c r="A262" s="370"/>
      <c r="B262" s="388" t="str">
        <f>$B$7</f>
        <v>FT</v>
      </c>
      <c r="C262" s="388" t="str">
        <f>$C$7</f>
        <v>PT</v>
      </c>
      <c r="D262" s="388" t="str">
        <f>$D$7</f>
        <v>SE</v>
      </c>
      <c r="E262" s="388" t="str">
        <f>$E$7</f>
        <v>Total</v>
      </c>
      <c r="F262" s="388"/>
      <c r="G262" s="388" t="str">
        <f>$G$7</f>
        <v>FT</v>
      </c>
      <c r="H262" s="388" t="str">
        <f>$H$7</f>
        <v>PT</v>
      </c>
      <c r="I262" s="388" t="str">
        <f>$I$7</f>
        <v>SE</v>
      </c>
      <c r="J262" s="388" t="str">
        <f>$J$7</f>
        <v>Total</v>
      </c>
      <c r="K262" s="388"/>
      <c r="L262" s="388" t="str">
        <f>$L$7</f>
        <v>FT</v>
      </c>
      <c r="M262" s="388" t="str">
        <f>$M$7</f>
        <v>PT</v>
      </c>
      <c r="N262" s="388" t="str">
        <f>$N$7</f>
        <v>SE</v>
      </c>
      <c r="O262" s="388" t="str">
        <f>$O$7</f>
        <v>Total</v>
      </c>
    </row>
    <row r="263" spans="1:15" s="351" customFormat="1" x14ac:dyDescent="0.2">
      <c r="A263" s="374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</row>
    <row r="264" spans="1:15" s="351" customFormat="1" x14ac:dyDescent="0.2">
      <c r="A264" s="362" t="str">
        <f>name!E$4</f>
        <v>Managers, directors and senior officials</v>
      </c>
      <c r="B264" s="440">
        <v>0.82319781113588908</v>
      </c>
      <c r="C264" s="440">
        <v>5.6926616344124249E-2</v>
      </c>
      <c r="D264" s="440">
        <v>0.32090370989810413</v>
      </c>
      <c r="E264" s="440">
        <f>SUM(B264:D264)</f>
        <v>1.2010281373781173</v>
      </c>
      <c r="F264" s="441"/>
      <c r="G264" s="440">
        <v>0.95968070925688054</v>
      </c>
      <c r="H264" s="440">
        <v>5.3962332020152964E-2</v>
      </c>
      <c r="I264" s="440">
        <v>0.12159810683292785</v>
      </c>
      <c r="J264" s="440">
        <f>SUM(G264:I264)</f>
        <v>1.1352411481099614</v>
      </c>
      <c r="K264" s="441"/>
      <c r="L264" s="440">
        <v>0.99226022784443624</v>
      </c>
      <c r="M264" s="440">
        <v>7.1065295201280729E-2</v>
      </c>
      <c r="N264" s="440">
        <v>0.15031813521961024</v>
      </c>
      <c r="O264" s="440">
        <f>SUM(L264:N264)</f>
        <v>1.2136436582653274</v>
      </c>
    </row>
    <row r="265" spans="1:15" s="351" customFormat="1" x14ac:dyDescent="0.2">
      <c r="A265" s="362" t="str">
        <f>name!E$5</f>
        <v>Professional occupations</v>
      </c>
      <c r="B265" s="440">
        <v>0.92926027658898747</v>
      </c>
      <c r="C265" s="440">
        <v>2.7249902261947439E-2</v>
      </c>
      <c r="D265" s="440">
        <v>0.10847371330457313</v>
      </c>
      <c r="E265" s="440">
        <f t="shared" ref="E265:E272" si="126">SUM(B265:D265)</f>
        <v>1.0649838921555081</v>
      </c>
      <c r="F265" s="441"/>
      <c r="G265" s="440">
        <v>0.98592788942163112</v>
      </c>
      <c r="H265" s="440">
        <v>3.1620590531313358E-2</v>
      </c>
      <c r="I265" s="440">
        <v>3.785313904736045E-2</v>
      </c>
      <c r="J265" s="440">
        <f t="shared" ref="J265:J267" si="127">SUM(G265:I265)</f>
        <v>1.0554016190003048</v>
      </c>
      <c r="K265" s="441"/>
      <c r="L265" s="440">
        <v>1.0403834281054609</v>
      </c>
      <c r="M265" s="440">
        <v>3.7717463367600824E-2</v>
      </c>
      <c r="N265" s="440">
        <v>4.308399494036054E-2</v>
      </c>
      <c r="O265" s="440">
        <f t="shared" ref="O265:O272" si="128">SUM(L265:N265)</f>
        <v>1.1211848864134222</v>
      </c>
    </row>
    <row r="266" spans="1:15" s="351" customFormat="1" x14ac:dyDescent="0.2">
      <c r="A266" s="362" t="str">
        <f>name!E$6</f>
        <v>Associate professional and technical</v>
      </c>
      <c r="B266" s="440">
        <v>1.1213360487195574</v>
      </c>
      <c r="C266" s="440">
        <v>6.0158343046451915E-2</v>
      </c>
      <c r="D266" s="440">
        <v>0.147956726911433</v>
      </c>
      <c r="E266" s="440">
        <f t="shared" si="126"/>
        <v>1.3294511186774423</v>
      </c>
      <c r="F266" s="441"/>
      <c r="G266" s="440">
        <v>1.4760860926801069</v>
      </c>
      <c r="H266" s="440">
        <v>5.6771107351292045E-2</v>
      </c>
      <c r="I266" s="440">
        <v>3.5373620031405692E-2</v>
      </c>
      <c r="J266" s="440">
        <f t="shared" si="127"/>
        <v>1.5682308200628046</v>
      </c>
      <c r="K266" s="441"/>
      <c r="L266" s="440">
        <v>1.4064769388234994</v>
      </c>
      <c r="M266" s="440">
        <v>6.1050391020791711E-2</v>
      </c>
      <c r="N266" s="440">
        <v>3.8474699721354588E-2</v>
      </c>
      <c r="O266" s="440">
        <f t="shared" si="128"/>
        <v>1.5060020295656458</v>
      </c>
    </row>
    <row r="267" spans="1:15" s="351" customFormat="1" x14ac:dyDescent="0.2">
      <c r="A267" s="362" t="str">
        <f>name!E$7</f>
        <v>Administrative and secretarial</v>
      </c>
      <c r="B267" s="440">
        <v>0.70767353966363855</v>
      </c>
      <c r="C267" s="440">
        <v>0.37318054213308433</v>
      </c>
      <c r="D267" s="440">
        <v>4.9070917780345079E-2</v>
      </c>
      <c r="E267" s="440">
        <f t="shared" si="126"/>
        <v>1.1299249995770679</v>
      </c>
      <c r="F267" s="441"/>
      <c r="G267" s="440">
        <v>0.62142960340718556</v>
      </c>
      <c r="H267" s="440">
        <v>0.18169743766427313</v>
      </c>
      <c r="I267" s="440">
        <v>8.9290278374696899E-3</v>
      </c>
      <c r="J267" s="440">
        <f t="shared" si="127"/>
        <v>0.81205606890892845</v>
      </c>
      <c r="K267" s="441"/>
      <c r="L267" s="440">
        <v>0.5043411739041983</v>
      </c>
      <c r="M267" s="440">
        <v>0.16379091589999953</v>
      </c>
      <c r="N267" s="440">
        <v>7.4006341631141963E-3</v>
      </c>
      <c r="O267" s="440">
        <f t="shared" si="128"/>
        <v>0.67553272396731201</v>
      </c>
    </row>
    <row r="268" spans="1:15" s="351" customFormat="1" x14ac:dyDescent="0.2">
      <c r="A268" s="362" t="str">
        <f>name!E$8</f>
        <v>Skilled trades occupations</v>
      </c>
      <c r="B268" s="440">
        <v>6.2615686275200968</v>
      </c>
      <c r="C268" s="440">
        <v>9.2383487700985117E-2</v>
      </c>
      <c r="D268" s="440">
        <v>1.1919530547822046</v>
      </c>
      <c r="E268" s="440">
        <f t="shared" si="126"/>
        <v>7.5459051700032864</v>
      </c>
      <c r="F268" s="441"/>
      <c r="G268" s="440">
        <v>6.1273374726408365</v>
      </c>
      <c r="H268" s="440">
        <v>0.13100980938147427</v>
      </c>
      <c r="I268" s="440">
        <v>0.23756429541298729</v>
      </c>
      <c r="J268" s="440">
        <f>SUM(G268:I268)</f>
        <v>6.4959115774352982</v>
      </c>
      <c r="K268" s="441"/>
      <c r="L268" s="440">
        <v>4.6668068239029274</v>
      </c>
      <c r="M268" s="440">
        <v>0.12056880201584461</v>
      </c>
      <c r="N268" s="440">
        <v>0.27422639893670309</v>
      </c>
      <c r="O268" s="440">
        <f t="shared" si="128"/>
        <v>5.0616020248554747</v>
      </c>
    </row>
    <row r="269" spans="1:15" s="351" customFormat="1" x14ac:dyDescent="0.2">
      <c r="A269" s="362" t="str">
        <f>name!E$9</f>
        <v>Caring, leisure and other service</v>
      </c>
      <c r="B269" s="440">
        <v>5.4087144710864218E-2</v>
      </c>
      <c r="C269" s="440">
        <v>1.3446022779281723E-2</v>
      </c>
      <c r="D269" s="440">
        <v>1.8862781049222739E-2</v>
      </c>
      <c r="E269" s="440">
        <f t="shared" si="126"/>
        <v>8.6395948539368689E-2</v>
      </c>
      <c r="F269" s="441"/>
      <c r="G269" s="440">
        <v>7.2663437265381603E-2</v>
      </c>
      <c r="H269" s="440">
        <v>1.3996044620784914E-2</v>
      </c>
      <c r="I269" s="440">
        <v>1.3594608986358848E-2</v>
      </c>
      <c r="J269" s="440">
        <f t="shared" ref="J269:J272" si="129">SUM(G269:I269)</f>
        <v>0.10025409087252536</v>
      </c>
      <c r="K269" s="441"/>
      <c r="L269" s="440">
        <v>7.6070355596027026E-2</v>
      </c>
      <c r="M269" s="440">
        <v>1.64187867360262E-2</v>
      </c>
      <c r="N269" s="440">
        <v>1.2667321184216214E-2</v>
      </c>
      <c r="O269" s="440">
        <f t="shared" si="128"/>
        <v>0.10515646351626945</v>
      </c>
    </row>
    <row r="270" spans="1:15" s="351" customFormat="1" x14ac:dyDescent="0.2">
      <c r="A270" s="362" t="str">
        <f>name!E$10</f>
        <v>Sales and customer service</v>
      </c>
      <c r="B270" s="440">
        <v>0.16276650452595254</v>
      </c>
      <c r="C270" s="440">
        <v>2.9818223296409541E-2</v>
      </c>
      <c r="D270" s="440">
        <v>2.203527447248331E-2</v>
      </c>
      <c r="E270" s="440">
        <f t="shared" si="126"/>
        <v>0.2146200022948454</v>
      </c>
      <c r="F270" s="441"/>
      <c r="G270" s="440">
        <v>0.21353713813938696</v>
      </c>
      <c r="H270" s="440">
        <v>2.4004225501802402E-2</v>
      </c>
      <c r="I270" s="440">
        <v>1.2034534664722108E-2</v>
      </c>
      <c r="J270" s="440">
        <f t="shared" si="129"/>
        <v>0.24957589830591145</v>
      </c>
      <c r="K270" s="441"/>
      <c r="L270" s="440">
        <v>0.21062135031091214</v>
      </c>
      <c r="M270" s="440">
        <v>2.6105719628738241E-2</v>
      </c>
      <c r="N270" s="440">
        <v>1.203554325250661E-2</v>
      </c>
      <c r="O270" s="440">
        <f t="shared" si="128"/>
        <v>0.24876261319215698</v>
      </c>
    </row>
    <row r="271" spans="1:15" s="351" customFormat="1" x14ac:dyDescent="0.2">
      <c r="A271" s="362" t="str">
        <f>name!E$11</f>
        <v>Process, plant and machine operatives</v>
      </c>
      <c r="B271" s="440">
        <v>6.2537854910303938</v>
      </c>
      <c r="C271" s="440">
        <v>0.38104950745505722</v>
      </c>
      <c r="D271" s="440">
        <v>0.26689565143997673</v>
      </c>
      <c r="E271" s="440">
        <f t="shared" si="126"/>
        <v>6.9017306499254278</v>
      </c>
      <c r="F271" s="441"/>
      <c r="G271" s="440">
        <v>6.2202944822650492</v>
      </c>
      <c r="H271" s="440">
        <v>0.31403206424726593</v>
      </c>
      <c r="I271" s="440">
        <v>8.4313901320810264E-2</v>
      </c>
      <c r="J271" s="440">
        <f t="shared" si="129"/>
        <v>6.6186404478331253</v>
      </c>
      <c r="K271" s="441"/>
      <c r="L271" s="440">
        <v>4.840455790304933</v>
      </c>
      <c r="M271" s="440">
        <v>0.280850954882222</v>
      </c>
      <c r="N271" s="440">
        <v>8.7884509061627369E-2</v>
      </c>
      <c r="O271" s="440">
        <f t="shared" si="128"/>
        <v>5.2091912542487826</v>
      </c>
    </row>
    <row r="272" spans="1:15" s="351" customFormat="1" x14ac:dyDescent="0.2">
      <c r="A272" s="362" t="str">
        <f>name!E$12</f>
        <v>Elementary occupations</v>
      </c>
      <c r="B272" s="440">
        <v>1.1363245560526889</v>
      </c>
      <c r="C272" s="440">
        <v>0.27178735497552686</v>
      </c>
      <c r="D272" s="440">
        <v>0.10484817038426439</v>
      </c>
      <c r="E272" s="440">
        <f t="shared" si="126"/>
        <v>1.5129600814124802</v>
      </c>
      <c r="F272" s="441"/>
      <c r="G272" s="440">
        <v>1.1310431749289143</v>
      </c>
      <c r="H272" s="440">
        <v>0.11690638870024131</v>
      </c>
      <c r="I272" s="440">
        <v>0.1697387658757597</v>
      </c>
      <c r="J272" s="440">
        <f t="shared" si="129"/>
        <v>1.4176883295049152</v>
      </c>
      <c r="K272" s="441"/>
      <c r="L272" s="440">
        <v>0.94358391099855021</v>
      </c>
      <c r="M272" s="440">
        <v>0.13543167125565816</v>
      </c>
      <c r="N272" s="440">
        <v>0.16290876352943906</v>
      </c>
      <c r="O272" s="440">
        <f t="shared" si="128"/>
        <v>1.2419243457836475</v>
      </c>
    </row>
    <row r="273" spans="1:15" s="351" customFormat="1" x14ac:dyDescent="0.2">
      <c r="A273" s="362"/>
      <c r="B273" s="440"/>
      <c r="C273" s="440"/>
      <c r="D273" s="440"/>
      <c r="E273" s="440"/>
      <c r="F273" s="441"/>
      <c r="G273" s="440"/>
      <c r="H273" s="440"/>
      <c r="I273" s="440"/>
      <c r="J273" s="440"/>
      <c r="K273" s="441"/>
      <c r="L273" s="440"/>
      <c r="M273" s="440"/>
      <c r="N273" s="440"/>
      <c r="O273" s="440"/>
    </row>
    <row r="274" spans="1:15" s="351" customFormat="1" x14ac:dyDescent="0.2">
      <c r="A274" s="357" t="s">
        <v>32</v>
      </c>
      <c r="B274" s="450">
        <f>SUM(B264:B272)</f>
        <v>17.449999999948069</v>
      </c>
      <c r="C274" s="450">
        <f t="shared" ref="C274:E274" si="130">SUM(C264:C272)</f>
        <v>1.3059999999928684</v>
      </c>
      <c r="D274" s="450">
        <f t="shared" si="130"/>
        <v>2.2310000000226071</v>
      </c>
      <c r="E274" s="450">
        <f t="shared" si="130"/>
        <v>20.986999999963544</v>
      </c>
      <c r="F274" s="450"/>
      <c r="G274" s="450">
        <f t="shared" ref="G274:J274" si="131">SUM(G264:G272)</f>
        <v>17.808000000005375</v>
      </c>
      <c r="H274" s="450">
        <f t="shared" si="131"/>
        <v>0.92400000001860039</v>
      </c>
      <c r="I274" s="450">
        <f t="shared" si="131"/>
        <v>0.7210000000098018</v>
      </c>
      <c r="J274" s="450">
        <f t="shared" si="131"/>
        <v>19.453000000033775</v>
      </c>
      <c r="K274" s="450"/>
      <c r="L274" s="450">
        <f t="shared" ref="L274:O274" si="132">SUM(L264:L272)</f>
        <v>14.680999999790945</v>
      </c>
      <c r="M274" s="450">
        <f t="shared" si="132"/>
        <v>0.91300000000816206</v>
      </c>
      <c r="N274" s="450">
        <f t="shared" si="132"/>
        <v>0.78900000000893189</v>
      </c>
      <c r="O274" s="450">
        <f t="shared" si="132"/>
        <v>16.382999999808039</v>
      </c>
    </row>
    <row r="275" spans="1:15" s="351" customFormat="1" x14ac:dyDescent="0.2">
      <c r="A275" s="348"/>
      <c r="B275" s="348"/>
      <c r="C275" s="348"/>
      <c r="D275" s="348"/>
      <c r="E275" s="348"/>
      <c r="F275" s="348"/>
      <c r="G275" s="348"/>
      <c r="H275" s="348"/>
      <c r="I275" s="348"/>
      <c r="J275" s="348"/>
      <c r="K275" s="348"/>
      <c r="L275" s="348"/>
      <c r="M275" s="348"/>
      <c r="N275" s="353"/>
    </row>
    <row r="276" spans="1:15" s="351" customFormat="1" x14ac:dyDescent="0.2">
      <c r="A276" s="348"/>
      <c r="B276" s="348"/>
      <c r="C276" s="348"/>
      <c r="D276" s="348"/>
      <c r="E276" s="348"/>
      <c r="F276" s="348"/>
      <c r="G276" s="348"/>
      <c r="H276" s="348"/>
      <c r="I276" s="348"/>
      <c r="J276" s="348"/>
      <c r="K276" s="348"/>
      <c r="L276" s="348"/>
      <c r="M276" s="348"/>
      <c r="N276" s="353"/>
      <c r="O276" s="367" t="s">
        <v>35</v>
      </c>
    </row>
    <row r="277" spans="1:15" s="351" customFormat="1" x14ac:dyDescent="0.2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</row>
    <row r="278" spans="1:15" s="351" customFormat="1" x14ac:dyDescent="0.2">
      <c r="A278" s="354" t="str">
        <f>name!A19</f>
        <v>Computer, etc</v>
      </c>
      <c r="B278" s="519">
        <f>$B$6</f>
        <v>2007</v>
      </c>
      <c r="C278" s="519"/>
      <c r="D278" s="519"/>
      <c r="E278" s="519"/>
      <c r="F278" s="380"/>
      <c r="G278" s="519">
        <f>$G$6</f>
        <v>2017</v>
      </c>
      <c r="H278" s="519"/>
      <c r="I278" s="519"/>
      <c r="J278" s="519"/>
      <c r="K278" s="380"/>
      <c r="L278" s="519">
        <f>$L$6</f>
        <v>2027</v>
      </c>
      <c r="M278" s="519"/>
      <c r="N278" s="519"/>
      <c r="O278" s="519"/>
    </row>
    <row r="279" spans="1:15" s="351" customFormat="1" x14ac:dyDescent="0.2">
      <c r="A279" s="370"/>
      <c r="B279" s="388" t="str">
        <f>$B$7</f>
        <v>FT</v>
      </c>
      <c r="C279" s="388" t="str">
        <f>$C$7</f>
        <v>PT</v>
      </c>
      <c r="D279" s="388" t="str">
        <f>$D$7</f>
        <v>SE</v>
      </c>
      <c r="E279" s="388" t="str">
        <f>$E$7</f>
        <v>Total</v>
      </c>
      <c r="F279" s="388"/>
      <c r="G279" s="388" t="str">
        <f>$G$7</f>
        <v>FT</v>
      </c>
      <c r="H279" s="388" t="str">
        <f>$H$7</f>
        <v>PT</v>
      </c>
      <c r="I279" s="388" t="str">
        <f>$I$7</f>
        <v>SE</v>
      </c>
      <c r="J279" s="388" t="str">
        <f>$J$7</f>
        <v>Total</v>
      </c>
      <c r="K279" s="388"/>
      <c r="L279" s="388" t="str">
        <f>$L$7</f>
        <v>FT</v>
      </c>
      <c r="M279" s="388" t="str">
        <f>$M$7</f>
        <v>PT</v>
      </c>
      <c r="N279" s="388" t="str">
        <f>$N$7</f>
        <v>SE</v>
      </c>
      <c r="O279" s="388" t="str">
        <f>$O$7</f>
        <v>Total</v>
      </c>
    </row>
    <row r="280" spans="1:15" s="351" customFormat="1" x14ac:dyDescent="0.2">
      <c r="A280" s="374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</row>
    <row r="281" spans="1:15" s="351" customFormat="1" x14ac:dyDescent="0.2">
      <c r="A281" s="362" t="str">
        <f>name!E$4</f>
        <v>Managers, directors and senior officials</v>
      </c>
      <c r="B281" s="440">
        <v>0.5324447451623654</v>
      </c>
      <c r="C281" s="440">
        <v>1.0242934382146561E-2</v>
      </c>
      <c r="D281" s="440">
        <v>8.2591429200047042E-2</v>
      </c>
      <c r="E281" s="440">
        <f>SUM(B281:D281)</f>
        <v>0.62527910874455894</v>
      </c>
      <c r="F281" s="441"/>
      <c r="G281" s="440">
        <v>0.60297665083230201</v>
      </c>
      <c r="H281" s="440">
        <v>2.2367043026468109E-2</v>
      </c>
      <c r="I281" s="440">
        <v>1.8965828046535411E-2</v>
      </c>
      <c r="J281" s="440">
        <f>SUM(G281:I281)</f>
        <v>0.64430952190530555</v>
      </c>
      <c r="K281" s="441"/>
      <c r="L281" s="440">
        <v>0.68733637720803309</v>
      </c>
      <c r="M281" s="440">
        <v>2.9154469172667057E-2</v>
      </c>
      <c r="N281" s="440">
        <v>1.3945610289236179E-2</v>
      </c>
      <c r="O281" s="440">
        <f>SUM(L281:N281)</f>
        <v>0.73043645666993628</v>
      </c>
    </row>
    <row r="282" spans="1:15" s="351" customFormat="1" x14ac:dyDescent="0.2">
      <c r="A282" s="362" t="str">
        <f>name!E$5</f>
        <v>Professional occupations</v>
      </c>
      <c r="B282" s="440">
        <v>0.97490420318983484</v>
      </c>
      <c r="C282" s="440">
        <v>1.086570391740228E-2</v>
      </c>
      <c r="D282" s="440">
        <v>4.3885599875132048E-2</v>
      </c>
      <c r="E282" s="440">
        <f t="shared" ref="E282:E289" si="133">SUM(B282:D282)</f>
        <v>1.0296555069823692</v>
      </c>
      <c r="F282" s="441"/>
      <c r="G282" s="440">
        <v>0.98162934839327387</v>
      </c>
      <c r="H282" s="440">
        <v>3.2165833015965664E-2</v>
      </c>
      <c r="I282" s="440">
        <v>6.9651441969124693E-3</v>
      </c>
      <c r="J282" s="440">
        <f t="shared" ref="J282:J284" si="134">SUM(G282:I282)</f>
        <v>1.0207603256061522</v>
      </c>
      <c r="K282" s="441"/>
      <c r="L282" s="440">
        <v>1.080805553174224</v>
      </c>
      <c r="M282" s="440">
        <v>5.3158438634052278E-2</v>
      </c>
      <c r="N282" s="440">
        <v>3.863840293034959E-3</v>
      </c>
      <c r="O282" s="440">
        <f t="shared" ref="O282:O289" si="135">SUM(L282:N282)</f>
        <v>1.1378278321013111</v>
      </c>
    </row>
    <row r="283" spans="1:15" s="351" customFormat="1" x14ac:dyDescent="0.2">
      <c r="A283" s="362" t="str">
        <f>name!E$6</f>
        <v>Associate professional and technical</v>
      </c>
      <c r="B283" s="440">
        <v>0.85607599415232838</v>
      </c>
      <c r="C283" s="440">
        <v>2.1229059432097658E-2</v>
      </c>
      <c r="D283" s="440">
        <v>0.12200925001090922</v>
      </c>
      <c r="E283" s="440">
        <f t="shared" si="133"/>
        <v>0.99931430359533524</v>
      </c>
      <c r="F283" s="441"/>
      <c r="G283" s="440">
        <v>0.77752646457420105</v>
      </c>
      <c r="H283" s="440">
        <v>4.0615408200122494E-2</v>
      </c>
      <c r="I283" s="440">
        <v>2.8817198682555712E-2</v>
      </c>
      <c r="J283" s="440">
        <f t="shared" si="134"/>
        <v>0.84695907145687921</v>
      </c>
      <c r="K283" s="441"/>
      <c r="L283" s="440">
        <v>0.82754607868093311</v>
      </c>
      <c r="M283" s="440">
        <v>5.1387455997621671E-2</v>
      </c>
      <c r="N283" s="440">
        <v>2.0088519806594637E-2</v>
      </c>
      <c r="O283" s="440">
        <f t="shared" si="135"/>
        <v>0.89902205448514938</v>
      </c>
    </row>
    <row r="284" spans="1:15" s="351" customFormat="1" x14ac:dyDescent="0.2">
      <c r="A284" s="362" t="str">
        <f>name!E$7</f>
        <v>Administrative and secretarial</v>
      </c>
      <c r="B284" s="440">
        <v>0.33345955317850351</v>
      </c>
      <c r="C284" s="440">
        <v>5.5217765808663145E-2</v>
      </c>
      <c r="D284" s="440">
        <v>5.349091167759547E-3</v>
      </c>
      <c r="E284" s="440">
        <f t="shared" si="133"/>
        <v>0.39402641015492623</v>
      </c>
      <c r="F284" s="441"/>
      <c r="G284" s="440">
        <v>0.23166065633912894</v>
      </c>
      <c r="H284" s="440">
        <v>7.9204872030958912E-2</v>
      </c>
      <c r="I284" s="440">
        <v>5.427379855534363E-2</v>
      </c>
      <c r="J284" s="440">
        <f t="shared" si="134"/>
        <v>0.3651393269254315</v>
      </c>
      <c r="K284" s="441"/>
      <c r="L284" s="440">
        <v>0.23448071392441952</v>
      </c>
      <c r="M284" s="440">
        <v>8.2967706428349219E-2</v>
      </c>
      <c r="N284" s="440">
        <v>6.9077510310827067E-2</v>
      </c>
      <c r="O284" s="440">
        <f t="shared" si="135"/>
        <v>0.38652593066359586</v>
      </c>
    </row>
    <row r="285" spans="1:15" s="351" customFormat="1" x14ac:dyDescent="0.2">
      <c r="A285" s="362" t="str">
        <f>name!E$8</f>
        <v>Skilled trades occupations</v>
      </c>
      <c r="B285" s="440">
        <v>1.5560074149306324</v>
      </c>
      <c r="C285" s="440">
        <v>1.9090995459736752E-2</v>
      </c>
      <c r="D285" s="440">
        <v>0.19817564731884113</v>
      </c>
      <c r="E285" s="440">
        <f t="shared" si="133"/>
        <v>1.7732740577092103</v>
      </c>
      <c r="F285" s="441"/>
      <c r="G285" s="440">
        <v>1.2402342166544977</v>
      </c>
      <c r="H285" s="440">
        <v>4.3041593977730823E-2</v>
      </c>
      <c r="I285" s="440">
        <v>3.6260993361801337E-2</v>
      </c>
      <c r="J285" s="440">
        <f>SUM(G285:I285)</f>
        <v>1.3195368039940301</v>
      </c>
      <c r="K285" s="441"/>
      <c r="L285" s="440">
        <v>1.0981968942429523</v>
      </c>
      <c r="M285" s="440">
        <v>4.673738475696558E-2</v>
      </c>
      <c r="N285" s="440">
        <v>2.8576897944237331E-2</v>
      </c>
      <c r="O285" s="440">
        <f t="shared" si="135"/>
        <v>1.1735111769441553</v>
      </c>
    </row>
    <row r="286" spans="1:15" s="351" customFormat="1" x14ac:dyDescent="0.2">
      <c r="A286" s="362" t="str">
        <f>name!E$9</f>
        <v>Caring, leisure and other service</v>
      </c>
      <c r="B286" s="440">
        <v>3.0613235452253078E-2</v>
      </c>
      <c r="C286" s="440">
        <v>6.7650096854796988E-3</v>
      </c>
      <c r="D286" s="440">
        <v>1.0616153064103385E-2</v>
      </c>
      <c r="E286" s="440">
        <f t="shared" si="133"/>
        <v>4.799439820183616E-2</v>
      </c>
      <c r="F286" s="441"/>
      <c r="G286" s="440">
        <v>2.652902744139158E-2</v>
      </c>
      <c r="H286" s="440">
        <v>1.0716735963184277E-2</v>
      </c>
      <c r="I286" s="440">
        <v>1.0865458508927159E-2</v>
      </c>
      <c r="J286" s="440">
        <f t="shared" ref="J286:J289" si="136">SUM(G286:I286)</f>
        <v>4.8111221913503019E-2</v>
      </c>
      <c r="K286" s="441"/>
      <c r="L286" s="440">
        <v>3.119394620968461E-2</v>
      </c>
      <c r="M286" s="440">
        <v>1.6640702817268184E-2</v>
      </c>
      <c r="N286" s="440">
        <v>1.4488002674895044E-2</v>
      </c>
      <c r="O286" s="440">
        <f t="shared" si="135"/>
        <v>6.2322651701847837E-2</v>
      </c>
    </row>
    <row r="287" spans="1:15" s="351" customFormat="1" x14ac:dyDescent="0.2">
      <c r="A287" s="362" t="str">
        <f>name!E$10</f>
        <v>Sales and customer service</v>
      </c>
      <c r="B287" s="440">
        <v>0.11011511857338892</v>
      </c>
      <c r="C287" s="440">
        <v>1.3876129448340484E-2</v>
      </c>
      <c r="D287" s="440">
        <v>8.7167553642997289E-3</v>
      </c>
      <c r="E287" s="440">
        <f t="shared" si="133"/>
        <v>0.13270800338602912</v>
      </c>
      <c r="F287" s="441"/>
      <c r="G287" s="440">
        <v>0.10688953825813866</v>
      </c>
      <c r="H287" s="440">
        <v>6.2172824929741737E-2</v>
      </c>
      <c r="I287" s="440">
        <v>1.1855085747721547E-2</v>
      </c>
      <c r="J287" s="440">
        <f t="shared" si="136"/>
        <v>0.18091744893560194</v>
      </c>
      <c r="K287" s="441"/>
      <c r="L287" s="440">
        <v>0.11743722738212907</v>
      </c>
      <c r="M287" s="440">
        <v>9.8646082212775182E-2</v>
      </c>
      <c r="N287" s="440">
        <v>1.7897937152523895E-2</v>
      </c>
      <c r="O287" s="440">
        <f t="shared" si="135"/>
        <v>0.23398124674742812</v>
      </c>
    </row>
    <row r="288" spans="1:15" s="351" customFormat="1" x14ac:dyDescent="0.2">
      <c r="A288" s="362" t="str">
        <f>name!E$11</f>
        <v>Process, plant and machine operatives</v>
      </c>
      <c r="B288" s="440">
        <v>2.9288935078831551</v>
      </c>
      <c r="C288" s="440">
        <v>0.21990306269829593</v>
      </c>
      <c r="D288" s="440">
        <v>0.11342347733286016</v>
      </c>
      <c r="E288" s="440">
        <f t="shared" si="133"/>
        <v>3.2622200479143109</v>
      </c>
      <c r="F288" s="441"/>
      <c r="G288" s="440">
        <v>1.9966710365753559</v>
      </c>
      <c r="H288" s="440">
        <v>0.35921974637880177</v>
      </c>
      <c r="I288" s="440">
        <v>8.5067875217017964E-3</v>
      </c>
      <c r="J288" s="440">
        <f t="shared" si="136"/>
        <v>2.3643975704758593</v>
      </c>
      <c r="K288" s="441"/>
      <c r="L288" s="440">
        <v>1.6301531592272329</v>
      </c>
      <c r="M288" s="440">
        <v>0.29785325938123874</v>
      </c>
      <c r="N288" s="440">
        <v>2.8939485570084775E-3</v>
      </c>
      <c r="O288" s="440">
        <f t="shared" si="135"/>
        <v>1.9309003671654803</v>
      </c>
    </row>
    <row r="289" spans="1:15" s="351" customFormat="1" x14ac:dyDescent="0.2">
      <c r="A289" s="362" t="str">
        <f>name!E$12</f>
        <v>Elementary occupations</v>
      </c>
      <c r="B289" s="440">
        <v>0.31648622739277232</v>
      </c>
      <c r="C289" s="440">
        <v>3.5809339166084017E-2</v>
      </c>
      <c r="D289" s="440">
        <v>0.17623259666284066</v>
      </c>
      <c r="E289" s="440">
        <f t="shared" si="133"/>
        <v>0.52852816322169704</v>
      </c>
      <c r="F289" s="441"/>
      <c r="G289" s="440">
        <v>0.33388306093488918</v>
      </c>
      <c r="H289" s="440">
        <v>4.7495942496708791E-2</v>
      </c>
      <c r="I289" s="440">
        <v>0.14348970538087452</v>
      </c>
      <c r="J289" s="440">
        <f t="shared" si="136"/>
        <v>0.5248687088124725</v>
      </c>
      <c r="K289" s="441"/>
      <c r="L289" s="440">
        <v>0.32685004992031969</v>
      </c>
      <c r="M289" s="440">
        <v>4.5454500613391374E-2</v>
      </c>
      <c r="N289" s="440">
        <v>0.16716773297388335</v>
      </c>
      <c r="O289" s="440">
        <f t="shared" si="135"/>
        <v>0.53947228350759435</v>
      </c>
    </row>
    <row r="290" spans="1:15" s="351" customFormat="1" x14ac:dyDescent="0.2">
      <c r="A290" s="362"/>
      <c r="B290" s="440"/>
      <c r="C290" s="440"/>
      <c r="D290" s="440"/>
      <c r="E290" s="440"/>
      <c r="F290" s="441"/>
      <c r="G290" s="440"/>
      <c r="H290" s="440"/>
      <c r="I290" s="440"/>
      <c r="J290" s="440"/>
      <c r="K290" s="441"/>
      <c r="L290" s="440"/>
      <c r="M290" s="440"/>
      <c r="N290" s="440"/>
      <c r="O290" s="440"/>
    </row>
    <row r="291" spans="1:15" s="351" customFormat="1" x14ac:dyDescent="0.2">
      <c r="A291" s="357" t="s">
        <v>32</v>
      </c>
      <c r="B291" s="450">
        <f>SUM(B281:B289)</f>
        <v>7.6389999999152334</v>
      </c>
      <c r="C291" s="450">
        <f t="shared" ref="C291:E291" si="137">SUM(C281:C289)</f>
        <v>0.39299999999824653</v>
      </c>
      <c r="D291" s="450">
        <f t="shared" si="137"/>
        <v>0.76099999999679291</v>
      </c>
      <c r="E291" s="450">
        <f t="shared" si="137"/>
        <v>8.7929999999102719</v>
      </c>
      <c r="F291" s="450"/>
      <c r="G291" s="450">
        <f t="shared" ref="G291:J291" si="138">SUM(G281:G289)</f>
        <v>6.2980000000031788</v>
      </c>
      <c r="H291" s="450">
        <f t="shared" si="138"/>
        <v>0.69700000001968254</v>
      </c>
      <c r="I291" s="450">
        <f t="shared" si="138"/>
        <v>0.32000000000237361</v>
      </c>
      <c r="J291" s="450">
        <f t="shared" si="138"/>
        <v>7.3150000000252353</v>
      </c>
      <c r="K291" s="450"/>
      <c r="L291" s="450">
        <f t="shared" ref="L291:O291" si="139">SUM(L281:L289)</f>
        <v>6.0339999999699288</v>
      </c>
      <c r="M291" s="450">
        <f t="shared" si="139"/>
        <v>0.72200000001432929</v>
      </c>
      <c r="N291" s="450">
        <f t="shared" si="139"/>
        <v>0.33800000000224095</v>
      </c>
      <c r="O291" s="450">
        <f t="shared" si="139"/>
        <v>7.0939999999864982</v>
      </c>
    </row>
    <row r="292" spans="1:15" s="351" customFormat="1" x14ac:dyDescent="0.2">
      <c r="A292" s="348"/>
      <c r="B292" s="348"/>
      <c r="C292" s="348"/>
      <c r="D292" s="348"/>
      <c r="E292" s="348"/>
      <c r="F292" s="348"/>
      <c r="G292" s="348"/>
      <c r="H292" s="348"/>
      <c r="I292" s="348"/>
      <c r="J292" s="348"/>
      <c r="K292" s="348"/>
      <c r="L292" s="348"/>
      <c r="M292" s="348"/>
      <c r="N292" s="353"/>
    </row>
    <row r="293" spans="1:15" s="351" customFormat="1" x14ac:dyDescent="0.2">
      <c r="A293" s="348"/>
      <c r="B293" s="348"/>
      <c r="C293" s="348"/>
      <c r="D293" s="348"/>
      <c r="E293" s="348"/>
      <c r="F293" s="348"/>
      <c r="G293" s="348"/>
      <c r="H293" s="348"/>
      <c r="I293" s="348"/>
      <c r="J293" s="348"/>
      <c r="K293" s="348"/>
      <c r="L293" s="348"/>
      <c r="M293" s="348"/>
      <c r="N293" s="353"/>
      <c r="O293" s="367" t="s">
        <v>35</v>
      </c>
    </row>
    <row r="294" spans="1:15" s="351" customFormat="1" x14ac:dyDescent="0.2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</row>
    <row r="295" spans="1:15" s="351" customFormat="1" x14ac:dyDescent="0.2">
      <c r="A295" s="354" t="str">
        <f>name!A20</f>
        <v>Electrical equipment</v>
      </c>
      <c r="B295" s="519">
        <f>$B$6</f>
        <v>2007</v>
      </c>
      <c r="C295" s="519"/>
      <c r="D295" s="519"/>
      <c r="E295" s="519"/>
      <c r="F295" s="380"/>
      <c r="G295" s="519">
        <f>$G$6</f>
        <v>2017</v>
      </c>
      <c r="H295" s="519"/>
      <c r="I295" s="519"/>
      <c r="J295" s="519"/>
      <c r="K295" s="380"/>
      <c r="L295" s="519">
        <f>$L$6</f>
        <v>2027</v>
      </c>
      <c r="M295" s="519"/>
      <c r="N295" s="519"/>
      <c r="O295" s="519"/>
    </row>
    <row r="296" spans="1:15" s="351" customFormat="1" x14ac:dyDescent="0.2">
      <c r="A296" s="370"/>
      <c r="B296" s="388" t="str">
        <f>$B$7</f>
        <v>FT</v>
      </c>
      <c r="C296" s="388" t="str">
        <f>$C$7</f>
        <v>PT</v>
      </c>
      <c r="D296" s="388" t="str">
        <f>$D$7</f>
        <v>SE</v>
      </c>
      <c r="E296" s="388" t="str">
        <f>$E$7</f>
        <v>Total</v>
      </c>
      <c r="F296" s="388"/>
      <c r="G296" s="388" t="str">
        <f>$G$7</f>
        <v>FT</v>
      </c>
      <c r="H296" s="388" t="str">
        <f>$H$7</f>
        <v>PT</v>
      </c>
      <c r="I296" s="388" t="str">
        <f>$I$7</f>
        <v>SE</v>
      </c>
      <c r="J296" s="388" t="str">
        <f>$J$7</f>
        <v>Total</v>
      </c>
      <c r="K296" s="388"/>
      <c r="L296" s="388" t="str">
        <f>$L$7</f>
        <v>FT</v>
      </c>
      <c r="M296" s="388" t="str">
        <f>$M$7</f>
        <v>PT</v>
      </c>
      <c r="N296" s="388" t="str">
        <f>$N$7</f>
        <v>SE</v>
      </c>
      <c r="O296" s="388" t="str">
        <f>$O$7</f>
        <v>Total</v>
      </c>
    </row>
    <row r="297" spans="1:15" s="351" customFormat="1" x14ac:dyDescent="0.2">
      <c r="A297" s="374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</row>
    <row r="298" spans="1:15" s="351" customFormat="1" x14ac:dyDescent="0.2">
      <c r="A298" s="362" t="str">
        <f>name!E$4</f>
        <v>Managers, directors and senior officials</v>
      </c>
      <c r="B298" s="440">
        <v>0.37794791467266631</v>
      </c>
      <c r="C298" s="440">
        <v>1.3931087588713781E-2</v>
      </c>
      <c r="D298" s="440">
        <v>5.4348250591930734E-2</v>
      </c>
      <c r="E298" s="440">
        <f>SUM(B298:D298)</f>
        <v>0.44622725285331077</v>
      </c>
      <c r="F298" s="441"/>
      <c r="G298" s="440">
        <v>0.32160992423987</v>
      </c>
      <c r="H298" s="440">
        <v>1.5253048978952499E-2</v>
      </c>
      <c r="I298" s="440">
        <v>3.749854827314146E-2</v>
      </c>
      <c r="J298" s="440">
        <f>SUM(G298:I298)</f>
        <v>0.374361521491964</v>
      </c>
      <c r="K298" s="441"/>
      <c r="L298" s="440">
        <v>0.36043795344887758</v>
      </c>
      <c r="M298" s="440">
        <v>1.8796885888212635E-2</v>
      </c>
      <c r="N298" s="440">
        <v>2.5366938311041032E-2</v>
      </c>
      <c r="O298" s="440">
        <f>SUM(L298:N298)</f>
        <v>0.40460177764813127</v>
      </c>
    </row>
    <row r="299" spans="1:15" s="351" customFormat="1" x14ac:dyDescent="0.2">
      <c r="A299" s="362" t="str">
        <f>name!E$5</f>
        <v>Professional occupations</v>
      </c>
      <c r="B299" s="440">
        <v>0.51120039453810484</v>
      </c>
      <c r="C299" s="440">
        <v>1.7685783254870975E-2</v>
      </c>
      <c r="D299" s="440">
        <v>1.8674858764031389E-2</v>
      </c>
      <c r="E299" s="440">
        <f t="shared" ref="E299:E306" si="140">SUM(B299:D299)</f>
        <v>0.54756103655700727</v>
      </c>
      <c r="F299" s="441"/>
      <c r="G299" s="440">
        <v>0.32082356027283726</v>
      </c>
      <c r="H299" s="440">
        <v>1.8551341687792978E-2</v>
      </c>
      <c r="I299" s="440">
        <v>1.1576659468966313E-2</v>
      </c>
      <c r="J299" s="440">
        <f t="shared" ref="J299:J301" si="141">SUM(G299:I299)</f>
        <v>0.35095156142959655</v>
      </c>
      <c r="K299" s="441"/>
      <c r="L299" s="440">
        <v>0.36866133060710188</v>
      </c>
      <c r="M299" s="440">
        <v>2.2501259601898721E-2</v>
      </c>
      <c r="N299" s="440">
        <v>7.5957953243960983E-3</v>
      </c>
      <c r="O299" s="440">
        <f t="shared" ref="O299:O306" si="142">SUM(L299:N299)</f>
        <v>0.39875838553339665</v>
      </c>
    </row>
    <row r="300" spans="1:15" s="351" customFormat="1" x14ac:dyDescent="0.2">
      <c r="A300" s="362" t="str">
        <f>name!E$6</f>
        <v>Associate professional and technical</v>
      </c>
      <c r="B300" s="440">
        <v>0.65523834449653351</v>
      </c>
      <c r="C300" s="440">
        <v>2.060712483858709E-2</v>
      </c>
      <c r="D300" s="440">
        <v>2.6203930782395333E-2</v>
      </c>
      <c r="E300" s="440">
        <f t="shared" si="140"/>
        <v>0.70204940011751593</v>
      </c>
      <c r="F300" s="441"/>
      <c r="G300" s="440">
        <v>0.39827298847229098</v>
      </c>
      <c r="H300" s="440">
        <v>1.8473771892009647E-2</v>
      </c>
      <c r="I300" s="440">
        <v>1.5911714375731169E-2</v>
      </c>
      <c r="J300" s="440">
        <f t="shared" si="141"/>
        <v>0.43265847474003183</v>
      </c>
      <c r="K300" s="441"/>
      <c r="L300" s="440">
        <v>0.42366645930004609</v>
      </c>
      <c r="M300" s="440">
        <v>2.1969563004979833E-2</v>
      </c>
      <c r="N300" s="440">
        <v>9.2079362639557061E-3</v>
      </c>
      <c r="O300" s="440">
        <f t="shared" si="142"/>
        <v>0.45484395856898163</v>
      </c>
    </row>
    <row r="301" spans="1:15" s="351" customFormat="1" x14ac:dyDescent="0.2">
      <c r="A301" s="362" t="str">
        <f>name!E$7</f>
        <v>Administrative and secretarial</v>
      </c>
      <c r="B301" s="440">
        <v>0.34568659910389249</v>
      </c>
      <c r="C301" s="440">
        <v>6.1396694060464128E-2</v>
      </c>
      <c r="D301" s="440">
        <v>8.0455715487945962E-3</v>
      </c>
      <c r="E301" s="440">
        <f t="shared" si="140"/>
        <v>0.41512886471315119</v>
      </c>
      <c r="F301" s="441"/>
      <c r="G301" s="440">
        <v>0.21863855998324941</v>
      </c>
      <c r="H301" s="440">
        <v>5.3233489098856855E-2</v>
      </c>
      <c r="I301" s="440">
        <v>5.6828538682464815E-3</v>
      </c>
      <c r="J301" s="440">
        <f t="shared" si="141"/>
        <v>0.27755490295035273</v>
      </c>
      <c r="K301" s="441"/>
      <c r="L301" s="440">
        <v>0.22103700379131272</v>
      </c>
      <c r="M301" s="440">
        <v>4.641714108700605E-2</v>
      </c>
      <c r="N301" s="440">
        <v>1.2974053132570678E-3</v>
      </c>
      <c r="O301" s="440">
        <f t="shared" si="142"/>
        <v>0.26875155019157582</v>
      </c>
    </row>
    <row r="302" spans="1:15" s="351" customFormat="1" x14ac:dyDescent="0.2">
      <c r="A302" s="362" t="str">
        <f>name!E$8</f>
        <v>Skilled trades occupations</v>
      </c>
      <c r="B302" s="440">
        <v>1.7725241477437428</v>
      </c>
      <c r="C302" s="440">
        <v>2.048050606755988E-2</v>
      </c>
      <c r="D302" s="440">
        <v>0.15393851483955096</v>
      </c>
      <c r="E302" s="440">
        <f t="shared" si="140"/>
        <v>1.9469431686508536</v>
      </c>
      <c r="F302" s="441"/>
      <c r="G302" s="440">
        <v>0.91081627664216103</v>
      </c>
      <c r="H302" s="440">
        <v>1.7184959321710217E-2</v>
      </c>
      <c r="I302" s="440">
        <v>4.1260773826670538E-2</v>
      </c>
      <c r="J302" s="440">
        <f>SUM(G302:I302)</f>
        <v>0.96926200979054178</v>
      </c>
      <c r="K302" s="441"/>
      <c r="L302" s="440">
        <v>0.81493371401780679</v>
      </c>
      <c r="M302" s="440">
        <v>1.6026994429410871E-2</v>
      </c>
      <c r="N302" s="440">
        <v>3.484523165457945E-2</v>
      </c>
      <c r="O302" s="440">
        <f t="shared" si="142"/>
        <v>0.86580594010179712</v>
      </c>
    </row>
    <row r="303" spans="1:15" s="351" customFormat="1" x14ac:dyDescent="0.2">
      <c r="A303" s="362" t="str">
        <f>name!E$9</f>
        <v>Caring, leisure and other service</v>
      </c>
      <c r="B303" s="440">
        <v>9.8770183247051946E-2</v>
      </c>
      <c r="C303" s="440">
        <v>1.1509552182951858E-2</v>
      </c>
      <c r="D303" s="440">
        <v>6.5079926632921692E-3</v>
      </c>
      <c r="E303" s="440">
        <f t="shared" si="140"/>
        <v>0.11678772809329598</v>
      </c>
      <c r="F303" s="441"/>
      <c r="G303" s="440">
        <v>7.7783258084156856E-2</v>
      </c>
      <c r="H303" s="440">
        <v>9.9964376380382875E-3</v>
      </c>
      <c r="I303" s="440">
        <v>1.411251101499391E-2</v>
      </c>
      <c r="J303" s="440">
        <f t="shared" ref="J303:J306" si="143">SUM(G303:I303)</f>
        <v>0.10189220673718904</v>
      </c>
      <c r="K303" s="441"/>
      <c r="L303" s="440">
        <v>9.6694554687910855E-2</v>
      </c>
      <c r="M303" s="440">
        <v>1.2068813785774691E-2</v>
      </c>
      <c r="N303" s="440">
        <v>9.6967164974037755E-3</v>
      </c>
      <c r="O303" s="440">
        <f t="shared" si="142"/>
        <v>0.11846008497108933</v>
      </c>
    </row>
    <row r="304" spans="1:15" s="351" customFormat="1" x14ac:dyDescent="0.2">
      <c r="A304" s="362" t="str">
        <f>name!E$10</f>
        <v>Sales and customer service</v>
      </c>
      <c r="B304" s="440">
        <v>0.10155119854983875</v>
      </c>
      <c r="C304" s="440">
        <v>1.4599359521902049E-2</v>
      </c>
      <c r="D304" s="440">
        <v>4.2718347945826449E-3</v>
      </c>
      <c r="E304" s="440">
        <f t="shared" si="140"/>
        <v>0.12042239286632345</v>
      </c>
      <c r="F304" s="441"/>
      <c r="G304" s="440">
        <v>9.366845794124222E-2</v>
      </c>
      <c r="H304" s="440">
        <v>3.0006526107456334E-2</v>
      </c>
      <c r="I304" s="440">
        <v>4.6346509874430168E-3</v>
      </c>
      <c r="J304" s="440">
        <f t="shared" si="143"/>
        <v>0.12830963503614157</v>
      </c>
      <c r="K304" s="441"/>
      <c r="L304" s="440">
        <v>0.10215560964241388</v>
      </c>
      <c r="M304" s="440">
        <v>3.4917522897613081E-2</v>
      </c>
      <c r="N304" s="440">
        <v>3.0119253973728876E-3</v>
      </c>
      <c r="O304" s="440">
        <f t="shared" si="142"/>
        <v>0.14008505793739984</v>
      </c>
    </row>
    <row r="305" spans="1:15" s="351" customFormat="1" x14ac:dyDescent="0.2">
      <c r="A305" s="362" t="str">
        <f>name!E$11</f>
        <v>Process, plant and machine operatives</v>
      </c>
      <c r="B305" s="440">
        <v>2.8890023385620878</v>
      </c>
      <c r="C305" s="440">
        <v>0.12048852982478261</v>
      </c>
      <c r="D305" s="440">
        <v>8.3121747607168575E-2</v>
      </c>
      <c r="E305" s="440">
        <f t="shared" si="140"/>
        <v>3.0926126159940388</v>
      </c>
      <c r="F305" s="441"/>
      <c r="G305" s="440">
        <v>1.8154483301594984</v>
      </c>
      <c r="H305" s="440">
        <v>5.0299723951755498E-2</v>
      </c>
      <c r="I305" s="440">
        <v>3.6230356827809E-2</v>
      </c>
      <c r="J305" s="440">
        <f t="shared" si="143"/>
        <v>1.9019784109390629</v>
      </c>
      <c r="K305" s="441"/>
      <c r="L305" s="440">
        <v>1.5130269408225683</v>
      </c>
      <c r="M305" s="440">
        <v>4.1718391304316094E-2</v>
      </c>
      <c r="N305" s="440">
        <v>2.3983552447984082E-2</v>
      </c>
      <c r="O305" s="440">
        <f t="shared" si="142"/>
        <v>1.5787288845748684</v>
      </c>
    </row>
    <row r="306" spans="1:15" s="351" customFormat="1" x14ac:dyDescent="0.2">
      <c r="A306" s="362" t="str">
        <f>name!E$12</f>
        <v>Elementary occupations</v>
      </c>
      <c r="B306" s="440">
        <v>0.41507887902160406</v>
      </c>
      <c r="C306" s="440">
        <v>3.2301362658998065E-2</v>
      </c>
      <c r="D306" s="440">
        <v>1.5887298409951102E-2</v>
      </c>
      <c r="E306" s="440">
        <f t="shared" si="140"/>
        <v>0.46326754009055326</v>
      </c>
      <c r="F306" s="441"/>
      <c r="G306" s="440">
        <v>0.35493864420555016</v>
      </c>
      <c r="H306" s="440">
        <v>2.2000701326029826E-2</v>
      </c>
      <c r="I306" s="440">
        <v>0.11509193136193452</v>
      </c>
      <c r="J306" s="440">
        <f t="shared" si="143"/>
        <v>0.4920312768935145</v>
      </c>
      <c r="K306" s="441"/>
      <c r="L306" s="440">
        <v>0.33638643364377463</v>
      </c>
      <c r="M306" s="440">
        <v>2.2583428002974925E-2</v>
      </c>
      <c r="N306" s="440">
        <v>0.13799449879472281</v>
      </c>
      <c r="O306" s="440">
        <f t="shared" si="142"/>
        <v>0.49696436044147235</v>
      </c>
    </row>
    <row r="307" spans="1:15" s="351" customFormat="1" x14ac:dyDescent="0.2">
      <c r="A307" s="362"/>
      <c r="B307" s="440"/>
      <c r="C307" s="440"/>
      <c r="D307" s="440"/>
      <c r="E307" s="440"/>
      <c r="F307" s="441"/>
      <c r="G307" s="440"/>
      <c r="H307" s="440"/>
      <c r="I307" s="440"/>
      <c r="J307" s="440"/>
      <c r="K307" s="441"/>
      <c r="L307" s="440"/>
      <c r="M307" s="440"/>
      <c r="N307" s="440"/>
      <c r="O307" s="440"/>
    </row>
    <row r="308" spans="1:15" s="351" customFormat="1" x14ac:dyDescent="0.2">
      <c r="A308" s="357" t="s">
        <v>32</v>
      </c>
      <c r="B308" s="450">
        <f>SUM(B298:B306)</f>
        <v>7.1669999999355225</v>
      </c>
      <c r="C308" s="450">
        <f t="shared" ref="C308:E308" si="144">SUM(C298:C306)</f>
        <v>0.31299999999883044</v>
      </c>
      <c r="D308" s="450">
        <f t="shared" si="144"/>
        <v>0.37100000000169747</v>
      </c>
      <c r="E308" s="450">
        <f t="shared" si="144"/>
        <v>7.8509999999360502</v>
      </c>
      <c r="F308" s="450"/>
      <c r="G308" s="450">
        <f t="shared" ref="G308:J308" si="145">SUM(G298:G306)</f>
        <v>4.5120000000008567</v>
      </c>
      <c r="H308" s="450">
        <f t="shared" si="145"/>
        <v>0.23500000000260213</v>
      </c>
      <c r="I308" s="450">
        <f t="shared" si="145"/>
        <v>0.28200000000493641</v>
      </c>
      <c r="J308" s="450">
        <f t="shared" si="145"/>
        <v>5.0290000000083941</v>
      </c>
      <c r="K308" s="450"/>
      <c r="L308" s="450">
        <f t="shared" ref="L308:O308" si="146">SUM(L298:L306)</f>
        <v>4.2369999999618129</v>
      </c>
      <c r="M308" s="450">
        <f t="shared" si="146"/>
        <v>0.23700000000218688</v>
      </c>
      <c r="N308" s="450">
        <f t="shared" si="146"/>
        <v>0.2530000000047129</v>
      </c>
      <c r="O308" s="450">
        <f t="shared" si="146"/>
        <v>4.7269999999687125</v>
      </c>
    </row>
    <row r="309" spans="1:15" s="351" customFormat="1" x14ac:dyDescent="0.2">
      <c r="A309" s="348"/>
      <c r="B309" s="348"/>
      <c r="C309" s="348"/>
      <c r="D309" s="348"/>
      <c r="E309" s="348"/>
      <c r="F309" s="348"/>
      <c r="G309" s="348"/>
      <c r="H309" s="348"/>
      <c r="I309" s="348"/>
      <c r="J309" s="348"/>
      <c r="K309" s="348"/>
      <c r="L309" s="348"/>
      <c r="M309" s="348"/>
      <c r="N309" s="353"/>
    </row>
    <row r="310" spans="1:15" s="351" customFormat="1" x14ac:dyDescent="0.2">
      <c r="A310" s="348"/>
      <c r="B310" s="348"/>
      <c r="C310" s="348"/>
      <c r="D310" s="348"/>
      <c r="E310" s="348"/>
      <c r="F310" s="348"/>
      <c r="G310" s="348"/>
      <c r="H310" s="348"/>
      <c r="I310" s="348"/>
      <c r="J310" s="348"/>
      <c r="K310" s="348"/>
      <c r="L310" s="348"/>
      <c r="M310" s="348"/>
      <c r="N310" s="353"/>
      <c r="O310" s="367" t="s">
        <v>35</v>
      </c>
    </row>
    <row r="311" spans="1:15" s="351" customFormat="1" x14ac:dyDescent="0.2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</row>
    <row r="312" spans="1:15" s="351" customFormat="1" x14ac:dyDescent="0.2">
      <c r="A312" s="354" t="str">
        <f>name!A21</f>
        <v>Machinery n.e.c.</v>
      </c>
      <c r="B312" s="519">
        <f>$B$6</f>
        <v>2007</v>
      </c>
      <c r="C312" s="519"/>
      <c r="D312" s="519"/>
      <c r="E312" s="519"/>
      <c r="F312" s="380"/>
      <c r="G312" s="519">
        <f>$G$6</f>
        <v>2017</v>
      </c>
      <c r="H312" s="519"/>
      <c r="I312" s="519"/>
      <c r="J312" s="519"/>
      <c r="K312" s="380"/>
      <c r="L312" s="519">
        <f>$L$6</f>
        <v>2027</v>
      </c>
      <c r="M312" s="519"/>
      <c r="N312" s="519"/>
      <c r="O312" s="519"/>
    </row>
    <row r="313" spans="1:15" s="351" customFormat="1" x14ac:dyDescent="0.2">
      <c r="A313" s="370"/>
      <c r="B313" s="388" t="str">
        <f>$B$7</f>
        <v>FT</v>
      </c>
      <c r="C313" s="388" t="str">
        <f>$C$7</f>
        <v>PT</v>
      </c>
      <c r="D313" s="388" t="str">
        <f>$D$7</f>
        <v>SE</v>
      </c>
      <c r="E313" s="388" t="str">
        <f>$E$7</f>
        <v>Total</v>
      </c>
      <c r="F313" s="388"/>
      <c r="G313" s="388" t="str">
        <f>$G$7</f>
        <v>FT</v>
      </c>
      <c r="H313" s="388" t="str">
        <f>$H$7</f>
        <v>PT</v>
      </c>
      <c r="I313" s="388" t="str">
        <f>$I$7</f>
        <v>SE</v>
      </c>
      <c r="J313" s="388" t="str">
        <f>$J$7</f>
        <v>Total</v>
      </c>
      <c r="K313" s="388"/>
      <c r="L313" s="388" t="str">
        <f>$L$7</f>
        <v>FT</v>
      </c>
      <c r="M313" s="388" t="str">
        <f>$M$7</f>
        <v>PT</v>
      </c>
      <c r="N313" s="388" t="str">
        <f>$N$7</f>
        <v>SE</v>
      </c>
      <c r="O313" s="388" t="str">
        <f>$O$7</f>
        <v>Total</v>
      </c>
    </row>
    <row r="314" spans="1:15" s="351" customFormat="1" x14ac:dyDescent="0.2">
      <c r="A314" s="374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</row>
    <row r="315" spans="1:15" s="351" customFormat="1" x14ac:dyDescent="0.2">
      <c r="A315" s="362" t="str">
        <f>name!E$4</f>
        <v>Managers, directors and senior officials</v>
      </c>
      <c r="B315" s="440">
        <v>0.40668211873103322</v>
      </c>
      <c r="C315" s="440">
        <v>2.2796824800659858E-2</v>
      </c>
      <c r="D315" s="440">
        <v>6.8552015983489575E-2</v>
      </c>
      <c r="E315" s="440">
        <f>SUM(B315:D315)</f>
        <v>0.49803095951518267</v>
      </c>
      <c r="F315" s="441"/>
      <c r="G315" s="440">
        <v>0.29190697057748022</v>
      </c>
      <c r="H315" s="440">
        <v>2.8457310687278765E-2</v>
      </c>
      <c r="I315" s="440">
        <v>1.7689194137470172E-2</v>
      </c>
      <c r="J315" s="440">
        <f>SUM(G315:I315)</f>
        <v>0.33805347540222913</v>
      </c>
      <c r="K315" s="441"/>
      <c r="L315" s="440">
        <v>0.29350498124685975</v>
      </c>
      <c r="M315" s="440">
        <v>6.2480503992520343E-2</v>
      </c>
      <c r="N315" s="440">
        <v>2.5495645878045148E-2</v>
      </c>
      <c r="O315" s="440">
        <f>SUM(L315:N315)</f>
        <v>0.38148113111742527</v>
      </c>
    </row>
    <row r="316" spans="1:15" s="351" customFormat="1" x14ac:dyDescent="0.2">
      <c r="A316" s="362" t="str">
        <f>name!E$5</f>
        <v>Professional occupations</v>
      </c>
      <c r="B316" s="440">
        <v>0.46289257180415028</v>
      </c>
      <c r="C316" s="440">
        <v>1.8583954125198712E-2</v>
      </c>
      <c r="D316" s="440">
        <v>2.6709383456464793E-2</v>
      </c>
      <c r="E316" s="440">
        <f t="shared" ref="E316:E323" si="147">SUM(B316:D316)</f>
        <v>0.50818590938581376</v>
      </c>
      <c r="F316" s="441"/>
      <c r="G316" s="440">
        <v>0.31487251403589239</v>
      </c>
      <c r="H316" s="440">
        <v>2.1066176762425691E-2</v>
      </c>
      <c r="I316" s="440">
        <v>6.4295846294311421E-3</v>
      </c>
      <c r="J316" s="440">
        <f t="shared" ref="J316:J318" si="148">SUM(G316:I316)</f>
        <v>0.34236827542774922</v>
      </c>
      <c r="K316" s="441"/>
      <c r="L316" s="440">
        <v>0.30881062941218818</v>
      </c>
      <c r="M316" s="440">
        <v>4.7017220647580973E-2</v>
      </c>
      <c r="N316" s="440">
        <v>7.9839054808116938E-3</v>
      </c>
      <c r="O316" s="440">
        <f t="shared" ref="O316:O323" si="149">SUM(L316:N316)</f>
        <v>0.36381175554058082</v>
      </c>
    </row>
    <row r="317" spans="1:15" s="351" customFormat="1" x14ac:dyDescent="0.2">
      <c r="A317" s="362" t="str">
        <f>name!E$6</f>
        <v>Associate professional and technical</v>
      </c>
      <c r="B317" s="440">
        <v>0.61996837035727392</v>
      </c>
      <c r="C317" s="440">
        <v>2.2626467722843584E-2</v>
      </c>
      <c r="D317" s="440">
        <v>2.648183960189416E-2</v>
      </c>
      <c r="E317" s="440">
        <f t="shared" si="147"/>
        <v>0.66907667768201173</v>
      </c>
      <c r="F317" s="441"/>
      <c r="G317" s="440">
        <v>0.344014691240493</v>
      </c>
      <c r="H317" s="440">
        <v>2.6899455679161292E-2</v>
      </c>
      <c r="I317" s="440">
        <v>5.6330812355356559E-3</v>
      </c>
      <c r="J317" s="440">
        <f t="shared" si="148"/>
        <v>0.37654722815518993</v>
      </c>
      <c r="K317" s="441"/>
      <c r="L317" s="440">
        <v>0.32557081405720634</v>
      </c>
      <c r="M317" s="440">
        <v>5.8110728326303727E-2</v>
      </c>
      <c r="N317" s="440">
        <v>6.8841575061633882E-3</v>
      </c>
      <c r="O317" s="440">
        <f t="shared" si="149"/>
        <v>0.39056569988967343</v>
      </c>
    </row>
    <row r="318" spans="1:15" s="351" customFormat="1" x14ac:dyDescent="0.2">
      <c r="A318" s="362" t="str">
        <f>name!E$7</f>
        <v>Administrative and secretarial</v>
      </c>
      <c r="B318" s="440">
        <v>0.32495770155058901</v>
      </c>
      <c r="C318" s="440">
        <v>0.12356957064612079</v>
      </c>
      <c r="D318" s="440">
        <v>1.2445940294950138E-2</v>
      </c>
      <c r="E318" s="440">
        <f t="shared" si="147"/>
        <v>0.46097321249165996</v>
      </c>
      <c r="F318" s="441"/>
      <c r="G318" s="440">
        <v>0.16320357763319901</v>
      </c>
      <c r="H318" s="440">
        <v>0.13472834535696662</v>
      </c>
      <c r="I318" s="440">
        <v>1.7859996230512633E-3</v>
      </c>
      <c r="J318" s="440">
        <f t="shared" si="148"/>
        <v>0.29971792261321689</v>
      </c>
      <c r="K318" s="441"/>
      <c r="L318" s="440">
        <v>0.13906973786672183</v>
      </c>
      <c r="M318" s="440">
        <v>0.20131331166890945</v>
      </c>
      <c r="N318" s="440">
        <v>2.2628201095141677E-3</v>
      </c>
      <c r="O318" s="440">
        <f t="shared" si="149"/>
        <v>0.34264586964514543</v>
      </c>
    </row>
    <row r="319" spans="1:15" s="351" customFormat="1" x14ac:dyDescent="0.2">
      <c r="A319" s="362" t="str">
        <f>name!E$8</f>
        <v>Skilled trades occupations</v>
      </c>
      <c r="B319" s="440">
        <v>1.8421360707884327</v>
      </c>
      <c r="C319" s="440">
        <v>2.3538914475998537E-2</v>
      </c>
      <c r="D319" s="440">
        <v>0.17419801567819693</v>
      </c>
      <c r="E319" s="440">
        <f t="shared" si="147"/>
        <v>2.0398730009426282</v>
      </c>
      <c r="F319" s="441"/>
      <c r="G319" s="440">
        <v>1.0241827299312909</v>
      </c>
      <c r="H319" s="440">
        <v>1.4829444705132535E-2</v>
      </c>
      <c r="I319" s="440">
        <v>4.0806068262708994E-2</v>
      </c>
      <c r="J319" s="440">
        <f>SUM(G319:I319)</f>
        <v>1.0798182428991323</v>
      </c>
      <c r="K319" s="441"/>
      <c r="L319" s="440">
        <v>0.80532503048490878</v>
      </c>
      <c r="M319" s="440">
        <v>2.7151183997675129E-2</v>
      </c>
      <c r="N319" s="440">
        <v>5.3954243536285092E-2</v>
      </c>
      <c r="O319" s="440">
        <f t="shared" si="149"/>
        <v>0.88643045801886899</v>
      </c>
    </row>
    <row r="320" spans="1:15" s="351" customFormat="1" x14ac:dyDescent="0.2">
      <c r="A320" s="362" t="str">
        <f>name!E$9</f>
        <v>Caring, leisure and other service</v>
      </c>
      <c r="B320" s="440">
        <v>7.9204113858340183E-2</v>
      </c>
      <c r="C320" s="440">
        <v>2.4928778759443122E-2</v>
      </c>
      <c r="D320" s="440">
        <v>1.2091327690219707E-2</v>
      </c>
      <c r="E320" s="440">
        <f t="shared" si="147"/>
        <v>0.116224220308003</v>
      </c>
      <c r="F320" s="441"/>
      <c r="G320" s="440">
        <v>3.9670279067370855E-2</v>
      </c>
      <c r="H320" s="440">
        <v>2.0552355418503976E-2</v>
      </c>
      <c r="I320" s="440">
        <v>2.5499420713103391E-3</v>
      </c>
      <c r="J320" s="440">
        <f t="shared" ref="J320:J323" si="150">SUM(G320:I320)</f>
        <v>6.277257655718517E-2</v>
      </c>
      <c r="K320" s="441"/>
      <c r="L320" s="440">
        <v>3.9111729845949253E-2</v>
      </c>
      <c r="M320" s="440">
        <v>3.4483682570439739E-2</v>
      </c>
      <c r="N320" s="440">
        <v>3.2119618697073519E-3</v>
      </c>
      <c r="O320" s="440">
        <f t="shared" si="149"/>
        <v>7.6807374286096339E-2</v>
      </c>
    </row>
    <row r="321" spans="1:15" s="351" customFormat="1" x14ac:dyDescent="0.2">
      <c r="A321" s="362" t="str">
        <f>name!E$10</f>
        <v>Sales and customer service</v>
      </c>
      <c r="B321" s="440">
        <v>0.10546248841675379</v>
      </c>
      <c r="C321" s="440">
        <v>1.7125828342696194E-2</v>
      </c>
      <c r="D321" s="440">
        <v>3.9583865304196036E-3</v>
      </c>
      <c r="E321" s="440">
        <f t="shared" si="147"/>
        <v>0.12654670328986958</v>
      </c>
      <c r="F321" s="441"/>
      <c r="G321" s="440">
        <v>9.0946644026836471E-2</v>
      </c>
      <c r="H321" s="440">
        <v>2.7439611705537371E-2</v>
      </c>
      <c r="I321" s="440">
        <v>1.1696622827763465E-3</v>
      </c>
      <c r="J321" s="440">
        <f t="shared" si="150"/>
        <v>0.11955591801515018</v>
      </c>
      <c r="K321" s="441"/>
      <c r="L321" s="440">
        <v>8.2109056615867843E-2</v>
      </c>
      <c r="M321" s="440">
        <v>5.6773127897420908E-2</v>
      </c>
      <c r="N321" s="440">
        <v>1.4705581851417223E-3</v>
      </c>
      <c r="O321" s="440">
        <f t="shared" si="149"/>
        <v>0.14035274269843048</v>
      </c>
    </row>
    <row r="322" spans="1:15" s="351" customFormat="1" x14ac:dyDescent="0.2">
      <c r="A322" s="362" t="str">
        <f>name!E$11</f>
        <v>Process, plant and machine operatives</v>
      </c>
      <c r="B322" s="440">
        <v>2.9597947451279421</v>
      </c>
      <c r="C322" s="440">
        <v>0.12132326196355339</v>
      </c>
      <c r="D322" s="440">
        <v>4.4175679489744019E-2</v>
      </c>
      <c r="E322" s="440">
        <f t="shared" si="147"/>
        <v>3.1252936865812395</v>
      </c>
      <c r="F322" s="441"/>
      <c r="G322" s="440">
        <v>1.4381467026551205</v>
      </c>
      <c r="H322" s="440">
        <v>6.7302285912949109E-2</v>
      </c>
      <c r="I322" s="440">
        <v>1.6271798292409687E-2</v>
      </c>
      <c r="J322" s="440">
        <f t="shared" si="150"/>
        <v>1.5217207868604792</v>
      </c>
      <c r="K322" s="441"/>
      <c r="L322" s="440">
        <v>1.1276436617156929</v>
      </c>
      <c r="M322" s="440">
        <v>0.10139473831635312</v>
      </c>
      <c r="N322" s="440">
        <v>1.9291720384664878E-2</v>
      </c>
      <c r="O322" s="440">
        <f t="shared" si="149"/>
        <v>1.248330120416711</v>
      </c>
    </row>
    <row r="323" spans="1:15" s="351" customFormat="1" x14ac:dyDescent="0.2">
      <c r="A323" s="362" t="str">
        <f>name!E$12</f>
        <v>Elementary occupations</v>
      </c>
      <c r="B323" s="440">
        <v>0.54890181932113291</v>
      </c>
      <c r="C323" s="440">
        <v>5.6506399162181878E-2</v>
      </c>
      <c r="D323" s="440">
        <v>3.4387411277445663E-2</v>
      </c>
      <c r="E323" s="440">
        <f t="shared" si="147"/>
        <v>0.63979562976076054</v>
      </c>
      <c r="F323" s="441"/>
      <c r="G323" s="440">
        <v>0.27505589082954573</v>
      </c>
      <c r="H323" s="440">
        <v>3.2725013779111321E-2</v>
      </c>
      <c r="I323" s="440">
        <v>2.9664669466357908E-2</v>
      </c>
      <c r="J323" s="440">
        <f t="shared" si="150"/>
        <v>0.33744557407501496</v>
      </c>
      <c r="K323" s="441"/>
      <c r="L323" s="440">
        <v>0.23885435872048627</v>
      </c>
      <c r="M323" s="440">
        <v>6.7275502591139541E-2</v>
      </c>
      <c r="N323" s="440">
        <v>5.1444987051382667E-2</v>
      </c>
      <c r="O323" s="440">
        <f t="shared" si="149"/>
        <v>0.35757484836300846</v>
      </c>
    </row>
    <row r="324" spans="1:15" s="351" customFormat="1" x14ac:dyDescent="0.2">
      <c r="A324" s="362"/>
      <c r="B324" s="440"/>
      <c r="C324" s="440"/>
      <c r="D324" s="440"/>
      <c r="E324" s="440"/>
      <c r="F324" s="441"/>
      <c r="G324" s="440"/>
      <c r="H324" s="440"/>
      <c r="I324" s="440"/>
      <c r="J324" s="440"/>
      <c r="K324" s="441"/>
      <c r="L324" s="440"/>
      <c r="M324" s="440"/>
      <c r="N324" s="440"/>
      <c r="O324" s="440"/>
    </row>
    <row r="325" spans="1:15" s="351" customFormat="1" x14ac:dyDescent="0.2">
      <c r="A325" s="357" t="s">
        <v>32</v>
      </c>
      <c r="B325" s="450">
        <f>SUM(B315:B323)</f>
        <v>7.3499999999556476</v>
      </c>
      <c r="C325" s="450">
        <f t="shared" ref="C325:E325" si="151">SUM(C315:C323)</f>
        <v>0.43099999999869604</v>
      </c>
      <c r="D325" s="450">
        <f t="shared" si="151"/>
        <v>0.40300000000282449</v>
      </c>
      <c r="E325" s="450">
        <f t="shared" si="151"/>
        <v>8.1839999999571678</v>
      </c>
      <c r="F325" s="450"/>
      <c r="G325" s="450">
        <f t="shared" ref="G325:J325" si="152">SUM(G315:G323)</f>
        <v>3.9819999999972286</v>
      </c>
      <c r="H325" s="450">
        <f t="shared" si="152"/>
        <v>0.37400000000706668</v>
      </c>
      <c r="I325" s="450">
        <f t="shared" si="152"/>
        <v>0.12200000000105149</v>
      </c>
      <c r="J325" s="450">
        <f t="shared" si="152"/>
        <v>4.4780000000053475</v>
      </c>
      <c r="K325" s="450"/>
      <c r="L325" s="450">
        <f t="shared" ref="L325:O325" si="153">SUM(L315:L323)</f>
        <v>3.3599999999658809</v>
      </c>
      <c r="M325" s="450">
        <f t="shared" si="153"/>
        <v>0.65600000000834291</v>
      </c>
      <c r="N325" s="450">
        <f t="shared" si="153"/>
        <v>0.17200000000171611</v>
      </c>
      <c r="O325" s="450">
        <f t="shared" si="153"/>
        <v>4.1879999999759399</v>
      </c>
    </row>
    <row r="326" spans="1:15" s="351" customFormat="1" x14ac:dyDescent="0.2">
      <c r="A326" s="348"/>
      <c r="B326" s="348"/>
      <c r="C326" s="348"/>
      <c r="D326" s="348"/>
      <c r="E326" s="348"/>
      <c r="F326" s="348"/>
      <c r="G326" s="348"/>
      <c r="H326" s="348"/>
      <c r="I326" s="348"/>
      <c r="J326" s="348"/>
      <c r="K326" s="348"/>
      <c r="L326" s="348"/>
      <c r="M326" s="348"/>
      <c r="N326" s="353"/>
    </row>
    <row r="327" spans="1:15" s="351" customFormat="1" x14ac:dyDescent="0.2">
      <c r="A327" s="348"/>
      <c r="B327" s="348"/>
      <c r="C327" s="348"/>
      <c r="D327" s="348"/>
      <c r="E327" s="348"/>
      <c r="F327" s="348"/>
      <c r="G327" s="348"/>
      <c r="H327" s="348"/>
      <c r="I327" s="348"/>
      <c r="J327" s="348"/>
      <c r="K327" s="348"/>
      <c r="L327" s="348"/>
      <c r="M327" s="348"/>
      <c r="N327" s="353"/>
      <c r="O327" s="367" t="s">
        <v>35</v>
      </c>
    </row>
    <row r="328" spans="1:15" s="351" customFormat="1" x14ac:dyDescent="0.2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</row>
    <row r="329" spans="1:15" s="351" customFormat="1" x14ac:dyDescent="0.2">
      <c r="A329" s="354" t="str">
        <f>name!A22</f>
        <v>Motor vehicles, etc</v>
      </c>
      <c r="B329" s="519">
        <f>$B$6</f>
        <v>2007</v>
      </c>
      <c r="C329" s="519"/>
      <c r="D329" s="519"/>
      <c r="E329" s="519"/>
      <c r="F329" s="380"/>
      <c r="G329" s="519">
        <f>$G$6</f>
        <v>2017</v>
      </c>
      <c r="H329" s="519"/>
      <c r="I329" s="519"/>
      <c r="J329" s="519"/>
      <c r="K329" s="380"/>
      <c r="L329" s="519">
        <f>$L$6</f>
        <v>2027</v>
      </c>
      <c r="M329" s="519"/>
      <c r="N329" s="519"/>
      <c r="O329" s="519"/>
    </row>
    <row r="330" spans="1:15" s="351" customFormat="1" x14ac:dyDescent="0.2">
      <c r="A330" s="370"/>
      <c r="B330" s="388" t="str">
        <f>$B$7</f>
        <v>FT</v>
      </c>
      <c r="C330" s="388" t="str">
        <f>$C$7</f>
        <v>PT</v>
      </c>
      <c r="D330" s="388" t="str">
        <f>$D$7</f>
        <v>SE</v>
      </c>
      <c r="E330" s="388" t="str">
        <f>$E$7</f>
        <v>Total</v>
      </c>
      <c r="F330" s="388"/>
      <c r="G330" s="388" t="str">
        <f>$G$7</f>
        <v>FT</v>
      </c>
      <c r="H330" s="388" t="str">
        <f>$H$7</f>
        <v>PT</v>
      </c>
      <c r="I330" s="388" t="str">
        <f>$I$7</f>
        <v>SE</v>
      </c>
      <c r="J330" s="388" t="str">
        <f>$J$7</f>
        <v>Total</v>
      </c>
      <c r="K330" s="388"/>
      <c r="L330" s="388" t="str">
        <f>$L$7</f>
        <v>FT</v>
      </c>
      <c r="M330" s="388" t="str">
        <f>$M$7</f>
        <v>PT</v>
      </c>
      <c r="N330" s="388" t="str">
        <f>$N$7</f>
        <v>SE</v>
      </c>
      <c r="O330" s="388" t="str">
        <f>$O$7</f>
        <v>Total</v>
      </c>
    </row>
    <row r="331" spans="1:15" s="351" customFormat="1" x14ac:dyDescent="0.2">
      <c r="A331" s="374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</row>
    <row r="332" spans="1:15" s="351" customFormat="1" x14ac:dyDescent="0.2">
      <c r="A332" s="362" t="str">
        <f>name!E$4</f>
        <v>Managers, directors and senior officials</v>
      </c>
      <c r="B332" s="440">
        <v>0.48299283128968123</v>
      </c>
      <c r="C332" s="440">
        <v>2.1030975397762809E-2</v>
      </c>
      <c r="D332" s="440">
        <v>0.122614460913807</v>
      </c>
      <c r="E332" s="440">
        <f>SUM(B332:D332)</f>
        <v>0.62663826760125108</v>
      </c>
      <c r="F332" s="441"/>
      <c r="G332" s="440">
        <v>0.30287202781018402</v>
      </c>
      <c r="H332" s="440">
        <v>1.447446635209583E-2</v>
      </c>
      <c r="I332" s="440">
        <v>8.2112463090586382E-2</v>
      </c>
      <c r="J332" s="440">
        <f>SUM(G332:I332)</f>
        <v>0.39945895725286623</v>
      </c>
      <c r="K332" s="441"/>
      <c r="L332" s="440">
        <v>0.35304003053380012</v>
      </c>
      <c r="M332" s="440">
        <v>4.6178541092255714E-2</v>
      </c>
      <c r="N332" s="440">
        <v>9.9401077642501542E-2</v>
      </c>
      <c r="O332" s="440">
        <f>SUM(L332:N332)</f>
        <v>0.4986196492685574</v>
      </c>
    </row>
    <row r="333" spans="1:15" s="351" customFormat="1" x14ac:dyDescent="0.2">
      <c r="A333" s="362" t="str">
        <f>name!E$5</f>
        <v>Professional occupations</v>
      </c>
      <c r="B333" s="440">
        <v>0.76247475059744085</v>
      </c>
      <c r="C333" s="440">
        <v>7.9291147076493332E-2</v>
      </c>
      <c r="D333" s="440">
        <v>4.0848932076713897E-2</v>
      </c>
      <c r="E333" s="440">
        <f t="shared" ref="E333:E340" si="154">SUM(B333:D333)</f>
        <v>0.88261482975064809</v>
      </c>
      <c r="F333" s="441"/>
      <c r="G333" s="440">
        <v>0.47238124807143134</v>
      </c>
      <c r="H333" s="440">
        <v>0.11318212881930817</v>
      </c>
      <c r="I333" s="440">
        <v>2.8811930238964601E-2</v>
      </c>
      <c r="J333" s="440">
        <f t="shared" ref="J333:J335" si="155">SUM(G333:I333)</f>
        <v>0.61437530712970412</v>
      </c>
      <c r="K333" s="441"/>
      <c r="L333" s="440">
        <v>0.57028431076587149</v>
      </c>
      <c r="M333" s="440">
        <v>0.24864323157429188</v>
      </c>
      <c r="N333" s="440">
        <v>3.2473579267149853E-2</v>
      </c>
      <c r="O333" s="440">
        <f t="shared" ref="O333:O340" si="156">SUM(L333:N333)</f>
        <v>0.85140112160731329</v>
      </c>
    </row>
    <row r="334" spans="1:15" s="351" customFormat="1" x14ac:dyDescent="0.2">
      <c r="A334" s="362" t="str">
        <f>name!E$6</f>
        <v>Associate professional and technical</v>
      </c>
      <c r="B334" s="440">
        <v>0.71662444920732493</v>
      </c>
      <c r="C334" s="440">
        <v>6.6266609193712689E-2</v>
      </c>
      <c r="D334" s="440">
        <v>6.406447541965786E-2</v>
      </c>
      <c r="E334" s="440">
        <f t="shared" si="154"/>
        <v>0.84695553382069544</v>
      </c>
      <c r="F334" s="441"/>
      <c r="G334" s="440">
        <v>0.45276221221097251</v>
      </c>
      <c r="H334" s="440">
        <v>2.0332746237753368E-2</v>
      </c>
      <c r="I334" s="440">
        <v>3.4530282664623588E-2</v>
      </c>
      <c r="J334" s="440">
        <f t="shared" si="155"/>
        <v>0.5076252411133495</v>
      </c>
      <c r="K334" s="441"/>
      <c r="L334" s="440">
        <v>0.53259659931822079</v>
      </c>
      <c r="M334" s="440">
        <v>5.1937379161914418E-2</v>
      </c>
      <c r="N334" s="440">
        <v>4.4409104661969394E-2</v>
      </c>
      <c r="O334" s="440">
        <f t="shared" si="156"/>
        <v>0.62894308314210456</v>
      </c>
    </row>
    <row r="335" spans="1:15" s="351" customFormat="1" x14ac:dyDescent="0.2">
      <c r="A335" s="362" t="str">
        <f>name!E$7</f>
        <v>Administrative and secretarial</v>
      </c>
      <c r="B335" s="440">
        <v>0.50366555131304225</v>
      </c>
      <c r="C335" s="440">
        <v>0.12821741602981532</v>
      </c>
      <c r="D335" s="440">
        <v>1.01524570859397E-2</v>
      </c>
      <c r="E335" s="440">
        <f t="shared" si="154"/>
        <v>0.64203542442879724</v>
      </c>
      <c r="F335" s="441"/>
      <c r="G335" s="440">
        <v>0.38810291035188843</v>
      </c>
      <c r="H335" s="440">
        <v>5.4056895947981388E-2</v>
      </c>
      <c r="I335" s="440">
        <v>9.5530859128213439E-3</v>
      </c>
      <c r="J335" s="440">
        <f t="shared" si="155"/>
        <v>0.45171289221269117</v>
      </c>
      <c r="K335" s="441"/>
      <c r="L335" s="440">
        <v>0.44998653166036168</v>
      </c>
      <c r="M335" s="440">
        <v>0.16055434511321637</v>
      </c>
      <c r="N335" s="440">
        <v>4.9198737689833839E-3</v>
      </c>
      <c r="O335" s="440">
        <f t="shared" si="156"/>
        <v>0.61546075054256144</v>
      </c>
    </row>
    <row r="336" spans="1:15" s="351" customFormat="1" x14ac:dyDescent="0.2">
      <c r="A336" s="362" t="str">
        <f>name!E$8</f>
        <v>Skilled trades occupations</v>
      </c>
      <c r="B336" s="440">
        <v>3.3079520145261254</v>
      </c>
      <c r="C336" s="440">
        <v>7.4839853753629559E-2</v>
      </c>
      <c r="D336" s="440">
        <v>0.35706817145704445</v>
      </c>
      <c r="E336" s="440">
        <f t="shared" si="154"/>
        <v>3.7398600397367994</v>
      </c>
      <c r="F336" s="441"/>
      <c r="G336" s="440">
        <v>1.8985677356577011</v>
      </c>
      <c r="H336" s="440">
        <v>6.0068162585768777E-3</v>
      </c>
      <c r="I336" s="440">
        <v>6.7746052597268097E-2</v>
      </c>
      <c r="J336" s="440">
        <f>SUM(G336:I336)</f>
        <v>1.9723206045135462</v>
      </c>
      <c r="K336" s="441"/>
      <c r="L336" s="440">
        <v>1.6747606675010145</v>
      </c>
      <c r="M336" s="440">
        <v>9.4199315674456437E-3</v>
      </c>
      <c r="N336" s="440">
        <v>8.3885429116162577E-2</v>
      </c>
      <c r="O336" s="440">
        <f t="shared" si="156"/>
        <v>1.7680660281846228</v>
      </c>
    </row>
    <row r="337" spans="1:15" s="351" customFormat="1" x14ac:dyDescent="0.2">
      <c r="A337" s="362" t="str">
        <f>name!E$9</f>
        <v>Caring, leisure and other service</v>
      </c>
      <c r="B337" s="440">
        <v>0.11393177907084918</v>
      </c>
      <c r="C337" s="440">
        <v>3.4641588610052794E-2</v>
      </c>
      <c r="D337" s="440">
        <v>9.9118778816735132E-3</v>
      </c>
      <c r="E337" s="440">
        <f t="shared" si="154"/>
        <v>0.15848524556257551</v>
      </c>
      <c r="F337" s="441"/>
      <c r="G337" s="440">
        <v>9.6752945008544339E-2</v>
      </c>
      <c r="H337" s="440">
        <v>8.8527784550906721E-3</v>
      </c>
      <c r="I337" s="440">
        <v>1.427542639069264E-2</v>
      </c>
      <c r="J337" s="440">
        <f t="shared" ref="J337:J340" si="157">SUM(G337:I337)</f>
        <v>0.11988114985432764</v>
      </c>
      <c r="K337" s="441"/>
      <c r="L337" s="440">
        <v>0.16930910094643048</v>
      </c>
      <c r="M337" s="440">
        <v>1.8124035457361305E-2</v>
      </c>
      <c r="N337" s="440">
        <v>3.8436265569972263E-3</v>
      </c>
      <c r="O337" s="440">
        <f t="shared" si="156"/>
        <v>0.19127676296078899</v>
      </c>
    </row>
    <row r="338" spans="1:15" s="351" customFormat="1" x14ac:dyDescent="0.2">
      <c r="A338" s="362" t="str">
        <f>name!E$10</f>
        <v>Sales and customer service</v>
      </c>
      <c r="B338" s="440">
        <v>0.16354894706121439</v>
      </c>
      <c r="C338" s="440">
        <v>3.8417868176689046E-2</v>
      </c>
      <c r="D338" s="440">
        <v>9.2980950555423547E-3</v>
      </c>
      <c r="E338" s="440">
        <f t="shared" si="154"/>
        <v>0.2112649102934458</v>
      </c>
      <c r="F338" s="441"/>
      <c r="G338" s="440">
        <v>0.14620115125169686</v>
      </c>
      <c r="H338" s="440">
        <v>1.4352416495547018E-2</v>
      </c>
      <c r="I338" s="440">
        <v>4.4725134033517262E-3</v>
      </c>
      <c r="J338" s="440">
        <f t="shared" si="157"/>
        <v>0.16502608115059561</v>
      </c>
      <c r="K338" s="441"/>
      <c r="L338" s="440">
        <v>0.15832221668203</v>
      </c>
      <c r="M338" s="440">
        <v>2.9537897937388136E-2</v>
      </c>
      <c r="N338" s="440">
        <v>4.0928592604364614E-3</v>
      </c>
      <c r="O338" s="440">
        <f t="shared" si="156"/>
        <v>0.1919529738798546</v>
      </c>
    </row>
    <row r="339" spans="1:15" s="351" customFormat="1" x14ac:dyDescent="0.2">
      <c r="A339" s="362" t="str">
        <f>name!E$11</f>
        <v>Process, plant and machine operatives</v>
      </c>
      <c r="B339" s="440">
        <v>6.0708701311337929</v>
      </c>
      <c r="C339" s="440">
        <v>0.26210594339192178</v>
      </c>
      <c r="D339" s="440">
        <v>0.19968594904226286</v>
      </c>
      <c r="E339" s="440">
        <f t="shared" si="154"/>
        <v>6.532662023567978</v>
      </c>
      <c r="F339" s="441"/>
      <c r="G339" s="440">
        <v>4.4588386663459918</v>
      </c>
      <c r="H339" s="440">
        <v>4.0048725082940176E-2</v>
      </c>
      <c r="I339" s="440">
        <v>2.4204279426234244E-2</v>
      </c>
      <c r="J339" s="440">
        <f t="shared" si="157"/>
        <v>4.5230916708551661</v>
      </c>
      <c r="K339" s="441"/>
      <c r="L339" s="440">
        <v>4.230500626444031</v>
      </c>
      <c r="M339" s="440">
        <v>8.8458929618798324E-2</v>
      </c>
      <c r="N339" s="440">
        <v>2.1741856153540063E-2</v>
      </c>
      <c r="O339" s="440">
        <f t="shared" si="156"/>
        <v>4.3407014122163687</v>
      </c>
    </row>
    <row r="340" spans="1:15" s="351" customFormat="1" x14ac:dyDescent="0.2">
      <c r="A340" s="362" t="str">
        <f>name!E$12</f>
        <v>Elementary occupations</v>
      </c>
      <c r="B340" s="440">
        <v>0.70193954577338746</v>
      </c>
      <c r="C340" s="440">
        <v>8.6188598367255814E-2</v>
      </c>
      <c r="D340" s="440">
        <v>1.9355581072815119E-2</v>
      </c>
      <c r="E340" s="440">
        <f t="shared" si="154"/>
        <v>0.80748372521345835</v>
      </c>
      <c r="F340" s="441"/>
      <c r="G340" s="440">
        <v>0.54052110330430847</v>
      </c>
      <c r="H340" s="440">
        <v>2.2693026355349147E-2</v>
      </c>
      <c r="I340" s="440">
        <v>1.4293966275575783E-2</v>
      </c>
      <c r="J340" s="440">
        <f t="shared" si="157"/>
        <v>0.57750809593523345</v>
      </c>
      <c r="K340" s="441"/>
      <c r="L340" s="440">
        <v>0.50619991602026992</v>
      </c>
      <c r="M340" s="440">
        <v>4.3145708490003841E-2</v>
      </c>
      <c r="N340" s="440">
        <v>1.0232593570571036E-2</v>
      </c>
      <c r="O340" s="440">
        <f t="shared" si="156"/>
        <v>0.55957821808084485</v>
      </c>
    </row>
    <row r="341" spans="1:15" s="351" customFormat="1" x14ac:dyDescent="0.2">
      <c r="A341" s="362"/>
      <c r="B341" s="440"/>
      <c r="C341" s="440"/>
      <c r="D341" s="440"/>
      <c r="E341" s="440"/>
      <c r="F341" s="441"/>
      <c r="G341" s="440"/>
      <c r="H341" s="440"/>
      <c r="I341" s="440"/>
      <c r="J341" s="440"/>
      <c r="K341" s="441"/>
      <c r="L341" s="440"/>
      <c r="M341" s="440"/>
      <c r="N341" s="440"/>
      <c r="O341" s="440"/>
    </row>
    <row r="342" spans="1:15" s="351" customFormat="1" x14ac:dyDescent="0.2">
      <c r="A342" s="357" t="s">
        <v>32</v>
      </c>
      <c r="B342" s="450">
        <f>SUM(B332:B340)</f>
        <v>12.823999999972859</v>
      </c>
      <c r="C342" s="450">
        <f t="shared" ref="C342:E342" si="158">SUM(C332:C340)</f>
        <v>0.79099999999733306</v>
      </c>
      <c r="D342" s="450">
        <f t="shared" si="158"/>
        <v>0.83300000000545671</v>
      </c>
      <c r="E342" s="450">
        <f t="shared" si="158"/>
        <v>14.44799999997565</v>
      </c>
      <c r="F342" s="450"/>
      <c r="G342" s="450">
        <f t="shared" ref="G342:J342" si="159">SUM(G332:G340)</f>
        <v>8.7570000000127202</v>
      </c>
      <c r="H342" s="450">
        <f t="shared" si="159"/>
        <v>0.2940000000046426</v>
      </c>
      <c r="I342" s="450">
        <f t="shared" si="159"/>
        <v>0.28000000000011838</v>
      </c>
      <c r="J342" s="450">
        <f t="shared" si="159"/>
        <v>9.3310000000174789</v>
      </c>
      <c r="K342" s="450"/>
      <c r="L342" s="450">
        <f t="shared" ref="L342:O342" si="160">SUM(L332:L340)</f>
        <v>8.6449999998720291</v>
      </c>
      <c r="M342" s="450">
        <f t="shared" si="160"/>
        <v>0.6960000000126757</v>
      </c>
      <c r="N342" s="450">
        <f t="shared" si="160"/>
        <v>0.30499999999831157</v>
      </c>
      <c r="O342" s="450">
        <f t="shared" si="160"/>
        <v>9.645999999883017</v>
      </c>
    </row>
    <row r="343" spans="1:15" s="351" customFormat="1" x14ac:dyDescent="0.2">
      <c r="A343" s="348"/>
      <c r="B343" s="348"/>
      <c r="C343" s="348"/>
      <c r="D343" s="348"/>
      <c r="E343" s="348"/>
      <c r="F343" s="348"/>
      <c r="G343" s="348"/>
      <c r="H343" s="348"/>
      <c r="I343" s="348"/>
      <c r="J343" s="348"/>
      <c r="K343" s="348"/>
      <c r="L343" s="348"/>
      <c r="M343" s="348"/>
      <c r="N343" s="353"/>
    </row>
    <row r="344" spans="1:15" s="351" customFormat="1" x14ac:dyDescent="0.2">
      <c r="A344" s="348"/>
      <c r="B344" s="348"/>
      <c r="C344" s="348"/>
      <c r="D344" s="348"/>
      <c r="E344" s="348"/>
      <c r="F344" s="348"/>
      <c r="G344" s="348"/>
      <c r="H344" s="348"/>
      <c r="I344" s="348"/>
      <c r="J344" s="348"/>
      <c r="K344" s="348"/>
      <c r="L344" s="348"/>
      <c r="M344" s="348"/>
      <c r="N344" s="353"/>
      <c r="O344" s="367" t="s">
        <v>35</v>
      </c>
    </row>
    <row r="345" spans="1:15" s="351" customFormat="1" x14ac:dyDescent="0.2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</row>
    <row r="346" spans="1:15" s="351" customFormat="1" x14ac:dyDescent="0.2">
      <c r="A346" s="354" t="str">
        <f>name!A23</f>
        <v>Other transport equipment</v>
      </c>
      <c r="B346" s="519">
        <f>$B$6</f>
        <v>2007</v>
      </c>
      <c r="C346" s="519"/>
      <c r="D346" s="519"/>
      <c r="E346" s="519"/>
      <c r="F346" s="380"/>
      <c r="G346" s="519">
        <f>$G$6</f>
        <v>2017</v>
      </c>
      <c r="H346" s="519"/>
      <c r="I346" s="519"/>
      <c r="J346" s="519"/>
      <c r="K346" s="380"/>
      <c r="L346" s="519">
        <f>$L$6</f>
        <v>2027</v>
      </c>
      <c r="M346" s="519"/>
      <c r="N346" s="519"/>
      <c r="O346" s="519"/>
    </row>
    <row r="347" spans="1:15" s="351" customFormat="1" x14ac:dyDescent="0.2">
      <c r="A347" s="370"/>
      <c r="B347" s="388" t="str">
        <f>$B$7</f>
        <v>FT</v>
      </c>
      <c r="C347" s="388" t="str">
        <f>$C$7</f>
        <v>PT</v>
      </c>
      <c r="D347" s="388" t="str">
        <f>$D$7</f>
        <v>SE</v>
      </c>
      <c r="E347" s="388" t="str">
        <f>$E$7</f>
        <v>Total</v>
      </c>
      <c r="F347" s="388"/>
      <c r="G347" s="388" t="str">
        <f>$G$7</f>
        <v>FT</v>
      </c>
      <c r="H347" s="388" t="str">
        <f>$H$7</f>
        <v>PT</v>
      </c>
      <c r="I347" s="388" t="str">
        <f>$I$7</f>
        <v>SE</v>
      </c>
      <c r="J347" s="388" t="str">
        <f>$J$7</f>
        <v>Total</v>
      </c>
      <c r="K347" s="388"/>
      <c r="L347" s="388" t="str">
        <f>$L$7</f>
        <v>FT</v>
      </c>
      <c r="M347" s="388" t="str">
        <f>$M$7</f>
        <v>PT</v>
      </c>
      <c r="N347" s="388" t="str">
        <f>$N$7</f>
        <v>SE</v>
      </c>
      <c r="O347" s="388" t="str">
        <f>$O$7</f>
        <v>Total</v>
      </c>
    </row>
    <row r="348" spans="1:15" s="351" customFormat="1" x14ac:dyDescent="0.2">
      <c r="A348" s="374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</row>
    <row r="349" spans="1:15" s="351" customFormat="1" x14ac:dyDescent="0.2">
      <c r="A349" s="362" t="str">
        <f>name!E$4</f>
        <v>Managers, directors and senior officials</v>
      </c>
      <c r="B349" s="440">
        <v>0.45066662709927685</v>
      </c>
      <c r="C349" s="440">
        <v>2.7023200592309983E-2</v>
      </c>
      <c r="D349" s="440">
        <v>6.9883217035636727E-2</v>
      </c>
      <c r="E349" s="440">
        <f>SUM(B349:D349)</f>
        <v>0.54757304472722357</v>
      </c>
      <c r="F349" s="441"/>
      <c r="G349" s="440">
        <v>0.46404674052677874</v>
      </c>
      <c r="H349" s="440">
        <v>1.9172274885936161E-2</v>
      </c>
      <c r="I349" s="440">
        <v>4.5055708755588869E-2</v>
      </c>
      <c r="J349" s="440">
        <f>SUM(G349:I349)</f>
        <v>0.52827472416830379</v>
      </c>
      <c r="K349" s="441"/>
      <c r="L349" s="440">
        <v>0.61232305374134577</v>
      </c>
      <c r="M349" s="440">
        <v>2.3971750515477154E-2</v>
      </c>
      <c r="N349" s="440">
        <v>6.0022964547229676E-2</v>
      </c>
      <c r="O349" s="440">
        <f>SUM(L349:N349)</f>
        <v>0.69631776880405261</v>
      </c>
    </row>
    <row r="350" spans="1:15" s="351" customFormat="1" x14ac:dyDescent="0.2">
      <c r="A350" s="362" t="str">
        <f>name!E$5</f>
        <v>Professional occupations</v>
      </c>
      <c r="B350" s="440">
        <v>1.0405061762891041</v>
      </c>
      <c r="C350" s="440">
        <v>3.4213268937105454E-2</v>
      </c>
      <c r="D350" s="440">
        <v>4.2638503839458081E-2</v>
      </c>
      <c r="E350" s="440">
        <f t="shared" ref="E350:E357" si="161">SUM(B350:D350)</f>
        <v>1.1173579490656678</v>
      </c>
      <c r="F350" s="441"/>
      <c r="G350" s="440">
        <v>1.116382038078193</v>
      </c>
      <c r="H350" s="440">
        <v>2.664905185154031E-2</v>
      </c>
      <c r="I350" s="440">
        <v>2.5034507121409415E-2</v>
      </c>
      <c r="J350" s="440">
        <f t="shared" ref="J350:J352" si="162">SUM(G350:I350)</f>
        <v>1.1680655970511427</v>
      </c>
      <c r="K350" s="441"/>
      <c r="L350" s="440">
        <v>1.4274647038368831</v>
      </c>
      <c r="M350" s="440">
        <v>3.3704929956285282E-2</v>
      </c>
      <c r="N350" s="440">
        <v>3.0937079580319847E-2</v>
      </c>
      <c r="O350" s="440">
        <f t="shared" ref="O350:O357" si="163">SUM(L350:N350)</f>
        <v>1.4921067133734882</v>
      </c>
    </row>
    <row r="351" spans="1:15" s="351" customFormat="1" x14ac:dyDescent="0.2">
      <c r="A351" s="362" t="str">
        <f>name!E$6</f>
        <v>Associate professional and technical</v>
      </c>
      <c r="B351" s="440">
        <v>0.88565311604104957</v>
      </c>
      <c r="C351" s="440">
        <v>2.6036662185386788E-2</v>
      </c>
      <c r="D351" s="440">
        <v>4.0123715195182534E-2</v>
      </c>
      <c r="E351" s="440">
        <f t="shared" si="161"/>
        <v>0.95181349342161892</v>
      </c>
      <c r="F351" s="441"/>
      <c r="G351" s="440">
        <v>0.77439450275366484</v>
      </c>
      <c r="H351" s="440">
        <v>1.3675220851421916E-2</v>
      </c>
      <c r="I351" s="440">
        <v>2.352134445866081E-2</v>
      </c>
      <c r="J351" s="440">
        <f t="shared" si="162"/>
        <v>0.81159106806374759</v>
      </c>
      <c r="K351" s="441"/>
      <c r="L351" s="440">
        <v>0.95871936133715374</v>
      </c>
      <c r="M351" s="440">
        <v>1.6838601593578702E-2</v>
      </c>
      <c r="N351" s="440">
        <v>2.8615991910329236E-2</v>
      </c>
      <c r="O351" s="440">
        <f t="shared" si="163"/>
        <v>1.0041739548410618</v>
      </c>
    </row>
    <row r="352" spans="1:15" s="351" customFormat="1" x14ac:dyDescent="0.2">
      <c r="A352" s="362" t="str">
        <f>name!E$7</f>
        <v>Administrative and secretarial</v>
      </c>
      <c r="B352" s="440">
        <v>0.34927486298300037</v>
      </c>
      <c r="C352" s="440">
        <v>0.1139885313518887</v>
      </c>
      <c r="D352" s="440">
        <v>7.6179171028164855E-3</v>
      </c>
      <c r="E352" s="440">
        <f t="shared" si="161"/>
        <v>0.47088131143770556</v>
      </c>
      <c r="F352" s="441"/>
      <c r="G352" s="440">
        <v>0.37445055132424315</v>
      </c>
      <c r="H352" s="440">
        <v>3.1554443676276238E-2</v>
      </c>
      <c r="I352" s="440">
        <v>9.0454537185799041E-3</v>
      </c>
      <c r="J352" s="440">
        <f t="shared" si="162"/>
        <v>0.4150504487190993</v>
      </c>
      <c r="K352" s="441"/>
      <c r="L352" s="440">
        <v>0.49386909432204873</v>
      </c>
      <c r="M352" s="440">
        <v>3.1641165412630623E-2</v>
      </c>
      <c r="N352" s="440">
        <v>7.8410505219332766E-3</v>
      </c>
      <c r="O352" s="440">
        <f t="shared" si="163"/>
        <v>0.53335131025661264</v>
      </c>
    </row>
    <row r="353" spans="1:15" s="351" customFormat="1" x14ac:dyDescent="0.2">
      <c r="A353" s="362" t="str">
        <f>name!E$8</f>
        <v>Skilled trades occupations</v>
      </c>
      <c r="B353" s="440">
        <v>3.3212135985181099</v>
      </c>
      <c r="C353" s="440">
        <v>2.3393797339643172E-2</v>
      </c>
      <c r="D353" s="440">
        <v>0.70930415056669072</v>
      </c>
      <c r="E353" s="440">
        <f t="shared" si="161"/>
        <v>4.0539115464244437</v>
      </c>
      <c r="F353" s="441"/>
      <c r="G353" s="440">
        <v>3.2575597405294752</v>
      </c>
      <c r="H353" s="440">
        <v>2.2252390606246061E-2</v>
      </c>
      <c r="I353" s="440">
        <v>0.22160214898305139</v>
      </c>
      <c r="J353" s="440">
        <f>SUM(G353:I353)</f>
        <v>3.5014142801187726</v>
      </c>
      <c r="K353" s="441"/>
      <c r="L353" s="440">
        <v>3.4560556742320205</v>
      </c>
      <c r="M353" s="440">
        <v>2.9772249913507246E-2</v>
      </c>
      <c r="N353" s="440">
        <v>0.26415441779200011</v>
      </c>
      <c r="O353" s="440">
        <f t="shared" si="163"/>
        <v>3.7499823419375278</v>
      </c>
    </row>
    <row r="354" spans="1:15" s="351" customFormat="1" x14ac:dyDescent="0.2">
      <c r="A354" s="362" t="str">
        <f>name!E$9</f>
        <v>Caring, leisure and other service</v>
      </c>
      <c r="B354" s="440">
        <v>1.4034606600134234E-2</v>
      </c>
      <c r="C354" s="440">
        <v>7.8217821104949875E-3</v>
      </c>
      <c r="D354" s="440">
        <v>3.8501544048524872E-3</v>
      </c>
      <c r="E354" s="440">
        <f t="shared" si="161"/>
        <v>2.5706543115481706E-2</v>
      </c>
      <c r="F354" s="441"/>
      <c r="G354" s="440">
        <v>2.2229026253401216E-2</v>
      </c>
      <c r="H354" s="440">
        <v>3.5929741752017698E-3</v>
      </c>
      <c r="I354" s="440">
        <v>2.7832067210575673E-3</v>
      </c>
      <c r="J354" s="440">
        <f t="shared" ref="J354:J357" si="164">SUM(G354:I354)</f>
        <v>2.8605207149660552E-2</v>
      </c>
      <c r="K354" s="441"/>
      <c r="L354" s="440">
        <v>3.4222126628758384E-2</v>
      </c>
      <c r="M354" s="440">
        <v>2.1917131469439441E-3</v>
      </c>
      <c r="N354" s="440">
        <v>3.2730232242152405E-3</v>
      </c>
      <c r="O354" s="440">
        <f t="shared" si="163"/>
        <v>3.9686862999917569E-2</v>
      </c>
    </row>
    <row r="355" spans="1:15" s="351" customFormat="1" x14ac:dyDescent="0.2">
      <c r="A355" s="362" t="str">
        <f>name!E$10</f>
        <v>Sales and customer service</v>
      </c>
      <c r="B355" s="440">
        <v>6.7671211048023899E-2</v>
      </c>
      <c r="C355" s="440">
        <v>2.3981136830884757E-2</v>
      </c>
      <c r="D355" s="440">
        <v>4.0742043522334478E-3</v>
      </c>
      <c r="E355" s="440">
        <f t="shared" si="161"/>
        <v>9.5726552231142112E-2</v>
      </c>
      <c r="F355" s="441"/>
      <c r="G355" s="440">
        <v>7.8386471467086979E-2</v>
      </c>
      <c r="H355" s="440">
        <v>1.7100942453851894E-2</v>
      </c>
      <c r="I355" s="440">
        <v>4.9268664807575061E-3</v>
      </c>
      <c r="J355" s="440">
        <f t="shared" si="164"/>
        <v>0.10041428040169638</v>
      </c>
      <c r="K355" s="441"/>
      <c r="L355" s="440">
        <v>9.4213073213080312E-2</v>
      </c>
      <c r="M355" s="440">
        <v>8.0975908493903931E-3</v>
      </c>
      <c r="N355" s="440">
        <v>6.0023584503522669E-3</v>
      </c>
      <c r="O355" s="440">
        <f t="shared" si="163"/>
        <v>0.10831302251282297</v>
      </c>
    </row>
    <row r="356" spans="1:15" s="351" customFormat="1" x14ac:dyDescent="0.2">
      <c r="A356" s="362" t="str">
        <f>name!E$11</f>
        <v>Process, plant and machine operatives</v>
      </c>
      <c r="B356" s="440">
        <v>2.5931041291264698</v>
      </c>
      <c r="C356" s="440">
        <v>4.0334662504925421E-2</v>
      </c>
      <c r="D356" s="440">
        <v>0.14673069466085276</v>
      </c>
      <c r="E356" s="440">
        <f t="shared" si="161"/>
        <v>2.7801694862922477</v>
      </c>
      <c r="F356" s="441"/>
      <c r="G356" s="440">
        <v>3.1269061351370566</v>
      </c>
      <c r="H356" s="440">
        <v>3.9878459938626147E-2</v>
      </c>
      <c r="I356" s="440">
        <v>6.3077847337739773E-2</v>
      </c>
      <c r="J356" s="440">
        <f t="shared" si="164"/>
        <v>3.2298624424134226</v>
      </c>
      <c r="K356" s="441"/>
      <c r="L356" s="440">
        <v>3.4026506798830138</v>
      </c>
      <c r="M356" s="440">
        <v>5.3475902384744353E-2</v>
      </c>
      <c r="N356" s="440">
        <v>6.6753367092363111E-2</v>
      </c>
      <c r="O356" s="440">
        <f t="shared" si="163"/>
        <v>3.5228799493601213</v>
      </c>
    </row>
    <row r="357" spans="1:15" s="351" customFormat="1" x14ac:dyDescent="0.2">
      <c r="A357" s="362" t="str">
        <f>name!E$12</f>
        <v>Elementary occupations</v>
      </c>
      <c r="B357" s="440">
        <v>0.26787567228348619</v>
      </c>
      <c r="C357" s="440">
        <v>7.1206958145871996E-2</v>
      </c>
      <c r="D357" s="440">
        <v>4.0777442862454154E-2</v>
      </c>
      <c r="E357" s="440">
        <f t="shared" si="161"/>
        <v>0.37986007329181232</v>
      </c>
      <c r="F357" s="441"/>
      <c r="G357" s="440">
        <v>0.2546447939225811</v>
      </c>
      <c r="H357" s="440">
        <v>2.8124241562863431E-2</v>
      </c>
      <c r="I357" s="440">
        <v>3.295291642713441E-2</v>
      </c>
      <c r="J357" s="440">
        <f t="shared" si="164"/>
        <v>0.3157219519125789</v>
      </c>
      <c r="K357" s="441"/>
      <c r="L357" s="440">
        <v>0.26748223267958554</v>
      </c>
      <c r="M357" s="440">
        <v>3.6306096227502978E-2</v>
      </c>
      <c r="N357" s="440">
        <v>3.6399746887229703E-2</v>
      </c>
      <c r="O357" s="440">
        <f t="shared" si="163"/>
        <v>0.3401880757943182</v>
      </c>
    </row>
    <row r="358" spans="1:15" s="351" customFormat="1" x14ac:dyDescent="0.2">
      <c r="A358" s="362"/>
      <c r="B358" s="440"/>
      <c r="C358" s="440"/>
      <c r="D358" s="440"/>
      <c r="E358" s="440"/>
      <c r="F358" s="441"/>
      <c r="G358" s="440"/>
      <c r="H358" s="440"/>
      <c r="I358" s="440"/>
      <c r="J358" s="440"/>
      <c r="K358" s="441"/>
      <c r="L358" s="440"/>
      <c r="M358" s="440"/>
      <c r="N358" s="440"/>
      <c r="O358" s="440"/>
    </row>
    <row r="359" spans="1:15" s="351" customFormat="1" x14ac:dyDescent="0.2">
      <c r="A359" s="357" t="s">
        <v>32</v>
      </c>
      <c r="B359" s="450">
        <f>SUM(B349:B357)</f>
        <v>8.9899999999886546</v>
      </c>
      <c r="C359" s="450">
        <f t="shared" ref="C359:E359" si="165">SUM(C349:C357)</f>
        <v>0.36799999999851118</v>
      </c>
      <c r="D359" s="450">
        <f t="shared" si="165"/>
        <v>1.0650000000201774</v>
      </c>
      <c r="E359" s="450">
        <f t="shared" si="165"/>
        <v>10.423000000007344</v>
      </c>
      <c r="F359" s="450"/>
      <c r="G359" s="450">
        <f t="shared" ref="G359:J359" si="166">SUM(G349:G357)</f>
        <v>9.4689999999924819</v>
      </c>
      <c r="H359" s="450">
        <f t="shared" si="166"/>
        <v>0.20200000000196394</v>
      </c>
      <c r="I359" s="450">
        <f t="shared" si="166"/>
        <v>0.42800000000397964</v>
      </c>
      <c r="J359" s="450">
        <f t="shared" si="166"/>
        <v>10.098999999998425</v>
      </c>
      <c r="K359" s="450"/>
      <c r="L359" s="450">
        <f t="shared" ref="L359:O359" si="167">SUM(L349:L357)</f>
        <v>10.746999999873889</v>
      </c>
      <c r="M359" s="450">
        <f t="shared" si="167"/>
        <v>0.23600000000006066</v>
      </c>
      <c r="N359" s="450">
        <f t="shared" si="167"/>
        <v>0.50400000000597245</v>
      </c>
      <c r="O359" s="450">
        <f t="shared" si="167"/>
        <v>11.486999999879922</v>
      </c>
    </row>
    <row r="360" spans="1:15" s="351" customFormat="1" x14ac:dyDescent="0.2">
      <c r="A360" s="348"/>
      <c r="B360" s="348"/>
      <c r="C360" s="348"/>
      <c r="D360" s="348"/>
      <c r="E360" s="348"/>
      <c r="F360" s="348"/>
      <c r="G360" s="348"/>
      <c r="H360" s="348"/>
      <c r="I360" s="348"/>
      <c r="J360" s="348"/>
      <c r="K360" s="348"/>
      <c r="L360" s="348"/>
      <c r="M360" s="348"/>
      <c r="N360" s="353"/>
    </row>
    <row r="361" spans="1:15" s="351" customFormat="1" x14ac:dyDescent="0.2">
      <c r="A361" s="348"/>
      <c r="B361" s="348"/>
      <c r="C361" s="348"/>
      <c r="D361" s="348"/>
      <c r="E361" s="348"/>
      <c r="F361" s="348"/>
      <c r="G361" s="348"/>
      <c r="H361" s="348"/>
      <c r="I361" s="348"/>
      <c r="J361" s="348"/>
      <c r="K361" s="348"/>
      <c r="L361" s="348"/>
      <c r="M361" s="348"/>
      <c r="N361" s="353"/>
      <c r="O361" s="367" t="s">
        <v>35</v>
      </c>
    </row>
    <row r="362" spans="1:15" s="351" customFormat="1" x14ac:dyDescent="0.2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</row>
    <row r="363" spans="1:15" s="351" customFormat="1" x14ac:dyDescent="0.2">
      <c r="A363" s="354" t="str">
        <f>name!A24</f>
        <v>Furniture</v>
      </c>
      <c r="B363" s="519">
        <f>$B$6</f>
        <v>2007</v>
      </c>
      <c r="C363" s="519"/>
      <c r="D363" s="519"/>
      <c r="E363" s="519"/>
      <c r="F363" s="380"/>
      <c r="G363" s="519">
        <f>$G$6</f>
        <v>2017</v>
      </c>
      <c r="H363" s="519"/>
      <c r="I363" s="519"/>
      <c r="J363" s="519"/>
      <c r="K363" s="380"/>
      <c r="L363" s="519">
        <f>$L$6</f>
        <v>2027</v>
      </c>
      <c r="M363" s="519"/>
      <c r="N363" s="519"/>
      <c r="O363" s="519"/>
    </row>
    <row r="364" spans="1:15" s="351" customFormat="1" x14ac:dyDescent="0.2">
      <c r="A364" s="370"/>
      <c r="B364" s="388" t="str">
        <f>$B$7</f>
        <v>FT</v>
      </c>
      <c r="C364" s="388" t="str">
        <f>$C$7</f>
        <v>PT</v>
      </c>
      <c r="D364" s="388" t="str">
        <f>$D$7</f>
        <v>SE</v>
      </c>
      <c r="E364" s="388" t="str">
        <f>$E$7</f>
        <v>Total</v>
      </c>
      <c r="F364" s="388"/>
      <c r="G364" s="388" t="str">
        <f>$G$7</f>
        <v>FT</v>
      </c>
      <c r="H364" s="388" t="str">
        <f>$H$7</f>
        <v>PT</v>
      </c>
      <c r="I364" s="388" t="str">
        <f>$I$7</f>
        <v>SE</v>
      </c>
      <c r="J364" s="388" t="str">
        <f>$J$7</f>
        <v>Total</v>
      </c>
      <c r="K364" s="388"/>
      <c r="L364" s="388" t="str">
        <f>$L$7</f>
        <v>FT</v>
      </c>
      <c r="M364" s="388" t="str">
        <f>$M$7</f>
        <v>PT</v>
      </c>
      <c r="N364" s="388" t="str">
        <f>$N$7</f>
        <v>SE</v>
      </c>
      <c r="O364" s="388" t="str">
        <f>$O$7</f>
        <v>Total</v>
      </c>
    </row>
    <row r="365" spans="1:15" s="351" customFormat="1" x14ac:dyDescent="0.2">
      <c r="A365" s="374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</row>
    <row r="366" spans="1:15" s="351" customFormat="1" x14ac:dyDescent="0.2">
      <c r="A366" s="362" t="str">
        <f>name!E$4</f>
        <v>Managers, directors and senior officials</v>
      </c>
      <c r="B366" s="440">
        <v>0.24389834563570484</v>
      </c>
      <c r="C366" s="440">
        <v>5.3550333880319967E-3</v>
      </c>
      <c r="D366" s="440">
        <v>4.73282817299202E-2</v>
      </c>
      <c r="E366" s="440">
        <f>SUM(B366:D366)</f>
        <v>0.29658166075365705</v>
      </c>
      <c r="F366" s="441"/>
      <c r="G366" s="440">
        <v>0.2454791980219885</v>
      </c>
      <c r="H366" s="440">
        <v>2.7052292025839579E-2</v>
      </c>
      <c r="I366" s="440">
        <v>5.5709693996151805E-2</v>
      </c>
      <c r="J366" s="440">
        <f>SUM(G366:I366)</f>
        <v>0.32824118404397984</v>
      </c>
      <c r="K366" s="441"/>
      <c r="L366" s="440">
        <v>0.28863218018794357</v>
      </c>
      <c r="M366" s="440">
        <v>3.5807132014836908E-2</v>
      </c>
      <c r="N366" s="440">
        <v>6.9195958479366854E-2</v>
      </c>
      <c r="O366" s="440">
        <f>SUM(L366:N366)</f>
        <v>0.39363527068214732</v>
      </c>
    </row>
    <row r="367" spans="1:15" s="351" customFormat="1" x14ac:dyDescent="0.2">
      <c r="A367" s="362" t="str">
        <f>name!E$5</f>
        <v>Professional occupations</v>
      </c>
      <c r="B367" s="440">
        <v>0.25701822742639252</v>
      </c>
      <c r="C367" s="440">
        <v>4.4523062017984942E-3</v>
      </c>
      <c r="D367" s="440">
        <v>9.750786822221344E-3</v>
      </c>
      <c r="E367" s="440">
        <f t="shared" ref="E367:E374" si="168">SUM(B367:D367)</f>
        <v>0.27122132045041236</v>
      </c>
      <c r="F367" s="441"/>
      <c r="G367" s="440">
        <v>0.26586603943837545</v>
      </c>
      <c r="H367" s="440">
        <v>1.9326145014473377E-2</v>
      </c>
      <c r="I367" s="440">
        <v>1.6504308586200885E-2</v>
      </c>
      <c r="J367" s="440">
        <f t="shared" ref="J367:J369" si="169">SUM(G367:I367)</f>
        <v>0.30169649303904972</v>
      </c>
      <c r="K367" s="441"/>
      <c r="L367" s="440">
        <v>0.30576858351294312</v>
      </c>
      <c r="M367" s="440">
        <v>2.4438752204673345E-2</v>
      </c>
      <c r="N367" s="440">
        <v>2.2439534497789154E-2</v>
      </c>
      <c r="O367" s="440">
        <f t="shared" ref="O367:O374" si="170">SUM(L367:N367)</f>
        <v>0.35264687021540564</v>
      </c>
    </row>
    <row r="368" spans="1:15" s="351" customFormat="1" x14ac:dyDescent="0.2">
      <c r="A368" s="362" t="str">
        <f>name!E$6</f>
        <v>Associate professional and technical</v>
      </c>
      <c r="B368" s="440">
        <v>0.37683207305037042</v>
      </c>
      <c r="C368" s="440">
        <v>9.5244420299856834E-3</v>
      </c>
      <c r="D368" s="440">
        <v>1.9408071958570323E-2</v>
      </c>
      <c r="E368" s="440">
        <f t="shared" si="168"/>
        <v>0.40576458703892643</v>
      </c>
      <c r="F368" s="441"/>
      <c r="G368" s="440">
        <v>0.31254113843918829</v>
      </c>
      <c r="H368" s="440">
        <v>3.6528587627916123E-2</v>
      </c>
      <c r="I368" s="440">
        <v>5.140215776181193E-2</v>
      </c>
      <c r="J368" s="440">
        <f t="shared" si="169"/>
        <v>0.40047188382891635</v>
      </c>
      <c r="K368" s="441"/>
      <c r="L368" s="440">
        <v>0.34568117062129944</v>
      </c>
      <c r="M368" s="440">
        <v>4.1895956630140035E-2</v>
      </c>
      <c r="N368" s="440">
        <v>6.7485947997725615E-2</v>
      </c>
      <c r="O368" s="440">
        <f t="shared" si="170"/>
        <v>0.45506307524916506</v>
      </c>
    </row>
    <row r="369" spans="1:15" s="351" customFormat="1" x14ac:dyDescent="0.2">
      <c r="A369" s="362" t="str">
        <f>name!E$7</f>
        <v>Administrative and secretarial</v>
      </c>
      <c r="B369" s="440">
        <v>0.56110222024228595</v>
      </c>
      <c r="C369" s="440">
        <v>5.8975679893438382E-2</v>
      </c>
      <c r="D369" s="440">
        <v>5.7898403197626392E-3</v>
      </c>
      <c r="E369" s="440">
        <f t="shared" si="168"/>
        <v>0.62586774045548699</v>
      </c>
      <c r="F369" s="441"/>
      <c r="G369" s="440">
        <v>0.60858834468639267</v>
      </c>
      <c r="H369" s="440">
        <v>0.18055925804665626</v>
      </c>
      <c r="I369" s="440">
        <v>3.3507207932248595E-2</v>
      </c>
      <c r="J369" s="440">
        <f t="shared" si="169"/>
        <v>0.82265481066529755</v>
      </c>
      <c r="K369" s="441"/>
      <c r="L369" s="440">
        <v>0.56163228355443884</v>
      </c>
      <c r="M369" s="440">
        <v>0.1711763684878494</v>
      </c>
      <c r="N369" s="440">
        <v>3.4864395476789219E-2</v>
      </c>
      <c r="O369" s="440">
        <f t="shared" si="170"/>
        <v>0.7676730475190775</v>
      </c>
    </row>
    <row r="370" spans="1:15" s="351" customFormat="1" x14ac:dyDescent="0.2">
      <c r="A370" s="362" t="str">
        <f>name!E$8</f>
        <v>Skilled trades occupations</v>
      </c>
      <c r="B370" s="440">
        <v>1.6798279875811482</v>
      </c>
      <c r="C370" s="440">
        <v>1.7689643192365566E-2</v>
      </c>
      <c r="D370" s="440">
        <v>0.63732103997638012</v>
      </c>
      <c r="E370" s="440">
        <f t="shared" si="168"/>
        <v>2.3348386707498938</v>
      </c>
      <c r="F370" s="441"/>
      <c r="G370" s="440">
        <v>2.2232515818948966</v>
      </c>
      <c r="H370" s="440">
        <v>7.9357605178474566E-2</v>
      </c>
      <c r="I370" s="440">
        <v>0.36828552642049767</v>
      </c>
      <c r="J370" s="440">
        <f>SUM(G370:I370)</f>
        <v>2.670894713493869</v>
      </c>
      <c r="K370" s="441"/>
      <c r="L370" s="440">
        <v>1.9704423162846902</v>
      </c>
      <c r="M370" s="440">
        <v>8.1802105170822051E-2</v>
      </c>
      <c r="N370" s="440">
        <v>0.2869658774148599</v>
      </c>
      <c r="O370" s="440">
        <f t="shared" si="170"/>
        <v>2.339210298870372</v>
      </c>
    </row>
    <row r="371" spans="1:15" s="351" customFormat="1" x14ac:dyDescent="0.2">
      <c r="A371" s="362" t="str">
        <f>name!E$9</f>
        <v>Caring, leisure and other service</v>
      </c>
      <c r="B371" s="440">
        <v>3.6241611065308162E-2</v>
      </c>
      <c r="C371" s="440">
        <v>5.5135246008709811E-3</v>
      </c>
      <c r="D371" s="440">
        <v>4.414223711510676E-3</v>
      </c>
      <c r="E371" s="440">
        <f t="shared" si="168"/>
        <v>4.6169359377689824E-2</v>
      </c>
      <c r="F371" s="441"/>
      <c r="G371" s="440">
        <v>3.3109631451249254E-2</v>
      </c>
      <c r="H371" s="440">
        <v>1.3508157010251104E-2</v>
      </c>
      <c r="I371" s="440">
        <v>1.7202611377161565E-2</v>
      </c>
      <c r="J371" s="440">
        <f t="shared" ref="J371:J374" si="171">SUM(G371:I371)</f>
        <v>6.3820399838661918E-2</v>
      </c>
      <c r="K371" s="441"/>
      <c r="L371" s="440">
        <v>3.7972818594687055E-2</v>
      </c>
      <c r="M371" s="440">
        <v>1.4937876848970345E-2</v>
      </c>
      <c r="N371" s="440">
        <v>2.2049897007361693E-2</v>
      </c>
      <c r="O371" s="440">
        <f t="shared" si="170"/>
        <v>7.496059245101909E-2</v>
      </c>
    </row>
    <row r="372" spans="1:15" s="351" customFormat="1" x14ac:dyDescent="0.2">
      <c r="A372" s="362" t="str">
        <f>name!E$10</f>
        <v>Sales and customer service</v>
      </c>
      <c r="B372" s="440">
        <v>0.12283055272056422</v>
      </c>
      <c r="C372" s="440">
        <v>1.5864292452751651E-2</v>
      </c>
      <c r="D372" s="440">
        <v>4.6740032012322899E-3</v>
      </c>
      <c r="E372" s="440">
        <f t="shared" si="168"/>
        <v>0.14336884837454816</v>
      </c>
      <c r="F372" s="441"/>
      <c r="G372" s="440">
        <v>0.169804041309254</v>
      </c>
      <c r="H372" s="440">
        <v>5.7817068607022362E-2</v>
      </c>
      <c r="I372" s="440">
        <v>9.3352861739641434E-3</v>
      </c>
      <c r="J372" s="440">
        <f t="shared" si="171"/>
        <v>0.23695639609024052</v>
      </c>
      <c r="K372" s="441"/>
      <c r="L372" s="440">
        <v>0.16414602683174231</v>
      </c>
      <c r="M372" s="440">
        <v>6.3642419976794734E-2</v>
      </c>
      <c r="N372" s="440">
        <v>1.1096959886300758E-2</v>
      </c>
      <c r="O372" s="440">
        <f t="shared" si="170"/>
        <v>0.23888540669483782</v>
      </c>
    </row>
    <row r="373" spans="1:15" s="351" customFormat="1" x14ac:dyDescent="0.2">
      <c r="A373" s="362" t="str">
        <f>name!E$11</f>
        <v>Process, plant and machine operatives</v>
      </c>
      <c r="B373" s="440">
        <v>1.3298131412134411</v>
      </c>
      <c r="C373" s="440">
        <v>4.4025109645754762E-2</v>
      </c>
      <c r="D373" s="440">
        <v>6.711849078342727E-2</v>
      </c>
      <c r="E373" s="440">
        <f t="shared" si="168"/>
        <v>1.440956741642623</v>
      </c>
      <c r="F373" s="441"/>
      <c r="G373" s="440">
        <v>1.2093006127488539</v>
      </c>
      <c r="H373" s="440">
        <v>0.12965185885788685</v>
      </c>
      <c r="I373" s="440">
        <v>5.2071338445155206E-2</v>
      </c>
      <c r="J373" s="440">
        <f t="shared" si="171"/>
        <v>1.3910238100518959</v>
      </c>
      <c r="K373" s="441"/>
      <c r="L373" s="440">
        <v>1.0319242533961619</v>
      </c>
      <c r="M373" s="440">
        <v>0.1195164526454132</v>
      </c>
      <c r="N373" s="440">
        <v>5.3938785444748831E-2</v>
      </c>
      <c r="O373" s="440">
        <f t="shared" si="170"/>
        <v>1.2053794914863238</v>
      </c>
    </row>
    <row r="374" spans="1:15" s="351" customFormat="1" x14ac:dyDescent="0.2">
      <c r="A374" s="362" t="str">
        <f>name!E$12</f>
        <v>Elementary occupations</v>
      </c>
      <c r="B374" s="440">
        <v>0.44543584103622025</v>
      </c>
      <c r="C374" s="440">
        <v>2.5599968594019817E-2</v>
      </c>
      <c r="D374" s="440">
        <v>1.5195261503235483E-2</v>
      </c>
      <c r="E374" s="440">
        <f t="shared" si="168"/>
        <v>0.48623107113347552</v>
      </c>
      <c r="F374" s="441"/>
      <c r="G374" s="440">
        <v>0.52505941201275919</v>
      </c>
      <c r="H374" s="440">
        <v>8.9199027641651649E-2</v>
      </c>
      <c r="I374" s="440">
        <v>2.4981869311832824E-2</v>
      </c>
      <c r="J374" s="440">
        <f t="shared" si="171"/>
        <v>0.63924030896624362</v>
      </c>
      <c r="K374" s="441"/>
      <c r="L374" s="440">
        <v>0.49680036693828905</v>
      </c>
      <c r="M374" s="440">
        <v>0.10478293602277432</v>
      </c>
      <c r="N374" s="440">
        <v>2.8962643800766203E-2</v>
      </c>
      <c r="O374" s="440">
        <f t="shared" si="170"/>
        <v>0.63054594676182951</v>
      </c>
    </row>
    <row r="375" spans="1:15" s="351" customFormat="1" x14ac:dyDescent="0.2">
      <c r="A375" s="362"/>
      <c r="B375" s="440"/>
      <c r="C375" s="440"/>
      <c r="D375" s="440"/>
      <c r="E375" s="440"/>
      <c r="F375" s="441"/>
      <c r="G375" s="440"/>
      <c r="H375" s="440"/>
      <c r="I375" s="440"/>
      <c r="J375" s="440"/>
      <c r="K375" s="441"/>
      <c r="L375" s="440"/>
      <c r="M375" s="440"/>
      <c r="N375" s="440"/>
      <c r="O375" s="440"/>
    </row>
    <row r="376" spans="1:15" s="351" customFormat="1" x14ac:dyDescent="0.2">
      <c r="A376" s="357" t="s">
        <v>32</v>
      </c>
      <c r="B376" s="450">
        <f>SUM(B366:B374)</f>
        <v>5.0529999999714352</v>
      </c>
      <c r="C376" s="450">
        <f t="shared" ref="C376:E376" si="172">SUM(C366:C374)</f>
        <v>0.18699999999901731</v>
      </c>
      <c r="D376" s="450">
        <f t="shared" si="172"/>
        <v>0.81100000000626027</v>
      </c>
      <c r="E376" s="450">
        <f t="shared" si="172"/>
        <v>6.050999999976713</v>
      </c>
      <c r="F376" s="450"/>
      <c r="G376" s="450">
        <f t="shared" ref="G376:J376" si="173">SUM(G366:G374)</f>
        <v>5.5930000000029576</v>
      </c>
      <c r="H376" s="450">
        <f t="shared" si="173"/>
        <v>0.63300000001017187</v>
      </c>
      <c r="I376" s="450">
        <f t="shared" si="173"/>
        <v>0.62900000000502465</v>
      </c>
      <c r="J376" s="450">
        <f t="shared" si="173"/>
        <v>6.8550000000181548</v>
      </c>
      <c r="K376" s="450"/>
      <c r="L376" s="450">
        <f t="shared" ref="L376:O376" si="174">SUM(L366:L374)</f>
        <v>5.2029999999221959</v>
      </c>
      <c r="M376" s="450">
        <f t="shared" si="174"/>
        <v>0.65800000000227432</v>
      </c>
      <c r="N376" s="450">
        <f t="shared" si="174"/>
        <v>0.59700000000570819</v>
      </c>
      <c r="O376" s="450">
        <f t="shared" si="174"/>
        <v>6.4579999999301769</v>
      </c>
    </row>
    <row r="377" spans="1:15" s="351" customFormat="1" x14ac:dyDescent="0.2">
      <c r="A377" s="348"/>
      <c r="B377" s="348"/>
      <c r="C377" s="348"/>
      <c r="D377" s="348"/>
      <c r="E377" s="348"/>
      <c r="F377" s="348"/>
      <c r="G377" s="348"/>
      <c r="H377" s="348"/>
      <c r="I377" s="348"/>
      <c r="J377" s="348"/>
      <c r="K377" s="348"/>
      <c r="L377" s="348"/>
      <c r="M377" s="348"/>
      <c r="N377" s="353"/>
    </row>
    <row r="378" spans="1:15" s="351" customFormat="1" x14ac:dyDescent="0.2">
      <c r="A378" s="348"/>
      <c r="B378" s="348"/>
      <c r="C378" s="348"/>
      <c r="D378" s="348"/>
      <c r="E378" s="348"/>
      <c r="F378" s="348"/>
      <c r="G378" s="348"/>
      <c r="H378" s="348"/>
      <c r="I378" s="348"/>
      <c r="J378" s="348"/>
      <c r="K378" s="348"/>
      <c r="L378" s="348"/>
      <c r="M378" s="348"/>
      <c r="N378" s="353"/>
      <c r="O378" s="367" t="s">
        <v>35</v>
      </c>
    </row>
    <row r="379" spans="1:15" s="351" customFormat="1" x14ac:dyDescent="0.2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</row>
    <row r="380" spans="1:15" s="351" customFormat="1" x14ac:dyDescent="0.2">
      <c r="A380" s="354" t="str">
        <f>name!A25</f>
        <v>Other manufacturing</v>
      </c>
      <c r="B380" s="519">
        <f>$B$6</f>
        <v>2007</v>
      </c>
      <c r="C380" s="519"/>
      <c r="D380" s="519"/>
      <c r="E380" s="519"/>
      <c r="F380" s="380"/>
      <c r="G380" s="519">
        <f>$G$6</f>
        <v>2017</v>
      </c>
      <c r="H380" s="519"/>
      <c r="I380" s="519"/>
      <c r="J380" s="519"/>
      <c r="K380" s="380"/>
      <c r="L380" s="519">
        <f>$L$6</f>
        <v>2027</v>
      </c>
      <c r="M380" s="519"/>
      <c r="N380" s="519"/>
      <c r="O380" s="519"/>
    </row>
    <row r="381" spans="1:15" s="351" customFormat="1" x14ac:dyDescent="0.2">
      <c r="A381" s="370"/>
      <c r="B381" s="388" t="str">
        <f>$B$7</f>
        <v>FT</v>
      </c>
      <c r="C381" s="388" t="str">
        <f>$C$7</f>
        <v>PT</v>
      </c>
      <c r="D381" s="388" t="str">
        <f>$D$7</f>
        <v>SE</v>
      </c>
      <c r="E381" s="388" t="str">
        <f>$E$7</f>
        <v>Total</v>
      </c>
      <c r="F381" s="388"/>
      <c r="G381" s="388" t="str">
        <f>$G$7</f>
        <v>FT</v>
      </c>
      <c r="H381" s="388" t="str">
        <f>$H$7</f>
        <v>PT</v>
      </c>
      <c r="I381" s="388" t="str">
        <f>$I$7</f>
        <v>SE</v>
      </c>
      <c r="J381" s="388" t="str">
        <f>$J$7</f>
        <v>Total</v>
      </c>
      <c r="K381" s="388"/>
      <c r="L381" s="388" t="str">
        <f>$L$7</f>
        <v>FT</v>
      </c>
      <c r="M381" s="388" t="str">
        <f>$M$7</f>
        <v>PT</v>
      </c>
      <c r="N381" s="388" t="str">
        <f>$N$7</f>
        <v>SE</v>
      </c>
      <c r="O381" s="388" t="str">
        <f>$O$7</f>
        <v>Total</v>
      </c>
    </row>
    <row r="382" spans="1:15" s="351" customFormat="1" x14ac:dyDescent="0.2">
      <c r="A382" s="374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</row>
    <row r="383" spans="1:15" s="351" customFormat="1" x14ac:dyDescent="0.2">
      <c r="A383" s="362" t="str">
        <f>name!E$4</f>
        <v>Managers, directors and senior officials</v>
      </c>
      <c r="B383" s="440">
        <v>0.32150335388647744</v>
      </c>
      <c r="C383" s="440">
        <v>1.5477719314037129E-2</v>
      </c>
      <c r="D383" s="440">
        <v>6.1396362522907387E-2</v>
      </c>
      <c r="E383" s="440">
        <f>SUM(B383:D383)</f>
        <v>0.39837743572342194</v>
      </c>
      <c r="F383" s="441"/>
      <c r="G383" s="440">
        <v>0.23173262628309294</v>
      </c>
      <c r="H383" s="440">
        <v>1.3859197934058796E-2</v>
      </c>
      <c r="I383" s="440">
        <v>7.2489716289928813E-2</v>
      </c>
      <c r="J383" s="440">
        <f>SUM(G383:I383)</f>
        <v>0.31808154050708054</v>
      </c>
      <c r="K383" s="441"/>
      <c r="L383" s="440">
        <v>0.25220427828797387</v>
      </c>
      <c r="M383" s="440">
        <v>1.9726881747318122E-2</v>
      </c>
      <c r="N383" s="440">
        <v>9.232039432789424E-2</v>
      </c>
      <c r="O383" s="440">
        <f>SUM(L383:N383)</f>
        <v>0.36425155436318624</v>
      </c>
    </row>
    <row r="384" spans="1:15" s="351" customFormat="1" x14ac:dyDescent="0.2">
      <c r="A384" s="362" t="str">
        <f>name!E$5</f>
        <v>Professional occupations</v>
      </c>
      <c r="B384" s="440">
        <v>0.34743025694982682</v>
      </c>
      <c r="C384" s="440">
        <v>1.3880561243006096E-2</v>
      </c>
      <c r="D384" s="440">
        <v>1.4968354441550485E-2</v>
      </c>
      <c r="E384" s="440">
        <f t="shared" ref="E384:E391" si="175">SUM(B384:D384)</f>
        <v>0.37627917263438337</v>
      </c>
      <c r="F384" s="441"/>
      <c r="G384" s="440">
        <v>0.26114772688974247</v>
      </c>
      <c r="H384" s="440">
        <v>1.068688055511415E-2</v>
      </c>
      <c r="I384" s="440">
        <v>2.3031123573266327E-2</v>
      </c>
      <c r="J384" s="440">
        <f t="shared" ref="J384:J386" si="176">SUM(G384:I384)</f>
        <v>0.29486573101812291</v>
      </c>
      <c r="K384" s="441"/>
      <c r="L384" s="440">
        <v>0.2776045173405603</v>
      </c>
      <c r="M384" s="440">
        <v>1.4730596869119972E-2</v>
      </c>
      <c r="N384" s="440">
        <v>3.217603629707718E-2</v>
      </c>
      <c r="O384" s="440">
        <f t="shared" ref="O384:O391" si="177">SUM(L384:N384)</f>
        <v>0.32451115050675744</v>
      </c>
    </row>
    <row r="385" spans="1:15" s="351" customFormat="1" x14ac:dyDescent="0.2">
      <c r="A385" s="362" t="str">
        <f>name!E$6</f>
        <v>Associate professional and technical</v>
      </c>
      <c r="B385" s="440">
        <v>0.43237457500018661</v>
      </c>
      <c r="C385" s="440">
        <v>2.9497267108356255E-2</v>
      </c>
      <c r="D385" s="440">
        <v>3.1625143857627963E-2</v>
      </c>
      <c r="E385" s="440">
        <f t="shared" si="175"/>
        <v>0.49349698596617086</v>
      </c>
      <c r="F385" s="441"/>
      <c r="G385" s="440">
        <v>0.24348036643040905</v>
      </c>
      <c r="H385" s="440">
        <v>2.0127320114452084E-2</v>
      </c>
      <c r="I385" s="440">
        <v>7.8299726251106386E-2</v>
      </c>
      <c r="J385" s="440">
        <f t="shared" si="176"/>
        <v>0.34190741279596748</v>
      </c>
      <c r="K385" s="441"/>
      <c r="L385" s="440">
        <v>0.24816706208185735</v>
      </c>
      <c r="M385" s="440">
        <v>2.2927607121224127E-2</v>
      </c>
      <c r="N385" s="440">
        <v>0.10415599870238094</v>
      </c>
      <c r="O385" s="440">
        <f t="shared" si="177"/>
        <v>0.37525066790546241</v>
      </c>
    </row>
    <row r="386" spans="1:15" s="351" customFormat="1" x14ac:dyDescent="0.2">
      <c r="A386" s="362" t="str">
        <f>name!E$7</f>
        <v>Administrative and secretarial</v>
      </c>
      <c r="B386" s="440">
        <v>0.25515338003657478</v>
      </c>
      <c r="C386" s="440">
        <v>0.19032843953472223</v>
      </c>
      <c r="D386" s="440">
        <v>1.0953473693770383E-2</v>
      </c>
      <c r="E386" s="440">
        <f t="shared" si="175"/>
        <v>0.45643529326506738</v>
      </c>
      <c r="F386" s="441"/>
      <c r="G386" s="440">
        <v>0.20233232338620083</v>
      </c>
      <c r="H386" s="440">
        <v>0.10554297079930586</v>
      </c>
      <c r="I386" s="440">
        <v>5.3629525796458466E-2</v>
      </c>
      <c r="J386" s="440">
        <f t="shared" si="176"/>
        <v>0.36150481998196515</v>
      </c>
      <c r="K386" s="441"/>
      <c r="L386" s="440">
        <v>0.17139444433026216</v>
      </c>
      <c r="M386" s="440">
        <v>6.8010622068756299E-2</v>
      </c>
      <c r="N386" s="440">
        <v>5.2486520898511101E-2</v>
      </c>
      <c r="O386" s="440">
        <f t="shared" si="177"/>
        <v>0.29189158729752956</v>
      </c>
    </row>
    <row r="387" spans="1:15" s="351" customFormat="1" x14ac:dyDescent="0.2">
      <c r="A387" s="362" t="str">
        <f>name!E$8</f>
        <v>Skilled trades occupations</v>
      </c>
      <c r="B387" s="440">
        <v>2.2401993239264382</v>
      </c>
      <c r="C387" s="440">
        <v>4.8511397814672737E-2</v>
      </c>
      <c r="D387" s="440">
        <v>0.811838376196514</v>
      </c>
      <c r="E387" s="440">
        <f t="shared" si="175"/>
        <v>3.1005490979376251</v>
      </c>
      <c r="F387" s="441"/>
      <c r="G387" s="440">
        <v>2.1636956077962322</v>
      </c>
      <c r="H387" s="440">
        <v>3.6565812863309129E-2</v>
      </c>
      <c r="I387" s="440">
        <v>0.35151687121621839</v>
      </c>
      <c r="J387" s="440">
        <f>SUM(G387:I387)</f>
        <v>2.5517782918757597</v>
      </c>
      <c r="K387" s="441"/>
      <c r="L387" s="440">
        <v>1.9244437223044975</v>
      </c>
      <c r="M387" s="440">
        <v>3.6161031504867623E-2</v>
      </c>
      <c r="N387" s="440">
        <v>0.24683785469356914</v>
      </c>
      <c r="O387" s="440">
        <f t="shared" si="177"/>
        <v>2.2074426085029342</v>
      </c>
    </row>
    <row r="388" spans="1:15" s="351" customFormat="1" x14ac:dyDescent="0.2">
      <c r="A388" s="362" t="str">
        <f>name!E$9</f>
        <v>Caring, leisure and other service</v>
      </c>
      <c r="B388" s="440">
        <v>1.6493403817515743E-2</v>
      </c>
      <c r="C388" s="440">
        <v>1.8277517900216912E-2</v>
      </c>
      <c r="D388" s="440">
        <v>8.016116524059428E-3</v>
      </c>
      <c r="E388" s="440">
        <f t="shared" si="175"/>
        <v>4.2787038241792086E-2</v>
      </c>
      <c r="F388" s="441"/>
      <c r="G388" s="440">
        <v>1.086050467695578E-2</v>
      </c>
      <c r="H388" s="440">
        <v>8.7096979095411774E-3</v>
      </c>
      <c r="I388" s="440">
        <v>2.703858598512697E-2</v>
      </c>
      <c r="J388" s="440">
        <f t="shared" ref="J388:J391" si="178">SUM(G388:I388)</f>
        <v>4.6608788571623927E-2</v>
      </c>
      <c r="K388" s="441"/>
      <c r="L388" s="440">
        <v>1.1646439030438745E-2</v>
      </c>
      <c r="M388" s="440">
        <v>1.4412932206360366E-2</v>
      </c>
      <c r="N388" s="440">
        <v>3.536188444278552E-2</v>
      </c>
      <c r="O388" s="440">
        <f t="shared" si="177"/>
        <v>6.1421255679584633E-2</v>
      </c>
    </row>
    <row r="389" spans="1:15" s="351" customFormat="1" x14ac:dyDescent="0.2">
      <c r="A389" s="362" t="str">
        <f>name!E$10</f>
        <v>Sales and customer service</v>
      </c>
      <c r="B389" s="440">
        <v>8.6374629071517939E-2</v>
      </c>
      <c r="C389" s="440">
        <v>4.7890999398818489E-2</v>
      </c>
      <c r="D389" s="440">
        <v>7.0045050266292945E-3</v>
      </c>
      <c r="E389" s="440">
        <f t="shared" si="175"/>
        <v>0.14127013349696574</v>
      </c>
      <c r="F389" s="441"/>
      <c r="G389" s="440">
        <v>9.7187547492858309E-2</v>
      </c>
      <c r="H389" s="440">
        <v>3.0400106489787294E-2</v>
      </c>
      <c r="I389" s="440">
        <v>1.4000271048711831E-2</v>
      </c>
      <c r="J389" s="440">
        <f t="shared" si="178"/>
        <v>0.14158792503135742</v>
      </c>
      <c r="K389" s="441"/>
      <c r="L389" s="440">
        <v>8.443474914020388E-2</v>
      </c>
      <c r="M389" s="440">
        <v>2.6037439068899333E-2</v>
      </c>
      <c r="N389" s="440">
        <v>1.6621911719467281E-2</v>
      </c>
      <c r="O389" s="440">
        <f t="shared" si="177"/>
        <v>0.12709409992857049</v>
      </c>
    </row>
    <row r="390" spans="1:15" s="351" customFormat="1" x14ac:dyDescent="0.2">
      <c r="A390" s="362" t="str">
        <f>name!E$11</f>
        <v>Process, plant and machine operatives</v>
      </c>
      <c r="B390" s="440">
        <v>1.4496166471734777</v>
      </c>
      <c r="C390" s="440">
        <v>0.14060095620584329</v>
      </c>
      <c r="D390" s="440">
        <v>9.2709829184196457E-2</v>
      </c>
      <c r="E390" s="440">
        <f t="shared" si="175"/>
        <v>1.6829274325635173</v>
      </c>
      <c r="F390" s="441"/>
      <c r="G390" s="440">
        <v>1.0042685021693845</v>
      </c>
      <c r="H390" s="440">
        <v>7.1140959215090588E-2</v>
      </c>
      <c r="I390" s="440">
        <v>6.1989705712533254E-2</v>
      </c>
      <c r="J390" s="440">
        <f t="shared" si="178"/>
        <v>1.1373991670970083</v>
      </c>
      <c r="K390" s="441"/>
      <c r="L390" s="440">
        <v>0.89336812267457155</v>
      </c>
      <c r="M390" s="440">
        <v>9.2015340844441865E-2</v>
      </c>
      <c r="N390" s="440">
        <v>6.7483451099955613E-2</v>
      </c>
      <c r="O390" s="440">
        <f t="shared" si="177"/>
        <v>1.0528669146189691</v>
      </c>
    </row>
    <row r="391" spans="1:15" s="351" customFormat="1" x14ac:dyDescent="0.2">
      <c r="A391" s="362" t="str">
        <f>name!E$12</f>
        <v>Elementary occupations</v>
      </c>
      <c r="B391" s="440">
        <v>0.4948544301276841</v>
      </c>
      <c r="C391" s="440">
        <v>7.5535141477188622E-2</v>
      </c>
      <c r="D391" s="440">
        <v>2.5487838562456119E-2</v>
      </c>
      <c r="E391" s="440">
        <f t="shared" si="175"/>
        <v>0.59587741016732876</v>
      </c>
      <c r="F391" s="441"/>
      <c r="G391" s="440">
        <v>0.45029479487795904</v>
      </c>
      <c r="H391" s="440">
        <v>4.4967054125633163E-2</v>
      </c>
      <c r="I391" s="440">
        <v>4.2004474134184684E-2</v>
      </c>
      <c r="J391" s="440">
        <f t="shared" si="178"/>
        <v>0.53726632313777689</v>
      </c>
      <c r="K391" s="441"/>
      <c r="L391" s="440">
        <v>0.41273666474063447</v>
      </c>
      <c r="M391" s="440">
        <v>5.5977548571242874E-2</v>
      </c>
      <c r="N391" s="440">
        <v>4.4555947825998581E-2</v>
      </c>
      <c r="O391" s="440">
        <f t="shared" si="177"/>
        <v>0.51327016113787594</v>
      </c>
    </row>
    <row r="392" spans="1:15" s="351" customFormat="1" x14ac:dyDescent="0.2">
      <c r="A392" s="362"/>
      <c r="B392" s="440"/>
      <c r="C392" s="440"/>
      <c r="D392" s="440"/>
      <c r="E392" s="440"/>
      <c r="F392" s="441"/>
      <c r="G392" s="440"/>
      <c r="H392" s="440"/>
      <c r="I392" s="440"/>
      <c r="J392" s="440"/>
      <c r="K392" s="441"/>
      <c r="L392" s="440"/>
      <c r="M392" s="440"/>
      <c r="N392" s="440"/>
      <c r="O392" s="440"/>
    </row>
    <row r="393" spans="1:15" s="351" customFormat="1" x14ac:dyDescent="0.2">
      <c r="A393" s="357" t="s">
        <v>32</v>
      </c>
      <c r="B393" s="450">
        <f>SUM(B383:B391)</f>
        <v>5.6439999999896999</v>
      </c>
      <c r="C393" s="450">
        <f t="shared" ref="C393:E393" si="179">SUM(C383:C391)</f>
        <v>0.5799999999968618</v>
      </c>
      <c r="D393" s="450">
        <f t="shared" si="179"/>
        <v>1.0640000000097116</v>
      </c>
      <c r="E393" s="450">
        <f t="shared" si="179"/>
        <v>7.2879999999962735</v>
      </c>
      <c r="F393" s="450"/>
      <c r="G393" s="450">
        <f t="shared" ref="G393:J393" si="180">SUM(G383:G391)</f>
        <v>4.6650000000028351</v>
      </c>
      <c r="H393" s="450">
        <f t="shared" si="180"/>
        <v>0.34200000000629227</v>
      </c>
      <c r="I393" s="450">
        <f t="shared" si="180"/>
        <v>0.72400000000753517</v>
      </c>
      <c r="J393" s="450">
        <f t="shared" si="180"/>
        <v>5.7310000000166621</v>
      </c>
      <c r="K393" s="450"/>
      <c r="L393" s="450">
        <f t="shared" ref="L393:O393" si="181">SUM(L383:L391)</f>
        <v>4.2759999999309999</v>
      </c>
      <c r="M393" s="450">
        <f t="shared" si="181"/>
        <v>0.35000000000223058</v>
      </c>
      <c r="N393" s="450">
        <f t="shared" si="181"/>
        <v>0.6920000000076395</v>
      </c>
      <c r="O393" s="450">
        <f t="shared" si="181"/>
        <v>5.31799999994087</v>
      </c>
    </row>
    <row r="394" spans="1:15" s="351" customFormat="1" x14ac:dyDescent="0.2">
      <c r="A394" s="348"/>
      <c r="B394" s="348"/>
      <c r="C394" s="348"/>
      <c r="D394" s="348"/>
      <c r="E394" s="348"/>
      <c r="F394" s="348"/>
      <c r="G394" s="348"/>
      <c r="H394" s="348"/>
      <c r="I394" s="348"/>
      <c r="J394" s="348"/>
      <c r="K394" s="348"/>
      <c r="L394" s="348"/>
      <c r="M394" s="348"/>
      <c r="N394" s="353"/>
    </row>
    <row r="395" spans="1:15" s="351" customFormat="1" x14ac:dyDescent="0.2">
      <c r="A395" s="348"/>
      <c r="B395" s="348"/>
      <c r="C395" s="348"/>
      <c r="D395" s="348"/>
      <c r="E395" s="348"/>
      <c r="F395" s="348"/>
      <c r="G395" s="348"/>
      <c r="H395" s="348"/>
      <c r="I395" s="348"/>
      <c r="J395" s="348"/>
      <c r="K395" s="348"/>
      <c r="L395" s="348"/>
      <c r="M395" s="348"/>
      <c r="N395" s="353"/>
      <c r="O395" s="367" t="s">
        <v>35</v>
      </c>
    </row>
    <row r="396" spans="1:15" s="351" customFormat="1" x14ac:dyDescent="0.2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</row>
    <row r="397" spans="1:15" s="351" customFormat="1" x14ac:dyDescent="0.2">
      <c r="A397" s="354" t="str">
        <f>name!A26</f>
        <v>Repair and installation</v>
      </c>
      <c r="B397" s="519">
        <f>$B$6</f>
        <v>2007</v>
      </c>
      <c r="C397" s="519"/>
      <c r="D397" s="519"/>
      <c r="E397" s="519"/>
      <c r="F397" s="380"/>
      <c r="G397" s="519">
        <f>$G$6</f>
        <v>2017</v>
      </c>
      <c r="H397" s="519"/>
      <c r="I397" s="519"/>
      <c r="J397" s="519"/>
      <c r="K397" s="380"/>
      <c r="L397" s="519">
        <f>$L$6</f>
        <v>2027</v>
      </c>
      <c r="M397" s="519"/>
      <c r="N397" s="519"/>
      <c r="O397" s="519"/>
    </row>
    <row r="398" spans="1:15" s="351" customFormat="1" x14ac:dyDescent="0.2">
      <c r="A398" s="370"/>
      <c r="B398" s="388" t="str">
        <f>$B$7</f>
        <v>FT</v>
      </c>
      <c r="C398" s="388" t="str">
        <f>$C$7</f>
        <v>PT</v>
      </c>
      <c r="D398" s="388" t="str">
        <f>$D$7</f>
        <v>SE</v>
      </c>
      <c r="E398" s="388" t="str">
        <f>$E$7</f>
        <v>Total</v>
      </c>
      <c r="F398" s="388"/>
      <c r="G398" s="388" t="str">
        <f>$G$7</f>
        <v>FT</v>
      </c>
      <c r="H398" s="388" t="str">
        <f>$H$7</f>
        <v>PT</v>
      </c>
      <c r="I398" s="388" t="str">
        <f>$I$7</f>
        <v>SE</v>
      </c>
      <c r="J398" s="388" t="str">
        <f>$J$7</f>
        <v>Total</v>
      </c>
      <c r="K398" s="388"/>
      <c r="L398" s="388" t="str">
        <f>$L$7</f>
        <v>FT</v>
      </c>
      <c r="M398" s="388" t="str">
        <f>$M$7</f>
        <v>PT</v>
      </c>
      <c r="N398" s="388" t="str">
        <f>$N$7</f>
        <v>SE</v>
      </c>
      <c r="O398" s="388" t="str">
        <f>$O$7</f>
        <v>Total</v>
      </c>
    </row>
    <row r="399" spans="1:15" s="351" customFormat="1" x14ac:dyDescent="0.2">
      <c r="A399" s="374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</row>
    <row r="400" spans="1:15" s="351" customFormat="1" x14ac:dyDescent="0.2">
      <c r="A400" s="362" t="str">
        <f>name!E$4</f>
        <v>Managers, directors and senior officials</v>
      </c>
      <c r="B400" s="440">
        <v>0.21705214180482685</v>
      </c>
      <c r="C400" s="440">
        <v>2.9991499346179652E-2</v>
      </c>
      <c r="D400" s="440">
        <v>0.1305431830622224</v>
      </c>
      <c r="E400" s="440">
        <f>SUM(B400:D400)</f>
        <v>0.37758682421322887</v>
      </c>
      <c r="F400" s="441"/>
      <c r="G400" s="440">
        <v>0.3922568111711307</v>
      </c>
      <c r="H400" s="440">
        <v>0.10184570895580398</v>
      </c>
      <c r="I400" s="440">
        <v>0.16693738249109669</v>
      </c>
      <c r="J400" s="440">
        <f>SUM(G400:I400)</f>
        <v>0.66103990261803136</v>
      </c>
      <c r="K400" s="441"/>
      <c r="L400" s="440">
        <v>0.44144790289509434</v>
      </c>
      <c r="M400" s="440">
        <v>0.12313276813035913</v>
      </c>
      <c r="N400" s="440">
        <v>0.16406117640043788</v>
      </c>
      <c r="O400" s="440">
        <f>SUM(L400:N400)</f>
        <v>0.72864184742589133</v>
      </c>
    </row>
    <row r="401" spans="1:15" s="351" customFormat="1" x14ac:dyDescent="0.2">
      <c r="A401" s="362" t="str">
        <f>name!E$5</f>
        <v>Professional occupations</v>
      </c>
      <c r="B401" s="440">
        <v>0.41362732488161646</v>
      </c>
      <c r="C401" s="440">
        <v>5.602825309794366E-2</v>
      </c>
      <c r="D401" s="440">
        <v>4.8468855516156255E-2</v>
      </c>
      <c r="E401" s="440">
        <f t="shared" ref="E401:E408" si="182">SUM(B401:D401)</f>
        <v>0.51812443349571635</v>
      </c>
      <c r="F401" s="441"/>
      <c r="G401" s="440">
        <v>0.74784379394442513</v>
      </c>
      <c r="H401" s="440">
        <v>0.28831683042808115</v>
      </c>
      <c r="I401" s="440">
        <v>5.8997312737905164E-2</v>
      </c>
      <c r="J401" s="440">
        <f t="shared" ref="J401:J403" si="183">SUM(G401:I401)</f>
        <v>1.0951579371104114</v>
      </c>
      <c r="K401" s="441"/>
      <c r="L401" s="440">
        <v>0.81917597055108105</v>
      </c>
      <c r="M401" s="440">
        <v>0.35219021099289627</v>
      </c>
      <c r="N401" s="440">
        <v>5.1590748977430066E-2</v>
      </c>
      <c r="O401" s="440">
        <f t="shared" ref="O401:O408" si="184">SUM(L401:N401)</f>
        <v>1.2229569305214074</v>
      </c>
    </row>
    <row r="402" spans="1:15" s="351" customFormat="1" x14ac:dyDescent="0.2">
      <c r="A402" s="362" t="str">
        <f>name!E$6</f>
        <v>Associate professional and technical</v>
      </c>
      <c r="B402" s="440">
        <v>0.41636749605790213</v>
      </c>
      <c r="C402" s="440">
        <v>4.9162980907487185E-2</v>
      </c>
      <c r="D402" s="440">
        <v>7.2810193507116996E-2</v>
      </c>
      <c r="E402" s="440">
        <f t="shared" si="182"/>
        <v>0.53834067047250633</v>
      </c>
      <c r="F402" s="441"/>
      <c r="G402" s="440">
        <v>0.64610994925197729</v>
      </c>
      <c r="H402" s="440">
        <v>0.10953191725167423</v>
      </c>
      <c r="I402" s="440">
        <v>6.2296987163543545E-2</v>
      </c>
      <c r="J402" s="440">
        <f t="shared" si="183"/>
        <v>0.8179388536671951</v>
      </c>
      <c r="K402" s="441"/>
      <c r="L402" s="440">
        <v>0.67095055641948831</v>
      </c>
      <c r="M402" s="440">
        <v>0.12465885696221896</v>
      </c>
      <c r="N402" s="440">
        <v>5.2976169497851798E-2</v>
      </c>
      <c r="O402" s="440">
        <f t="shared" si="184"/>
        <v>0.8485855828795591</v>
      </c>
    </row>
    <row r="403" spans="1:15" s="351" customFormat="1" x14ac:dyDescent="0.2">
      <c r="A403" s="362" t="str">
        <f>name!E$7</f>
        <v>Administrative and secretarial</v>
      </c>
      <c r="B403" s="440">
        <v>0.30906260218799753</v>
      </c>
      <c r="C403" s="440">
        <v>0.16226493136861359</v>
      </c>
      <c r="D403" s="440">
        <v>1.6138195446082908E-2</v>
      </c>
      <c r="E403" s="440">
        <f t="shared" si="182"/>
        <v>0.48746572900269403</v>
      </c>
      <c r="F403" s="441"/>
      <c r="G403" s="440">
        <v>0.37581653666777753</v>
      </c>
      <c r="H403" s="440">
        <v>0.35626876002231028</v>
      </c>
      <c r="I403" s="440">
        <v>3.3009333746890648E-2</v>
      </c>
      <c r="J403" s="440">
        <f t="shared" si="183"/>
        <v>0.76509463043697845</v>
      </c>
      <c r="K403" s="441"/>
      <c r="L403" s="440">
        <v>0.35161444809988684</v>
      </c>
      <c r="M403" s="440">
        <v>0.30656792214728401</v>
      </c>
      <c r="N403" s="440">
        <v>2.112346782836947E-2</v>
      </c>
      <c r="O403" s="440">
        <f t="shared" si="184"/>
        <v>0.67930583807554035</v>
      </c>
    </row>
    <row r="404" spans="1:15" s="351" customFormat="1" x14ac:dyDescent="0.2">
      <c r="A404" s="362" t="str">
        <f>name!E$8</f>
        <v>Skilled trades occupations</v>
      </c>
      <c r="B404" s="440">
        <v>1.2280547953792453</v>
      </c>
      <c r="C404" s="440">
        <v>4.1284818240473239E-2</v>
      </c>
      <c r="D404" s="440">
        <v>0.35016906135673914</v>
      </c>
      <c r="E404" s="440">
        <f t="shared" si="182"/>
        <v>1.6195086749764578</v>
      </c>
      <c r="F404" s="441"/>
      <c r="G404" s="440">
        <v>1.8682053984613729</v>
      </c>
      <c r="H404" s="440">
        <v>8.7029415013802916E-2</v>
      </c>
      <c r="I404" s="440">
        <v>0.24997916075804275</v>
      </c>
      <c r="J404" s="440">
        <f>SUM(G404:I404)</f>
        <v>2.2052139742332186</v>
      </c>
      <c r="K404" s="441"/>
      <c r="L404" s="440">
        <v>1.594882484491946</v>
      </c>
      <c r="M404" s="440">
        <v>8.0755487556447389E-2</v>
      </c>
      <c r="N404" s="440">
        <v>0.22284511894792194</v>
      </c>
      <c r="O404" s="440">
        <f t="shared" si="184"/>
        <v>1.8984830909963153</v>
      </c>
    </row>
    <row r="405" spans="1:15" s="351" customFormat="1" x14ac:dyDescent="0.2">
      <c r="A405" s="362" t="str">
        <f>name!E$9</f>
        <v>Caring, leisure and other service</v>
      </c>
      <c r="B405" s="440">
        <v>6.858247231785479E-2</v>
      </c>
      <c r="C405" s="440">
        <v>2.6455262636396488E-2</v>
      </c>
      <c r="D405" s="440">
        <v>1.1506812204064487E-2</v>
      </c>
      <c r="E405" s="440">
        <f t="shared" si="182"/>
        <v>0.10654454715831577</v>
      </c>
      <c r="F405" s="441"/>
      <c r="G405" s="440">
        <v>9.7255254976285468E-2</v>
      </c>
      <c r="H405" s="440">
        <v>4.7914606530435583E-2</v>
      </c>
      <c r="I405" s="440">
        <v>2.5498009117020444E-2</v>
      </c>
      <c r="J405" s="440">
        <f t="shared" ref="J405:J408" si="185">SUM(G405:I405)</f>
        <v>0.1706678706237415</v>
      </c>
      <c r="K405" s="441"/>
      <c r="L405" s="440">
        <v>0.12450510946848678</v>
      </c>
      <c r="M405" s="440">
        <v>5.0860669074946983E-2</v>
      </c>
      <c r="N405" s="440">
        <v>1.8327383312562315E-2</v>
      </c>
      <c r="O405" s="440">
        <f t="shared" si="184"/>
        <v>0.19369316185599608</v>
      </c>
    </row>
    <row r="406" spans="1:15" s="351" customFormat="1" x14ac:dyDescent="0.2">
      <c r="A406" s="362" t="str">
        <f>name!E$10</f>
        <v>Sales and customer service</v>
      </c>
      <c r="B406" s="440">
        <v>7.2583412098256125E-2</v>
      </c>
      <c r="C406" s="440">
        <v>3.112817189066705E-2</v>
      </c>
      <c r="D406" s="440">
        <v>8.3002652649431189E-3</v>
      </c>
      <c r="E406" s="440">
        <f t="shared" si="182"/>
        <v>0.1120118492538663</v>
      </c>
      <c r="F406" s="441"/>
      <c r="G406" s="440">
        <v>0.13618483687915817</v>
      </c>
      <c r="H406" s="440">
        <v>9.8884394424939584E-2</v>
      </c>
      <c r="I406" s="440">
        <v>1.5615564246494419E-2</v>
      </c>
      <c r="J406" s="440">
        <f t="shared" si="185"/>
        <v>0.25068479555059214</v>
      </c>
      <c r="K406" s="441"/>
      <c r="L406" s="440">
        <v>0.14403918958297543</v>
      </c>
      <c r="M406" s="440">
        <v>0.11531590636197719</v>
      </c>
      <c r="N406" s="440">
        <v>1.5508078818783255E-2</v>
      </c>
      <c r="O406" s="440">
        <f t="shared" si="184"/>
        <v>0.2748631747637359</v>
      </c>
    </row>
    <row r="407" spans="1:15" s="351" customFormat="1" x14ac:dyDescent="0.2">
      <c r="A407" s="362" t="str">
        <f>name!E$11</f>
        <v>Process, plant and machine operatives</v>
      </c>
      <c r="B407" s="440">
        <v>2.0140389713638656</v>
      </c>
      <c r="C407" s="440">
        <v>0.17518460125898469</v>
      </c>
      <c r="D407" s="440">
        <v>0.13039823522124422</v>
      </c>
      <c r="E407" s="440">
        <f t="shared" si="182"/>
        <v>2.3196218078440944</v>
      </c>
      <c r="F407" s="441"/>
      <c r="G407" s="440">
        <v>2.9579815956629152</v>
      </c>
      <c r="H407" s="440">
        <v>0.35847512646992885</v>
      </c>
      <c r="I407" s="440">
        <v>0.1128831707940907</v>
      </c>
      <c r="J407" s="440">
        <f t="shared" si="185"/>
        <v>3.4293398929269343</v>
      </c>
      <c r="K407" s="441"/>
      <c r="L407" s="440">
        <v>2.5735878653371889</v>
      </c>
      <c r="M407" s="440">
        <v>0.34333999540993904</v>
      </c>
      <c r="N407" s="440">
        <v>9.8387482036661061E-2</v>
      </c>
      <c r="O407" s="440">
        <f t="shared" si="184"/>
        <v>3.0153153427837891</v>
      </c>
    </row>
    <row r="408" spans="1:15" s="351" customFormat="1" x14ac:dyDescent="0.2">
      <c r="A408" s="362" t="str">
        <f>name!E$12</f>
        <v>Elementary occupations</v>
      </c>
      <c r="B408" s="440">
        <v>0.22963078387008093</v>
      </c>
      <c r="C408" s="440">
        <v>8.8499481250294554E-2</v>
      </c>
      <c r="D408" s="440">
        <v>7.56651984265682E-2</v>
      </c>
      <c r="E408" s="440">
        <f t="shared" si="182"/>
        <v>0.39379546354694367</v>
      </c>
      <c r="F408" s="441"/>
      <c r="G408" s="440">
        <v>0.34434582298952704</v>
      </c>
      <c r="H408" s="440">
        <v>0.13773324093112113</v>
      </c>
      <c r="I408" s="440">
        <v>0.21878307895759525</v>
      </c>
      <c r="J408" s="440">
        <f t="shared" si="185"/>
        <v>0.70086214287824333</v>
      </c>
      <c r="K408" s="441"/>
      <c r="L408" s="440">
        <v>0.32479647307939807</v>
      </c>
      <c r="M408" s="440">
        <v>0.12417818338535123</v>
      </c>
      <c r="N408" s="440">
        <v>0.25018037418909234</v>
      </c>
      <c r="O408" s="440">
        <f t="shared" si="184"/>
        <v>0.69915503065384166</v>
      </c>
    </row>
    <row r="409" spans="1:15" s="351" customFormat="1" x14ac:dyDescent="0.2">
      <c r="A409" s="362"/>
      <c r="B409" s="440"/>
      <c r="C409" s="440"/>
      <c r="D409" s="440"/>
      <c r="E409" s="440"/>
      <c r="F409" s="441"/>
      <c r="G409" s="440"/>
      <c r="H409" s="440"/>
      <c r="I409" s="440"/>
      <c r="J409" s="440"/>
      <c r="K409" s="441"/>
      <c r="L409" s="440"/>
      <c r="M409" s="440"/>
      <c r="N409" s="440"/>
      <c r="O409" s="440"/>
    </row>
    <row r="410" spans="1:15" s="351" customFormat="1" x14ac:dyDescent="0.2">
      <c r="A410" s="357" t="s">
        <v>32</v>
      </c>
      <c r="B410" s="450">
        <f>SUM(B400:B408)</f>
        <v>4.9689999999616461</v>
      </c>
      <c r="C410" s="450">
        <f t="shared" ref="C410:E410" si="186">SUM(C400:C408)</f>
        <v>0.65999999999704007</v>
      </c>
      <c r="D410" s="450">
        <f t="shared" si="186"/>
        <v>0.84400000000513775</v>
      </c>
      <c r="E410" s="450">
        <f t="shared" si="186"/>
        <v>6.4729999999638235</v>
      </c>
      <c r="F410" s="450"/>
      <c r="G410" s="450">
        <f t="shared" ref="G410:J410" si="187">SUM(G400:G408)</f>
        <v>7.5660000000045686</v>
      </c>
      <c r="H410" s="450">
        <f t="shared" si="187"/>
        <v>1.5860000000280978</v>
      </c>
      <c r="I410" s="450">
        <f t="shared" si="187"/>
        <v>0.94400000001267959</v>
      </c>
      <c r="J410" s="450">
        <f t="shared" si="187"/>
        <v>10.096000000045347</v>
      </c>
      <c r="K410" s="450"/>
      <c r="L410" s="450">
        <f t="shared" ref="L410:O410" si="188">SUM(L400:L408)</f>
        <v>7.0449999999255466</v>
      </c>
      <c r="M410" s="450">
        <f t="shared" si="188"/>
        <v>1.6210000000214202</v>
      </c>
      <c r="N410" s="450">
        <f t="shared" si="188"/>
        <v>0.89500000000911017</v>
      </c>
      <c r="O410" s="450">
        <f t="shared" si="188"/>
        <v>9.560999999956076</v>
      </c>
    </row>
    <row r="411" spans="1:15" s="351" customFormat="1" x14ac:dyDescent="0.2">
      <c r="A411" s="348"/>
      <c r="B411" s="348"/>
      <c r="C411" s="348"/>
      <c r="D411" s="348"/>
      <c r="E411" s="348"/>
      <c r="F411" s="348"/>
      <c r="G411" s="348"/>
      <c r="H411" s="348"/>
      <c r="I411" s="348"/>
      <c r="J411" s="348"/>
      <c r="K411" s="348"/>
      <c r="L411" s="348"/>
      <c r="M411" s="348"/>
      <c r="N411" s="353"/>
    </row>
    <row r="412" spans="1:15" s="351" customFormat="1" x14ac:dyDescent="0.2">
      <c r="A412" s="348"/>
      <c r="B412" s="348"/>
      <c r="C412" s="348"/>
      <c r="D412" s="348"/>
      <c r="E412" s="348"/>
      <c r="F412" s="348"/>
      <c r="G412" s="348"/>
      <c r="H412" s="348"/>
      <c r="I412" s="348"/>
      <c r="J412" s="348"/>
      <c r="K412" s="348"/>
      <c r="L412" s="348"/>
      <c r="M412" s="348"/>
      <c r="N412" s="353"/>
      <c r="O412" s="367" t="s">
        <v>35</v>
      </c>
    </row>
    <row r="413" spans="1:15" s="351" customFormat="1" x14ac:dyDescent="0.2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</row>
    <row r="414" spans="1:15" s="351" customFormat="1" x14ac:dyDescent="0.2">
      <c r="A414" s="354" t="str">
        <f>name!A27</f>
        <v>Electricity, gas, etc</v>
      </c>
      <c r="B414" s="519">
        <f>$B$6</f>
        <v>2007</v>
      </c>
      <c r="C414" s="519"/>
      <c r="D414" s="519"/>
      <c r="E414" s="519"/>
      <c r="F414" s="380"/>
      <c r="G414" s="519">
        <f>$G$6</f>
        <v>2017</v>
      </c>
      <c r="H414" s="519"/>
      <c r="I414" s="519"/>
      <c r="J414" s="519"/>
      <c r="K414" s="380"/>
      <c r="L414" s="519">
        <f>$L$6</f>
        <v>2027</v>
      </c>
      <c r="M414" s="519"/>
      <c r="N414" s="519"/>
      <c r="O414" s="519"/>
    </row>
    <row r="415" spans="1:15" s="351" customFormat="1" x14ac:dyDescent="0.2">
      <c r="A415" s="370"/>
      <c r="B415" s="388" t="str">
        <f>$B$7</f>
        <v>FT</v>
      </c>
      <c r="C415" s="388" t="str">
        <f>$C$7</f>
        <v>PT</v>
      </c>
      <c r="D415" s="388" t="str">
        <f>$D$7</f>
        <v>SE</v>
      </c>
      <c r="E415" s="388" t="str">
        <f>$E$7</f>
        <v>Total</v>
      </c>
      <c r="F415" s="388"/>
      <c r="G415" s="388" t="str">
        <f>$G$7</f>
        <v>FT</v>
      </c>
      <c r="H415" s="388" t="str">
        <f>$H$7</f>
        <v>PT</v>
      </c>
      <c r="I415" s="388" t="str">
        <f>$I$7</f>
        <v>SE</v>
      </c>
      <c r="J415" s="388" t="str">
        <f>$J$7</f>
        <v>Total</v>
      </c>
      <c r="K415" s="388"/>
      <c r="L415" s="388" t="str">
        <f>$L$7</f>
        <v>FT</v>
      </c>
      <c r="M415" s="388" t="str">
        <f>$M$7</f>
        <v>PT</v>
      </c>
      <c r="N415" s="388" t="str">
        <f>$N$7</f>
        <v>SE</v>
      </c>
      <c r="O415" s="388" t="str">
        <f>$O$7</f>
        <v>Total</v>
      </c>
    </row>
    <row r="416" spans="1:15" s="351" customFormat="1" x14ac:dyDescent="0.2">
      <c r="A416" s="374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</row>
    <row r="417" spans="1:15" s="351" customFormat="1" x14ac:dyDescent="0.2">
      <c r="A417" s="362" t="str">
        <f>name!E$4</f>
        <v>Managers, directors and senior officials</v>
      </c>
      <c r="B417" s="440">
        <v>0.44085344283048777</v>
      </c>
      <c r="C417" s="440">
        <v>6.989862829217282E-3</v>
      </c>
      <c r="D417" s="440">
        <v>6.3011583966854712E-3</v>
      </c>
      <c r="E417" s="440">
        <f>SUM(B417:D417)</f>
        <v>0.45414446405639053</v>
      </c>
      <c r="F417" s="441"/>
      <c r="G417" s="440">
        <v>0.75818514321131836</v>
      </c>
      <c r="H417" s="440">
        <v>2.6091516661001939E-2</v>
      </c>
      <c r="I417" s="440">
        <v>0.15691681799788323</v>
      </c>
      <c r="J417" s="440">
        <f>SUM(G417:I417)</f>
        <v>0.94119347787020358</v>
      </c>
      <c r="K417" s="441"/>
      <c r="L417" s="440">
        <v>0.88177232540994877</v>
      </c>
      <c r="M417" s="440">
        <v>2.8634683656915429E-2</v>
      </c>
      <c r="N417" s="440">
        <v>0.22010923763049317</v>
      </c>
      <c r="O417" s="440">
        <f>SUM(L417:N417)</f>
        <v>1.1305162466973573</v>
      </c>
    </row>
    <row r="418" spans="1:15" s="351" customFormat="1" x14ac:dyDescent="0.2">
      <c r="A418" s="362" t="str">
        <f>name!E$5</f>
        <v>Professional occupations</v>
      </c>
      <c r="B418" s="440">
        <v>0.75082545287848146</v>
      </c>
      <c r="C418" s="440">
        <v>9.1787437831110756E-3</v>
      </c>
      <c r="D418" s="440">
        <v>4.0037382535182591E-3</v>
      </c>
      <c r="E418" s="440">
        <f t="shared" ref="E418:E425" si="189">SUM(B418:D418)</f>
        <v>0.76400793491511088</v>
      </c>
      <c r="F418" s="441"/>
      <c r="G418" s="440">
        <v>1.0490496693241</v>
      </c>
      <c r="H418" s="440">
        <v>3.1730553358998027E-2</v>
      </c>
      <c r="I418" s="440">
        <v>0.11824768402406276</v>
      </c>
      <c r="J418" s="440">
        <f t="shared" ref="J418:J420" si="190">SUM(G418:I418)</f>
        <v>1.1990279067071608</v>
      </c>
      <c r="K418" s="441"/>
      <c r="L418" s="440">
        <v>1.089450702005252</v>
      </c>
      <c r="M418" s="440">
        <v>3.1789705004755385E-2</v>
      </c>
      <c r="N418" s="440">
        <v>0.11556844589054892</v>
      </c>
      <c r="O418" s="440">
        <f t="shared" ref="O418:O425" si="191">SUM(L418:N418)</f>
        <v>1.2368088529005561</v>
      </c>
    </row>
    <row r="419" spans="1:15" s="351" customFormat="1" x14ac:dyDescent="0.2">
      <c r="A419" s="362" t="str">
        <f>name!E$6</f>
        <v>Associate professional and technical</v>
      </c>
      <c r="B419" s="440">
        <v>0.59608053380257853</v>
      </c>
      <c r="C419" s="440">
        <v>1.4754391378170424E-2</v>
      </c>
      <c r="D419" s="440">
        <v>5.9122064814143994E-3</v>
      </c>
      <c r="E419" s="440">
        <f t="shared" si="189"/>
        <v>0.61674713166216344</v>
      </c>
      <c r="F419" s="441"/>
      <c r="G419" s="440">
        <v>0.99639766169289123</v>
      </c>
      <c r="H419" s="440">
        <v>4.4600131359876428E-2</v>
      </c>
      <c r="I419" s="440">
        <v>8.7286397846190258E-2</v>
      </c>
      <c r="J419" s="440">
        <f t="shared" si="190"/>
        <v>1.1282841908989578</v>
      </c>
      <c r="K419" s="441"/>
      <c r="L419" s="440">
        <v>1.0344656202957105</v>
      </c>
      <c r="M419" s="440">
        <v>4.4101755683258533E-2</v>
      </c>
      <c r="N419" s="440">
        <v>9.7794282147201816E-2</v>
      </c>
      <c r="O419" s="440">
        <f t="shared" si="191"/>
        <v>1.1763616581261709</v>
      </c>
    </row>
    <row r="420" spans="1:15" s="351" customFormat="1" x14ac:dyDescent="0.2">
      <c r="A420" s="362" t="str">
        <f>name!E$7</f>
        <v>Administrative and secretarial</v>
      </c>
      <c r="B420" s="440">
        <v>0.40480717383873999</v>
      </c>
      <c r="C420" s="440">
        <v>5.3096767808553748E-2</v>
      </c>
      <c r="D420" s="440">
        <v>1.7184691734639589E-3</v>
      </c>
      <c r="E420" s="440">
        <f t="shared" si="189"/>
        <v>0.45962241082075772</v>
      </c>
      <c r="F420" s="441"/>
      <c r="G420" s="440">
        <v>0.56594006475477854</v>
      </c>
      <c r="H420" s="440">
        <v>0.1089467285684125</v>
      </c>
      <c r="I420" s="440">
        <v>2.750975979057025E-2</v>
      </c>
      <c r="J420" s="440">
        <f t="shared" si="190"/>
        <v>0.70239655311376126</v>
      </c>
      <c r="K420" s="441"/>
      <c r="L420" s="440">
        <v>0.38493974365743189</v>
      </c>
      <c r="M420" s="440">
        <v>8.3825789568989617E-2</v>
      </c>
      <c r="N420" s="440">
        <v>2.6831560726739114E-2</v>
      </c>
      <c r="O420" s="440">
        <f t="shared" si="191"/>
        <v>0.49559709395316059</v>
      </c>
    </row>
    <row r="421" spans="1:15" s="351" customFormat="1" x14ac:dyDescent="0.2">
      <c r="A421" s="362" t="str">
        <f>name!E$8</f>
        <v>Skilled trades occupations</v>
      </c>
      <c r="B421" s="440">
        <v>1.2306246037012183</v>
      </c>
      <c r="C421" s="440">
        <v>8.5350086901368732E-3</v>
      </c>
      <c r="D421" s="440">
        <v>3.0646126965547986E-3</v>
      </c>
      <c r="E421" s="440">
        <f t="shared" si="189"/>
        <v>1.2422242250879099</v>
      </c>
      <c r="F421" s="441"/>
      <c r="G421" s="440">
        <v>1.5439941186677333</v>
      </c>
      <c r="H421" s="440">
        <v>1.8399510731488832E-2</v>
      </c>
      <c r="I421" s="440">
        <v>0.27330382309826179</v>
      </c>
      <c r="J421" s="440">
        <f>SUM(G421:I421)</f>
        <v>1.8356974524974841</v>
      </c>
      <c r="K421" s="441"/>
      <c r="L421" s="440">
        <v>1.4371922992251376</v>
      </c>
      <c r="M421" s="440">
        <v>1.1456433912902049E-2</v>
      </c>
      <c r="N421" s="440">
        <v>0.25197775384966581</v>
      </c>
      <c r="O421" s="440">
        <f t="shared" si="191"/>
        <v>1.7006264869877055</v>
      </c>
    </row>
    <row r="422" spans="1:15" s="351" customFormat="1" x14ac:dyDescent="0.2">
      <c r="A422" s="362" t="str">
        <f>name!E$9</f>
        <v>Caring, leisure and other service</v>
      </c>
      <c r="B422" s="440">
        <v>0.10796561123461688</v>
      </c>
      <c r="C422" s="440">
        <v>5.4556398530737262E-3</v>
      </c>
      <c r="D422" s="440">
        <v>4.7317282367160575E-3</v>
      </c>
      <c r="E422" s="440">
        <f t="shared" si="189"/>
        <v>0.11815297932440666</v>
      </c>
      <c r="F422" s="441"/>
      <c r="G422" s="440">
        <v>0.16150117058813698</v>
      </c>
      <c r="H422" s="440">
        <v>1.924674779611129E-2</v>
      </c>
      <c r="I422" s="440">
        <v>1.031512316752572E-2</v>
      </c>
      <c r="J422" s="440">
        <f t="shared" ref="J422:J425" si="192">SUM(G422:I422)</f>
        <v>0.191063041551774</v>
      </c>
      <c r="K422" s="441"/>
      <c r="L422" s="440">
        <v>0.15817683319556597</v>
      </c>
      <c r="M422" s="440">
        <v>1.7521500923788968E-2</v>
      </c>
      <c r="N422" s="440">
        <v>1.1588696323759673E-2</v>
      </c>
      <c r="O422" s="440">
        <f t="shared" si="191"/>
        <v>0.18728703044311459</v>
      </c>
    </row>
    <row r="423" spans="1:15" s="351" customFormat="1" x14ac:dyDescent="0.2">
      <c r="A423" s="362" t="str">
        <f>name!E$10</f>
        <v>Sales and customer service</v>
      </c>
      <c r="B423" s="440">
        <v>0.38101504788530094</v>
      </c>
      <c r="C423" s="440">
        <v>7.3871386144649387E-2</v>
      </c>
      <c r="D423" s="440">
        <v>1.1073652025862435E-3</v>
      </c>
      <c r="E423" s="440">
        <f t="shared" si="189"/>
        <v>0.45599379923253658</v>
      </c>
      <c r="F423" s="441"/>
      <c r="G423" s="440">
        <v>0.52465030195458262</v>
      </c>
      <c r="H423" s="440">
        <v>0.20359893175194041</v>
      </c>
      <c r="I423" s="440">
        <v>1.0479562296744876E-2</v>
      </c>
      <c r="J423" s="440">
        <f t="shared" si="192"/>
        <v>0.73872879600326791</v>
      </c>
      <c r="K423" s="441"/>
      <c r="L423" s="440">
        <v>0.47846816204192699</v>
      </c>
      <c r="M423" s="440">
        <v>0.1954396740641115</v>
      </c>
      <c r="N423" s="440">
        <v>1.2692393006162745E-2</v>
      </c>
      <c r="O423" s="440">
        <f t="shared" si="191"/>
        <v>0.6866002291122012</v>
      </c>
    </row>
    <row r="424" spans="1:15" s="351" customFormat="1" x14ac:dyDescent="0.2">
      <c r="A424" s="362" t="str">
        <f>name!E$11</f>
        <v>Process, plant and machine operatives</v>
      </c>
      <c r="B424" s="440">
        <v>0.34494280440882763</v>
      </c>
      <c r="C424" s="440">
        <v>3.6463075798663248E-3</v>
      </c>
      <c r="D424" s="440">
        <v>3.7728090478238488E-4</v>
      </c>
      <c r="E424" s="440">
        <f t="shared" si="189"/>
        <v>0.34896639289347636</v>
      </c>
      <c r="F424" s="441"/>
      <c r="G424" s="440">
        <v>0.62345822571666343</v>
      </c>
      <c r="H424" s="440">
        <v>1.0861657022135471E-2</v>
      </c>
      <c r="I424" s="440">
        <v>0.1700303521245615</v>
      </c>
      <c r="J424" s="440">
        <f t="shared" si="192"/>
        <v>0.80435023486336044</v>
      </c>
      <c r="K424" s="441"/>
      <c r="L424" s="440">
        <v>0.63429133532496096</v>
      </c>
      <c r="M424" s="440">
        <v>7.2324701987531324E-3</v>
      </c>
      <c r="N424" s="440">
        <v>0.13964211730364792</v>
      </c>
      <c r="O424" s="440">
        <f t="shared" si="191"/>
        <v>0.78116592282736208</v>
      </c>
    </row>
    <row r="425" spans="1:15" s="351" customFormat="1" x14ac:dyDescent="0.2">
      <c r="A425" s="362" t="str">
        <f>name!E$12</f>
        <v>Elementary occupations</v>
      </c>
      <c r="B425" s="440">
        <v>9.7885329392489631E-2</v>
      </c>
      <c r="C425" s="440">
        <v>1.2471891933412582E-2</v>
      </c>
      <c r="D425" s="440">
        <v>2.7834406544978685E-3</v>
      </c>
      <c r="E425" s="440">
        <f t="shared" si="189"/>
        <v>0.11314066198040008</v>
      </c>
      <c r="F425" s="441"/>
      <c r="G425" s="440">
        <v>0.10682364406609</v>
      </c>
      <c r="H425" s="440">
        <v>3.7524222760239589E-2</v>
      </c>
      <c r="I425" s="440">
        <v>3.1910479650788644E-2</v>
      </c>
      <c r="J425" s="440">
        <f t="shared" si="192"/>
        <v>0.17625834647711824</v>
      </c>
      <c r="K425" s="441"/>
      <c r="L425" s="440">
        <v>9.4242978843103065E-2</v>
      </c>
      <c r="M425" s="440">
        <v>2.7997986994913272E-2</v>
      </c>
      <c r="N425" s="440">
        <v>2.4795513131379076E-2</v>
      </c>
      <c r="O425" s="440">
        <f t="shared" si="191"/>
        <v>0.1470364789693954</v>
      </c>
    </row>
    <row r="426" spans="1:15" s="351" customFormat="1" x14ac:dyDescent="0.2">
      <c r="A426" s="362"/>
      <c r="B426" s="440"/>
      <c r="C426" s="440"/>
      <c r="D426" s="440"/>
      <c r="E426" s="440"/>
      <c r="F426" s="441"/>
      <c r="G426" s="440"/>
      <c r="H426" s="440"/>
      <c r="I426" s="440"/>
      <c r="J426" s="440"/>
      <c r="K426" s="441"/>
      <c r="L426" s="440"/>
      <c r="M426" s="440"/>
      <c r="N426" s="440"/>
      <c r="O426" s="440"/>
    </row>
    <row r="427" spans="1:15" s="351" customFormat="1" x14ac:dyDescent="0.2">
      <c r="A427" s="357" t="s">
        <v>32</v>
      </c>
      <c r="B427" s="450">
        <f>SUM(B417:B425)</f>
        <v>4.3549999999727405</v>
      </c>
      <c r="C427" s="450">
        <f t="shared" ref="C427:E427" si="193">SUM(C417:C425)</f>
        <v>0.18800000000019143</v>
      </c>
      <c r="D427" s="450">
        <f t="shared" si="193"/>
        <v>3.0000000000219438E-2</v>
      </c>
      <c r="E427" s="450">
        <f t="shared" si="193"/>
        <v>4.5729999999731525</v>
      </c>
      <c r="F427" s="450"/>
      <c r="G427" s="450">
        <f t="shared" ref="G427:J427" si="194">SUM(G417:G425)</f>
        <v>6.3299999999762937</v>
      </c>
      <c r="H427" s="450">
        <f t="shared" si="194"/>
        <v>0.5010000000102045</v>
      </c>
      <c r="I427" s="450">
        <f t="shared" si="194"/>
        <v>0.88599999999658896</v>
      </c>
      <c r="J427" s="450">
        <f t="shared" si="194"/>
        <v>7.7169999999830878</v>
      </c>
      <c r="K427" s="450"/>
      <c r="L427" s="450">
        <f t="shared" ref="L427:O427" si="195">SUM(L417:L425)</f>
        <v>6.1929999999990368</v>
      </c>
      <c r="M427" s="450">
        <f t="shared" si="195"/>
        <v>0.44800000000838786</v>
      </c>
      <c r="N427" s="450">
        <f t="shared" si="195"/>
        <v>0.90100000000959823</v>
      </c>
      <c r="O427" s="450">
        <f t="shared" si="195"/>
        <v>7.5420000000170235</v>
      </c>
    </row>
    <row r="428" spans="1:15" s="351" customFormat="1" x14ac:dyDescent="0.2">
      <c r="A428" s="348"/>
      <c r="B428" s="348"/>
      <c r="C428" s="348"/>
      <c r="D428" s="348"/>
      <c r="E428" s="348"/>
      <c r="F428" s="348"/>
      <c r="G428" s="348"/>
      <c r="H428" s="348"/>
      <c r="I428" s="348"/>
      <c r="J428" s="348"/>
      <c r="K428" s="348"/>
      <c r="L428" s="348"/>
      <c r="M428" s="348"/>
      <c r="N428" s="353"/>
    </row>
    <row r="429" spans="1:15" s="351" customFormat="1" x14ac:dyDescent="0.2">
      <c r="A429" s="348"/>
      <c r="B429" s="348"/>
      <c r="C429" s="348"/>
      <c r="D429" s="348"/>
      <c r="E429" s="348"/>
      <c r="F429" s="348"/>
      <c r="G429" s="348"/>
      <c r="H429" s="348"/>
      <c r="I429" s="348"/>
      <c r="J429" s="348"/>
      <c r="K429" s="348"/>
      <c r="L429" s="348"/>
      <c r="M429" s="348"/>
      <c r="N429" s="353"/>
      <c r="O429" s="367" t="s">
        <v>35</v>
      </c>
    </row>
    <row r="430" spans="1:15" s="351" customFormat="1" x14ac:dyDescent="0.2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</row>
    <row r="431" spans="1:15" s="351" customFormat="1" x14ac:dyDescent="0.2">
      <c r="A431" s="354" t="str">
        <f>name!A28</f>
        <v>Water</v>
      </c>
      <c r="B431" s="519">
        <f>$B$6</f>
        <v>2007</v>
      </c>
      <c r="C431" s="519"/>
      <c r="D431" s="519"/>
      <c r="E431" s="519"/>
      <c r="F431" s="380"/>
      <c r="G431" s="519">
        <f>$G$6</f>
        <v>2017</v>
      </c>
      <c r="H431" s="519"/>
      <c r="I431" s="519"/>
      <c r="J431" s="519"/>
      <c r="K431" s="380"/>
      <c r="L431" s="519">
        <f>$L$6</f>
        <v>2027</v>
      </c>
      <c r="M431" s="519"/>
      <c r="N431" s="519"/>
      <c r="O431" s="519"/>
    </row>
    <row r="432" spans="1:15" s="351" customFormat="1" x14ac:dyDescent="0.2">
      <c r="A432" s="370"/>
      <c r="B432" s="388" t="str">
        <f>$B$7</f>
        <v>FT</v>
      </c>
      <c r="C432" s="388" t="str">
        <f>$C$7</f>
        <v>PT</v>
      </c>
      <c r="D432" s="388" t="str">
        <f>$D$7</f>
        <v>SE</v>
      </c>
      <c r="E432" s="388" t="str">
        <f>$E$7</f>
        <v>Total</v>
      </c>
      <c r="F432" s="388"/>
      <c r="G432" s="388" t="str">
        <f>$G$7</f>
        <v>FT</v>
      </c>
      <c r="H432" s="388" t="str">
        <f>$H$7</f>
        <v>PT</v>
      </c>
      <c r="I432" s="388" t="str">
        <f>$I$7</f>
        <v>SE</v>
      </c>
      <c r="J432" s="388" t="str">
        <f>$J$7</f>
        <v>Total</v>
      </c>
      <c r="K432" s="388"/>
      <c r="L432" s="388" t="str">
        <f>$L$7</f>
        <v>FT</v>
      </c>
      <c r="M432" s="388" t="str">
        <f>$M$7</f>
        <v>PT</v>
      </c>
      <c r="N432" s="388" t="str">
        <f>$N$7</f>
        <v>SE</v>
      </c>
      <c r="O432" s="388" t="str">
        <f>$O$7</f>
        <v>Total</v>
      </c>
    </row>
    <row r="433" spans="1:15" s="351" customFormat="1" x14ac:dyDescent="0.2">
      <c r="A433" s="374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</row>
    <row r="434" spans="1:15" s="351" customFormat="1" x14ac:dyDescent="0.2">
      <c r="A434" s="362" t="str">
        <f>name!E$4</f>
        <v>Managers, directors and senior officials</v>
      </c>
      <c r="B434" s="440">
        <v>0.19077905848315635</v>
      </c>
      <c r="C434" s="440">
        <v>6.8307753510138862E-3</v>
      </c>
      <c r="D434" s="440">
        <v>0</v>
      </c>
      <c r="E434" s="440">
        <f>SUM(B434:D434)</f>
        <v>0.19760983383417025</v>
      </c>
      <c r="F434" s="441"/>
      <c r="G434" s="440">
        <v>0.29815606870501676</v>
      </c>
      <c r="H434" s="440">
        <v>3.683955871106729E-2</v>
      </c>
      <c r="I434" s="440">
        <v>0</v>
      </c>
      <c r="J434" s="440">
        <f>SUM(G434:I434)</f>
        <v>0.33499562741608407</v>
      </c>
      <c r="K434" s="441"/>
      <c r="L434" s="440">
        <v>0.39006745772098078</v>
      </c>
      <c r="M434" s="440">
        <v>5.3276298853285955E-2</v>
      </c>
      <c r="N434" s="440">
        <v>0</v>
      </c>
      <c r="O434" s="440">
        <f>SUM(L434:N434)</f>
        <v>0.44334375657426672</v>
      </c>
    </row>
    <row r="435" spans="1:15" s="351" customFormat="1" x14ac:dyDescent="0.2">
      <c r="A435" s="362" t="str">
        <f>name!E$5</f>
        <v>Professional occupations</v>
      </c>
      <c r="B435" s="440">
        <v>0.36449411447326735</v>
      </c>
      <c r="C435" s="440">
        <v>1.0166363992467795E-2</v>
      </c>
      <c r="D435" s="440">
        <v>0</v>
      </c>
      <c r="E435" s="440">
        <f t="shared" ref="E435:E442" si="196">SUM(B435:D435)</f>
        <v>0.37466047846573514</v>
      </c>
      <c r="F435" s="441"/>
      <c r="G435" s="440">
        <v>0.41015476211308288</v>
      </c>
      <c r="H435" s="440">
        <v>6.0812359562607193E-2</v>
      </c>
      <c r="I435" s="440">
        <v>0</v>
      </c>
      <c r="J435" s="440">
        <f t="shared" ref="J435:J437" si="197">SUM(G435:I435)</f>
        <v>0.4709671216756901</v>
      </c>
      <c r="K435" s="441"/>
      <c r="L435" s="440">
        <v>0.5800682038477839</v>
      </c>
      <c r="M435" s="440">
        <v>8.6832105757557829E-2</v>
      </c>
      <c r="N435" s="440">
        <v>0</v>
      </c>
      <c r="O435" s="440">
        <f t="shared" ref="O435:O442" si="198">SUM(L435:N435)</f>
        <v>0.66690030960534175</v>
      </c>
    </row>
    <row r="436" spans="1:15" s="351" customFormat="1" x14ac:dyDescent="0.2">
      <c r="A436" s="362" t="str">
        <f>name!E$6</f>
        <v>Associate professional and technical</v>
      </c>
      <c r="B436" s="440">
        <v>0.29055531381248306</v>
      </c>
      <c r="C436" s="440">
        <v>1.195702790240028E-2</v>
      </c>
      <c r="D436" s="440">
        <v>0</v>
      </c>
      <c r="E436" s="440">
        <f t="shared" si="196"/>
        <v>0.30251234171488334</v>
      </c>
      <c r="F436" s="441"/>
      <c r="G436" s="440">
        <v>0.32169429902741659</v>
      </c>
      <c r="H436" s="440">
        <v>5.8910441169330072E-2</v>
      </c>
      <c r="I436" s="440">
        <v>0</v>
      </c>
      <c r="J436" s="440">
        <f t="shared" si="197"/>
        <v>0.38060474019674667</v>
      </c>
      <c r="K436" s="441"/>
      <c r="L436" s="440">
        <v>0.40049999546712506</v>
      </c>
      <c r="M436" s="440">
        <v>8.2101000943116911E-2</v>
      </c>
      <c r="N436" s="440">
        <v>0</v>
      </c>
      <c r="O436" s="440">
        <f t="shared" si="198"/>
        <v>0.48260099641024196</v>
      </c>
    </row>
    <row r="437" spans="1:15" s="351" customFormat="1" x14ac:dyDescent="0.2">
      <c r="A437" s="362" t="str">
        <f>name!E$7</f>
        <v>Administrative and secretarial</v>
      </c>
      <c r="B437" s="440">
        <v>0.14714023379330779</v>
      </c>
      <c r="C437" s="440">
        <v>2.0325038080285462E-2</v>
      </c>
      <c r="D437" s="440">
        <v>0</v>
      </c>
      <c r="E437" s="440">
        <f t="shared" si="196"/>
        <v>0.16746527187359325</v>
      </c>
      <c r="F437" s="441"/>
      <c r="G437" s="440">
        <v>0.10343236685442257</v>
      </c>
      <c r="H437" s="440">
        <v>6.4340668210952481E-2</v>
      </c>
      <c r="I437" s="440">
        <v>0</v>
      </c>
      <c r="J437" s="440">
        <f t="shared" si="197"/>
        <v>0.16777303506537505</v>
      </c>
      <c r="K437" s="441"/>
      <c r="L437" s="440">
        <v>9.9989679561339709E-2</v>
      </c>
      <c r="M437" s="440">
        <v>6.4730035211694653E-2</v>
      </c>
      <c r="N437" s="440">
        <v>0</v>
      </c>
      <c r="O437" s="440">
        <f t="shared" si="198"/>
        <v>0.16471971477303438</v>
      </c>
    </row>
    <row r="438" spans="1:15" s="351" customFormat="1" x14ac:dyDescent="0.2">
      <c r="A438" s="362" t="str">
        <f>name!E$8</f>
        <v>Skilled trades occupations</v>
      </c>
      <c r="B438" s="440">
        <v>0.31621768156004215</v>
      </c>
      <c r="C438" s="440">
        <v>2.9480385376931674E-3</v>
      </c>
      <c r="D438" s="440">
        <v>0</v>
      </c>
      <c r="E438" s="440">
        <f t="shared" si="196"/>
        <v>0.31916572009773531</v>
      </c>
      <c r="F438" s="441"/>
      <c r="G438" s="440">
        <v>0.38778134429556027</v>
      </c>
      <c r="H438" s="440">
        <v>1.2039341808815272E-2</v>
      </c>
      <c r="I438" s="440">
        <v>0</v>
      </c>
      <c r="J438" s="440">
        <f>SUM(G438:I438)</f>
        <v>0.39982068610437554</v>
      </c>
      <c r="K438" s="441"/>
      <c r="L438" s="440">
        <v>0.39690707973333672</v>
      </c>
      <c r="M438" s="440">
        <v>1.4203557782324662E-2</v>
      </c>
      <c r="N438" s="440">
        <v>0</v>
      </c>
      <c r="O438" s="440">
        <f t="shared" si="198"/>
        <v>0.4111106375156614</v>
      </c>
    </row>
    <row r="439" spans="1:15" s="351" customFormat="1" x14ac:dyDescent="0.2">
      <c r="A439" s="362" t="str">
        <f>name!E$9</f>
        <v>Caring, leisure and other service</v>
      </c>
      <c r="B439" s="440">
        <v>1.4586065058133004E-2</v>
      </c>
      <c r="C439" s="440">
        <v>3.6246067988936598E-3</v>
      </c>
      <c r="D439" s="440">
        <v>0</v>
      </c>
      <c r="E439" s="440">
        <f t="shared" si="196"/>
        <v>1.8210671857026663E-2</v>
      </c>
      <c r="F439" s="441"/>
      <c r="G439" s="440">
        <v>1.5345135515507827E-2</v>
      </c>
      <c r="H439" s="440">
        <v>1.3012136155080897E-2</v>
      </c>
      <c r="I439" s="440">
        <v>0</v>
      </c>
      <c r="J439" s="440">
        <f t="shared" ref="J439:J442" si="199">SUM(G439:I439)</f>
        <v>2.8357271670588723E-2</v>
      </c>
      <c r="K439" s="441"/>
      <c r="L439" s="440">
        <v>2.1769309386809352E-2</v>
      </c>
      <c r="M439" s="440">
        <v>1.6197752794486622E-2</v>
      </c>
      <c r="N439" s="440">
        <v>0</v>
      </c>
      <c r="O439" s="440">
        <f t="shared" si="198"/>
        <v>3.7967062181295974E-2</v>
      </c>
    </row>
    <row r="440" spans="1:15" s="351" customFormat="1" x14ac:dyDescent="0.2">
      <c r="A440" s="362" t="str">
        <f>name!E$10</f>
        <v>Sales and customer service</v>
      </c>
      <c r="B440" s="440">
        <v>9.2501285753401108E-2</v>
      </c>
      <c r="C440" s="440">
        <v>1.959678084473444E-2</v>
      </c>
      <c r="D440" s="440">
        <v>0</v>
      </c>
      <c r="E440" s="440">
        <f t="shared" si="196"/>
        <v>0.11209806659813555</v>
      </c>
      <c r="F440" s="441"/>
      <c r="G440" s="440">
        <v>7.0468947039110802E-2</v>
      </c>
      <c r="H440" s="440">
        <v>7.8151931249194534E-2</v>
      </c>
      <c r="I440" s="440">
        <v>0</v>
      </c>
      <c r="J440" s="440">
        <f t="shared" si="199"/>
        <v>0.14862087828830534</v>
      </c>
      <c r="K440" s="441"/>
      <c r="L440" s="440">
        <v>7.8964738410614632E-2</v>
      </c>
      <c r="M440" s="440">
        <v>9.3554603976166606E-2</v>
      </c>
      <c r="N440" s="440">
        <v>0</v>
      </c>
      <c r="O440" s="440">
        <f t="shared" si="198"/>
        <v>0.17251934238678124</v>
      </c>
    </row>
    <row r="441" spans="1:15" s="351" customFormat="1" x14ac:dyDescent="0.2">
      <c r="A441" s="362" t="str">
        <f>name!E$11</f>
        <v>Process, plant and machine operatives</v>
      </c>
      <c r="B441" s="440">
        <v>0.50246516027624621</v>
      </c>
      <c r="C441" s="440">
        <v>8.5400451961098901E-3</v>
      </c>
      <c r="D441" s="440">
        <v>0</v>
      </c>
      <c r="E441" s="440">
        <f t="shared" si="196"/>
        <v>0.51100520547235606</v>
      </c>
      <c r="F441" s="441"/>
      <c r="G441" s="440">
        <v>0.53582899034793885</v>
      </c>
      <c r="H441" s="440">
        <v>3.7976778966711373E-2</v>
      </c>
      <c r="I441" s="440">
        <v>0</v>
      </c>
      <c r="J441" s="440">
        <f t="shared" si="199"/>
        <v>0.57380576931465022</v>
      </c>
      <c r="K441" s="441"/>
      <c r="L441" s="440">
        <v>0.5246937662538671</v>
      </c>
      <c r="M441" s="440">
        <v>4.6865993161032175E-2</v>
      </c>
      <c r="N441" s="440">
        <v>0</v>
      </c>
      <c r="O441" s="440">
        <f t="shared" si="198"/>
        <v>0.57155975941489923</v>
      </c>
    </row>
    <row r="442" spans="1:15" s="351" customFormat="1" x14ac:dyDescent="0.2">
      <c r="A442" s="362" t="str">
        <f>name!E$12</f>
        <v>Elementary occupations</v>
      </c>
      <c r="B442" s="440">
        <v>4.6261086790475629E-2</v>
      </c>
      <c r="C442" s="440">
        <v>7.0113232966558066E-3</v>
      </c>
      <c r="D442" s="440">
        <v>0</v>
      </c>
      <c r="E442" s="440">
        <f t="shared" si="196"/>
        <v>5.3272410087131433E-2</v>
      </c>
      <c r="F442" s="441"/>
      <c r="G442" s="440">
        <v>5.6138086085786999E-2</v>
      </c>
      <c r="H442" s="440">
        <v>2.2916784168126758E-2</v>
      </c>
      <c r="I442" s="440">
        <v>0</v>
      </c>
      <c r="J442" s="440">
        <f t="shared" si="199"/>
        <v>7.905487025391375E-2</v>
      </c>
      <c r="K442" s="441"/>
      <c r="L442" s="440">
        <v>5.7039769602155191E-2</v>
      </c>
      <c r="M442" s="440">
        <v>2.7238651521457938E-2</v>
      </c>
      <c r="N442" s="440">
        <v>0</v>
      </c>
      <c r="O442" s="440">
        <f t="shared" si="198"/>
        <v>8.4278421123613126E-2</v>
      </c>
    </row>
    <row r="443" spans="1:15" s="351" customFormat="1" x14ac:dyDescent="0.2">
      <c r="A443" s="362"/>
      <c r="B443" s="440"/>
      <c r="C443" s="440"/>
      <c r="D443" s="440"/>
      <c r="E443" s="440"/>
      <c r="F443" s="441"/>
      <c r="G443" s="440"/>
      <c r="H443" s="440"/>
      <c r="I443" s="440"/>
      <c r="J443" s="440"/>
      <c r="K443" s="441"/>
      <c r="L443" s="440"/>
      <c r="M443" s="440"/>
      <c r="N443" s="440"/>
      <c r="O443" s="440"/>
    </row>
    <row r="444" spans="1:15" s="351" customFormat="1" x14ac:dyDescent="0.2">
      <c r="A444" s="357" t="s">
        <v>32</v>
      </c>
      <c r="B444" s="450">
        <f>SUM(B434:B442)</f>
        <v>1.9650000000005128</v>
      </c>
      <c r="C444" s="450">
        <f t="shared" ref="C444:E444" si="200">SUM(C434:C442)</f>
        <v>9.1000000000254391E-2</v>
      </c>
      <c r="D444" s="450">
        <f t="shared" si="200"/>
        <v>0</v>
      </c>
      <c r="E444" s="450">
        <f t="shared" si="200"/>
        <v>2.056000000000767</v>
      </c>
      <c r="F444" s="450"/>
      <c r="G444" s="450">
        <f t="shared" ref="G444:J444" si="201">SUM(G434:G442)</f>
        <v>2.1989999999838439</v>
      </c>
      <c r="H444" s="450">
        <f t="shared" si="201"/>
        <v>0.38500000000188589</v>
      </c>
      <c r="I444" s="450">
        <f t="shared" si="201"/>
        <v>0</v>
      </c>
      <c r="J444" s="450">
        <f t="shared" si="201"/>
        <v>2.5839999999857293</v>
      </c>
      <c r="K444" s="450"/>
      <c r="L444" s="450">
        <f t="shared" ref="L444:O444" si="202">SUM(L434:L442)</f>
        <v>2.5499999999840131</v>
      </c>
      <c r="M444" s="450">
        <f t="shared" si="202"/>
        <v>0.48500000000112337</v>
      </c>
      <c r="N444" s="450">
        <f t="shared" si="202"/>
        <v>0</v>
      </c>
      <c r="O444" s="450">
        <f t="shared" si="202"/>
        <v>3.0349999999851356</v>
      </c>
    </row>
    <row r="445" spans="1:15" s="351" customFormat="1" x14ac:dyDescent="0.2">
      <c r="A445" s="348"/>
      <c r="B445" s="348"/>
      <c r="C445" s="348"/>
      <c r="D445" s="348"/>
      <c r="E445" s="348"/>
      <c r="F445" s="348"/>
      <c r="G445" s="348"/>
      <c r="H445" s="348"/>
      <c r="I445" s="348"/>
      <c r="J445" s="348"/>
      <c r="K445" s="348"/>
      <c r="L445" s="348"/>
      <c r="M445" s="348"/>
      <c r="N445" s="353"/>
    </row>
    <row r="446" spans="1:15" s="351" customFormat="1" x14ac:dyDescent="0.2">
      <c r="A446" s="348"/>
      <c r="B446" s="348"/>
      <c r="C446" s="348"/>
      <c r="D446" s="348"/>
      <c r="E446" s="348"/>
      <c r="F446" s="348"/>
      <c r="G446" s="348"/>
      <c r="H446" s="348"/>
      <c r="I446" s="348"/>
      <c r="J446" s="348"/>
      <c r="K446" s="348"/>
      <c r="L446" s="348"/>
      <c r="M446" s="348"/>
      <c r="N446" s="353"/>
      <c r="O446" s="367" t="s">
        <v>35</v>
      </c>
    </row>
    <row r="447" spans="1:15" s="351" customFormat="1" x14ac:dyDescent="0.2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</row>
    <row r="448" spans="1:15" s="351" customFormat="1" x14ac:dyDescent="0.2">
      <c r="A448" s="354" t="str">
        <f>name!A29</f>
        <v>Sewerage</v>
      </c>
      <c r="B448" s="519">
        <f>$B$6</f>
        <v>2007</v>
      </c>
      <c r="C448" s="519"/>
      <c r="D448" s="519"/>
      <c r="E448" s="519"/>
      <c r="F448" s="380"/>
      <c r="G448" s="519">
        <f>$G$6</f>
        <v>2017</v>
      </c>
      <c r="H448" s="519"/>
      <c r="I448" s="519"/>
      <c r="J448" s="519"/>
      <c r="K448" s="380"/>
      <c r="L448" s="519">
        <f>$L$6</f>
        <v>2027</v>
      </c>
      <c r="M448" s="519"/>
      <c r="N448" s="519"/>
      <c r="O448" s="519"/>
    </row>
    <row r="449" spans="1:15" s="351" customFormat="1" x14ac:dyDescent="0.2">
      <c r="A449" s="370"/>
      <c r="B449" s="388" t="str">
        <f>$B$7</f>
        <v>FT</v>
      </c>
      <c r="C449" s="388" t="str">
        <f>$C$7</f>
        <v>PT</v>
      </c>
      <c r="D449" s="388" t="str">
        <f>$D$7</f>
        <v>SE</v>
      </c>
      <c r="E449" s="388" t="str">
        <f>$E$7</f>
        <v>Total</v>
      </c>
      <c r="F449" s="388"/>
      <c r="G449" s="388" t="str">
        <f>$G$7</f>
        <v>FT</v>
      </c>
      <c r="H449" s="388" t="str">
        <f>$H$7</f>
        <v>PT</v>
      </c>
      <c r="I449" s="388" t="str">
        <f>$I$7</f>
        <v>SE</v>
      </c>
      <c r="J449" s="388" t="str">
        <f>$J$7</f>
        <v>Total</v>
      </c>
      <c r="K449" s="388"/>
      <c r="L449" s="388" t="str">
        <f>$L$7</f>
        <v>FT</v>
      </c>
      <c r="M449" s="388" t="str">
        <f>$M$7</f>
        <v>PT</v>
      </c>
      <c r="N449" s="388" t="str">
        <f>$N$7</f>
        <v>SE</v>
      </c>
      <c r="O449" s="388" t="str">
        <f>$O$7</f>
        <v>Total</v>
      </c>
    </row>
    <row r="450" spans="1:15" s="351" customFormat="1" x14ac:dyDescent="0.2">
      <c r="A450" s="374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</row>
    <row r="451" spans="1:15" s="351" customFormat="1" x14ac:dyDescent="0.2">
      <c r="A451" s="362" t="str">
        <f>name!E$4</f>
        <v>Managers, directors and senior officials</v>
      </c>
      <c r="B451" s="440">
        <v>2.20144459192354E-2</v>
      </c>
      <c r="C451" s="440">
        <v>1.0602997311154475E-3</v>
      </c>
      <c r="D451" s="440">
        <v>0</v>
      </c>
      <c r="E451" s="440">
        <f>SUM(B451:D451)</f>
        <v>2.3074745650350847E-2</v>
      </c>
      <c r="F451" s="441"/>
      <c r="G451" s="440">
        <v>5.0026302885668547E-2</v>
      </c>
      <c r="H451" s="440">
        <v>3.438094647071639E-4</v>
      </c>
      <c r="I451" s="440">
        <v>0</v>
      </c>
      <c r="J451" s="440">
        <f>SUM(G451:I451)</f>
        <v>5.0370112350375709E-2</v>
      </c>
      <c r="K451" s="441"/>
      <c r="L451" s="440">
        <v>5.4750208933530102E-2</v>
      </c>
      <c r="M451" s="440">
        <v>2.4243981885125666E-4</v>
      </c>
      <c r="N451" s="440">
        <v>0</v>
      </c>
      <c r="O451" s="440">
        <f>SUM(L451:N451)</f>
        <v>5.4992648752381357E-2</v>
      </c>
    </row>
    <row r="452" spans="1:15" s="351" customFormat="1" x14ac:dyDescent="0.2">
      <c r="A452" s="362" t="str">
        <f>name!E$5</f>
        <v>Professional occupations</v>
      </c>
      <c r="B452" s="440">
        <v>3.4375662219221823E-2</v>
      </c>
      <c r="C452" s="440">
        <v>2.548346225893775E-3</v>
      </c>
      <c r="D452" s="440">
        <v>0</v>
      </c>
      <c r="E452" s="440">
        <f t="shared" ref="E452:E459" si="203">SUM(B452:D452)</f>
        <v>3.6924008445115598E-2</v>
      </c>
      <c r="F452" s="441"/>
      <c r="G452" s="440">
        <v>4.1621974722609943E-2</v>
      </c>
      <c r="H452" s="440">
        <v>2.4200100146061193E-2</v>
      </c>
      <c r="I452" s="440">
        <v>0</v>
      </c>
      <c r="J452" s="440">
        <f t="shared" ref="J452:J454" si="204">SUM(G452:I452)</f>
        <v>6.5822074868671143E-2</v>
      </c>
      <c r="K452" s="441"/>
      <c r="L452" s="440">
        <v>4.5840125888439727E-2</v>
      </c>
      <c r="M452" s="440">
        <v>3.2821585215092722E-2</v>
      </c>
      <c r="N452" s="440">
        <v>0</v>
      </c>
      <c r="O452" s="440">
        <f t="shared" ref="O452:O459" si="205">SUM(L452:N452)</f>
        <v>7.8661711103532456E-2</v>
      </c>
    </row>
    <row r="453" spans="1:15" s="351" customFormat="1" x14ac:dyDescent="0.2">
      <c r="A453" s="362" t="str">
        <f>name!E$6</f>
        <v>Associate professional and technical</v>
      </c>
      <c r="B453" s="440">
        <v>5.5053309819462368E-2</v>
      </c>
      <c r="C453" s="440">
        <v>4.388018405206349E-3</v>
      </c>
      <c r="D453" s="440">
        <v>0</v>
      </c>
      <c r="E453" s="440">
        <f t="shared" si="203"/>
        <v>5.9441328224668716E-2</v>
      </c>
      <c r="F453" s="441"/>
      <c r="G453" s="440">
        <v>0.10884948947398589</v>
      </c>
      <c r="H453" s="440">
        <v>2.9997097288860736E-3</v>
      </c>
      <c r="I453" s="440">
        <v>0</v>
      </c>
      <c r="J453" s="440">
        <f t="shared" si="204"/>
        <v>0.11184919920287197</v>
      </c>
      <c r="K453" s="441"/>
      <c r="L453" s="440">
        <v>0.11950414970960994</v>
      </c>
      <c r="M453" s="440">
        <v>2.9406732708748915E-3</v>
      </c>
      <c r="N453" s="440">
        <v>0</v>
      </c>
      <c r="O453" s="440">
        <f t="shared" si="205"/>
        <v>0.12244482298048484</v>
      </c>
    </row>
    <row r="454" spans="1:15" s="351" customFormat="1" x14ac:dyDescent="0.2">
      <c r="A454" s="362" t="str">
        <f>name!E$7</f>
        <v>Administrative and secretarial</v>
      </c>
      <c r="B454" s="440">
        <v>8.822262437187843E-2</v>
      </c>
      <c r="C454" s="440">
        <v>1.2489079343361407E-2</v>
      </c>
      <c r="D454" s="440">
        <v>0</v>
      </c>
      <c r="E454" s="440">
        <f t="shared" si="203"/>
        <v>0.10071170371523984</v>
      </c>
      <c r="F454" s="441"/>
      <c r="G454" s="440">
        <v>0.13755301955111826</v>
      </c>
      <c r="H454" s="440">
        <v>2.5514575694371693E-3</v>
      </c>
      <c r="I454" s="440">
        <v>0</v>
      </c>
      <c r="J454" s="440">
        <f t="shared" si="204"/>
        <v>0.14010447712055543</v>
      </c>
      <c r="K454" s="441"/>
      <c r="L454" s="440">
        <v>9.8625085149285446E-2</v>
      </c>
      <c r="M454" s="440">
        <v>8.395677669346313E-4</v>
      </c>
      <c r="N454" s="440">
        <v>0</v>
      </c>
      <c r="O454" s="440">
        <f t="shared" si="205"/>
        <v>9.9464652916220073E-2</v>
      </c>
    </row>
    <row r="455" spans="1:15" s="351" customFormat="1" x14ac:dyDescent="0.2">
      <c r="A455" s="362" t="str">
        <f>name!E$8</f>
        <v>Skilled trades occupations</v>
      </c>
      <c r="B455" s="440">
        <v>2.5004458320098306E-2</v>
      </c>
      <c r="C455" s="440">
        <v>1.5547114449735557E-3</v>
      </c>
      <c r="D455" s="440">
        <v>0</v>
      </c>
      <c r="E455" s="440">
        <f t="shared" si="203"/>
        <v>2.6559169765071861E-2</v>
      </c>
      <c r="F455" s="441"/>
      <c r="G455" s="440">
        <v>2.9471026290090605E-2</v>
      </c>
      <c r="H455" s="440">
        <v>6.2600341604293814E-4</v>
      </c>
      <c r="I455" s="440">
        <v>0</v>
      </c>
      <c r="J455" s="440">
        <f>SUM(G455:I455)</f>
        <v>3.0097029706133545E-2</v>
      </c>
      <c r="K455" s="441"/>
      <c r="L455" s="440">
        <v>2.6491511366008719E-2</v>
      </c>
      <c r="M455" s="440">
        <v>7.3853662242293647E-4</v>
      </c>
      <c r="N455" s="440">
        <v>0</v>
      </c>
      <c r="O455" s="440">
        <f t="shared" si="205"/>
        <v>2.7230047988431656E-2</v>
      </c>
    </row>
    <row r="456" spans="1:15" s="351" customFormat="1" x14ac:dyDescent="0.2">
      <c r="A456" s="362" t="str">
        <f>name!E$9</f>
        <v>Caring, leisure and other service</v>
      </c>
      <c r="B456" s="440">
        <v>1.6091204850864134E-2</v>
      </c>
      <c r="C456" s="440">
        <v>3.0975445897899342E-3</v>
      </c>
      <c r="D456" s="440">
        <v>0</v>
      </c>
      <c r="E456" s="440">
        <f t="shared" si="203"/>
        <v>1.9188749440654067E-2</v>
      </c>
      <c r="F456" s="441"/>
      <c r="G456" s="440">
        <v>3.3203077969884531E-2</v>
      </c>
      <c r="H456" s="440">
        <v>1.342457405083843E-3</v>
      </c>
      <c r="I456" s="440">
        <v>0</v>
      </c>
      <c r="J456" s="440">
        <f t="shared" ref="J456:J459" si="206">SUM(G456:I456)</f>
        <v>3.4545535374968371E-2</v>
      </c>
      <c r="K456" s="441"/>
      <c r="L456" s="440">
        <v>3.7278507323694171E-2</v>
      </c>
      <c r="M456" s="440">
        <v>1.8754941047144896E-3</v>
      </c>
      <c r="N456" s="440">
        <v>0</v>
      </c>
      <c r="O456" s="440">
        <f t="shared" si="205"/>
        <v>3.9154001428408663E-2</v>
      </c>
    </row>
    <row r="457" spans="1:15" s="351" customFormat="1" x14ac:dyDescent="0.2">
      <c r="A457" s="362" t="str">
        <f>name!E$10</f>
        <v>Sales and customer service</v>
      </c>
      <c r="B457" s="440">
        <v>1.3399854906867698E-2</v>
      </c>
      <c r="C457" s="440">
        <v>3.2517924667088793E-3</v>
      </c>
      <c r="D457" s="440">
        <v>0</v>
      </c>
      <c r="E457" s="440">
        <f t="shared" si="203"/>
        <v>1.6651647373576578E-2</v>
      </c>
      <c r="F457" s="441"/>
      <c r="G457" s="440">
        <v>2.6903669496359462E-2</v>
      </c>
      <c r="H457" s="440">
        <v>2.1228544315124989E-3</v>
      </c>
      <c r="I457" s="440">
        <v>0</v>
      </c>
      <c r="J457" s="440">
        <f t="shared" si="206"/>
        <v>2.9026523927871962E-2</v>
      </c>
      <c r="K457" s="441"/>
      <c r="L457" s="440">
        <v>2.5033954504925782E-2</v>
      </c>
      <c r="M457" s="440">
        <v>2.1898803832477855E-3</v>
      </c>
      <c r="N457" s="440">
        <v>0</v>
      </c>
      <c r="O457" s="440">
        <f t="shared" si="205"/>
        <v>2.7223834888173568E-2</v>
      </c>
    </row>
    <row r="458" spans="1:15" s="351" customFormat="1" x14ac:dyDescent="0.2">
      <c r="A458" s="362" t="str">
        <f>name!E$11</f>
        <v>Process, plant and machine operatives</v>
      </c>
      <c r="B458" s="440">
        <v>0.14213734066083566</v>
      </c>
      <c r="C458" s="440">
        <v>1.4871766199974449E-3</v>
      </c>
      <c r="D458" s="440">
        <v>0</v>
      </c>
      <c r="E458" s="440">
        <f t="shared" si="203"/>
        <v>0.14362451728083311</v>
      </c>
      <c r="F458" s="441"/>
      <c r="G458" s="440">
        <v>0.14378832063107239</v>
      </c>
      <c r="H458" s="440">
        <v>6.1013872436297681E-4</v>
      </c>
      <c r="I458" s="440">
        <v>0</v>
      </c>
      <c r="J458" s="440">
        <f t="shared" si="206"/>
        <v>0.14439845935543535</v>
      </c>
      <c r="K458" s="441"/>
      <c r="L458" s="440">
        <v>0.15392924741042241</v>
      </c>
      <c r="M458" s="440">
        <v>8.1417010288182493E-4</v>
      </c>
      <c r="N458" s="440">
        <v>0</v>
      </c>
      <c r="O458" s="440">
        <f t="shared" si="205"/>
        <v>0.15474341751330423</v>
      </c>
    </row>
    <row r="459" spans="1:15" s="351" customFormat="1" x14ac:dyDescent="0.2">
      <c r="A459" s="362" t="str">
        <f>name!E$12</f>
        <v>Elementary occupations</v>
      </c>
      <c r="B459" s="440">
        <v>0.12670109893178083</v>
      </c>
      <c r="C459" s="440">
        <v>1.7123031172827798E-2</v>
      </c>
      <c r="D459" s="440">
        <v>0</v>
      </c>
      <c r="E459" s="440">
        <f t="shared" si="203"/>
        <v>0.14382413010460862</v>
      </c>
      <c r="F459" s="441"/>
      <c r="G459" s="440">
        <v>0.16958311897865586</v>
      </c>
      <c r="H459" s="440">
        <v>4.2034691111211909E-3</v>
      </c>
      <c r="I459" s="440">
        <v>0</v>
      </c>
      <c r="J459" s="440">
        <f t="shared" si="206"/>
        <v>0.17378658808977704</v>
      </c>
      <c r="K459" s="441"/>
      <c r="L459" s="440">
        <v>0.18154720970605126</v>
      </c>
      <c r="M459" s="440">
        <v>5.5376527121820474E-3</v>
      </c>
      <c r="N459" s="440">
        <v>0</v>
      </c>
      <c r="O459" s="440">
        <f t="shared" si="205"/>
        <v>0.1870848624182333</v>
      </c>
    </row>
    <row r="460" spans="1:15" s="351" customFormat="1" x14ac:dyDescent="0.2">
      <c r="A460" s="362"/>
      <c r="B460" s="440"/>
      <c r="C460" s="440"/>
      <c r="D460" s="440"/>
      <c r="E460" s="440"/>
      <c r="F460" s="441"/>
      <c r="G460" s="440"/>
      <c r="H460" s="440"/>
      <c r="I460" s="440"/>
      <c r="J460" s="440"/>
      <c r="K460" s="441"/>
      <c r="L460" s="440"/>
      <c r="M460" s="440"/>
      <c r="N460" s="440"/>
      <c r="O460" s="440"/>
    </row>
    <row r="461" spans="1:15" s="351" customFormat="1" x14ac:dyDescent="0.2">
      <c r="A461" s="357" t="s">
        <v>32</v>
      </c>
      <c r="B461" s="450">
        <f>SUM(B451:B459)</f>
        <v>0.5230000000002446</v>
      </c>
      <c r="C461" s="450">
        <f t="shared" ref="C461:E461" si="207">SUM(C451:C459)</f>
        <v>4.6999999999874587E-2</v>
      </c>
      <c r="D461" s="450">
        <f t="shared" si="207"/>
        <v>0</v>
      </c>
      <c r="E461" s="450">
        <f t="shared" si="207"/>
        <v>0.57000000000011919</v>
      </c>
      <c r="F461" s="450"/>
      <c r="G461" s="450">
        <f t="shared" ref="G461:J461" si="208">SUM(G451:G459)</f>
        <v>0.74099999999944544</v>
      </c>
      <c r="H461" s="450">
        <f t="shared" si="208"/>
        <v>3.8999999997215047E-2</v>
      </c>
      <c r="I461" s="450">
        <f t="shared" si="208"/>
        <v>0</v>
      </c>
      <c r="J461" s="450">
        <f t="shared" si="208"/>
        <v>0.77999999999666048</v>
      </c>
      <c r="K461" s="450"/>
      <c r="L461" s="450">
        <f t="shared" ref="L461:O461" si="209">SUM(L451:L459)</f>
        <v>0.74299999999196764</v>
      </c>
      <c r="M461" s="450">
        <f t="shared" si="209"/>
        <v>4.7999999997202586E-2</v>
      </c>
      <c r="N461" s="450">
        <f t="shared" si="209"/>
        <v>0</v>
      </c>
      <c r="O461" s="450">
        <f t="shared" si="209"/>
        <v>0.79099999998917014</v>
      </c>
    </row>
    <row r="462" spans="1:15" s="351" customFormat="1" x14ac:dyDescent="0.2">
      <c r="A462" s="348"/>
      <c r="B462" s="348"/>
      <c r="C462" s="348"/>
      <c r="D462" s="348"/>
      <c r="E462" s="348"/>
      <c r="F462" s="348"/>
      <c r="G462" s="348"/>
      <c r="H462" s="348"/>
      <c r="I462" s="348"/>
      <c r="J462" s="348"/>
      <c r="K462" s="348"/>
      <c r="L462" s="348"/>
      <c r="M462" s="348"/>
      <c r="N462" s="353"/>
    </row>
    <row r="463" spans="1:15" s="351" customFormat="1" x14ac:dyDescent="0.2">
      <c r="A463" s="348"/>
      <c r="B463" s="348"/>
      <c r="C463" s="348"/>
      <c r="D463" s="348"/>
      <c r="E463" s="348"/>
      <c r="F463" s="348"/>
      <c r="G463" s="348"/>
      <c r="H463" s="348"/>
      <c r="I463" s="348"/>
      <c r="J463" s="348"/>
      <c r="K463" s="348"/>
      <c r="L463" s="348"/>
      <c r="M463" s="348"/>
      <c r="N463" s="353"/>
      <c r="O463" s="367" t="s">
        <v>35</v>
      </c>
    </row>
    <row r="464" spans="1:15" s="351" customFormat="1" x14ac:dyDescent="0.2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</row>
    <row r="465" spans="1:15" s="351" customFormat="1" x14ac:dyDescent="0.2">
      <c r="A465" s="354" t="str">
        <f>name!A30</f>
        <v>Waste management</v>
      </c>
      <c r="B465" s="519">
        <f>$B$6</f>
        <v>2007</v>
      </c>
      <c r="C465" s="519"/>
      <c r="D465" s="519"/>
      <c r="E465" s="519"/>
      <c r="F465" s="380"/>
      <c r="G465" s="519">
        <f>$G$6</f>
        <v>2017</v>
      </c>
      <c r="H465" s="519"/>
      <c r="I465" s="519"/>
      <c r="J465" s="519"/>
      <c r="K465" s="380"/>
      <c r="L465" s="519">
        <f>$L$6</f>
        <v>2027</v>
      </c>
      <c r="M465" s="519"/>
      <c r="N465" s="519"/>
      <c r="O465" s="519"/>
    </row>
    <row r="466" spans="1:15" s="351" customFormat="1" x14ac:dyDescent="0.2">
      <c r="A466" s="370"/>
      <c r="B466" s="388" t="str">
        <f>$B$7</f>
        <v>FT</v>
      </c>
      <c r="C466" s="388" t="str">
        <f>$C$7</f>
        <v>PT</v>
      </c>
      <c r="D466" s="388" t="str">
        <f>$D$7</f>
        <v>SE</v>
      </c>
      <c r="E466" s="388" t="str">
        <f>$E$7</f>
        <v>Total</v>
      </c>
      <c r="F466" s="388"/>
      <c r="G466" s="388" t="str">
        <f>$G$7</f>
        <v>FT</v>
      </c>
      <c r="H466" s="388" t="str">
        <f>$H$7</f>
        <v>PT</v>
      </c>
      <c r="I466" s="388" t="str">
        <f>$I$7</f>
        <v>SE</v>
      </c>
      <c r="J466" s="388" t="str">
        <f>$J$7</f>
        <v>Total</v>
      </c>
      <c r="K466" s="388"/>
      <c r="L466" s="388" t="str">
        <f>$L$7</f>
        <v>FT</v>
      </c>
      <c r="M466" s="388" t="str">
        <f>$M$7</f>
        <v>PT</v>
      </c>
      <c r="N466" s="388" t="str">
        <f>$N$7</f>
        <v>SE</v>
      </c>
      <c r="O466" s="388" t="str">
        <f>$O$7</f>
        <v>Total</v>
      </c>
    </row>
    <row r="467" spans="1:15" s="351" customFormat="1" x14ac:dyDescent="0.2">
      <c r="A467" s="374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</row>
    <row r="468" spans="1:15" s="351" customFormat="1" x14ac:dyDescent="0.2">
      <c r="A468" s="362" t="str">
        <f>name!E$4</f>
        <v>Managers, directors and senior officials</v>
      </c>
      <c r="B468" s="440">
        <v>0.25650941578226527</v>
      </c>
      <c r="C468" s="440">
        <v>2.2743326552496879E-2</v>
      </c>
      <c r="D468" s="440">
        <v>0</v>
      </c>
      <c r="E468" s="440">
        <f>SUM(B468:D468)</f>
        <v>0.27925274233476216</v>
      </c>
      <c r="F468" s="441"/>
      <c r="G468" s="440">
        <v>0.42621807948848695</v>
      </c>
      <c r="H468" s="440">
        <v>9.7868968105135054E-2</v>
      </c>
      <c r="I468" s="440">
        <v>0</v>
      </c>
      <c r="J468" s="440">
        <f>SUM(G468:I468)</f>
        <v>0.52408704759362201</v>
      </c>
      <c r="K468" s="441"/>
      <c r="L468" s="440">
        <v>0.4890276133625957</v>
      </c>
      <c r="M468" s="440">
        <v>0.1919412117481771</v>
      </c>
      <c r="N468" s="440">
        <v>0</v>
      </c>
      <c r="O468" s="440">
        <f>SUM(L468:N468)</f>
        <v>0.68096882511077284</v>
      </c>
    </row>
    <row r="469" spans="1:15" s="351" customFormat="1" x14ac:dyDescent="0.2">
      <c r="A469" s="362" t="str">
        <f>name!E$5</f>
        <v>Professional occupations</v>
      </c>
      <c r="B469" s="440">
        <v>0.35112286719284724</v>
      </c>
      <c r="C469" s="440">
        <v>3.7596210909513685E-2</v>
      </c>
      <c r="D469" s="440">
        <v>0</v>
      </c>
      <c r="E469" s="440">
        <f t="shared" ref="E469:E476" si="210">SUM(B469:D469)</f>
        <v>0.38871907810236095</v>
      </c>
      <c r="F469" s="441"/>
      <c r="G469" s="440">
        <v>0.31769912352743324</v>
      </c>
      <c r="H469" s="440">
        <v>0.94877232152830782</v>
      </c>
      <c r="I469" s="440">
        <v>0</v>
      </c>
      <c r="J469" s="440">
        <f t="shared" ref="J469:J471" si="211">SUM(G469:I469)</f>
        <v>1.2664714450557411</v>
      </c>
      <c r="K469" s="441"/>
      <c r="L469" s="440">
        <v>0.33906941395971801</v>
      </c>
      <c r="M469" s="440">
        <v>1.285688502154742</v>
      </c>
      <c r="N469" s="440">
        <v>0</v>
      </c>
      <c r="O469" s="440">
        <f t="shared" ref="O469:O476" si="212">SUM(L469:N469)</f>
        <v>1.6247579161144601</v>
      </c>
    </row>
    <row r="470" spans="1:15" s="351" customFormat="1" x14ac:dyDescent="0.2">
      <c r="A470" s="362" t="str">
        <f>name!E$6</f>
        <v>Associate professional and technical</v>
      </c>
      <c r="B470" s="440">
        <v>0.43260685538227051</v>
      </c>
      <c r="C470" s="440">
        <v>6.1548861493450742E-2</v>
      </c>
      <c r="D470" s="440">
        <v>0</v>
      </c>
      <c r="E470" s="440">
        <f t="shared" si="210"/>
        <v>0.49415571687572124</v>
      </c>
      <c r="F470" s="441"/>
      <c r="G470" s="440">
        <v>0.54385960991525428</v>
      </c>
      <c r="H470" s="440">
        <v>0.12293939908024278</v>
      </c>
      <c r="I470" s="440">
        <v>0</v>
      </c>
      <c r="J470" s="440">
        <f t="shared" si="211"/>
        <v>0.66679900899549704</v>
      </c>
      <c r="K470" s="441"/>
      <c r="L470" s="440">
        <v>0.60682228382819725</v>
      </c>
      <c r="M470" s="440">
        <v>0.10576785869596458</v>
      </c>
      <c r="N470" s="440">
        <v>0</v>
      </c>
      <c r="O470" s="440">
        <f t="shared" si="212"/>
        <v>0.71259014252416186</v>
      </c>
    </row>
    <row r="471" spans="1:15" s="351" customFormat="1" x14ac:dyDescent="0.2">
      <c r="A471" s="362" t="str">
        <f>name!E$7</f>
        <v>Administrative and secretarial</v>
      </c>
      <c r="B471" s="440">
        <v>0.53541011487262036</v>
      </c>
      <c r="C471" s="440">
        <v>0.20359654245591699</v>
      </c>
      <c r="D471" s="440">
        <v>0</v>
      </c>
      <c r="E471" s="440">
        <f t="shared" si="210"/>
        <v>0.73900665732853732</v>
      </c>
      <c r="F471" s="441"/>
      <c r="G471" s="440">
        <v>0.54908734968509465</v>
      </c>
      <c r="H471" s="440">
        <v>0.18755046534458261</v>
      </c>
      <c r="I471" s="440">
        <v>0</v>
      </c>
      <c r="J471" s="440">
        <f t="shared" si="211"/>
        <v>0.73663781502967729</v>
      </c>
      <c r="K471" s="441"/>
      <c r="L471" s="440">
        <v>0.43942259400149131</v>
      </c>
      <c r="M471" s="440">
        <v>0.1782622503191636</v>
      </c>
      <c r="N471" s="440">
        <v>0</v>
      </c>
      <c r="O471" s="440">
        <f t="shared" si="212"/>
        <v>0.61768484432065485</v>
      </c>
    </row>
    <row r="472" spans="1:15" s="351" customFormat="1" x14ac:dyDescent="0.2">
      <c r="A472" s="362" t="str">
        <f>name!E$8</f>
        <v>Skilled trades occupations</v>
      </c>
      <c r="B472" s="440">
        <v>0.40243832225004045</v>
      </c>
      <c r="C472" s="440">
        <v>3.2399528361000962E-2</v>
      </c>
      <c r="D472" s="440">
        <v>0</v>
      </c>
      <c r="E472" s="440">
        <f t="shared" si="210"/>
        <v>0.43483785061104141</v>
      </c>
      <c r="F472" s="441"/>
      <c r="G472" s="440">
        <v>0.54490264637977748</v>
      </c>
      <c r="H472" s="440">
        <v>0.21301380005936194</v>
      </c>
      <c r="I472" s="440">
        <v>0</v>
      </c>
      <c r="J472" s="440">
        <f>SUM(G472:I472)</f>
        <v>0.75791644643913947</v>
      </c>
      <c r="K472" s="441"/>
      <c r="L472" s="440">
        <v>0.73066233868110431</v>
      </c>
      <c r="M472" s="440">
        <v>0.39052515572722246</v>
      </c>
      <c r="N472" s="440">
        <v>0</v>
      </c>
      <c r="O472" s="440">
        <f t="shared" si="212"/>
        <v>1.1211874944083267</v>
      </c>
    </row>
    <row r="473" spans="1:15" s="351" customFormat="1" x14ac:dyDescent="0.2">
      <c r="A473" s="362" t="str">
        <f>name!E$9</f>
        <v>Caring, leisure and other service</v>
      </c>
      <c r="B473" s="440">
        <v>0.12225329323169848</v>
      </c>
      <c r="C473" s="440">
        <v>4.4894214222845959E-2</v>
      </c>
      <c r="D473" s="440">
        <v>0</v>
      </c>
      <c r="E473" s="440">
        <f t="shared" si="210"/>
        <v>0.16714750745454443</v>
      </c>
      <c r="F473" s="441"/>
      <c r="G473" s="440">
        <v>0.14179034308363761</v>
      </c>
      <c r="H473" s="440">
        <v>3.2761551576975828E-2</v>
      </c>
      <c r="I473" s="440">
        <v>0</v>
      </c>
      <c r="J473" s="440">
        <f t="shared" ref="J473:J476" si="213">SUM(G473:I473)</f>
        <v>0.17455189466061344</v>
      </c>
      <c r="K473" s="441"/>
      <c r="L473" s="440">
        <v>0.16865072202798376</v>
      </c>
      <c r="M473" s="440">
        <v>1.8119159101942416E-2</v>
      </c>
      <c r="N473" s="440">
        <v>0</v>
      </c>
      <c r="O473" s="440">
        <f t="shared" si="212"/>
        <v>0.18676988112992618</v>
      </c>
    </row>
    <row r="474" spans="1:15" s="351" customFormat="1" x14ac:dyDescent="0.2">
      <c r="A474" s="362" t="str">
        <f>name!E$10</f>
        <v>Sales and customer service</v>
      </c>
      <c r="B474" s="440">
        <v>0.10753365710364131</v>
      </c>
      <c r="C474" s="440">
        <v>4.9653988804452744E-2</v>
      </c>
      <c r="D474" s="440">
        <v>0</v>
      </c>
      <c r="E474" s="440">
        <f t="shared" si="210"/>
        <v>0.15718764590809406</v>
      </c>
      <c r="F474" s="441"/>
      <c r="G474" s="440">
        <v>0.1331817063748528</v>
      </c>
      <c r="H474" s="440">
        <v>0.10496794840123735</v>
      </c>
      <c r="I474" s="440">
        <v>0</v>
      </c>
      <c r="J474" s="440">
        <f t="shared" si="213"/>
        <v>0.23814965477609015</v>
      </c>
      <c r="K474" s="441"/>
      <c r="L474" s="440">
        <v>0.13670045024751878</v>
      </c>
      <c r="M474" s="440">
        <v>8.5969545244222512E-2</v>
      </c>
      <c r="N474" s="440">
        <v>0</v>
      </c>
      <c r="O474" s="440">
        <f t="shared" si="212"/>
        <v>0.2226699954917413</v>
      </c>
    </row>
    <row r="475" spans="1:15" s="351" customFormat="1" x14ac:dyDescent="0.2">
      <c r="A475" s="362" t="str">
        <f>name!E$11</f>
        <v>Process, plant and machine operatives</v>
      </c>
      <c r="B475" s="440">
        <v>1.946579999424052</v>
      </c>
      <c r="C475" s="440">
        <v>3.9249519483114517E-2</v>
      </c>
      <c r="D475" s="440">
        <v>0</v>
      </c>
      <c r="E475" s="440">
        <f t="shared" si="210"/>
        <v>1.9858295189071666</v>
      </c>
      <c r="F475" s="441"/>
      <c r="G475" s="440">
        <v>1.8197172603915486</v>
      </c>
      <c r="H475" s="440">
        <v>0.21911968602176454</v>
      </c>
      <c r="I475" s="440">
        <v>0</v>
      </c>
      <c r="J475" s="440">
        <f t="shared" si="213"/>
        <v>2.0388369464133129</v>
      </c>
      <c r="K475" s="441"/>
      <c r="L475" s="440">
        <v>2.134529239285476</v>
      </c>
      <c r="M475" s="440">
        <v>0.42677197908748393</v>
      </c>
      <c r="N475" s="440">
        <v>0</v>
      </c>
      <c r="O475" s="440">
        <f t="shared" si="212"/>
        <v>2.56130121837296</v>
      </c>
    </row>
    <row r="476" spans="1:15" s="351" customFormat="1" x14ac:dyDescent="0.2">
      <c r="A476" s="362" t="str">
        <f>name!E$12</f>
        <v>Elementary occupations</v>
      </c>
      <c r="B476" s="440">
        <v>1.4925454747634004</v>
      </c>
      <c r="C476" s="440">
        <v>0.24131780771548403</v>
      </c>
      <c r="D476" s="440">
        <v>0</v>
      </c>
      <c r="E476" s="440">
        <f t="shared" si="210"/>
        <v>1.7338632824788844</v>
      </c>
      <c r="F476" s="441"/>
      <c r="G476" s="440">
        <v>1.4205438811576969</v>
      </c>
      <c r="H476" s="440">
        <v>0.11900585977308185</v>
      </c>
      <c r="I476" s="440">
        <v>0</v>
      </c>
      <c r="J476" s="440">
        <f t="shared" si="213"/>
        <v>1.5395497409307788</v>
      </c>
      <c r="K476" s="441"/>
      <c r="L476" s="440">
        <v>1.3601153445285281</v>
      </c>
      <c r="M476" s="440">
        <v>6.3954337793405452E-2</v>
      </c>
      <c r="N476" s="440">
        <v>0</v>
      </c>
      <c r="O476" s="440">
        <f t="shared" si="212"/>
        <v>1.4240696823219336</v>
      </c>
    </row>
    <row r="477" spans="1:15" s="351" customFormat="1" x14ac:dyDescent="0.2">
      <c r="A477" s="362"/>
      <c r="B477" s="440"/>
      <c r="C477" s="440"/>
      <c r="D477" s="440"/>
      <c r="E477" s="440"/>
      <c r="F477" s="441"/>
      <c r="G477" s="440"/>
      <c r="H477" s="440"/>
      <c r="I477" s="440"/>
      <c r="J477" s="440"/>
      <c r="K477" s="441"/>
      <c r="L477" s="440"/>
      <c r="M477" s="440"/>
      <c r="N477" s="440"/>
      <c r="O477" s="440"/>
    </row>
    <row r="478" spans="1:15" s="351" customFormat="1" x14ac:dyDescent="0.2">
      <c r="A478" s="357" t="s">
        <v>32</v>
      </c>
      <c r="B478" s="450">
        <f>SUM(B468:B476)</f>
        <v>5.6470000000028371</v>
      </c>
      <c r="C478" s="450">
        <f t="shared" ref="C478:E478" si="214">SUM(C468:C476)</f>
        <v>0.73299999999827647</v>
      </c>
      <c r="D478" s="450">
        <f t="shared" si="214"/>
        <v>0</v>
      </c>
      <c r="E478" s="450">
        <f t="shared" si="214"/>
        <v>6.3800000000011128</v>
      </c>
      <c r="F478" s="450"/>
      <c r="G478" s="450">
        <f t="shared" ref="G478:J478" si="215">SUM(G468:G476)</f>
        <v>5.8970000000037821</v>
      </c>
      <c r="H478" s="450">
        <f t="shared" si="215"/>
        <v>2.0459999998906899</v>
      </c>
      <c r="I478" s="450">
        <f t="shared" si="215"/>
        <v>0</v>
      </c>
      <c r="J478" s="450">
        <f t="shared" si="215"/>
        <v>7.9429999998944725</v>
      </c>
      <c r="K478" s="450"/>
      <c r="L478" s="450">
        <f t="shared" ref="L478:O478" si="216">SUM(L468:L476)</f>
        <v>6.4049999999226133</v>
      </c>
      <c r="M478" s="450">
        <f t="shared" si="216"/>
        <v>2.7469999998723242</v>
      </c>
      <c r="N478" s="450">
        <f t="shared" si="216"/>
        <v>0</v>
      </c>
      <c r="O478" s="450">
        <f t="shared" si="216"/>
        <v>9.1519999997949384</v>
      </c>
    </row>
    <row r="479" spans="1:15" s="351" customFormat="1" x14ac:dyDescent="0.2">
      <c r="A479" s="348"/>
      <c r="B479" s="348"/>
      <c r="C479" s="348"/>
      <c r="D479" s="348"/>
      <c r="E479" s="348"/>
      <c r="F479" s="348"/>
      <c r="G479" s="348"/>
      <c r="H479" s="348"/>
      <c r="I479" s="348"/>
      <c r="J479" s="348"/>
      <c r="K479" s="348"/>
      <c r="L479" s="348"/>
      <c r="M479" s="348"/>
      <c r="N479" s="353"/>
    </row>
    <row r="480" spans="1:15" s="351" customFormat="1" x14ac:dyDescent="0.2">
      <c r="A480" s="348"/>
      <c r="B480" s="348"/>
      <c r="C480" s="348"/>
      <c r="D480" s="348"/>
      <c r="E480" s="348"/>
      <c r="F480" s="348"/>
      <c r="G480" s="348"/>
      <c r="H480" s="348"/>
      <c r="I480" s="348"/>
      <c r="J480" s="348"/>
      <c r="K480" s="348"/>
      <c r="L480" s="348"/>
      <c r="M480" s="348"/>
      <c r="N480" s="353"/>
      <c r="O480" s="367" t="s">
        <v>35</v>
      </c>
    </row>
    <row r="481" spans="1:15" s="351" customFormat="1" x14ac:dyDescent="0.2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</row>
    <row r="482" spans="1:15" s="351" customFormat="1" x14ac:dyDescent="0.2">
      <c r="A482" s="354" t="str">
        <f>name!A31</f>
        <v>Construction</v>
      </c>
      <c r="B482" s="519">
        <f>$B$6</f>
        <v>2007</v>
      </c>
      <c r="C482" s="519"/>
      <c r="D482" s="519"/>
      <c r="E482" s="519"/>
      <c r="F482" s="380"/>
      <c r="G482" s="519">
        <f>$G$6</f>
        <v>2017</v>
      </c>
      <c r="H482" s="519"/>
      <c r="I482" s="519"/>
      <c r="J482" s="519"/>
      <c r="K482" s="380"/>
      <c r="L482" s="519">
        <f>$L$6</f>
        <v>2027</v>
      </c>
      <c r="M482" s="519"/>
      <c r="N482" s="519"/>
      <c r="O482" s="519"/>
    </row>
    <row r="483" spans="1:15" s="351" customFormat="1" x14ac:dyDescent="0.2">
      <c r="A483" s="370"/>
      <c r="B483" s="388" t="str">
        <f>$B$7</f>
        <v>FT</v>
      </c>
      <c r="C483" s="388" t="str">
        <f>$C$7</f>
        <v>PT</v>
      </c>
      <c r="D483" s="388" t="str">
        <f>$D$7</f>
        <v>SE</v>
      </c>
      <c r="E483" s="388" t="str">
        <f>$E$7</f>
        <v>Total</v>
      </c>
      <c r="F483" s="388"/>
      <c r="G483" s="388" t="str">
        <f>$G$7</f>
        <v>FT</v>
      </c>
      <c r="H483" s="388" t="str">
        <f>$H$7</f>
        <v>PT</v>
      </c>
      <c r="I483" s="388" t="str">
        <f>$I$7</f>
        <v>SE</v>
      </c>
      <c r="J483" s="388" t="str">
        <f>$J$7</f>
        <v>Total</v>
      </c>
      <c r="K483" s="388"/>
      <c r="L483" s="388" t="str">
        <f>$L$7</f>
        <v>FT</v>
      </c>
      <c r="M483" s="388" t="str">
        <f>$M$7</f>
        <v>PT</v>
      </c>
      <c r="N483" s="388" t="str">
        <f>$N$7</f>
        <v>SE</v>
      </c>
      <c r="O483" s="388" t="str">
        <f>$O$7</f>
        <v>Total</v>
      </c>
    </row>
    <row r="484" spans="1:15" s="351" customFormat="1" x14ac:dyDescent="0.2">
      <c r="A484" s="374"/>
      <c r="B484" s="350"/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</row>
    <row r="485" spans="1:15" s="351" customFormat="1" x14ac:dyDescent="0.2">
      <c r="A485" s="362" t="str">
        <f>name!E$4</f>
        <v>Managers, directors and senior officials</v>
      </c>
      <c r="B485" s="440">
        <v>1.0454168470779359</v>
      </c>
      <c r="C485" s="440">
        <v>0.12411972430452806</v>
      </c>
      <c r="D485" s="440">
        <v>0.46896816172510897</v>
      </c>
      <c r="E485" s="440">
        <f>SUM(B485:D485)</f>
        <v>1.6385047331075728</v>
      </c>
      <c r="F485" s="441"/>
      <c r="G485" s="440">
        <v>1.8784236158886534</v>
      </c>
      <c r="H485" s="440">
        <v>0.23409896122937782</v>
      </c>
      <c r="I485" s="440">
        <v>0.52920109998716613</v>
      </c>
      <c r="J485" s="440">
        <f>SUM(G485:I485)</f>
        <v>2.6417236771051975</v>
      </c>
      <c r="K485" s="441"/>
      <c r="L485" s="440">
        <v>2.2733357422863323</v>
      </c>
      <c r="M485" s="440">
        <v>0.28367654000485221</v>
      </c>
      <c r="N485" s="440">
        <v>0.4745000471845528</v>
      </c>
      <c r="O485" s="440">
        <f>SUM(L485:N485)</f>
        <v>3.0315123294757371</v>
      </c>
    </row>
    <row r="486" spans="1:15" s="351" customFormat="1" x14ac:dyDescent="0.2">
      <c r="A486" s="362" t="str">
        <f>name!E$5</f>
        <v>Professional occupations</v>
      </c>
      <c r="B486" s="440">
        <v>1.6067768560269904</v>
      </c>
      <c r="C486" s="440">
        <v>0.10254114794610311</v>
      </c>
      <c r="D486" s="440">
        <v>0.13193683898055605</v>
      </c>
      <c r="E486" s="440">
        <f t="shared" ref="E486:E493" si="217">SUM(B486:D486)</f>
        <v>1.8412548429536495</v>
      </c>
      <c r="F486" s="441"/>
      <c r="G486" s="440">
        <v>2.6073449615950022</v>
      </c>
      <c r="H486" s="440">
        <v>0.15236659717770693</v>
      </c>
      <c r="I486" s="440">
        <v>0.17670193599797399</v>
      </c>
      <c r="J486" s="440">
        <f t="shared" ref="J486:J488" si="218">SUM(G486:I486)</f>
        <v>2.936413494770683</v>
      </c>
      <c r="K486" s="441"/>
      <c r="L486" s="440">
        <v>3.0440994621547732</v>
      </c>
      <c r="M486" s="440">
        <v>0.17262954476365569</v>
      </c>
      <c r="N486" s="440">
        <v>0.144461354660049</v>
      </c>
      <c r="O486" s="440">
        <f t="shared" ref="O486:O493" si="219">SUM(L486:N486)</f>
        <v>3.3611903615784779</v>
      </c>
    </row>
    <row r="487" spans="1:15" s="351" customFormat="1" x14ac:dyDescent="0.2">
      <c r="A487" s="362" t="str">
        <f>name!E$6</f>
        <v>Associate professional and technical</v>
      </c>
      <c r="B487" s="440">
        <v>1.064051071666819</v>
      </c>
      <c r="C487" s="440">
        <v>0.1720601935613699</v>
      </c>
      <c r="D487" s="440">
        <v>0.1150866832153406</v>
      </c>
      <c r="E487" s="440">
        <f t="shared" si="217"/>
        <v>1.3511979484435295</v>
      </c>
      <c r="F487" s="441"/>
      <c r="G487" s="440">
        <v>1.6825209683571443</v>
      </c>
      <c r="H487" s="440">
        <v>0.28946919145852873</v>
      </c>
      <c r="I487" s="440">
        <v>0.12574454479925298</v>
      </c>
      <c r="J487" s="440">
        <f t="shared" si="218"/>
        <v>2.0977347046149259</v>
      </c>
      <c r="K487" s="441"/>
      <c r="L487" s="440">
        <v>1.9277351719782088</v>
      </c>
      <c r="M487" s="440">
        <v>0.37761313572502747</v>
      </c>
      <c r="N487" s="440">
        <v>0.10806639191838129</v>
      </c>
      <c r="O487" s="440">
        <f t="shared" si="219"/>
        <v>2.4134146996216175</v>
      </c>
    </row>
    <row r="488" spans="1:15" s="351" customFormat="1" x14ac:dyDescent="0.2">
      <c r="A488" s="362" t="str">
        <f>name!E$7</f>
        <v>Administrative and secretarial</v>
      </c>
      <c r="B488" s="440">
        <v>0.85726274450552953</v>
      </c>
      <c r="C488" s="440">
        <v>0.97068287110620899</v>
      </c>
      <c r="D488" s="440">
        <v>0.16943985947929677</v>
      </c>
      <c r="E488" s="440">
        <f t="shared" si="217"/>
        <v>1.9973854750910354</v>
      </c>
      <c r="F488" s="441"/>
      <c r="G488" s="440">
        <v>1.1020503843227685</v>
      </c>
      <c r="H488" s="440">
        <v>1.5007510662159715</v>
      </c>
      <c r="I488" s="440">
        <v>0.12338970548909221</v>
      </c>
      <c r="J488" s="440">
        <f t="shared" si="218"/>
        <v>2.726191156027832</v>
      </c>
      <c r="K488" s="441"/>
      <c r="L488" s="440">
        <v>0.89366639343461995</v>
      </c>
      <c r="M488" s="440">
        <v>1.463010582930441</v>
      </c>
      <c r="N488" s="440">
        <v>6.005103243976239E-2</v>
      </c>
      <c r="O488" s="440">
        <f t="shared" si="219"/>
        <v>2.4167280088048235</v>
      </c>
    </row>
    <row r="489" spans="1:15" s="351" customFormat="1" x14ac:dyDescent="0.2">
      <c r="A489" s="362" t="str">
        <f>name!E$8</f>
        <v>Skilled trades occupations</v>
      </c>
      <c r="B489" s="440">
        <v>6.7101582449452568</v>
      </c>
      <c r="C489" s="440">
        <v>0.39241383254345674</v>
      </c>
      <c r="D489" s="440">
        <v>9.8204171121502881</v>
      </c>
      <c r="E489" s="440">
        <f t="shared" si="217"/>
        <v>16.922989189639001</v>
      </c>
      <c r="F489" s="441"/>
      <c r="G489" s="440">
        <v>8.9555306774983041</v>
      </c>
      <c r="H489" s="440">
        <v>0.45757401231183892</v>
      </c>
      <c r="I489" s="440">
        <v>11.126632057120784</v>
      </c>
      <c r="J489" s="440">
        <f>SUM(G489:I489)</f>
        <v>20.539736746930927</v>
      </c>
      <c r="K489" s="441"/>
      <c r="L489" s="440">
        <v>9.0321342998384395</v>
      </c>
      <c r="M489" s="440">
        <v>0.48952609343782943</v>
      </c>
      <c r="N489" s="440">
        <v>10.889182920988477</v>
      </c>
      <c r="O489" s="440">
        <f t="shared" si="219"/>
        <v>20.410843314264746</v>
      </c>
    </row>
    <row r="490" spans="1:15" s="351" customFormat="1" x14ac:dyDescent="0.2">
      <c r="A490" s="362" t="str">
        <f>name!E$9</f>
        <v>Caring, leisure and other service</v>
      </c>
      <c r="B490" s="440">
        <v>2.0996629715738617E-2</v>
      </c>
      <c r="C490" s="440">
        <v>2.0928543714205699E-2</v>
      </c>
      <c r="D490" s="440">
        <v>1.0195134259554314E-2</v>
      </c>
      <c r="E490" s="440">
        <f t="shared" si="217"/>
        <v>5.2120307689498629E-2</v>
      </c>
      <c r="F490" s="441"/>
      <c r="G490" s="440">
        <v>3.3243608512473287E-2</v>
      </c>
      <c r="H490" s="440">
        <v>8.4207344609189133E-2</v>
      </c>
      <c r="I490" s="440">
        <v>9.2248239085612402E-3</v>
      </c>
      <c r="J490" s="440">
        <f t="shared" ref="J490:J493" si="220">SUM(G490:I490)</f>
        <v>0.12667577703022367</v>
      </c>
      <c r="K490" s="441"/>
      <c r="L490" s="440">
        <v>3.8299895720039168E-2</v>
      </c>
      <c r="M490" s="440">
        <v>9.9549858662556542E-2</v>
      </c>
      <c r="N490" s="440">
        <v>8.1782850111443081E-3</v>
      </c>
      <c r="O490" s="440">
        <f t="shared" si="219"/>
        <v>0.14602803939374004</v>
      </c>
    </row>
    <row r="491" spans="1:15" s="351" customFormat="1" x14ac:dyDescent="0.2">
      <c r="A491" s="362" t="str">
        <f>name!E$10</f>
        <v>Sales and customer service</v>
      </c>
      <c r="B491" s="440">
        <v>0.25976160103702961</v>
      </c>
      <c r="C491" s="440">
        <v>0.23423284945486023</v>
      </c>
      <c r="D491" s="440">
        <v>2.7837725950665367E-2</v>
      </c>
      <c r="E491" s="440">
        <f t="shared" si="217"/>
        <v>0.5218321764425552</v>
      </c>
      <c r="F491" s="441"/>
      <c r="G491" s="440">
        <v>0.38135060166382778</v>
      </c>
      <c r="H491" s="440">
        <v>0.51524959770291967</v>
      </c>
      <c r="I491" s="440">
        <v>2.468570682634931E-2</v>
      </c>
      <c r="J491" s="440">
        <f t="shared" si="220"/>
        <v>0.92128590619309669</v>
      </c>
      <c r="K491" s="441"/>
      <c r="L491" s="440">
        <v>0.39487223622280065</v>
      </c>
      <c r="M491" s="440">
        <v>0.60291868817401628</v>
      </c>
      <c r="N491" s="440">
        <v>1.9405095411067764E-2</v>
      </c>
      <c r="O491" s="440">
        <f t="shared" si="219"/>
        <v>1.0171960198078847</v>
      </c>
    </row>
    <row r="492" spans="1:15" s="351" customFormat="1" x14ac:dyDescent="0.2">
      <c r="A492" s="362" t="str">
        <f>name!E$11</f>
        <v>Process, plant and machine operatives</v>
      </c>
      <c r="B492" s="440">
        <v>2.5760727254366205</v>
      </c>
      <c r="C492" s="440">
        <v>0.14025958208169836</v>
      </c>
      <c r="D492" s="440">
        <v>0.59635691419026982</v>
      </c>
      <c r="E492" s="440">
        <f t="shared" si="217"/>
        <v>3.3126892217085886</v>
      </c>
      <c r="F492" s="441"/>
      <c r="G492" s="440">
        <v>3.287658995949732</v>
      </c>
      <c r="H492" s="440">
        <v>0.13833468091645926</v>
      </c>
      <c r="I492" s="440">
        <v>0.64391865223632261</v>
      </c>
      <c r="J492" s="440">
        <f t="shared" si="220"/>
        <v>4.0699123291025137</v>
      </c>
      <c r="K492" s="441"/>
      <c r="L492" s="440">
        <v>3.263816012822367</v>
      </c>
      <c r="M492" s="440">
        <v>0.12316032789016089</v>
      </c>
      <c r="N492" s="440">
        <v>0.50719748204002024</v>
      </c>
      <c r="O492" s="440">
        <f t="shared" si="219"/>
        <v>3.8941738227525482</v>
      </c>
    </row>
    <row r="493" spans="1:15" s="351" customFormat="1" x14ac:dyDescent="0.2">
      <c r="A493" s="362" t="str">
        <f>name!E$12</f>
        <v>Elementary occupations</v>
      </c>
      <c r="B493" s="440">
        <v>1.3215032795746666</v>
      </c>
      <c r="C493" s="440">
        <v>0.55276125528002995</v>
      </c>
      <c r="D493" s="440">
        <v>0.82876157042634546</v>
      </c>
      <c r="E493" s="440">
        <f t="shared" si="217"/>
        <v>2.703026105281042</v>
      </c>
      <c r="F493" s="441"/>
      <c r="G493" s="440">
        <v>1.0608761862061908</v>
      </c>
      <c r="H493" s="440">
        <v>0.76394854846216542</v>
      </c>
      <c r="I493" s="440">
        <v>0.68150147378292358</v>
      </c>
      <c r="J493" s="440">
        <f t="shared" si="220"/>
        <v>2.5063262084512798</v>
      </c>
      <c r="K493" s="441"/>
      <c r="L493" s="440">
        <v>1.02504078523172</v>
      </c>
      <c r="M493" s="440">
        <v>0.77191522846829641</v>
      </c>
      <c r="N493" s="440">
        <v>0.53695739072434612</v>
      </c>
      <c r="O493" s="440">
        <f t="shared" si="219"/>
        <v>2.3339134044243623</v>
      </c>
    </row>
    <row r="494" spans="1:15" s="351" customFormat="1" x14ac:dyDescent="0.2">
      <c r="A494" s="362"/>
      <c r="B494" s="440"/>
      <c r="C494" s="440"/>
      <c r="D494" s="440"/>
      <c r="E494" s="440"/>
      <c r="F494" s="441"/>
      <c r="G494" s="440"/>
      <c r="H494" s="440"/>
      <c r="I494" s="440"/>
      <c r="J494" s="440"/>
      <c r="K494" s="441"/>
      <c r="L494" s="440"/>
      <c r="M494" s="440"/>
      <c r="N494" s="440"/>
      <c r="O494" s="440"/>
    </row>
    <row r="495" spans="1:15" s="351" customFormat="1" x14ac:dyDescent="0.2">
      <c r="A495" s="357" t="s">
        <v>32</v>
      </c>
      <c r="B495" s="450">
        <f>SUM(B485:B493)</f>
        <v>15.461999999986588</v>
      </c>
      <c r="C495" s="450">
        <f t="shared" ref="C495:E495" si="221">SUM(C485:C493)</f>
        <v>2.7099999999924611</v>
      </c>
      <c r="D495" s="450">
        <f t="shared" si="221"/>
        <v>12.169000000377427</v>
      </c>
      <c r="E495" s="450">
        <f t="shared" si="221"/>
        <v>30.341000000356473</v>
      </c>
      <c r="F495" s="450"/>
      <c r="G495" s="450">
        <f t="shared" ref="G495:J495" si="222">SUM(G485:G493)</f>
        <v>20.988999999994096</v>
      </c>
      <c r="H495" s="450">
        <f t="shared" si="222"/>
        <v>4.1360000000841568</v>
      </c>
      <c r="I495" s="450">
        <f t="shared" si="222"/>
        <v>13.441000000148426</v>
      </c>
      <c r="J495" s="450">
        <f t="shared" si="222"/>
        <v>38.56600000022668</v>
      </c>
      <c r="K495" s="450"/>
      <c r="L495" s="450">
        <f t="shared" ref="L495:O495" si="223">SUM(L485:L493)</f>
        <v>21.892999999689302</v>
      </c>
      <c r="M495" s="450">
        <f t="shared" si="223"/>
        <v>4.3840000000568358</v>
      </c>
      <c r="N495" s="450">
        <f t="shared" si="223"/>
        <v>12.748000000377802</v>
      </c>
      <c r="O495" s="450">
        <f t="shared" si="223"/>
        <v>39.025000000123939</v>
      </c>
    </row>
    <row r="496" spans="1:15" s="351" customFormat="1" x14ac:dyDescent="0.2">
      <c r="A496" s="348"/>
      <c r="B496" s="348"/>
      <c r="C496" s="348"/>
      <c r="D496" s="348"/>
      <c r="E496" s="348"/>
      <c r="F496" s="348"/>
      <c r="G496" s="348"/>
      <c r="H496" s="348"/>
      <c r="I496" s="348"/>
      <c r="J496" s="348"/>
      <c r="K496" s="348"/>
      <c r="L496" s="348"/>
      <c r="M496" s="348"/>
      <c r="N496" s="353"/>
    </row>
    <row r="497" spans="1:15" s="351" customFormat="1" x14ac:dyDescent="0.2">
      <c r="A497" s="348"/>
      <c r="B497" s="348"/>
      <c r="C497" s="348"/>
      <c r="D497" s="348"/>
      <c r="E497" s="348"/>
      <c r="F497" s="348"/>
      <c r="G497" s="348"/>
      <c r="H497" s="348"/>
      <c r="I497" s="348"/>
      <c r="J497" s="348"/>
      <c r="K497" s="348"/>
      <c r="L497" s="348"/>
      <c r="M497" s="348"/>
      <c r="N497" s="353"/>
      <c r="O497" s="367" t="s">
        <v>35</v>
      </c>
    </row>
    <row r="498" spans="1:15" s="351" customFormat="1" x14ac:dyDescent="0.2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</row>
    <row r="499" spans="1:15" s="351" customFormat="1" x14ac:dyDescent="0.2">
      <c r="A499" s="354" t="str">
        <f>name!A32</f>
        <v>Civil engineering</v>
      </c>
      <c r="B499" s="519">
        <f>$B$6</f>
        <v>2007</v>
      </c>
      <c r="C499" s="519"/>
      <c r="D499" s="519"/>
      <c r="E499" s="519"/>
      <c r="F499" s="380"/>
      <c r="G499" s="519">
        <f>$G$6</f>
        <v>2017</v>
      </c>
      <c r="H499" s="519"/>
      <c r="I499" s="519"/>
      <c r="J499" s="519"/>
      <c r="K499" s="380"/>
      <c r="L499" s="519">
        <f>$L$6</f>
        <v>2027</v>
      </c>
      <c r="M499" s="519"/>
      <c r="N499" s="519"/>
      <c r="O499" s="519"/>
    </row>
    <row r="500" spans="1:15" s="351" customFormat="1" x14ac:dyDescent="0.2">
      <c r="A500" s="370"/>
      <c r="B500" s="388" t="str">
        <f>$B$7</f>
        <v>FT</v>
      </c>
      <c r="C500" s="388" t="str">
        <f>$C$7</f>
        <v>PT</v>
      </c>
      <c r="D500" s="388" t="str">
        <f>$D$7</f>
        <v>SE</v>
      </c>
      <c r="E500" s="388" t="str">
        <f>$E$7</f>
        <v>Total</v>
      </c>
      <c r="F500" s="388"/>
      <c r="G500" s="388" t="str">
        <f>$G$7</f>
        <v>FT</v>
      </c>
      <c r="H500" s="388" t="str">
        <f>$H$7</f>
        <v>PT</v>
      </c>
      <c r="I500" s="388" t="str">
        <f>$I$7</f>
        <v>SE</v>
      </c>
      <c r="J500" s="388" t="str">
        <f>$J$7</f>
        <v>Total</v>
      </c>
      <c r="K500" s="388"/>
      <c r="L500" s="388" t="str">
        <f>$L$7</f>
        <v>FT</v>
      </c>
      <c r="M500" s="388" t="str">
        <f>$M$7</f>
        <v>PT</v>
      </c>
      <c r="N500" s="388" t="str">
        <f>$N$7</f>
        <v>SE</v>
      </c>
      <c r="O500" s="388" t="str">
        <f>$O$7</f>
        <v>Total</v>
      </c>
    </row>
    <row r="501" spans="1:15" s="351" customFormat="1" x14ac:dyDescent="0.2">
      <c r="A501" s="374"/>
      <c r="B501" s="350"/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</row>
    <row r="502" spans="1:15" s="351" customFormat="1" x14ac:dyDescent="0.2">
      <c r="A502" s="362" t="str">
        <f>name!E$4</f>
        <v>Managers, directors and senior officials</v>
      </c>
      <c r="B502" s="440">
        <v>0.81557234335926931</v>
      </c>
      <c r="C502" s="440">
        <v>4.1427220103537332E-2</v>
      </c>
      <c r="D502" s="440">
        <v>0.34910830265537796</v>
      </c>
      <c r="E502" s="440">
        <f>SUM(B502:D502)</f>
        <v>1.2061078661181845</v>
      </c>
      <c r="F502" s="441"/>
      <c r="G502" s="440">
        <v>0.97667634533623515</v>
      </c>
      <c r="H502" s="440">
        <v>3.8925316623485827E-2</v>
      </c>
      <c r="I502" s="440">
        <v>0.25993869286637944</v>
      </c>
      <c r="J502" s="440">
        <f>SUM(G502:I502)</f>
        <v>1.2755403548261004</v>
      </c>
      <c r="K502" s="441"/>
      <c r="L502" s="440">
        <v>1.1785417684363115</v>
      </c>
      <c r="M502" s="440">
        <v>4.4370993583716864E-2</v>
      </c>
      <c r="N502" s="440">
        <v>0.23124959335297768</v>
      </c>
      <c r="O502" s="440">
        <f>SUM(L502:N502)</f>
        <v>1.4541623553730061</v>
      </c>
    </row>
    <row r="503" spans="1:15" s="351" customFormat="1" x14ac:dyDescent="0.2">
      <c r="A503" s="362" t="str">
        <f>name!E$5</f>
        <v>Professional occupations</v>
      </c>
      <c r="B503" s="440">
        <v>1.2553440682137382</v>
      </c>
      <c r="C503" s="440">
        <v>3.7015862674477859E-2</v>
      </c>
      <c r="D503" s="440">
        <v>9.9885514918699944E-2</v>
      </c>
      <c r="E503" s="440">
        <f t="shared" ref="E503:E510" si="224">SUM(B503:D503)</f>
        <v>1.392245445806916</v>
      </c>
      <c r="F503" s="441"/>
      <c r="G503" s="440">
        <v>1.3646909423656726</v>
      </c>
      <c r="H503" s="440">
        <v>2.6963208646725183E-2</v>
      </c>
      <c r="I503" s="440">
        <v>8.7463977784618577E-2</v>
      </c>
      <c r="J503" s="440">
        <f t="shared" ref="J503:J505" si="225">SUM(G503:I503)</f>
        <v>1.4791181287970163</v>
      </c>
      <c r="K503" s="441"/>
      <c r="L503" s="440">
        <v>1.591043175623573</v>
      </c>
      <c r="M503" s="440">
        <v>2.8585451443515451E-2</v>
      </c>
      <c r="N503" s="440">
        <v>6.8720909414251172E-2</v>
      </c>
      <c r="O503" s="440">
        <f t="shared" ref="O503:O510" si="226">SUM(L503:N503)</f>
        <v>1.6883495364813397</v>
      </c>
    </row>
    <row r="504" spans="1:15" s="351" customFormat="1" x14ac:dyDescent="0.2">
      <c r="A504" s="362" t="str">
        <f>name!E$6</f>
        <v>Associate professional and technical</v>
      </c>
      <c r="B504" s="440">
        <v>0.81096625476278894</v>
      </c>
      <c r="C504" s="440">
        <v>5.0933185079942947E-2</v>
      </c>
      <c r="D504" s="440">
        <v>8.210075995707751E-2</v>
      </c>
      <c r="E504" s="440">
        <f t="shared" si="224"/>
        <v>0.94400019979980943</v>
      </c>
      <c r="F504" s="441"/>
      <c r="G504" s="440">
        <v>0.8556245080929219</v>
      </c>
      <c r="H504" s="440">
        <v>4.1691190724036632E-2</v>
      </c>
      <c r="I504" s="440">
        <v>5.9218339249361332E-2</v>
      </c>
      <c r="J504" s="440">
        <f t="shared" si="225"/>
        <v>0.95653403806631987</v>
      </c>
      <c r="K504" s="441"/>
      <c r="L504" s="440">
        <v>0.97585155993591055</v>
      </c>
      <c r="M504" s="440">
        <v>5.1708608937735032E-2</v>
      </c>
      <c r="N504" s="440">
        <v>4.9751114348497279E-2</v>
      </c>
      <c r="O504" s="440">
        <f t="shared" si="226"/>
        <v>1.0773112832221428</v>
      </c>
    </row>
    <row r="505" spans="1:15" s="351" customFormat="1" x14ac:dyDescent="0.2">
      <c r="A505" s="362" t="str">
        <f>name!E$7</f>
        <v>Administrative and secretarial</v>
      </c>
      <c r="B505" s="440">
        <v>0.54457458894928079</v>
      </c>
      <c r="C505" s="440">
        <v>0.21807842045643416</v>
      </c>
      <c r="D505" s="440">
        <v>7.4900020527841935E-2</v>
      </c>
      <c r="E505" s="440">
        <f t="shared" si="224"/>
        <v>0.83755302993355685</v>
      </c>
      <c r="F505" s="441"/>
      <c r="G505" s="440">
        <v>0.46813374130777013</v>
      </c>
      <c r="H505" s="440">
        <v>0.18284350672976341</v>
      </c>
      <c r="I505" s="440">
        <v>3.6628090337924024E-2</v>
      </c>
      <c r="J505" s="440">
        <f t="shared" si="225"/>
        <v>0.68760533837545756</v>
      </c>
      <c r="K505" s="441"/>
      <c r="L505" s="440">
        <v>0.38398109691047672</v>
      </c>
      <c r="M505" s="440">
        <v>0.17709249152324122</v>
      </c>
      <c r="N505" s="440">
        <v>1.9159555670095627E-2</v>
      </c>
      <c r="O505" s="440">
        <f t="shared" si="226"/>
        <v>0.58023314410381355</v>
      </c>
    </row>
    <row r="506" spans="1:15" s="351" customFormat="1" x14ac:dyDescent="0.2">
      <c r="A506" s="362" t="str">
        <f>name!E$8</f>
        <v>Skilled trades occupations</v>
      </c>
      <c r="B506" s="440">
        <v>5.3172317900805641</v>
      </c>
      <c r="C506" s="440">
        <v>0.15871391291837039</v>
      </c>
      <c r="D506" s="440">
        <v>7.8398241416415058</v>
      </c>
      <c r="E506" s="440">
        <f t="shared" si="224"/>
        <v>13.315769844640441</v>
      </c>
      <c r="F506" s="441"/>
      <c r="G506" s="440">
        <v>4.759130401993966</v>
      </c>
      <c r="H506" s="440">
        <v>0.10106005375114489</v>
      </c>
      <c r="I506" s="440">
        <v>5.801804042141069</v>
      </c>
      <c r="J506" s="440">
        <f>SUM(G506:I506)</f>
        <v>10.66199449788618</v>
      </c>
      <c r="K506" s="441"/>
      <c r="L506" s="440">
        <v>4.7955836698662866</v>
      </c>
      <c r="M506" s="440">
        <v>0.10606341084996707</v>
      </c>
      <c r="N506" s="440">
        <v>5.6581456779072585</v>
      </c>
      <c r="O506" s="440">
        <f t="shared" si="226"/>
        <v>10.559792758623512</v>
      </c>
    </row>
    <row r="507" spans="1:15" s="351" customFormat="1" x14ac:dyDescent="0.2">
      <c r="A507" s="362" t="str">
        <f>name!E$9</f>
        <v>Caring, leisure and other service</v>
      </c>
      <c r="B507" s="440">
        <v>1.4914216090881409E-2</v>
      </c>
      <c r="C507" s="440">
        <v>6.9200104259434939E-3</v>
      </c>
      <c r="D507" s="440">
        <v>4.6984189098687977E-3</v>
      </c>
      <c r="E507" s="440">
        <f t="shared" si="224"/>
        <v>2.6532645426693702E-2</v>
      </c>
      <c r="F507" s="441"/>
      <c r="G507" s="440">
        <v>1.5908437690090569E-2</v>
      </c>
      <c r="H507" s="440">
        <v>1.7463707758607849E-2</v>
      </c>
      <c r="I507" s="440">
        <v>2.8683132811366694E-3</v>
      </c>
      <c r="J507" s="440">
        <f t="shared" ref="J507:J510" si="227">SUM(G507:I507)</f>
        <v>3.6240458729835084E-2</v>
      </c>
      <c r="K507" s="441"/>
      <c r="L507" s="440">
        <v>1.8252103917587966E-2</v>
      </c>
      <c r="M507" s="440">
        <v>2.0661045973852949E-2</v>
      </c>
      <c r="N507" s="440">
        <v>2.5705657715033546E-3</v>
      </c>
      <c r="O507" s="440">
        <f t="shared" si="226"/>
        <v>4.1483715662944273E-2</v>
      </c>
    </row>
    <row r="508" spans="1:15" s="351" customFormat="1" x14ac:dyDescent="0.2">
      <c r="A508" s="362" t="str">
        <f>name!E$10</f>
        <v>Sales and customer service</v>
      </c>
      <c r="B508" s="440">
        <v>0.17087685917198864</v>
      </c>
      <c r="C508" s="440">
        <v>5.7687885411492557E-2</v>
      </c>
      <c r="D508" s="440">
        <v>1.5566227441875363E-2</v>
      </c>
      <c r="E508" s="440">
        <f t="shared" si="224"/>
        <v>0.24413097202535655</v>
      </c>
      <c r="F508" s="441"/>
      <c r="G508" s="440">
        <v>0.17152786171980733</v>
      </c>
      <c r="H508" s="440">
        <v>6.532889954868995E-2</v>
      </c>
      <c r="I508" s="440">
        <v>9.2356868923987156E-3</v>
      </c>
      <c r="J508" s="440">
        <f t="shared" si="227"/>
        <v>0.24609244816089598</v>
      </c>
      <c r="K508" s="441"/>
      <c r="L508" s="440">
        <v>0.17805725940578598</v>
      </c>
      <c r="M508" s="440">
        <v>7.4835003374880693E-2</v>
      </c>
      <c r="N508" s="440">
        <v>7.4718015697318512E-3</v>
      </c>
      <c r="O508" s="440">
        <f t="shared" si="226"/>
        <v>0.26036406435039855</v>
      </c>
    </row>
    <row r="509" spans="1:15" s="351" customFormat="1" x14ac:dyDescent="0.2">
      <c r="A509" s="362" t="str">
        <f>name!E$11</f>
        <v>Process, plant and machine operatives</v>
      </c>
      <c r="B509" s="440">
        <v>2.0457806382584662</v>
      </c>
      <c r="C509" s="440">
        <v>5.7278554159516361E-2</v>
      </c>
      <c r="D509" s="440">
        <v>0.47940092206865847</v>
      </c>
      <c r="E509" s="440">
        <f t="shared" si="224"/>
        <v>2.5824601144866408</v>
      </c>
      <c r="F509" s="441"/>
      <c r="G509" s="440">
        <v>1.7505295091238955</v>
      </c>
      <c r="H509" s="440">
        <v>3.1221746107192715E-2</v>
      </c>
      <c r="I509" s="440">
        <v>0.33811842140793863</v>
      </c>
      <c r="J509" s="440">
        <f t="shared" si="227"/>
        <v>2.1198696766390266</v>
      </c>
      <c r="K509" s="441"/>
      <c r="L509" s="440">
        <v>1.7380269676691327</v>
      </c>
      <c r="M509" s="440">
        <v>2.771510933069013E-2</v>
      </c>
      <c r="N509" s="440">
        <v>0.26624875396759395</v>
      </c>
      <c r="O509" s="440">
        <f t="shared" si="226"/>
        <v>2.0319908309674171</v>
      </c>
    </row>
    <row r="510" spans="1:15" s="351" customFormat="1" x14ac:dyDescent="0.2">
      <c r="A510" s="362" t="str">
        <f>name!E$12</f>
        <v>Elementary occupations</v>
      </c>
      <c r="B510" s="440">
        <v>1.0447392411065579</v>
      </c>
      <c r="C510" s="440">
        <v>0.16994494876919372</v>
      </c>
      <c r="D510" s="440">
        <v>0.6315156921819346</v>
      </c>
      <c r="E510" s="440">
        <f t="shared" si="224"/>
        <v>1.8461998820576864</v>
      </c>
      <c r="F510" s="441"/>
      <c r="G510" s="440">
        <v>0.56477825236849821</v>
      </c>
      <c r="H510" s="440">
        <v>0.11550237012076971</v>
      </c>
      <c r="I510" s="440">
        <v>0.33972443611284742</v>
      </c>
      <c r="J510" s="440">
        <f t="shared" si="227"/>
        <v>1.0200050586021154</v>
      </c>
      <c r="K510" s="441"/>
      <c r="L510" s="440">
        <v>0.54566239807264716</v>
      </c>
      <c r="M510" s="440">
        <v>0.11296788498794177</v>
      </c>
      <c r="N510" s="440">
        <v>0.26968202819328557</v>
      </c>
      <c r="O510" s="440">
        <f t="shared" si="226"/>
        <v>0.92831231125387448</v>
      </c>
    </row>
    <row r="511" spans="1:15" s="351" customFormat="1" x14ac:dyDescent="0.2">
      <c r="A511" s="362"/>
      <c r="B511" s="440"/>
      <c r="C511" s="440"/>
      <c r="D511" s="440"/>
      <c r="E511" s="440"/>
      <c r="F511" s="441"/>
      <c r="G511" s="440"/>
      <c r="H511" s="440"/>
      <c r="I511" s="440"/>
      <c r="J511" s="440"/>
      <c r="K511" s="441"/>
      <c r="L511" s="440"/>
      <c r="M511" s="440"/>
      <c r="N511" s="440"/>
      <c r="O511" s="440"/>
    </row>
    <row r="512" spans="1:15" s="351" customFormat="1" x14ac:dyDescent="0.2">
      <c r="A512" s="357" t="s">
        <v>32</v>
      </c>
      <c r="B512" s="450">
        <f>SUM(B502:B510)</f>
        <v>12.019999999993537</v>
      </c>
      <c r="C512" s="450">
        <f t="shared" ref="C512:E512" si="228">SUM(C502:C510)</f>
        <v>0.7979999999989088</v>
      </c>
      <c r="D512" s="450">
        <f t="shared" si="228"/>
        <v>9.5770000003028386</v>
      </c>
      <c r="E512" s="450">
        <f t="shared" si="228"/>
        <v>22.395000000295283</v>
      </c>
      <c r="F512" s="450"/>
      <c r="G512" s="450">
        <f t="shared" ref="G512:J512" si="229">SUM(G502:G510)</f>
        <v>10.926999999998857</v>
      </c>
      <c r="H512" s="450">
        <f t="shared" si="229"/>
        <v>0.62100000001041622</v>
      </c>
      <c r="I512" s="450">
        <f t="shared" si="229"/>
        <v>6.9350000000736731</v>
      </c>
      <c r="J512" s="450">
        <f t="shared" si="229"/>
        <v>18.483000000082949</v>
      </c>
      <c r="K512" s="450"/>
      <c r="L512" s="450">
        <f t="shared" ref="L512:O512" si="230">SUM(L502:L510)</f>
        <v>11.404999999837711</v>
      </c>
      <c r="M512" s="450">
        <f t="shared" si="230"/>
        <v>0.64400000000554103</v>
      </c>
      <c r="N512" s="450">
        <f t="shared" si="230"/>
        <v>6.5730000001951954</v>
      </c>
      <c r="O512" s="450">
        <f t="shared" si="230"/>
        <v>18.622000000038447</v>
      </c>
    </row>
    <row r="513" spans="1:15" s="351" customFormat="1" x14ac:dyDescent="0.2">
      <c r="A513" s="348"/>
      <c r="B513" s="348"/>
      <c r="C513" s="348"/>
      <c r="D513" s="348"/>
      <c r="E513" s="348"/>
      <c r="F513" s="348"/>
      <c r="G513" s="348"/>
      <c r="H513" s="348"/>
      <c r="I513" s="348"/>
      <c r="J513" s="348"/>
      <c r="K513" s="348"/>
      <c r="L513" s="348"/>
      <c r="M513" s="348"/>
      <c r="N513" s="353"/>
    </row>
    <row r="514" spans="1:15" s="351" customFormat="1" x14ac:dyDescent="0.2">
      <c r="A514" s="348"/>
      <c r="B514" s="348"/>
      <c r="C514" s="348"/>
      <c r="D514" s="348"/>
      <c r="E514" s="348"/>
      <c r="F514" s="348"/>
      <c r="G514" s="348"/>
      <c r="H514" s="348"/>
      <c r="I514" s="348"/>
      <c r="J514" s="348"/>
      <c r="K514" s="348"/>
      <c r="L514" s="348"/>
      <c r="M514" s="348"/>
      <c r="N514" s="353"/>
      <c r="O514" s="367" t="s">
        <v>35</v>
      </c>
    </row>
    <row r="515" spans="1:15" s="351" customFormat="1" x14ac:dyDescent="0.2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</row>
    <row r="516" spans="1:15" s="351" customFormat="1" x14ac:dyDescent="0.2">
      <c r="A516" s="354" t="str">
        <f>name!A33</f>
        <v>Specialised construction</v>
      </c>
      <c r="B516" s="519">
        <f>$B$6</f>
        <v>2007</v>
      </c>
      <c r="C516" s="519"/>
      <c r="D516" s="519"/>
      <c r="E516" s="519"/>
      <c r="F516" s="380"/>
      <c r="G516" s="519">
        <f>$G$6</f>
        <v>2017</v>
      </c>
      <c r="H516" s="519"/>
      <c r="I516" s="519"/>
      <c r="J516" s="519"/>
      <c r="K516" s="380"/>
      <c r="L516" s="519">
        <f>$L$6</f>
        <v>2027</v>
      </c>
      <c r="M516" s="519"/>
      <c r="N516" s="519"/>
      <c r="O516" s="519"/>
    </row>
    <row r="517" spans="1:15" s="351" customFormat="1" x14ac:dyDescent="0.2">
      <c r="A517" s="370"/>
      <c r="B517" s="388" t="str">
        <f>$B$7</f>
        <v>FT</v>
      </c>
      <c r="C517" s="388" t="str">
        <f>$C$7</f>
        <v>PT</v>
      </c>
      <c r="D517" s="388" t="str">
        <f>$D$7</f>
        <v>SE</v>
      </c>
      <c r="E517" s="388" t="str">
        <f>$E$7</f>
        <v>Total</v>
      </c>
      <c r="F517" s="388"/>
      <c r="G517" s="388" t="str">
        <f>$G$7</f>
        <v>FT</v>
      </c>
      <c r="H517" s="388" t="str">
        <f>$H$7</f>
        <v>PT</v>
      </c>
      <c r="I517" s="388" t="str">
        <f>$I$7</f>
        <v>SE</v>
      </c>
      <c r="J517" s="388" t="str">
        <f>$J$7</f>
        <v>Total</v>
      </c>
      <c r="K517" s="388"/>
      <c r="L517" s="388" t="str">
        <f>$L$7</f>
        <v>FT</v>
      </c>
      <c r="M517" s="388" t="str">
        <f>$M$7</f>
        <v>PT</v>
      </c>
      <c r="N517" s="388" t="str">
        <f>$N$7</f>
        <v>SE</v>
      </c>
      <c r="O517" s="388" t="str">
        <f>$O$7</f>
        <v>Total</v>
      </c>
    </row>
    <row r="518" spans="1:15" s="351" customFormat="1" x14ac:dyDescent="0.2">
      <c r="A518" s="374"/>
      <c r="B518" s="350"/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</row>
    <row r="519" spans="1:15" s="351" customFormat="1" x14ac:dyDescent="0.2">
      <c r="A519" s="362" t="str">
        <f>name!E$4</f>
        <v>Managers, directors and senior officials</v>
      </c>
      <c r="B519" s="440">
        <v>2.216451979754186</v>
      </c>
      <c r="C519" s="440">
        <v>0.17647614002220352</v>
      </c>
      <c r="D519" s="440">
        <v>0.93707037013668049</v>
      </c>
      <c r="E519" s="440">
        <f>SUM(B519:D519)</f>
        <v>3.3299984899130699</v>
      </c>
      <c r="F519" s="441"/>
      <c r="G519" s="440">
        <v>2.5421020030352217</v>
      </c>
      <c r="H519" s="440">
        <v>0.23620955459638474</v>
      </c>
      <c r="I519" s="440">
        <v>0.68311483459687694</v>
      </c>
      <c r="J519" s="440">
        <f>SUM(G519:I519)</f>
        <v>3.4614263922284838</v>
      </c>
      <c r="K519" s="441"/>
      <c r="L519" s="440">
        <v>3.0978253232877528</v>
      </c>
      <c r="M519" s="440">
        <v>0.27355529347125651</v>
      </c>
      <c r="N519" s="440">
        <v>0.60946093387577227</v>
      </c>
      <c r="O519" s="440">
        <f>SUM(L519:N519)</f>
        <v>3.9808415506347816</v>
      </c>
    </row>
    <row r="520" spans="1:15" s="351" customFormat="1" x14ac:dyDescent="0.2">
      <c r="A520" s="362" t="str">
        <f>name!E$5</f>
        <v>Professional occupations</v>
      </c>
      <c r="B520" s="440">
        <v>3.394478076937431</v>
      </c>
      <c r="C520" s="440">
        <v>0.15531038000655373</v>
      </c>
      <c r="D520" s="440">
        <v>0.26628939742806562</v>
      </c>
      <c r="E520" s="440">
        <f t="shared" ref="E520:E527" si="231">SUM(B520:D520)</f>
        <v>3.8160778543720504</v>
      </c>
      <c r="F520" s="441"/>
      <c r="G520" s="440">
        <v>3.4722110267598016</v>
      </c>
      <c r="H520" s="440">
        <v>0.16145820419249138</v>
      </c>
      <c r="I520" s="440">
        <v>0.22913976439924566</v>
      </c>
      <c r="J520" s="440">
        <f t="shared" ref="J520:J522" si="232">SUM(G520:I520)</f>
        <v>3.8628089953515388</v>
      </c>
      <c r="K520" s="441"/>
      <c r="L520" s="440">
        <v>4.0676286030485951</v>
      </c>
      <c r="M520" s="440">
        <v>0.17400908849536056</v>
      </c>
      <c r="N520" s="440">
        <v>0.18290984462422125</v>
      </c>
      <c r="O520" s="440">
        <f t="shared" ref="O520:O527" si="233">SUM(L520:N520)</f>
        <v>4.424547536168177</v>
      </c>
    </row>
    <row r="521" spans="1:15" s="351" customFormat="1" x14ac:dyDescent="0.2">
      <c r="A521" s="362" t="str">
        <f>name!E$6</f>
        <v>Associate professional and technical</v>
      </c>
      <c r="B521" s="440">
        <v>2.3829027901586688</v>
      </c>
      <c r="C521" s="440">
        <v>0.22249502220913195</v>
      </c>
      <c r="D521" s="440">
        <v>0.22427085115220785</v>
      </c>
      <c r="E521" s="440">
        <f t="shared" si="231"/>
        <v>2.8296686635200086</v>
      </c>
      <c r="F521" s="441"/>
      <c r="G521" s="440">
        <v>2.3969491663051397</v>
      </c>
      <c r="H521" s="440">
        <v>0.26154655801674276</v>
      </c>
      <c r="I521" s="440">
        <v>0.15834063678971108</v>
      </c>
      <c r="J521" s="440">
        <f t="shared" si="232"/>
        <v>2.8168363611115934</v>
      </c>
      <c r="K521" s="441"/>
      <c r="L521" s="440">
        <v>2.7734256646228528</v>
      </c>
      <c r="M521" s="440">
        <v>0.32912854691116061</v>
      </c>
      <c r="N521" s="440">
        <v>0.13422944001675155</v>
      </c>
      <c r="O521" s="440">
        <f t="shared" si="233"/>
        <v>3.2367836515507649</v>
      </c>
    </row>
    <row r="522" spans="1:15" s="351" customFormat="1" x14ac:dyDescent="0.2">
      <c r="A522" s="362" t="str">
        <f>name!E$7</f>
        <v>Administrative and secretarial</v>
      </c>
      <c r="B522" s="440">
        <v>2.641200078822445</v>
      </c>
      <c r="C522" s="440">
        <v>1.019071049214467</v>
      </c>
      <c r="D522" s="440">
        <v>0.25694982025824797</v>
      </c>
      <c r="E522" s="440">
        <f t="shared" si="231"/>
        <v>3.9172209482951601</v>
      </c>
      <c r="F522" s="441"/>
      <c r="G522" s="440">
        <v>2.1469101224542912</v>
      </c>
      <c r="H522" s="440">
        <v>1.1981120049170322</v>
      </c>
      <c r="I522" s="440">
        <v>0.12183457698955302</v>
      </c>
      <c r="J522" s="440">
        <f t="shared" si="232"/>
        <v>3.4668567043608762</v>
      </c>
      <c r="K522" s="441"/>
      <c r="L522" s="440">
        <v>1.7118582936648798</v>
      </c>
      <c r="M522" s="440">
        <v>1.1645147864909979</v>
      </c>
      <c r="N522" s="440">
        <v>6.1275390890828396E-2</v>
      </c>
      <c r="O522" s="440">
        <f t="shared" si="233"/>
        <v>2.9376484710467059</v>
      </c>
    </row>
    <row r="523" spans="1:15" s="351" customFormat="1" x14ac:dyDescent="0.2">
      <c r="A523" s="362" t="str">
        <f>name!E$8</f>
        <v>Skilled trades occupations</v>
      </c>
      <c r="B523" s="440">
        <v>13.680448739002719</v>
      </c>
      <c r="C523" s="440">
        <v>0.65251357840253865</v>
      </c>
      <c r="D523" s="440">
        <v>20.465935221548396</v>
      </c>
      <c r="E523" s="440">
        <f t="shared" si="231"/>
        <v>34.798897538953653</v>
      </c>
      <c r="F523" s="441"/>
      <c r="G523" s="440">
        <v>11.477442316571281</v>
      </c>
      <c r="H523" s="440">
        <v>0.58009471724505002</v>
      </c>
      <c r="I523" s="440">
        <v>14.888138753275088</v>
      </c>
      <c r="J523" s="440">
        <f>SUM(G523:I523)</f>
        <v>26.945675787091417</v>
      </c>
      <c r="K523" s="441"/>
      <c r="L523" s="440">
        <v>11.603039005991787</v>
      </c>
      <c r="M523" s="440">
        <v>0.61245555403757779</v>
      </c>
      <c r="N523" s="440">
        <v>14.537439674495191</v>
      </c>
      <c r="O523" s="440">
        <f t="shared" si="233"/>
        <v>26.752934234524556</v>
      </c>
    </row>
    <row r="524" spans="1:15" s="351" customFormat="1" x14ac:dyDescent="0.2">
      <c r="A524" s="362" t="str">
        <f>name!E$9</f>
        <v>Caring, leisure and other service</v>
      </c>
      <c r="B524" s="440">
        <v>5.4238274522108651E-2</v>
      </c>
      <c r="C524" s="440">
        <v>2.95341241232677E-2</v>
      </c>
      <c r="D524" s="440">
        <v>1.576597839315896E-2</v>
      </c>
      <c r="E524" s="440">
        <f t="shared" si="231"/>
        <v>9.9538377038535311E-2</v>
      </c>
      <c r="F524" s="441"/>
      <c r="G524" s="440">
        <v>5.3592153262774472E-2</v>
      </c>
      <c r="H524" s="440">
        <v>0.10137747249529622</v>
      </c>
      <c r="I524" s="440">
        <v>9.3114401647800479E-3</v>
      </c>
      <c r="J524" s="440">
        <f t="shared" ref="J524:J527" si="234">SUM(G524:I524)</f>
        <v>0.16428106592285074</v>
      </c>
      <c r="K524" s="441"/>
      <c r="L524" s="440">
        <v>6.2178224553139615E-2</v>
      </c>
      <c r="M524" s="440">
        <v>0.12022678175737089</v>
      </c>
      <c r="N524" s="440">
        <v>8.2842304099458326E-3</v>
      </c>
      <c r="O524" s="440">
        <f t="shared" si="233"/>
        <v>0.19068923672045635</v>
      </c>
    </row>
    <row r="525" spans="1:15" s="351" customFormat="1" x14ac:dyDescent="0.2">
      <c r="A525" s="362" t="str">
        <f>name!E$10</f>
        <v>Sales and customer service</v>
      </c>
      <c r="B525" s="440">
        <v>0.76143375550054582</v>
      </c>
      <c r="C525" s="440">
        <v>0.26317417462878967</v>
      </c>
      <c r="D525" s="440">
        <v>4.7409346988668187E-2</v>
      </c>
      <c r="E525" s="440">
        <f t="shared" si="231"/>
        <v>1.0720172771180037</v>
      </c>
      <c r="F525" s="441"/>
      <c r="G525" s="440">
        <v>0.68330682622107319</v>
      </c>
      <c r="H525" s="440">
        <v>0.42345038160516701</v>
      </c>
      <c r="I525" s="440">
        <v>2.735336114270193E-2</v>
      </c>
      <c r="J525" s="440">
        <f t="shared" si="234"/>
        <v>1.1341105689689421</v>
      </c>
      <c r="K525" s="441"/>
      <c r="L525" s="440">
        <v>0.70411321357130285</v>
      </c>
      <c r="M525" s="440">
        <v>0.4887299183416951</v>
      </c>
      <c r="N525" s="440">
        <v>2.1809693878516806E-2</v>
      </c>
      <c r="O525" s="440">
        <f t="shared" si="233"/>
        <v>1.2146528257915148</v>
      </c>
    </row>
    <row r="526" spans="1:15" s="351" customFormat="1" x14ac:dyDescent="0.2">
      <c r="A526" s="362" t="str">
        <f>name!E$11</f>
        <v>Process, plant and machine operatives</v>
      </c>
      <c r="B526" s="440">
        <v>5.2224282346741537</v>
      </c>
      <c r="C526" s="440">
        <v>0.23510091376788442</v>
      </c>
      <c r="D526" s="440">
        <v>1.2481046785449554</v>
      </c>
      <c r="E526" s="440">
        <f t="shared" si="231"/>
        <v>6.7056338269869933</v>
      </c>
      <c r="F526" s="441"/>
      <c r="G526" s="440">
        <v>4.1921733476586285</v>
      </c>
      <c r="H526" s="440">
        <v>0.17854702891772545</v>
      </c>
      <c r="I526" s="440">
        <v>0.86528472961371139</v>
      </c>
      <c r="J526" s="440">
        <f t="shared" si="234"/>
        <v>5.2360051061900652</v>
      </c>
      <c r="K526" s="441"/>
      <c r="L526" s="440">
        <v>4.1609704433877557</v>
      </c>
      <c r="M526" s="440">
        <v>0.15899354602658669</v>
      </c>
      <c r="N526" s="440">
        <v>0.68136709258098849</v>
      </c>
      <c r="O526" s="440">
        <f t="shared" si="233"/>
        <v>5.0013310819953301</v>
      </c>
    </row>
    <row r="527" spans="1:15" s="351" customFormat="1" x14ac:dyDescent="0.2">
      <c r="A527" s="362" t="str">
        <f>name!E$12</f>
        <v>Elementary occupations</v>
      </c>
      <c r="B527" s="440">
        <v>2.710418070572775</v>
      </c>
      <c r="C527" s="440">
        <v>0.73632461761930168</v>
      </c>
      <c r="D527" s="440">
        <v>1.6792043363386209</v>
      </c>
      <c r="E527" s="440">
        <f t="shared" si="231"/>
        <v>5.1259470245306975</v>
      </c>
      <c r="F527" s="441"/>
      <c r="G527" s="440">
        <v>1.3533130377118003</v>
      </c>
      <c r="H527" s="440">
        <v>0.71620407808206688</v>
      </c>
      <c r="I527" s="440">
        <v>0.88748190322112741</v>
      </c>
      <c r="J527" s="440">
        <f t="shared" si="234"/>
        <v>2.9569990190149946</v>
      </c>
      <c r="K527" s="441"/>
      <c r="L527" s="440">
        <v>1.3079612274560919</v>
      </c>
      <c r="M527" s="440">
        <v>0.70738648450686048</v>
      </c>
      <c r="N527" s="440">
        <v>0.70222369973040055</v>
      </c>
      <c r="O527" s="440">
        <f t="shared" si="233"/>
        <v>2.7175714116933527</v>
      </c>
    </row>
    <row r="528" spans="1:15" s="351" customFormat="1" x14ac:dyDescent="0.2">
      <c r="A528" s="362"/>
      <c r="B528" s="440"/>
      <c r="C528" s="440"/>
      <c r="D528" s="440"/>
      <c r="E528" s="440"/>
      <c r="F528" s="441"/>
      <c r="G528" s="440"/>
      <c r="H528" s="440"/>
      <c r="I528" s="440"/>
      <c r="J528" s="440"/>
      <c r="K528" s="441"/>
      <c r="L528" s="440"/>
      <c r="M528" s="440"/>
      <c r="N528" s="440"/>
      <c r="O528" s="440"/>
    </row>
    <row r="529" spans="1:15" s="351" customFormat="1" x14ac:dyDescent="0.2">
      <c r="A529" s="357" t="s">
        <v>32</v>
      </c>
      <c r="B529" s="450">
        <f>SUM(B519:B527)</f>
        <v>33.063999999945032</v>
      </c>
      <c r="C529" s="450">
        <f t="shared" ref="C529:E529" si="235">SUM(C519:C527)</f>
        <v>3.4899999999941387</v>
      </c>
      <c r="D529" s="450">
        <f t="shared" si="235"/>
        <v>25.141000000789003</v>
      </c>
      <c r="E529" s="450">
        <f t="shared" si="235"/>
        <v>61.695000000728164</v>
      </c>
      <c r="F529" s="450"/>
      <c r="G529" s="450">
        <f t="shared" ref="G529:J529" si="236">SUM(G519:G527)</f>
        <v>28.31799999998001</v>
      </c>
      <c r="H529" s="450">
        <f t="shared" si="236"/>
        <v>3.8570000000679565</v>
      </c>
      <c r="I529" s="450">
        <f t="shared" si="236"/>
        <v>17.870000000192796</v>
      </c>
      <c r="J529" s="450">
        <f t="shared" si="236"/>
        <v>50.045000000240762</v>
      </c>
      <c r="K529" s="450"/>
      <c r="L529" s="450">
        <f t="shared" ref="L529:O529" si="237">SUM(L519:L527)</f>
        <v>29.488999999584159</v>
      </c>
      <c r="M529" s="450">
        <f t="shared" si="237"/>
        <v>4.0290000000388666</v>
      </c>
      <c r="N529" s="450">
        <f t="shared" si="237"/>
        <v>16.939000000502617</v>
      </c>
      <c r="O529" s="450">
        <f t="shared" si="237"/>
        <v>50.457000000125646</v>
      </c>
    </row>
    <row r="530" spans="1:15" s="351" customFormat="1" x14ac:dyDescent="0.2">
      <c r="A530" s="348"/>
      <c r="B530" s="348"/>
      <c r="C530" s="348"/>
      <c r="D530" s="348"/>
      <c r="E530" s="348"/>
      <c r="F530" s="348"/>
      <c r="G530" s="348"/>
      <c r="H530" s="348"/>
      <c r="I530" s="348"/>
      <c r="J530" s="348"/>
      <c r="K530" s="348"/>
      <c r="L530" s="348"/>
      <c r="M530" s="348"/>
      <c r="N530" s="353"/>
    </row>
    <row r="531" spans="1:15" s="351" customFormat="1" x14ac:dyDescent="0.2">
      <c r="A531" s="348"/>
      <c r="B531" s="348"/>
      <c r="C531" s="348"/>
      <c r="D531" s="348"/>
      <c r="E531" s="348"/>
      <c r="F531" s="348"/>
      <c r="G531" s="348"/>
      <c r="H531" s="348"/>
      <c r="I531" s="348"/>
      <c r="J531" s="348"/>
      <c r="K531" s="348"/>
      <c r="L531" s="348"/>
      <c r="M531" s="348"/>
      <c r="N531" s="353"/>
      <c r="O531" s="367" t="s">
        <v>35</v>
      </c>
    </row>
    <row r="532" spans="1:15" s="351" customFormat="1" x14ac:dyDescent="0.2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</row>
    <row r="533" spans="1:15" s="351" customFormat="1" x14ac:dyDescent="0.2">
      <c r="A533" s="354" t="str">
        <f>name!A34</f>
        <v>Motor vehicle trade</v>
      </c>
      <c r="B533" s="519">
        <f>$B$6</f>
        <v>2007</v>
      </c>
      <c r="C533" s="519"/>
      <c r="D533" s="519"/>
      <c r="E533" s="519"/>
      <c r="F533" s="380"/>
      <c r="G533" s="519">
        <f>$G$6</f>
        <v>2017</v>
      </c>
      <c r="H533" s="519"/>
      <c r="I533" s="519"/>
      <c r="J533" s="519"/>
      <c r="K533" s="380"/>
      <c r="L533" s="519">
        <f>$L$6</f>
        <v>2027</v>
      </c>
      <c r="M533" s="519"/>
      <c r="N533" s="519"/>
      <c r="O533" s="519"/>
    </row>
    <row r="534" spans="1:15" s="351" customFormat="1" x14ac:dyDescent="0.2">
      <c r="A534" s="370"/>
      <c r="B534" s="388" t="str">
        <f>$B$7</f>
        <v>FT</v>
      </c>
      <c r="C534" s="388" t="str">
        <f>$C$7</f>
        <v>PT</v>
      </c>
      <c r="D534" s="388" t="str">
        <f>$D$7</f>
        <v>SE</v>
      </c>
      <c r="E534" s="388" t="str">
        <f>$E$7</f>
        <v>Total</v>
      </c>
      <c r="F534" s="388"/>
      <c r="G534" s="388" t="str">
        <f>$G$7</f>
        <v>FT</v>
      </c>
      <c r="H534" s="388" t="str">
        <f>$H$7</f>
        <v>PT</v>
      </c>
      <c r="I534" s="388" t="str">
        <f>$I$7</f>
        <v>SE</v>
      </c>
      <c r="J534" s="388" t="str">
        <f>$J$7</f>
        <v>Total</v>
      </c>
      <c r="K534" s="388"/>
      <c r="L534" s="388" t="str">
        <f>$L$7</f>
        <v>FT</v>
      </c>
      <c r="M534" s="388" t="str">
        <f>$M$7</f>
        <v>PT</v>
      </c>
      <c r="N534" s="388" t="str">
        <f>$N$7</f>
        <v>SE</v>
      </c>
      <c r="O534" s="388" t="str">
        <f>$O$7</f>
        <v>Total</v>
      </c>
    </row>
    <row r="535" spans="1:15" s="351" customFormat="1" x14ac:dyDescent="0.2">
      <c r="A535" s="374"/>
      <c r="B535" s="350"/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</row>
    <row r="536" spans="1:15" s="351" customFormat="1" x14ac:dyDescent="0.2">
      <c r="A536" s="362" t="str">
        <f>name!E$4</f>
        <v>Managers, directors and senior officials</v>
      </c>
      <c r="B536" s="440">
        <v>1.6611206514700174</v>
      </c>
      <c r="C536" s="440">
        <v>0.14036052666332116</v>
      </c>
      <c r="D536" s="440">
        <v>1.0032244270101429</v>
      </c>
      <c r="E536" s="440">
        <f>SUM(B536:D536)</f>
        <v>2.8047056051434813</v>
      </c>
      <c r="F536" s="441"/>
      <c r="G536" s="440">
        <v>2.2849197072472127</v>
      </c>
      <c r="H536" s="440">
        <v>8.9673709784866565E-2</v>
      </c>
      <c r="I536" s="440">
        <v>1.369676956258836</v>
      </c>
      <c r="J536" s="440">
        <f>SUM(G536:I536)</f>
        <v>3.7442703732909157</v>
      </c>
      <c r="K536" s="441"/>
      <c r="L536" s="440">
        <v>2.8206544402244234</v>
      </c>
      <c r="M536" s="440">
        <v>0.12176231154084559</v>
      </c>
      <c r="N536" s="440">
        <v>1.1840416288825431</v>
      </c>
      <c r="O536" s="440">
        <f>SUM(L536:N536)</f>
        <v>4.1264583806478115</v>
      </c>
    </row>
    <row r="537" spans="1:15" s="351" customFormat="1" x14ac:dyDescent="0.2">
      <c r="A537" s="362" t="str">
        <f>name!E$5</f>
        <v>Professional occupations</v>
      </c>
      <c r="B537" s="440">
        <v>0.7772165238725891</v>
      </c>
      <c r="C537" s="440">
        <v>4.9952115161589941E-2</v>
      </c>
      <c r="D537" s="440">
        <v>6.2217474282315978E-2</v>
      </c>
      <c r="E537" s="440">
        <f t="shared" ref="E537:E544" si="238">SUM(B537:D537)</f>
        <v>0.88938611331649498</v>
      </c>
      <c r="F537" s="441"/>
      <c r="G537" s="440">
        <v>0.93519164521568132</v>
      </c>
      <c r="H537" s="440">
        <v>2.9968144012141401E-2</v>
      </c>
      <c r="I537" s="440">
        <v>0.10733813203857835</v>
      </c>
      <c r="J537" s="440">
        <f t="shared" ref="J537:J539" si="239">SUM(G537:I537)</f>
        <v>1.0724979212664012</v>
      </c>
      <c r="K537" s="441"/>
      <c r="L537" s="440">
        <v>1.1567928950954256</v>
      </c>
      <c r="M537" s="440">
        <v>3.7016061313039396E-2</v>
      </c>
      <c r="N537" s="440">
        <v>7.9262088012146958E-2</v>
      </c>
      <c r="O537" s="440">
        <f t="shared" ref="O537:O544" si="240">SUM(L537:N537)</f>
        <v>1.2730710444206119</v>
      </c>
    </row>
    <row r="538" spans="1:15" s="351" customFormat="1" x14ac:dyDescent="0.2">
      <c r="A538" s="362" t="str">
        <f>name!E$6</f>
        <v>Associate professional and technical</v>
      </c>
      <c r="B538" s="440">
        <v>1.2610043649355693</v>
      </c>
      <c r="C538" s="440">
        <v>0.13695631577844453</v>
      </c>
      <c r="D538" s="440">
        <v>9.5954290718496732E-2</v>
      </c>
      <c r="E538" s="440">
        <f t="shared" si="238"/>
        <v>1.4939149714325106</v>
      </c>
      <c r="F538" s="441"/>
      <c r="G538" s="440">
        <v>1.5197919594112914</v>
      </c>
      <c r="H538" s="440">
        <v>7.7515537486153641E-2</v>
      </c>
      <c r="I538" s="440">
        <v>0.12530156291548483</v>
      </c>
      <c r="J538" s="440">
        <f t="shared" si="239"/>
        <v>1.7226090598129298</v>
      </c>
      <c r="K538" s="441"/>
      <c r="L538" s="440">
        <v>1.7425128001658883</v>
      </c>
      <c r="M538" s="440">
        <v>9.7451614268178013E-2</v>
      </c>
      <c r="N538" s="440">
        <v>9.2243181694120976E-2</v>
      </c>
      <c r="O538" s="440">
        <f t="shared" si="240"/>
        <v>1.9322075961281873</v>
      </c>
    </row>
    <row r="539" spans="1:15" s="351" customFormat="1" x14ac:dyDescent="0.2">
      <c r="A539" s="362" t="str">
        <f>name!E$7</f>
        <v>Administrative and secretarial</v>
      </c>
      <c r="B539" s="440">
        <v>1.9686774868631192</v>
      </c>
      <c r="C539" s="440">
        <v>1.4795885567931855</v>
      </c>
      <c r="D539" s="440">
        <v>8.7691542044919607E-2</v>
      </c>
      <c r="E539" s="440">
        <f t="shared" si="238"/>
        <v>3.5359575857012242</v>
      </c>
      <c r="F539" s="441"/>
      <c r="G539" s="440">
        <v>2.3540588365230564</v>
      </c>
      <c r="H539" s="440">
        <v>0.67496202913291337</v>
      </c>
      <c r="I539" s="440">
        <v>0.13058829364158478</v>
      </c>
      <c r="J539" s="440">
        <f t="shared" si="239"/>
        <v>3.1596091592975544</v>
      </c>
      <c r="K539" s="441"/>
      <c r="L539" s="440">
        <v>2.378469542243419</v>
      </c>
      <c r="M539" s="440">
        <v>0.57852703447512277</v>
      </c>
      <c r="N539" s="440">
        <v>5.7695910575535921E-2</v>
      </c>
      <c r="O539" s="440">
        <f t="shared" si="240"/>
        <v>3.0146924872940777</v>
      </c>
    </row>
    <row r="540" spans="1:15" s="351" customFormat="1" x14ac:dyDescent="0.2">
      <c r="A540" s="362" t="str">
        <f>name!E$8</f>
        <v>Skilled trades occupations</v>
      </c>
      <c r="B540" s="440">
        <v>6.6996172966901222</v>
      </c>
      <c r="C540" s="440">
        <v>0.55222811639372882</v>
      </c>
      <c r="D540" s="440">
        <v>1.1078440568655727</v>
      </c>
      <c r="E540" s="440">
        <f t="shared" si="238"/>
        <v>8.3596894699494229</v>
      </c>
      <c r="F540" s="441"/>
      <c r="G540" s="440">
        <v>7.7680343645954739</v>
      </c>
      <c r="H540" s="440">
        <v>0.24772292268571447</v>
      </c>
      <c r="I540" s="440">
        <v>1.508089909642309</v>
      </c>
      <c r="J540" s="440">
        <f>SUM(G540:I540)</f>
        <v>9.5238471969234979</v>
      </c>
      <c r="K540" s="441"/>
      <c r="L540" s="440">
        <v>7.2552560735043743</v>
      </c>
      <c r="M540" s="440">
        <v>0.32337200063018534</v>
      </c>
      <c r="N540" s="440">
        <v>1.0191620102678054</v>
      </c>
      <c r="O540" s="440">
        <f t="shared" si="240"/>
        <v>8.5977900844023658</v>
      </c>
    </row>
    <row r="541" spans="1:15" s="351" customFormat="1" x14ac:dyDescent="0.2">
      <c r="A541" s="362" t="str">
        <f>name!E$9</f>
        <v>Caring, leisure and other service</v>
      </c>
      <c r="B541" s="440">
        <v>0.66399046346036583</v>
      </c>
      <c r="C541" s="440">
        <v>2.8383676979003146E-2</v>
      </c>
      <c r="D541" s="440">
        <v>4.7899089852786077E-2</v>
      </c>
      <c r="E541" s="440">
        <f t="shared" si="238"/>
        <v>0.74027323029215508</v>
      </c>
      <c r="F541" s="441"/>
      <c r="G541" s="440">
        <v>0.67646424124221949</v>
      </c>
      <c r="H541" s="440">
        <v>1.1030232326798593E-2</v>
      </c>
      <c r="I541" s="440">
        <v>6.3954726890648378E-2</v>
      </c>
      <c r="J541" s="440">
        <f t="shared" ref="J541:J544" si="241">SUM(G541:I541)</f>
        <v>0.75144920045966646</v>
      </c>
      <c r="K541" s="441"/>
      <c r="L541" s="440">
        <v>0.98518565097598243</v>
      </c>
      <c r="M541" s="440">
        <v>1.4339438467608753E-2</v>
      </c>
      <c r="N541" s="440">
        <v>5.7345408519211175E-2</v>
      </c>
      <c r="O541" s="440">
        <f t="shared" si="240"/>
        <v>1.0568704979628023</v>
      </c>
    </row>
    <row r="542" spans="1:15" s="351" customFormat="1" x14ac:dyDescent="0.2">
      <c r="A542" s="362" t="str">
        <f>name!E$10</f>
        <v>Sales and customer service</v>
      </c>
      <c r="B542" s="440">
        <v>1.7823659826840075</v>
      </c>
      <c r="C542" s="440">
        <v>1.5178878595790797</v>
      </c>
      <c r="D542" s="440">
        <v>0.11073480341511834</v>
      </c>
      <c r="E542" s="440">
        <f t="shared" si="238"/>
        <v>3.4109886456782057</v>
      </c>
      <c r="F542" s="441"/>
      <c r="G542" s="440">
        <v>1.8973210545878532</v>
      </c>
      <c r="H542" s="440">
        <v>0.87750782378360603</v>
      </c>
      <c r="I542" s="440">
        <v>0.17144297638523767</v>
      </c>
      <c r="J542" s="440">
        <f t="shared" si="241"/>
        <v>2.9462718547566973</v>
      </c>
      <c r="K542" s="441"/>
      <c r="L542" s="440">
        <v>1.6457389609647581</v>
      </c>
      <c r="M542" s="440">
        <v>0.93223975854907659</v>
      </c>
      <c r="N542" s="440">
        <v>0.12335586731998779</v>
      </c>
      <c r="O542" s="440">
        <f t="shared" si="240"/>
        <v>2.7013345868338225</v>
      </c>
    </row>
    <row r="543" spans="1:15" s="351" customFormat="1" x14ac:dyDescent="0.2">
      <c r="A543" s="362" t="str">
        <f>name!E$11</f>
        <v>Process, plant and machine operatives</v>
      </c>
      <c r="B543" s="440">
        <v>1.6709891463272337</v>
      </c>
      <c r="C543" s="440">
        <v>0.20074053070798012</v>
      </c>
      <c r="D543" s="440">
        <v>7.4159949600565059E-2</v>
      </c>
      <c r="E543" s="440">
        <f t="shared" si="238"/>
        <v>1.945889626635779</v>
      </c>
      <c r="F543" s="441"/>
      <c r="G543" s="440">
        <v>1.9992243514265569</v>
      </c>
      <c r="H543" s="440">
        <v>0.12254982806394386</v>
      </c>
      <c r="I543" s="440">
        <v>9.2620654556884729E-2</v>
      </c>
      <c r="J543" s="440">
        <f t="shared" si="241"/>
        <v>2.2143948340473854</v>
      </c>
      <c r="K543" s="441"/>
      <c r="L543" s="440">
        <v>2.0894310311817188</v>
      </c>
      <c r="M543" s="440">
        <v>0.16865977924091544</v>
      </c>
      <c r="N543" s="440">
        <v>6.7891195483959513E-2</v>
      </c>
      <c r="O543" s="440">
        <f t="shared" si="240"/>
        <v>2.3259820059065937</v>
      </c>
    </row>
    <row r="544" spans="1:15" s="351" customFormat="1" x14ac:dyDescent="0.2">
      <c r="A544" s="362" t="str">
        <f>name!E$12</f>
        <v>Elementary occupations</v>
      </c>
      <c r="B544" s="440">
        <v>0.52901808366489078</v>
      </c>
      <c r="C544" s="440">
        <v>0.46590230193013388</v>
      </c>
      <c r="D544" s="440">
        <v>9.4274366228238357E-2</v>
      </c>
      <c r="E544" s="440">
        <f t="shared" si="238"/>
        <v>1.089194751823263</v>
      </c>
      <c r="F544" s="441"/>
      <c r="G544" s="440">
        <v>0.81299383979954043</v>
      </c>
      <c r="H544" s="440">
        <v>0.21806977278572678</v>
      </c>
      <c r="I544" s="440">
        <v>0.17598678768221498</v>
      </c>
      <c r="J544" s="440">
        <f t="shared" si="241"/>
        <v>1.2070504002674822</v>
      </c>
      <c r="K544" s="441"/>
      <c r="L544" s="440">
        <v>0.85895860543655789</v>
      </c>
      <c r="M544" s="440">
        <v>0.28563200153893731</v>
      </c>
      <c r="N544" s="440">
        <v>0.12900270922795959</v>
      </c>
      <c r="O544" s="440">
        <f t="shared" si="240"/>
        <v>1.2735933162034547</v>
      </c>
    </row>
    <row r="545" spans="1:15" s="351" customFormat="1" x14ac:dyDescent="0.2">
      <c r="A545" s="362"/>
      <c r="B545" s="440"/>
      <c r="C545" s="440"/>
      <c r="D545" s="440"/>
      <c r="E545" s="440"/>
      <c r="F545" s="441"/>
      <c r="G545" s="440"/>
      <c r="H545" s="440"/>
      <c r="I545" s="440"/>
      <c r="J545" s="440"/>
      <c r="K545" s="441"/>
      <c r="L545" s="440"/>
      <c r="M545" s="440"/>
      <c r="N545" s="440"/>
      <c r="O545" s="440"/>
    </row>
    <row r="546" spans="1:15" s="351" customFormat="1" x14ac:dyDescent="0.2">
      <c r="A546" s="357" t="s">
        <v>32</v>
      </c>
      <c r="B546" s="450">
        <f>SUM(B536:B544)</f>
        <v>17.013999999967915</v>
      </c>
      <c r="C546" s="450">
        <f t="shared" ref="C546:E546" si="242">SUM(C536:C544)</f>
        <v>4.5719999999864678</v>
      </c>
      <c r="D546" s="450">
        <f t="shared" si="242"/>
        <v>2.6840000000181559</v>
      </c>
      <c r="E546" s="450">
        <f t="shared" si="242"/>
        <v>24.269999999972537</v>
      </c>
      <c r="F546" s="450"/>
      <c r="G546" s="450">
        <f t="shared" ref="G546:J546" si="243">SUM(G536:G544)</f>
        <v>20.248000000048883</v>
      </c>
      <c r="H546" s="450">
        <f t="shared" si="243"/>
        <v>2.3490000000618645</v>
      </c>
      <c r="I546" s="450">
        <f t="shared" si="243"/>
        <v>3.7450000000117791</v>
      </c>
      <c r="J546" s="450">
        <f t="shared" si="243"/>
        <v>26.342000000122535</v>
      </c>
      <c r="K546" s="450"/>
      <c r="L546" s="450">
        <f t="shared" ref="L546:O546" si="244">SUM(L536:L544)</f>
        <v>20.932999999792546</v>
      </c>
      <c r="M546" s="450">
        <f t="shared" si="244"/>
        <v>2.559000000023909</v>
      </c>
      <c r="N546" s="450">
        <f t="shared" si="244"/>
        <v>2.8099999999832708</v>
      </c>
      <c r="O546" s="450">
        <f t="shared" si="244"/>
        <v>26.30199999979973</v>
      </c>
    </row>
    <row r="547" spans="1:15" s="351" customFormat="1" x14ac:dyDescent="0.2">
      <c r="A547" s="348"/>
      <c r="B547" s="348"/>
      <c r="C547" s="348"/>
      <c r="D547" s="348"/>
      <c r="E547" s="348"/>
      <c r="F547" s="348"/>
      <c r="G547" s="348"/>
      <c r="H547" s="348"/>
      <c r="I547" s="348"/>
      <c r="J547" s="348"/>
      <c r="K547" s="348"/>
      <c r="L547" s="348"/>
      <c r="M547" s="348"/>
      <c r="N547" s="353"/>
    </row>
    <row r="548" spans="1:15" s="351" customFormat="1" x14ac:dyDescent="0.2">
      <c r="A548" s="348"/>
      <c r="B548" s="348"/>
      <c r="C548" s="348"/>
      <c r="D548" s="348"/>
      <c r="E548" s="348"/>
      <c r="F548" s="348"/>
      <c r="G548" s="348"/>
      <c r="H548" s="348"/>
      <c r="I548" s="348"/>
      <c r="J548" s="348"/>
      <c r="K548" s="348"/>
      <c r="L548" s="348"/>
      <c r="M548" s="348"/>
      <c r="N548" s="353"/>
      <c r="O548" s="367" t="s">
        <v>35</v>
      </c>
    </row>
    <row r="549" spans="1:15" s="351" customFormat="1" x14ac:dyDescent="0.2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</row>
    <row r="550" spans="1:15" s="351" customFormat="1" x14ac:dyDescent="0.2">
      <c r="A550" s="354" t="str">
        <f>name!A35</f>
        <v>Wholesale trade</v>
      </c>
      <c r="B550" s="519">
        <f>$B$6</f>
        <v>2007</v>
      </c>
      <c r="C550" s="519"/>
      <c r="D550" s="519"/>
      <c r="E550" s="519"/>
      <c r="F550" s="380"/>
      <c r="G550" s="519">
        <f>$G$6</f>
        <v>2017</v>
      </c>
      <c r="H550" s="519"/>
      <c r="I550" s="519"/>
      <c r="J550" s="519"/>
      <c r="K550" s="380"/>
      <c r="L550" s="519">
        <f>$L$6</f>
        <v>2027</v>
      </c>
      <c r="M550" s="519"/>
      <c r="N550" s="519"/>
      <c r="O550" s="519"/>
    </row>
    <row r="551" spans="1:15" s="351" customFormat="1" x14ac:dyDescent="0.2">
      <c r="A551" s="370"/>
      <c r="B551" s="388" t="str">
        <f>$B$7</f>
        <v>FT</v>
      </c>
      <c r="C551" s="388" t="str">
        <f>$C$7</f>
        <v>PT</v>
      </c>
      <c r="D551" s="388" t="str">
        <f>$D$7</f>
        <v>SE</v>
      </c>
      <c r="E551" s="388" t="str">
        <f>$E$7</f>
        <v>Total</v>
      </c>
      <c r="F551" s="388"/>
      <c r="G551" s="388" t="str">
        <f>$G$7</f>
        <v>FT</v>
      </c>
      <c r="H551" s="388" t="str">
        <f>$H$7</f>
        <v>PT</v>
      </c>
      <c r="I551" s="388" t="str">
        <f>$I$7</f>
        <v>SE</v>
      </c>
      <c r="J551" s="388" t="str">
        <f>$J$7</f>
        <v>Total</v>
      </c>
      <c r="K551" s="388"/>
      <c r="L551" s="388" t="str">
        <f>$L$7</f>
        <v>FT</v>
      </c>
      <c r="M551" s="388" t="str">
        <f>$M$7</f>
        <v>PT</v>
      </c>
      <c r="N551" s="388" t="str">
        <f>$N$7</f>
        <v>SE</v>
      </c>
      <c r="O551" s="388" t="str">
        <f>$O$7</f>
        <v>Total</v>
      </c>
    </row>
    <row r="552" spans="1:15" s="351" customFormat="1" x14ac:dyDescent="0.2">
      <c r="A552" s="374"/>
      <c r="B552" s="350"/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</row>
    <row r="553" spans="1:15" s="351" customFormat="1" x14ac:dyDescent="0.2">
      <c r="A553" s="362" t="str">
        <f>name!E$4</f>
        <v>Managers, directors and senior officials</v>
      </c>
      <c r="B553" s="440">
        <v>4.5370227554507299</v>
      </c>
      <c r="C553" s="440">
        <v>0.33367929889043363</v>
      </c>
      <c r="D553" s="440">
        <v>1.1981368769802954</v>
      </c>
      <c r="E553" s="440">
        <f>SUM(B553:D553)</f>
        <v>6.0688389313214586</v>
      </c>
      <c r="F553" s="441"/>
      <c r="G553" s="440">
        <v>4.752342284496021</v>
      </c>
      <c r="H553" s="440">
        <v>0.4266675680730711</v>
      </c>
      <c r="I553" s="440">
        <v>1.2404109097285301</v>
      </c>
      <c r="J553" s="440">
        <f>SUM(G553:I553)</f>
        <v>6.4194207622976229</v>
      </c>
      <c r="K553" s="441"/>
      <c r="L553" s="440">
        <v>5.0533665440012632</v>
      </c>
      <c r="M553" s="440">
        <v>0.59671471064191361</v>
      </c>
      <c r="N553" s="440">
        <v>0.77395059813240119</v>
      </c>
      <c r="O553" s="440">
        <f>SUM(L553:N553)</f>
        <v>6.4240318527755784</v>
      </c>
    </row>
    <row r="554" spans="1:15" s="351" customFormat="1" x14ac:dyDescent="0.2">
      <c r="A554" s="362" t="str">
        <f>name!E$5</f>
        <v>Professional occupations</v>
      </c>
      <c r="B554" s="440">
        <v>2.2526556878364521</v>
      </c>
      <c r="C554" s="440">
        <v>9.8424336377547161E-2</v>
      </c>
      <c r="D554" s="440">
        <v>0.1353898046291783</v>
      </c>
      <c r="E554" s="440">
        <f t="shared" ref="E554:E561" si="245">SUM(B554:D554)</f>
        <v>2.4864698288431777</v>
      </c>
      <c r="F554" s="441"/>
      <c r="G554" s="440">
        <v>2.0622015021873223</v>
      </c>
      <c r="H554" s="440">
        <v>0.13583059230271471</v>
      </c>
      <c r="I554" s="440">
        <v>0.20428103011002824</v>
      </c>
      <c r="J554" s="440">
        <f t="shared" ref="J554:J556" si="246">SUM(G554:I554)</f>
        <v>2.4023131246000653</v>
      </c>
      <c r="K554" s="441"/>
      <c r="L554" s="440">
        <v>2.139139777728202</v>
      </c>
      <c r="M554" s="440">
        <v>0.17555677608132622</v>
      </c>
      <c r="N554" s="440">
        <v>0.1385132915136176</v>
      </c>
      <c r="O554" s="440">
        <f t="shared" ref="O554:O561" si="247">SUM(L554:N554)</f>
        <v>2.4532098453231459</v>
      </c>
    </row>
    <row r="555" spans="1:15" s="351" customFormat="1" x14ac:dyDescent="0.2">
      <c r="A555" s="362" t="str">
        <f>name!E$6</f>
        <v>Associate professional and technical</v>
      </c>
      <c r="B555" s="440">
        <v>4.2465506683151899</v>
      </c>
      <c r="C555" s="440">
        <v>0.40195225100513426</v>
      </c>
      <c r="D555" s="440">
        <v>0.3124092751846459</v>
      </c>
      <c r="E555" s="440">
        <f t="shared" si="245"/>
        <v>4.9609121945049708</v>
      </c>
      <c r="F555" s="441"/>
      <c r="G555" s="440">
        <v>3.8356325471234123</v>
      </c>
      <c r="H555" s="440">
        <v>0.58978426294782349</v>
      </c>
      <c r="I555" s="440">
        <v>0.50020536720535314</v>
      </c>
      <c r="J555" s="440">
        <f t="shared" si="246"/>
        <v>4.9256221772765896</v>
      </c>
      <c r="K555" s="441"/>
      <c r="L555" s="440">
        <v>3.8352732906540097</v>
      </c>
      <c r="M555" s="440">
        <v>0.75109699221483395</v>
      </c>
      <c r="N555" s="440">
        <v>0.3685573076525735</v>
      </c>
      <c r="O555" s="440">
        <f t="shared" si="247"/>
        <v>4.9549275905214172</v>
      </c>
    </row>
    <row r="556" spans="1:15" s="351" customFormat="1" x14ac:dyDescent="0.2">
      <c r="A556" s="362" t="str">
        <f>name!E$7</f>
        <v>Administrative and secretarial</v>
      </c>
      <c r="B556" s="440">
        <v>4.4432710272269693</v>
      </c>
      <c r="C556" s="440">
        <v>1.541286632595221</v>
      </c>
      <c r="D556" s="440">
        <v>9.5234515917452398E-2</v>
      </c>
      <c r="E556" s="440">
        <f t="shared" si="245"/>
        <v>6.0797921757396427</v>
      </c>
      <c r="F556" s="441"/>
      <c r="G556" s="440">
        <v>3.5307092898802819</v>
      </c>
      <c r="H556" s="440">
        <v>1.8953205817800098</v>
      </c>
      <c r="I556" s="440">
        <v>0.18557574102154917</v>
      </c>
      <c r="J556" s="440">
        <f t="shared" si="246"/>
        <v>5.6116056126818412</v>
      </c>
      <c r="K556" s="441"/>
      <c r="L556" s="440">
        <v>3.1800951749516573</v>
      </c>
      <c r="M556" s="440">
        <v>1.5710411711911667</v>
      </c>
      <c r="N556" s="440">
        <v>0.11152662971123818</v>
      </c>
      <c r="O556" s="440">
        <f t="shared" si="247"/>
        <v>4.8626629758540618</v>
      </c>
    </row>
    <row r="557" spans="1:15" s="351" customFormat="1" x14ac:dyDescent="0.2">
      <c r="A557" s="362" t="str">
        <f>name!E$8</f>
        <v>Skilled trades occupations</v>
      </c>
      <c r="B557" s="440">
        <v>1.8021798280674721</v>
      </c>
      <c r="C557" s="440">
        <v>0.1380736232475672</v>
      </c>
      <c r="D557" s="440">
        <v>0.34686245871053512</v>
      </c>
      <c r="E557" s="440">
        <f t="shared" si="245"/>
        <v>2.2871159100255745</v>
      </c>
      <c r="F557" s="441"/>
      <c r="G557" s="440">
        <v>2.1423771083249146</v>
      </c>
      <c r="H557" s="440">
        <v>0.13428903675920612</v>
      </c>
      <c r="I557" s="440">
        <v>0.35811423864013753</v>
      </c>
      <c r="J557" s="440">
        <f>SUM(G557:I557)</f>
        <v>2.6347803837242583</v>
      </c>
      <c r="K557" s="441"/>
      <c r="L557" s="440">
        <v>1.7984946416935184</v>
      </c>
      <c r="M557" s="440">
        <v>0.1630798444931055</v>
      </c>
      <c r="N557" s="440">
        <v>0.19763720466340909</v>
      </c>
      <c r="O557" s="440">
        <f t="shared" si="247"/>
        <v>2.1592116908500327</v>
      </c>
    </row>
    <row r="558" spans="1:15" s="351" customFormat="1" x14ac:dyDescent="0.2">
      <c r="A558" s="362" t="str">
        <f>name!E$9</f>
        <v>Caring, leisure and other service</v>
      </c>
      <c r="B558" s="440">
        <v>7.9317847579743556E-2</v>
      </c>
      <c r="C558" s="440">
        <v>3.1810415367009987E-2</v>
      </c>
      <c r="D558" s="440">
        <v>2.2091527448520096E-2</v>
      </c>
      <c r="E558" s="440">
        <f t="shared" si="245"/>
        <v>0.13321979039527365</v>
      </c>
      <c r="F558" s="441"/>
      <c r="G558" s="440">
        <v>8.1554296646781516E-2</v>
      </c>
      <c r="H558" s="440">
        <v>2.700758594185498E-2</v>
      </c>
      <c r="I558" s="440">
        <v>3.2294445114996372E-2</v>
      </c>
      <c r="J558" s="440">
        <f t="shared" ref="J558:J561" si="248">SUM(G558:I558)</f>
        <v>0.14085632770363288</v>
      </c>
      <c r="K558" s="441"/>
      <c r="L558" s="440">
        <v>9.9812569375551913E-2</v>
      </c>
      <c r="M558" s="440">
        <v>3.4359050058702746E-2</v>
      </c>
      <c r="N558" s="440">
        <v>3.0006395191098011E-2</v>
      </c>
      <c r="O558" s="440">
        <f t="shared" si="247"/>
        <v>0.16417801462535267</v>
      </c>
    </row>
    <row r="559" spans="1:15" s="351" customFormat="1" x14ac:dyDescent="0.2">
      <c r="A559" s="362" t="str">
        <f>name!E$10</f>
        <v>Sales and customer service</v>
      </c>
      <c r="B559" s="440">
        <v>2.4745644170180685</v>
      </c>
      <c r="C559" s="440">
        <v>1.0597030544229047</v>
      </c>
      <c r="D559" s="440">
        <v>0.14653192349074734</v>
      </c>
      <c r="E559" s="440">
        <f t="shared" si="245"/>
        <v>3.6807993949317206</v>
      </c>
      <c r="F559" s="441"/>
      <c r="G559" s="440">
        <v>1.8014607665884967</v>
      </c>
      <c r="H559" s="440">
        <v>1.3145691558460282</v>
      </c>
      <c r="I559" s="440">
        <v>0.2133874034343263</v>
      </c>
      <c r="J559" s="440">
        <f t="shared" si="248"/>
        <v>3.3294173258688513</v>
      </c>
      <c r="K559" s="441"/>
      <c r="L559" s="440">
        <v>1.4822906260626902</v>
      </c>
      <c r="M559" s="440">
        <v>1.3115466739563388</v>
      </c>
      <c r="N559" s="440">
        <v>0.12761260835023275</v>
      </c>
      <c r="O559" s="440">
        <f t="shared" si="247"/>
        <v>2.921449908369262</v>
      </c>
    </row>
    <row r="560" spans="1:15" s="351" customFormat="1" x14ac:dyDescent="0.2">
      <c r="A560" s="362" t="str">
        <f>name!E$11</f>
        <v>Process, plant and machine operatives</v>
      </c>
      <c r="B560" s="440">
        <v>5.8396216135345558</v>
      </c>
      <c r="C560" s="440">
        <v>0.53274165996834877</v>
      </c>
      <c r="D560" s="440">
        <v>0.18547077024967332</v>
      </c>
      <c r="E560" s="440">
        <f t="shared" si="245"/>
        <v>6.5578340437525782</v>
      </c>
      <c r="F560" s="441"/>
      <c r="G560" s="440">
        <v>6.9020679386376758</v>
      </c>
      <c r="H560" s="440">
        <v>0.62840614178151732</v>
      </c>
      <c r="I560" s="440">
        <v>0.16205077052657868</v>
      </c>
      <c r="J560" s="440">
        <f t="shared" si="248"/>
        <v>7.6925248509457713</v>
      </c>
      <c r="K560" s="441"/>
      <c r="L560" s="440">
        <v>5.8931644236476135</v>
      </c>
      <c r="M560" s="440">
        <v>0.63578435598336736</v>
      </c>
      <c r="N560" s="440">
        <v>8.2020418367380069E-2</v>
      </c>
      <c r="O560" s="440">
        <f t="shared" si="247"/>
        <v>6.6109691979983607</v>
      </c>
    </row>
    <row r="561" spans="1:15" s="351" customFormat="1" x14ac:dyDescent="0.2">
      <c r="A561" s="362" t="str">
        <f>name!E$12</f>
        <v>Elementary occupations</v>
      </c>
      <c r="B561" s="440">
        <v>4.5168161548562464</v>
      </c>
      <c r="C561" s="440">
        <v>1.160328728108482</v>
      </c>
      <c r="D561" s="440">
        <v>6.7872847388572563E-2</v>
      </c>
      <c r="E561" s="440">
        <f t="shared" si="245"/>
        <v>5.7450177303533003</v>
      </c>
      <c r="F561" s="441"/>
      <c r="G561" s="440">
        <v>4.7636542661922867</v>
      </c>
      <c r="H561" s="440">
        <v>1.257125074725493</v>
      </c>
      <c r="I561" s="440">
        <v>9.1680094225254971E-2</v>
      </c>
      <c r="J561" s="440">
        <f t="shared" si="248"/>
        <v>6.1124594351430348</v>
      </c>
      <c r="K561" s="441"/>
      <c r="L561" s="440">
        <v>4.3243629516177284</v>
      </c>
      <c r="M561" s="440">
        <v>1.4938204254324423</v>
      </c>
      <c r="N561" s="440">
        <v>5.7175546405368136E-2</v>
      </c>
      <c r="O561" s="440">
        <f t="shared" si="247"/>
        <v>5.875358923455539</v>
      </c>
    </row>
    <row r="562" spans="1:15" s="351" customFormat="1" x14ac:dyDescent="0.2">
      <c r="A562" s="362"/>
      <c r="B562" s="440"/>
      <c r="C562" s="440"/>
      <c r="D562" s="440"/>
      <c r="E562" s="440"/>
      <c r="F562" s="441"/>
      <c r="G562" s="440"/>
      <c r="H562" s="440"/>
      <c r="I562" s="440"/>
      <c r="J562" s="440"/>
      <c r="K562" s="441"/>
      <c r="L562" s="440"/>
      <c r="M562" s="440"/>
      <c r="N562" s="440"/>
      <c r="O562" s="440"/>
    </row>
    <row r="563" spans="1:15" s="351" customFormat="1" x14ac:dyDescent="0.2">
      <c r="A563" s="357" t="s">
        <v>32</v>
      </c>
      <c r="B563" s="450">
        <f>SUM(B553:B561)</f>
        <v>30.191999999885429</v>
      </c>
      <c r="C563" s="450">
        <f t="shared" ref="C563:E563" si="249">SUM(C553:C561)</f>
        <v>5.2979999999826486</v>
      </c>
      <c r="D563" s="450">
        <f t="shared" si="249"/>
        <v>2.5099999999996205</v>
      </c>
      <c r="E563" s="450">
        <f t="shared" si="249"/>
        <v>37.999999999867697</v>
      </c>
      <c r="F563" s="450"/>
      <c r="G563" s="450">
        <f t="shared" ref="G563:J563" si="250">SUM(G553:G561)</f>
        <v>29.872000000077193</v>
      </c>
      <c r="H563" s="450">
        <f t="shared" si="250"/>
        <v>6.4090000001577181</v>
      </c>
      <c r="I563" s="450">
        <f t="shared" si="250"/>
        <v>2.9880000000067541</v>
      </c>
      <c r="J563" s="450">
        <f t="shared" si="250"/>
        <v>39.269000000241675</v>
      </c>
      <c r="K563" s="450"/>
      <c r="L563" s="450">
        <f t="shared" ref="L563:O563" si="251">SUM(L553:L561)</f>
        <v>27.805999999732236</v>
      </c>
      <c r="M563" s="450">
        <f t="shared" si="251"/>
        <v>6.7330000000531971</v>
      </c>
      <c r="N563" s="450">
        <f t="shared" si="251"/>
        <v>1.8869999999873186</v>
      </c>
      <c r="O563" s="450">
        <f t="shared" si="251"/>
        <v>36.425999999772749</v>
      </c>
    </row>
    <row r="564" spans="1:15" s="351" customFormat="1" x14ac:dyDescent="0.2">
      <c r="A564" s="348"/>
      <c r="B564" s="348"/>
      <c r="C564" s="348"/>
      <c r="D564" s="348"/>
      <c r="E564" s="348"/>
      <c r="F564" s="348"/>
      <c r="G564" s="348"/>
      <c r="H564" s="348"/>
      <c r="I564" s="348"/>
      <c r="J564" s="348"/>
      <c r="K564" s="348"/>
      <c r="L564" s="348"/>
      <c r="M564" s="348"/>
      <c r="N564" s="353"/>
    </row>
    <row r="565" spans="1:15" s="351" customFormat="1" x14ac:dyDescent="0.2">
      <c r="A565" s="348"/>
      <c r="B565" s="348"/>
      <c r="C565" s="348"/>
      <c r="D565" s="348"/>
      <c r="E565" s="348"/>
      <c r="F565" s="348"/>
      <c r="G565" s="348"/>
      <c r="H565" s="348"/>
      <c r="I565" s="348"/>
      <c r="J565" s="348"/>
      <c r="K565" s="348"/>
      <c r="L565" s="348"/>
      <c r="M565" s="348"/>
      <c r="N565" s="353"/>
      <c r="O565" s="367" t="s">
        <v>35</v>
      </c>
    </row>
    <row r="566" spans="1:15" s="351" customFormat="1" x14ac:dyDescent="0.2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</row>
    <row r="567" spans="1:15" s="351" customFormat="1" x14ac:dyDescent="0.2">
      <c r="A567" s="354" t="str">
        <f>name!A36</f>
        <v>Retail trade</v>
      </c>
      <c r="B567" s="519">
        <f>$B$6</f>
        <v>2007</v>
      </c>
      <c r="C567" s="519"/>
      <c r="D567" s="519"/>
      <c r="E567" s="519"/>
      <c r="F567" s="380"/>
      <c r="G567" s="519">
        <f>$G$6</f>
        <v>2017</v>
      </c>
      <c r="H567" s="519"/>
      <c r="I567" s="519"/>
      <c r="J567" s="519"/>
      <c r="K567" s="380"/>
      <c r="L567" s="519">
        <f>$L$6</f>
        <v>2027</v>
      </c>
      <c r="M567" s="519"/>
      <c r="N567" s="519"/>
      <c r="O567" s="519"/>
    </row>
    <row r="568" spans="1:15" s="351" customFormat="1" x14ac:dyDescent="0.2">
      <c r="A568" s="370"/>
      <c r="B568" s="388" t="str">
        <f>$B$7</f>
        <v>FT</v>
      </c>
      <c r="C568" s="388" t="str">
        <f>$C$7</f>
        <v>PT</v>
      </c>
      <c r="D568" s="388" t="str">
        <f>$D$7</f>
        <v>SE</v>
      </c>
      <c r="E568" s="388" t="str">
        <f>$E$7</f>
        <v>Total</v>
      </c>
      <c r="F568" s="388"/>
      <c r="G568" s="388" t="str">
        <f>$G$7</f>
        <v>FT</v>
      </c>
      <c r="H568" s="388" t="str">
        <f>$H$7</f>
        <v>PT</v>
      </c>
      <c r="I568" s="388" t="str">
        <f>$I$7</f>
        <v>SE</v>
      </c>
      <c r="J568" s="388" t="str">
        <f>$J$7</f>
        <v>Total</v>
      </c>
      <c r="K568" s="388"/>
      <c r="L568" s="388" t="str">
        <f>$L$7</f>
        <v>FT</v>
      </c>
      <c r="M568" s="388" t="str">
        <f>$M$7</f>
        <v>PT</v>
      </c>
      <c r="N568" s="388" t="str">
        <f>$N$7</f>
        <v>SE</v>
      </c>
      <c r="O568" s="388" t="str">
        <f>$O$7</f>
        <v>Total</v>
      </c>
    </row>
    <row r="569" spans="1:15" s="351" customFormat="1" x14ac:dyDescent="0.2">
      <c r="A569" s="374"/>
      <c r="B569" s="350"/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</row>
    <row r="570" spans="1:15" s="351" customFormat="1" x14ac:dyDescent="0.2">
      <c r="A570" s="362" t="str">
        <f>name!E$4</f>
        <v>Managers, directors and senior officials</v>
      </c>
      <c r="B570" s="440">
        <v>7.0417201468684523</v>
      </c>
      <c r="C570" s="440">
        <v>0.95699154489593485</v>
      </c>
      <c r="D570" s="440">
        <v>6.8545172075380814</v>
      </c>
      <c r="E570" s="440">
        <f>SUM(B570:D570)</f>
        <v>14.853228899302469</v>
      </c>
      <c r="F570" s="441"/>
      <c r="G570" s="440">
        <v>8.6512806943643845</v>
      </c>
      <c r="H570" s="440">
        <v>0.97395443282444605</v>
      </c>
      <c r="I570" s="440">
        <v>8.8611952891127839</v>
      </c>
      <c r="J570" s="440">
        <f>SUM(G570:I570)</f>
        <v>18.486430416301616</v>
      </c>
      <c r="K570" s="441"/>
      <c r="L570" s="440">
        <v>11.417386935236365</v>
      </c>
      <c r="M570" s="440">
        <v>1.3872703682844822</v>
      </c>
      <c r="N570" s="440">
        <v>7.1521078482387805</v>
      </c>
      <c r="O570" s="440">
        <f>SUM(L570:N570)</f>
        <v>19.95676515175963</v>
      </c>
    </row>
    <row r="571" spans="1:15" s="351" customFormat="1" x14ac:dyDescent="0.2">
      <c r="A571" s="362" t="str">
        <f>name!E$5</f>
        <v>Professional occupations</v>
      </c>
      <c r="B571" s="440">
        <v>4.5435841604354961</v>
      </c>
      <c r="C571" s="440">
        <v>0.71844117747095415</v>
      </c>
      <c r="D571" s="440">
        <v>0.64146966178192388</v>
      </c>
      <c r="E571" s="440">
        <f t="shared" ref="E571:E578" si="252">SUM(B571:D571)</f>
        <v>5.9034949996883741</v>
      </c>
      <c r="F571" s="441"/>
      <c r="G571" s="440">
        <v>4.7827509743904688</v>
      </c>
      <c r="H571" s="440">
        <v>2.2774190349204786</v>
      </c>
      <c r="I571" s="440">
        <v>0.76780622530013076</v>
      </c>
      <c r="J571" s="440">
        <f t="shared" ref="J571:J573" si="253">SUM(G571:I571)</f>
        <v>7.8279762346110786</v>
      </c>
      <c r="K571" s="441"/>
      <c r="L571" s="440">
        <v>6.4688191243601647</v>
      </c>
      <c r="M571" s="440">
        <v>3.8690077606770679</v>
      </c>
      <c r="N571" s="440">
        <v>0.66770135519323115</v>
      </c>
      <c r="O571" s="440">
        <f t="shared" ref="O571:O578" si="254">SUM(L571:N571)</f>
        <v>11.005528240230463</v>
      </c>
    </row>
    <row r="572" spans="1:15" s="351" customFormat="1" x14ac:dyDescent="0.2">
      <c r="A572" s="362" t="str">
        <f>name!E$6</f>
        <v>Associate professional and technical</v>
      </c>
      <c r="B572" s="440">
        <v>4.6858607829940775</v>
      </c>
      <c r="C572" s="440">
        <v>1.6200812852892554</v>
      </c>
      <c r="D572" s="440">
        <v>0.53803050279580333</v>
      </c>
      <c r="E572" s="440">
        <f t="shared" si="252"/>
        <v>6.8439725710791359</v>
      </c>
      <c r="F572" s="441"/>
      <c r="G572" s="440">
        <v>4.9155186271469384</v>
      </c>
      <c r="H572" s="440">
        <v>1.9075237295944167</v>
      </c>
      <c r="I572" s="440">
        <v>0.68830373343038753</v>
      </c>
      <c r="J572" s="440">
        <f t="shared" si="253"/>
        <v>7.5113460901717435</v>
      </c>
      <c r="K572" s="441"/>
      <c r="L572" s="440">
        <v>6.276309502848564</v>
      </c>
      <c r="M572" s="440">
        <v>2.4638408038600064</v>
      </c>
      <c r="N572" s="440">
        <v>0.542916615035272</v>
      </c>
      <c r="O572" s="440">
        <f t="shared" si="254"/>
        <v>9.2830669217438437</v>
      </c>
    </row>
    <row r="573" spans="1:15" s="351" customFormat="1" x14ac:dyDescent="0.2">
      <c r="A573" s="362" t="str">
        <f>name!E$7</f>
        <v>Administrative and secretarial</v>
      </c>
      <c r="B573" s="440">
        <v>5.6391418708005228</v>
      </c>
      <c r="C573" s="440">
        <v>3.991280794720403</v>
      </c>
      <c r="D573" s="440">
        <v>0.19818229325269901</v>
      </c>
      <c r="E573" s="440">
        <f t="shared" si="252"/>
        <v>9.8286049587736244</v>
      </c>
      <c r="F573" s="441"/>
      <c r="G573" s="440">
        <v>4.653029390484785</v>
      </c>
      <c r="H573" s="440">
        <v>3.6445940111428206</v>
      </c>
      <c r="I573" s="440">
        <v>0.1785708532842547</v>
      </c>
      <c r="J573" s="440">
        <f t="shared" si="253"/>
        <v>8.4761942549118601</v>
      </c>
      <c r="K573" s="441"/>
      <c r="L573" s="440">
        <v>5.1302518335148068</v>
      </c>
      <c r="M573" s="440">
        <v>4.0529112093469832</v>
      </c>
      <c r="N573" s="440">
        <v>0.11497004754681976</v>
      </c>
      <c r="O573" s="440">
        <f t="shared" si="254"/>
        <v>9.2981330904086086</v>
      </c>
    </row>
    <row r="574" spans="1:15" s="351" customFormat="1" x14ac:dyDescent="0.2">
      <c r="A574" s="362" t="str">
        <f>name!E$8</f>
        <v>Skilled trades occupations</v>
      </c>
      <c r="B574" s="440">
        <v>3.6759230066565016</v>
      </c>
      <c r="C574" s="440">
        <v>1.6645170042351254</v>
      </c>
      <c r="D574" s="440">
        <v>1.7074246358364837</v>
      </c>
      <c r="E574" s="440">
        <f t="shared" si="252"/>
        <v>7.0478646467281107</v>
      </c>
      <c r="F574" s="441"/>
      <c r="G574" s="440">
        <v>4.2581795479284246</v>
      </c>
      <c r="H574" s="440">
        <v>0.90579462823078505</v>
      </c>
      <c r="I574" s="440">
        <v>2.0373447344518345</v>
      </c>
      <c r="J574" s="440">
        <f>SUM(G574:I574)</f>
        <v>7.201318910611044</v>
      </c>
      <c r="K574" s="441"/>
      <c r="L574" s="440">
        <v>4.4016421952814584</v>
      </c>
      <c r="M574" s="440">
        <v>0.85079109192334612</v>
      </c>
      <c r="N574" s="440">
        <v>1.4444154150337494</v>
      </c>
      <c r="O574" s="440">
        <f t="shared" si="254"/>
        <v>6.6968487022385546</v>
      </c>
    </row>
    <row r="575" spans="1:15" s="351" customFormat="1" x14ac:dyDescent="0.2">
      <c r="A575" s="362" t="str">
        <f>name!E$9</f>
        <v>Caring, leisure and other service</v>
      </c>
      <c r="B575" s="440">
        <v>0.25897276549484749</v>
      </c>
      <c r="C575" s="440">
        <v>0.32956233309488303</v>
      </c>
      <c r="D575" s="440">
        <v>0.10023537845048662</v>
      </c>
      <c r="E575" s="440">
        <f t="shared" si="252"/>
        <v>0.6887704770402171</v>
      </c>
      <c r="F575" s="441"/>
      <c r="G575" s="440">
        <v>0.33021297254642412</v>
      </c>
      <c r="H575" s="440">
        <v>0.27789741653043898</v>
      </c>
      <c r="I575" s="440">
        <v>0.13469000184569888</v>
      </c>
      <c r="J575" s="440">
        <f t="shared" ref="J575:J578" si="255">SUM(G575:I575)</f>
        <v>0.742800390922562</v>
      </c>
      <c r="K575" s="441"/>
      <c r="L575" s="440">
        <v>0.4422170371807928</v>
      </c>
      <c r="M575" s="440">
        <v>0.38738685085156738</v>
      </c>
      <c r="N575" s="440">
        <v>0.11690618720422032</v>
      </c>
      <c r="O575" s="440">
        <f t="shared" si="254"/>
        <v>0.94651007523658048</v>
      </c>
    </row>
    <row r="576" spans="1:15" s="351" customFormat="1" x14ac:dyDescent="0.2">
      <c r="A576" s="362" t="str">
        <f>name!E$10</f>
        <v>Sales and customer service</v>
      </c>
      <c r="B576" s="440">
        <v>21.783026665702494</v>
      </c>
      <c r="C576" s="440">
        <v>60.176692369692674</v>
      </c>
      <c r="D576" s="440">
        <v>1.5659697071508327</v>
      </c>
      <c r="E576" s="440">
        <f t="shared" si="252"/>
        <v>83.525688742545995</v>
      </c>
      <c r="F576" s="441"/>
      <c r="G576" s="440">
        <v>15.309322019551706</v>
      </c>
      <c r="H576" s="440">
        <v>51.176745532189365</v>
      </c>
      <c r="I576" s="440">
        <v>1.5227665108634414</v>
      </c>
      <c r="J576" s="440">
        <f t="shared" si="255"/>
        <v>68.008834062604521</v>
      </c>
      <c r="K576" s="441"/>
      <c r="L576" s="440">
        <v>12.199531714647437</v>
      </c>
      <c r="M576" s="440">
        <v>48.669308809279926</v>
      </c>
      <c r="N576" s="440">
        <v>0.86404886561596395</v>
      </c>
      <c r="O576" s="440">
        <f t="shared" si="254"/>
        <v>61.732889389543324</v>
      </c>
    </row>
    <row r="577" spans="1:15" s="351" customFormat="1" x14ac:dyDescent="0.2">
      <c r="A577" s="362" t="str">
        <f>name!E$11</f>
        <v>Process, plant and machine operatives</v>
      </c>
      <c r="B577" s="440">
        <v>1.9888649052913907</v>
      </c>
      <c r="C577" s="440">
        <v>2.5708997442254291</v>
      </c>
      <c r="D577" s="440">
        <v>0.1358205243105419</v>
      </c>
      <c r="E577" s="440">
        <f t="shared" si="252"/>
        <v>4.6955851738273617</v>
      </c>
      <c r="F577" s="441"/>
      <c r="G577" s="440">
        <v>0.95255139692341917</v>
      </c>
      <c r="H577" s="440">
        <v>3.2432370977643439</v>
      </c>
      <c r="I577" s="440">
        <v>0.20172599190455212</v>
      </c>
      <c r="J577" s="440">
        <f t="shared" si="255"/>
        <v>4.397514486592315</v>
      </c>
      <c r="K577" s="441"/>
      <c r="L577" s="440">
        <v>0.91834532443087147</v>
      </c>
      <c r="M577" s="440">
        <v>4.3611513963878643</v>
      </c>
      <c r="N577" s="440">
        <v>5.9793453329769403E-2</v>
      </c>
      <c r="O577" s="440">
        <f t="shared" si="254"/>
        <v>5.3392901741485055</v>
      </c>
    </row>
    <row r="578" spans="1:15" s="351" customFormat="1" x14ac:dyDescent="0.2">
      <c r="A578" s="362" t="str">
        <f>name!E$12</f>
        <v>Elementary occupations</v>
      </c>
      <c r="B578" s="440">
        <v>5.4249056950522956</v>
      </c>
      <c r="C578" s="440">
        <v>11.688533747261676</v>
      </c>
      <c r="D578" s="440">
        <v>0.13035008892208372</v>
      </c>
      <c r="E578" s="440">
        <f t="shared" si="252"/>
        <v>17.243789531236054</v>
      </c>
      <c r="F578" s="441"/>
      <c r="G578" s="440">
        <v>4.5071543768452713</v>
      </c>
      <c r="H578" s="440">
        <v>9.1638341204735152</v>
      </c>
      <c r="I578" s="440">
        <v>4.4596659935760341E-2</v>
      </c>
      <c r="J578" s="440">
        <f t="shared" si="255"/>
        <v>13.715585157254546</v>
      </c>
      <c r="K578" s="441"/>
      <c r="L578" s="440">
        <v>4.4784963322912814</v>
      </c>
      <c r="M578" s="440">
        <v>12.406331711263004</v>
      </c>
      <c r="N578" s="440">
        <v>2.3140212832480671E-2</v>
      </c>
      <c r="O578" s="440">
        <f t="shared" si="254"/>
        <v>16.907968256386766</v>
      </c>
    </row>
    <row r="579" spans="1:15" s="351" customFormat="1" x14ac:dyDescent="0.2">
      <c r="A579" s="362"/>
      <c r="B579" s="440"/>
      <c r="C579" s="440"/>
      <c r="D579" s="440"/>
      <c r="E579" s="440"/>
      <c r="F579" s="441"/>
      <c r="G579" s="440"/>
      <c r="H579" s="440"/>
      <c r="I579" s="440"/>
      <c r="J579" s="440"/>
      <c r="K579" s="441"/>
      <c r="L579" s="440"/>
      <c r="M579" s="440"/>
      <c r="N579" s="440"/>
      <c r="O579" s="440"/>
    </row>
    <row r="580" spans="1:15" s="351" customFormat="1" x14ac:dyDescent="0.2">
      <c r="A580" s="357" t="s">
        <v>32</v>
      </c>
      <c r="B580" s="450">
        <f>SUM(B570:B578)</f>
        <v>55.041999999296074</v>
      </c>
      <c r="C580" s="450">
        <f t="shared" ref="C580:E580" si="256">SUM(C570:C578)</f>
        <v>83.71700000088633</v>
      </c>
      <c r="D580" s="450">
        <f t="shared" si="256"/>
        <v>11.872000000038938</v>
      </c>
      <c r="E580" s="450">
        <f t="shared" si="256"/>
        <v>150.63100000022132</v>
      </c>
      <c r="F580" s="450"/>
      <c r="G580" s="450">
        <f t="shared" ref="G580:J580" si="257">SUM(G570:G578)</f>
        <v>48.36000000018182</v>
      </c>
      <c r="H580" s="450">
        <f t="shared" si="257"/>
        <v>73.571000003670605</v>
      </c>
      <c r="I580" s="450">
        <f t="shared" si="257"/>
        <v>14.437000000128846</v>
      </c>
      <c r="J580" s="450">
        <f t="shared" si="257"/>
        <v>136.36800000398128</v>
      </c>
      <c r="K580" s="450"/>
      <c r="L580" s="450">
        <f t="shared" ref="L580:O580" si="258">SUM(L570:L578)</f>
        <v>51.732999999791737</v>
      </c>
      <c r="M580" s="450">
        <f t="shared" si="258"/>
        <v>78.448000001874249</v>
      </c>
      <c r="N580" s="450">
        <f t="shared" si="258"/>
        <v>10.986000000030286</v>
      </c>
      <c r="O580" s="450">
        <f t="shared" si="258"/>
        <v>141.16700000169629</v>
      </c>
    </row>
    <row r="581" spans="1:15" s="351" customFormat="1" x14ac:dyDescent="0.2">
      <c r="A581" s="348"/>
      <c r="B581" s="348"/>
      <c r="C581" s="348"/>
      <c r="D581" s="348"/>
      <c r="E581" s="348"/>
      <c r="F581" s="348"/>
      <c r="G581" s="348"/>
      <c r="H581" s="348"/>
      <c r="I581" s="348"/>
      <c r="J581" s="348"/>
      <c r="K581" s="348"/>
      <c r="L581" s="348"/>
      <c r="M581" s="348"/>
      <c r="N581" s="353"/>
    </row>
    <row r="582" spans="1:15" s="351" customFormat="1" x14ac:dyDescent="0.2">
      <c r="A582" s="348"/>
      <c r="B582" s="348"/>
      <c r="C582" s="348"/>
      <c r="D582" s="348"/>
      <c r="E582" s="348"/>
      <c r="F582" s="348"/>
      <c r="G582" s="348"/>
      <c r="H582" s="348"/>
      <c r="I582" s="348"/>
      <c r="J582" s="348"/>
      <c r="K582" s="348"/>
      <c r="L582" s="348"/>
      <c r="M582" s="348"/>
      <c r="N582" s="353"/>
      <c r="O582" s="367" t="s">
        <v>35</v>
      </c>
    </row>
    <row r="583" spans="1:15" s="351" customFormat="1" x14ac:dyDescent="0.2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</row>
    <row r="584" spans="1:15" s="351" customFormat="1" x14ac:dyDescent="0.2">
      <c r="A584" s="354" t="str">
        <f>name!A37</f>
        <v>Land transport, etc</v>
      </c>
      <c r="B584" s="519">
        <f>$B$6</f>
        <v>2007</v>
      </c>
      <c r="C584" s="519"/>
      <c r="D584" s="519"/>
      <c r="E584" s="519"/>
      <c r="F584" s="380"/>
      <c r="G584" s="519">
        <f>$G$6</f>
        <v>2017</v>
      </c>
      <c r="H584" s="519"/>
      <c r="I584" s="519"/>
      <c r="J584" s="519"/>
      <c r="K584" s="380"/>
      <c r="L584" s="519">
        <f>$L$6</f>
        <v>2027</v>
      </c>
      <c r="M584" s="519"/>
      <c r="N584" s="519"/>
      <c r="O584" s="519"/>
    </row>
    <row r="585" spans="1:15" s="351" customFormat="1" x14ac:dyDescent="0.2">
      <c r="A585" s="370"/>
      <c r="B585" s="388" t="str">
        <f>$B$7</f>
        <v>FT</v>
      </c>
      <c r="C585" s="388" t="str">
        <f>$C$7</f>
        <v>PT</v>
      </c>
      <c r="D585" s="388" t="str">
        <f>$D$7</f>
        <v>SE</v>
      </c>
      <c r="E585" s="388" t="str">
        <f>$E$7</f>
        <v>Total</v>
      </c>
      <c r="F585" s="388"/>
      <c r="G585" s="388" t="str">
        <f>$G$7</f>
        <v>FT</v>
      </c>
      <c r="H585" s="388" t="str">
        <f>$H$7</f>
        <v>PT</v>
      </c>
      <c r="I585" s="388" t="str">
        <f>$I$7</f>
        <v>SE</v>
      </c>
      <c r="J585" s="388" t="str">
        <f>$J$7</f>
        <v>Total</v>
      </c>
      <c r="K585" s="388"/>
      <c r="L585" s="388" t="str">
        <f>$L$7</f>
        <v>FT</v>
      </c>
      <c r="M585" s="388" t="str">
        <f>$M$7</f>
        <v>PT</v>
      </c>
      <c r="N585" s="388" t="str">
        <f>$N$7</f>
        <v>SE</v>
      </c>
      <c r="O585" s="388" t="str">
        <f>$O$7</f>
        <v>Total</v>
      </c>
    </row>
    <row r="586" spans="1:15" s="351" customFormat="1" x14ac:dyDescent="0.2">
      <c r="A586" s="374"/>
      <c r="B586" s="350"/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</row>
    <row r="587" spans="1:15" s="351" customFormat="1" x14ac:dyDescent="0.2">
      <c r="A587" s="362" t="str">
        <f>name!E$4</f>
        <v>Managers, directors and senior officials</v>
      </c>
      <c r="B587" s="440">
        <v>0.99484873660804551</v>
      </c>
      <c r="C587" s="440">
        <v>6.7080132547959179E-2</v>
      </c>
      <c r="D587" s="440">
        <v>0.27680762855947139</v>
      </c>
      <c r="E587" s="440">
        <f>SUM(B587:D587)</f>
        <v>1.3387364977154761</v>
      </c>
      <c r="F587" s="441"/>
      <c r="G587" s="440">
        <v>0.955218036155423</v>
      </c>
      <c r="H587" s="440">
        <v>5.2505914691692253E-2</v>
      </c>
      <c r="I587" s="440">
        <v>0.46301904613422851</v>
      </c>
      <c r="J587" s="440">
        <f>SUM(G587:I587)</f>
        <v>1.4707429969813437</v>
      </c>
      <c r="K587" s="441"/>
      <c r="L587" s="440">
        <v>0.96789071991198328</v>
      </c>
      <c r="M587" s="440">
        <v>0.10649809813438003</v>
      </c>
      <c r="N587" s="440">
        <v>0.52635681758352981</v>
      </c>
      <c r="O587" s="440">
        <f>SUM(L587:N587)</f>
        <v>1.600745635629893</v>
      </c>
    </row>
    <row r="588" spans="1:15" s="351" customFormat="1" x14ac:dyDescent="0.2">
      <c r="A588" s="362" t="str">
        <f>name!E$5</f>
        <v>Professional occupations</v>
      </c>
      <c r="B588" s="440">
        <v>0.82589754241345803</v>
      </c>
      <c r="C588" s="440">
        <v>4.804509740153437E-2</v>
      </c>
      <c r="D588" s="440">
        <v>3.959109889115698E-2</v>
      </c>
      <c r="E588" s="440">
        <f t="shared" ref="E588:E595" si="259">SUM(B588:D588)</f>
        <v>0.9135337387061494</v>
      </c>
      <c r="F588" s="441"/>
      <c r="G588" s="440">
        <v>0.64873991027067091</v>
      </c>
      <c r="H588" s="440">
        <v>3.8640937541877904E-2</v>
      </c>
      <c r="I588" s="440">
        <v>8.3356843137132139E-2</v>
      </c>
      <c r="J588" s="440">
        <f t="shared" ref="J588:J590" si="260">SUM(G588:I588)</f>
        <v>0.77073769094968092</v>
      </c>
      <c r="K588" s="441"/>
      <c r="L588" s="440">
        <v>0.74302089592562337</v>
      </c>
      <c r="M588" s="440">
        <v>7.9490417465543334E-2</v>
      </c>
      <c r="N588" s="440">
        <v>9.2190184312290535E-2</v>
      </c>
      <c r="O588" s="440">
        <f t="shared" ref="O588:O595" si="261">SUM(L588:N588)</f>
        <v>0.91470149770345721</v>
      </c>
    </row>
    <row r="589" spans="1:15" s="351" customFormat="1" x14ac:dyDescent="0.2">
      <c r="A589" s="362" t="str">
        <f>name!E$6</f>
        <v>Associate professional and technical</v>
      </c>
      <c r="B589" s="440">
        <v>1.4410582743502542</v>
      </c>
      <c r="C589" s="440">
        <v>7.3062003503142875E-2</v>
      </c>
      <c r="D589" s="440">
        <v>4.1778172580904653E-2</v>
      </c>
      <c r="E589" s="440">
        <f t="shared" si="259"/>
        <v>1.5558984504343016</v>
      </c>
      <c r="F589" s="441"/>
      <c r="G589" s="440">
        <v>1.4707922265386357</v>
      </c>
      <c r="H589" s="440">
        <v>6.4133604229386909E-2</v>
      </c>
      <c r="I589" s="440">
        <v>7.5607360633780873E-2</v>
      </c>
      <c r="J589" s="440">
        <f t="shared" si="260"/>
        <v>1.6105331914018035</v>
      </c>
      <c r="K589" s="441"/>
      <c r="L589" s="440">
        <v>1.5510279484160836</v>
      </c>
      <c r="M589" s="440">
        <v>0.12162864723879931</v>
      </c>
      <c r="N589" s="440">
        <v>7.8757525423326452E-2</v>
      </c>
      <c r="O589" s="440">
        <f t="shared" si="261"/>
        <v>1.7514141210782093</v>
      </c>
    </row>
    <row r="590" spans="1:15" s="351" customFormat="1" x14ac:dyDescent="0.2">
      <c r="A590" s="362" t="str">
        <f>name!E$7</f>
        <v>Administrative and secretarial</v>
      </c>
      <c r="B590" s="440">
        <v>1.5677111151938783</v>
      </c>
      <c r="C590" s="440">
        <v>0.43086038185906922</v>
      </c>
      <c r="D590" s="440">
        <v>8.3829119553097478E-2</v>
      </c>
      <c r="E590" s="440">
        <f t="shared" si="259"/>
        <v>2.0824006166060451</v>
      </c>
      <c r="F590" s="441"/>
      <c r="G590" s="440">
        <v>1.447931569068388</v>
      </c>
      <c r="H590" s="440">
        <v>0.45115837078020726</v>
      </c>
      <c r="I590" s="440">
        <v>0.1964284703895714</v>
      </c>
      <c r="J590" s="440">
        <f t="shared" si="260"/>
        <v>2.0955184102381668</v>
      </c>
      <c r="K590" s="441"/>
      <c r="L590" s="440">
        <v>1.3209209756027851</v>
      </c>
      <c r="M590" s="440">
        <v>0.67649396742360579</v>
      </c>
      <c r="N590" s="440">
        <v>0.14377507699462036</v>
      </c>
      <c r="O590" s="440">
        <f t="shared" si="261"/>
        <v>2.141190020021011</v>
      </c>
    </row>
    <row r="591" spans="1:15" s="351" customFormat="1" x14ac:dyDescent="0.2">
      <c r="A591" s="362" t="str">
        <f>name!E$8</f>
        <v>Skilled trades occupations</v>
      </c>
      <c r="B591" s="440">
        <v>1.4450680777651939</v>
      </c>
      <c r="C591" s="440">
        <v>7.4168837886882638E-2</v>
      </c>
      <c r="D591" s="440">
        <v>0.26827394437395707</v>
      </c>
      <c r="E591" s="440">
        <f t="shared" si="259"/>
        <v>1.7875108600260334</v>
      </c>
      <c r="F591" s="441"/>
      <c r="G591" s="440">
        <v>1.1460599177240351</v>
      </c>
      <c r="H591" s="440">
        <v>3.0246275080779976E-2</v>
      </c>
      <c r="I591" s="440">
        <v>0.31133504929657574</v>
      </c>
      <c r="J591" s="440">
        <f>SUM(G591:I591)</f>
        <v>1.4876412421013909</v>
      </c>
      <c r="K591" s="441"/>
      <c r="L591" s="440">
        <v>0.81867751398364563</v>
      </c>
      <c r="M591" s="440">
        <v>4.6629397663854481E-2</v>
      </c>
      <c r="N591" s="440">
        <v>0.38088338691655904</v>
      </c>
      <c r="O591" s="440">
        <f t="shared" si="261"/>
        <v>1.2461902985640592</v>
      </c>
    </row>
    <row r="592" spans="1:15" s="351" customFormat="1" x14ac:dyDescent="0.2">
      <c r="A592" s="362" t="str">
        <f>name!E$9</f>
        <v>Caring, leisure and other service</v>
      </c>
      <c r="B592" s="440">
        <v>0.45106760083831421</v>
      </c>
      <c r="C592" s="440">
        <v>0.17475945577179486</v>
      </c>
      <c r="D592" s="440">
        <v>3.6650797935043028E-2</v>
      </c>
      <c r="E592" s="440">
        <f t="shared" si="259"/>
        <v>0.66247785454515207</v>
      </c>
      <c r="F592" s="441"/>
      <c r="G592" s="440">
        <v>0.6751860757941397</v>
      </c>
      <c r="H592" s="440">
        <v>0.19360210891255286</v>
      </c>
      <c r="I592" s="440">
        <v>6.5041589233064773E-2</v>
      </c>
      <c r="J592" s="440">
        <f t="shared" ref="J592:J595" si="262">SUM(G592:I592)</f>
        <v>0.9338297739397573</v>
      </c>
      <c r="K592" s="441"/>
      <c r="L592" s="440">
        <v>0.90728101011075146</v>
      </c>
      <c r="M592" s="440">
        <v>0.36018116428173891</v>
      </c>
      <c r="N592" s="440">
        <v>7.0384332767833332E-2</v>
      </c>
      <c r="O592" s="440">
        <f t="shared" si="261"/>
        <v>1.3378465071603236</v>
      </c>
    </row>
    <row r="593" spans="1:15" s="351" customFormat="1" x14ac:dyDescent="0.2">
      <c r="A593" s="362" t="str">
        <f>name!E$10</f>
        <v>Sales and customer service</v>
      </c>
      <c r="B593" s="440">
        <v>0.37121848872092406</v>
      </c>
      <c r="C593" s="440">
        <v>5.9914685661829871E-2</v>
      </c>
      <c r="D593" s="440">
        <v>1.1299445337316064E-2</v>
      </c>
      <c r="E593" s="440">
        <f t="shared" si="259"/>
        <v>0.44243261972007003</v>
      </c>
      <c r="F593" s="441"/>
      <c r="G593" s="440">
        <v>0.38430192948066672</v>
      </c>
      <c r="H593" s="440">
        <v>6.4434923990182885E-2</v>
      </c>
      <c r="I593" s="440">
        <v>2.6020669999579787E-2</v>
      </c>
      <c r="J593" s="440">
        <f t="shared" si="262"/>
        <v>0.47475752347042938</v>
      </c>
      <c r="K593" s="441"/>
      <c r="L593" s="440">
        <v>0.48904837092268288</v>
      </c>
      <c r="M593" s="440">
        <v>0.1204953568918575</v>
      </c>
      <c r="N593" s="440">
        <v>2.5215929037910732E-2</v>
      </c>
      <c r="O593" s="440">
        <f t="shared" si="261"/>
        <v>0.63475965685245106</v>
      </c>
    </row>
    <row r="594" spans="1:15" s="351" customFormat="1" x14ac:dyDescent="0.2">
      <c r="A594" s="362" t="str">
        <f>name!E$11</f>
        <v>Process, plant and machine operatives</v>
      </c>
      <c r="B594" s="440">
        <v>8.4819189198486988</v>
      </c>
      <c r="C594" s="440">
        <v>1.9648955493271745</v>
      </c>
      <c r="D594" s="440">
        <v>4.4770120172016066</v>
      </c>
      <c r="E594" s="440">
        <f t="shared" si="259"/>
        <v>14.923826486377479</v>
      </c>
      <c r="F594" s="441"/>
      <c r="G594" s="440">
        <v>5.6920953362882596</v>
      </c>
      <c r="H594" s="440">
        <v>0.8820032452515334</v>
      </c>
      <c r="I594" s="440">
        <v>4.100104460868085</v>
      </c>
      <c r="J594" s="440">
        <f t="shared" si="262"/>
        <v>10.674203042407878</v>
      </c>
      <c r="K594" s="441"/>
      <c r="L594" s="440">
        <v>4.42893187403482</v>
      </c>
      <c r="M594" s="440">
        <v>1.4965456425675592</v>
      </c>
      <c r="N594" s="440">
        <v>4.1543709957961426</v>
      </c>
      <c r="O594" s="440">
        <f t="shared" si="261"/>
        <v>10.079848512398522</v>
      </c>
    </row>
    <row r="595" spans="1:15" s="351" customFormat="1" x14ac:dyDescent="0.2">
      <c r="A595" s="362" t="str">
        <f>name!E$12</f>
        <v>Elementary occupations</v>
      </c>
      <c r="B595" s="440">
        <v>0.86121124426320739</v>
      </c>
      <c r="C595" s="440">
        <v>0.23321385603268446</v>
      </c>
      <c r="D595" s="440">
        <v>9.0757775638555749E-2</v>
      </c>
      <c r="E595" s="440">
        <f t="shared" si="259"/>
        <v>1.1851828759344476</v>
      </c>
      <c r="F595" s="441"/>
      <c r="G595" s="440">
        <v>0.83267499868797201</v>
      </c>
      <c r="H595" s="440">
        <v>8.2274619555433498E-2</v>
      </c>
      <c r="I595" s="440">
        <v>0.11708651073683707</v>
      </c>
      <c r="J595" s="440">
        <f t="shared" si="262"/>
        <v>1.0320361289802427</v>
      </c>
      <c r="K595" s="441"/>
      <c r="L595" s="440">
        <v>0.64820069095340815</v>
      </c>
      <c r="M595" s="440">
        <v>0.12403730833438456</v>
      </c>
      <c r="N595" s="440">
        <v>0.11606575109347413</v>
      </c>
      <c r="O595" s="440">
        <f t="shared" si="261"/>
        <v>0.88830375038126685</v>
      </c>
    </row>
    <row r="596" spans="1:15" s="351" customFormat="1" x14ac:dyDescent="0.2">
      <c r="A596" s="362"/>
      <c r="B596" s="440"/>
      <c r="C596" s="440"/>
      <c r="D596" s="440"/>
      <c r="E596" s="440"/>
      <c r="F596" s="441"/>
      <c r="G596" s="440"/>
      <c r="H596" s="440"/>
      <c r="I596" s="440"/>
      <c r="J596" s="440"/>
      <c r="K596" s="441"/>
      <c r="L596" s="440"/>
      <c r="M596" s="440"/>
      <c r="N596" s="440"/>
      <c r="O596" s="440"/>
    </row>
    <row r="597" spans="1:15" s="351" customFormat="1" x14ac:dyDescent="0.2">
      <c r="A597" s="357" t="s">
        <v>32</v>
      </c>
      <c r="B597" s="450">
        <f>SUM(B587:B595)</f>
        <v>16.440000000001973</v>
      </c>
      <c r="C597" s="450">
        <f t="shared" ref="C597:E597" si="263">SUM(C587:C595)</f>
        <v>3.125999999992072</v>
      </c>
      <c r="D597" s="450">
        <f t="shared" si="263"/>
        <v>5.326000000071109</v>
      </c>
      <c r="E597" s="450">
        <f t="shared" si="263"/>
        <v>24.892000000065156</v>
      </c>
      <c r="F597" s="450"/>
      <c r="G597" s="450">
        <f t="shared" ref="G597:J597" si="264">SUM(G587:G595)</f>
        <v>13.253000000008191</v>
      </c>
      <c r="H597" s="450">
        <f t="shared" si="264"/>
        <v>1.8590000000336471</v>
      </c>
      <c r="I597" s="450">
        <f t="shared" si="264"/>
        <v>5.4380000004288549</v>
      </c>
      <c r="J597" s="450">
        <f t="shared" si="264"/>
        <v>20.550000000470693</v>
      </c>
      <c r="K597" s="450"/>
      <c r="L597" s="450">
        <f t="shared" ref="L597:O597" si="265">SUM(L587:L595)</f>
        <v>11.874999999861783</v>
      </c>
      <c r="M597" s="450">
        <f t="shared" si="265"/>
        <v>3.1320000000017232</v>
      </c>
      <c r="N597" s="450">
        <f t="shared" si="265"/>
        <v>5.5879999999256871</v>
      </c>
      <c r="O597" s="450">
        <f t="shared" si="265"/>
        <v>20.594999999789191</v>
      </c>
    </row>
    <row r="598" spans="1:15" s="351" customFormat="1" x14ac:dyDescent="0.2">
      <c r="A598" s="348"/>
      <c r="B598" s="348"/>
      <c r="C598" s="348"/>
      <c r="D598" s="348"/>
      <c r="E598" s="348"/>
      <c r="F598" s="348"/>
      <c r="G598" s="348"/>
      <c r="H598" s="348"/>
      <c r="I598" s="348"/>
      <c r="J598" s="348"/>
      <c r="K598" s="348"/>
      <c r="L598" s="348"/>
      <c r="M598" s="348"/>
      <c r="N598" s="353"/>
    </row>
    <row r="599" spans="1:15" s="351" customFormat="1" x14ac:dyDescent="0.2">
      <c r="A599" s="348"/>
      <c r="B599" s="348"/>
      <c r="C599" s="348"/>
      <c r="D599" s="348"/>
      <c r="E599" s="348"/>
      <c r="F599" s="348"/>
      <c r="G599" s="348"/>
      <c r="H599" s="348"/>
      <c r="I599" s="348"/>
      <c r="J599" s="348"/>
      <c r="K599" s="348"/>
      <c r="L599" s="348"/>
      <c r="M599" s="348"/>
      <c r="N599" s="353"/>
      <c r="O599" s="367" t="s">
        <v>35</v>
      </c>
    </row>
    <row r="600" spans="1:15" s="351" customFormat="1" x14ac:dyDescent="0.2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</row>
    <row r="601" spans="1:15" s="351" customFormat="1" x14ac:dyDescent="0.2">
      <c r="A601" s="354" t="str">
        <f>name!A38</f>
        <v>Water transport</v>
      </c>
      <c r="B601" s="519">
        <f>$B$6</f>
        <v>2007</v>
      </c>
      <c r="C601" s="519"/>
      <c r="D601" s="519"/>
      <c r="E601" s="519"/>
      <c r="F601" s="380"/>
      <c r="G601" s="519">
        <f>$G$6</f>
        <v>2017</v>
      </c>
      <c r="H601" s="519"/>
      <c r="I601" s="519"/>
      <c r="J601" s="519"/>
      <c r="K601" s="380"/>
      <c r="L601" s="519">
        <f>$L$6</f>
        <v>2027</v>
      </c>
      <c r="M601" s="519"/>
      <c r="N601" s="519"/>
      <c r="O601" s="519"/>
    </row>
    <row r="602" spans="1:15" s="351" customFormat="1" x14ac:dyDescent="0.2">
      <c r="A602" s="370"/>
      <c r="B602" s="388" t="str">
        <f>$B$7</f>
        <v>FT</v>
      </c>
      <c r="C602" s="388" t="str">
        <f>$C$7</f>
        <v>PT</v>
      </c>
      <c r="D602" s="388" t="str">
        <f>$D$7</f>
        <v>SE</v>
      </c>
      <c r="E602" s="388" t="str">
        <f>$E$7</f>
        <v>Total</v>
      </c>
      <c r="F602" s="388"/>
      <c r="G602" s="388" t="str">
        <f>$G$7</f>
        <v>FT</v>
      </c>
      <c r="H602" s="388" t="str">
        <f>$H$7</f>
        <v>PT</v>
      </c>
      <c r="I602" s="388" t="str">
        <f>$I$7</f>
        <v>SE</v>
      </c>
      <c r="J602" s="388" t="str">
        <f>$J$7</f>
        <v>Total</v>
      </c>
      <c r="K602" s="388"/>
      <c r="L602" s="388" t="str">
        <f>$L$7</f>
        <v>FT</v>
      </c>
      <c r="M602" s="388" t="str">
        <f>$M$7</f>
        <v>PT</v>
      </c>
      <c r="N602" s="388" t="str">
        <f>$N$7</f>
        <v>SE</v>
      </c>
      <c r="O602" s="388" t="str">
        <f>$O$7</f>
        <v>Total</v>
      </c>
    </row>
    <row r="603" spans="1:15" s="351" customFormat="1" x14ac:dyDescent="0.2">
      <c r="A603" s="374"/>
      <c r="B603" s="350"/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</row>
    <row r="604" spans="1:15" s="351" customFormat="1" x14ac:dyDescent="0.2">
      <c r="A604" s="362" t="str">
        <f>name!E$4</f>
        <v>Managers, directors and senior officials</v>
      </c>
      <c r="B604" s="440">
        <v>0.10316502244911642</v>
      </c>
      <c r="C604" s="440">
        <v>4.4165571103760203E-2</v>
      </c>
      <c r="D604" s="440">
        <v>8.1229246067030959E-3</v>
      </c>
      <c r="E604" s="440">
        <f>SUM(B604:D604)</f>
        <v>0.15545351815957972</v>
      </c>
      <c r="F604" s="441"/>
      <c r="G604" s="440">
        <v>6.5270123774458635E-2</v>
      </c>
      <c r="H604" s="440">
        <v>5.1076209195677499E-2</v>
      </c>
      <c r="I604" s="440">
        <v>3.8003696006302129E-2</v>
      </c>
      <c r="J604" s="440">
        <f>SUM(G604:I604)</f>
        <v>0.15435002897643826</v>
      </c>
      <c r="K604" s="441"/>
      <c r="L604" s="440">
        <v>4.7768540281951918E-2</v>
      </c>
      <c r="M604" s="440">
        <v>5.617269558599966E-2</v>
      </c>
      <c r="N604" s="440">
        <v>3.1110565524799589E-2</v>
      </c>
      <c r="O604" s="440">
        <f>SUM(L604:N604)</f>
        <v>0.13505180139275116</v>
      </c>
    </row>
    <row r="605" spans="1:15" s="351" customFormat="1" x14ac:dyDescent="0.2">
      <c r="A605" s="362" t="str">
        <f>name!E$5</f>
        <v>Professional occupations</v>
      </c>
      <c r="B605" s="440">
        <v>0.11537951179638606</v>
      </c>
      <c r="C605" s="440">
        <v>1.6263931238485334E-2</v>
      </c>
      <c r="D605" s="440">
        <v>4.4001100800624467E-3</v>
      </c>
      <c r="E605" s="440">
        <f t="shared" ref="E605:E612" si="266">SUM(B605:D605)</f>
        <v>0.13604355311493382</v>
      </c>
      <c r="F605" s="441"/>
      <c r="G605" s="440">
        <v>7.0448130688982619E-2</v>
      </c>
      <c r="H605" s="440">
        <v>1.8328993070094866E-2</v>
      </c>
      <c r="I605" s="440">
        <v>1.9726729196896744E-2</v>
      </c>
      <c r="J605" s="440">
        <f t="shared" ref="J605:J607" si="267">SUM(G605:I605)</f>
        <v>0.10850385295597423</v>
      </c>
      <c r="K605" s="441"/>
      <c r="L605" s="440">
        <v>5.0025812467342855E-2</v>
      </c>
      <c r="M605" s="440">
        <v>2.1171798544250463E-2</v>
      </c>
      <c r="N605" s="440">
        <v>1.4586126391072936E-2</v>
      </c>
      <c r="O605" s="440">
        <f t="shared" ref="O605:O612" si="268">SUM(L605:N605)</f>
        <v>8.578373740266626E-2</v>
      </c>
    </row>
    <row r="606" spans="1:15" s="351" customFormat="1" x14ac:dyDescent="0.2">
      <c r="A606" s="362" t="str">
        <f>name!E$6</f>
        <v>Associate professional and technical</v>
      </c>
      <c r="B606" s="440">
        <v>0.27928924701468288</v>
      </c>
      <c r="C606" s="440">
        <v>2.0235967692750011E-2</v>
      </c>
      <c r="D606" s="440">
        <v>5.4341905016246942E-3</v>
      </c>
      <c r="E606" s="440">
        <f t="shared" si="266"/>
        <v>0.30495940520905757</v>
      </c>
      <c r="F606" s="441"/>
      <c r="G606" s="440">
        <v>0.15798891185651792</v>
      </c>
      <c r="H606" s="440">
        <v>2.0512731099752712E-2</v>
      </c>
      <c r="I606" s="440">
        <v>5.4438154346496008E-2</v>
      </c>
      <c r="J606" s="440">
        <f t="shared" si="267"/>
        <v>0.23293979730276665</v>
      </c>
      <c r="K606" s="441"/>
      <c r="L606" s="440">
        <v>0.10548336417725653</v>
      </c>
      <c r="M606" s="440">
        <v>2.3167968353995934E-2</v>
      </c>
      <c r="N606" s="440">
        <v>3.8122657731742268E-2</v>
      </c>
      <c r="O606" s="440">
        <f t="shared" si="268"/>
        <v>0.16677399026299472</v>
      </c>
    </row>
    <row r="607" spans="1:15" s="351" customFormat="1" x14ac:dyDescent="0.2">
      <c r="A607" s="362" t="str">
        <f>name!E$7</f>
        <v>Administrative and secretarial</v>
      </c>
      <c r="B607" s="440">
        <v>0.19774694574611934</v>
      </c>
      <c r="C607" s="440">
        <v>5.475761340019502E-2</v>
      </c>
      <c r="D607" s="440">
        <v>1.1116871125386445E-3</v>
      </c>
      <c r="E607" s="440">
        <f t="shared" si="266"/>
        <v>0.25361624625885298</v>
      </c>
      <c r="F607" s="441"/>
      <c r="G607" s="440">
        <v>9.7316829555501999E-2</v>
      </c>
      <c r="H607" s="440">
        <v>4.6279252491879919E-2</v>
      </c>
      <c r="I607" s="440">
        <v>9.8995287812118308E-3</v>
      </c>
      <c r="J607" s="440">
        <f t="shared" si="267"/>
        <v>0.15349561082859375</v>
      </c>
      <c r="K607" s="441"/>
      <c r="L607" s="440">
        <v>6.2347221031140106E-2</v>
      </c>
      <c r="M607" s="440">
        <v>3.8762558343894839E-2</v>
      </c>
      <c r="N607" s="440">
        <v>4.9385100025733496E-3</v>
      </c>
      <c r="O607" s="440">
        <f t="shared" si="268"/>
        <v>0.1060482893776083</v>
      </c>
    </row>
    <row r="608" spans="1:15" s="351" customFormat="1" x14ac:dyDescent="0.2">
      <c r="A608" s="362" t="str">
        <f>name!E$8</f>
        <v>Skilled trades occupations</v>
      </c>
      <c r="B608" s="440">
        <v>5.3036651714981987E-2</v>
      </c>
      <c r="C608" s="440">
        <v>2.5561473049596675E-2</v>
      </c>
      <c r="D608" s="440">
        <v>1.4760324611502333E-2</v>
      </c>
      <c r="E608" s="440">
        <f t="shared" si="266"/>
        <v>9.335844937608101E-2</v>
      </c>
      <c r="F608" s="441"/>
      <c r="G608" s="440">
        <v>1.5021460198199455E-2</v>
      </c>
      <c r="H608" s="440">
        <v>9.6564933379379957E-3</v>
      </c>
      <c r="I608" s="440">
        <v>1.2215462732197653E-2</v>
      </c>
      <c r="J608" s="440">
        <f>SUM(G608:I608)</f>
        <v>3.6893416268335102E-2</v>
      </c>
      <c r="K608" s="441"/>
      <c r="L608" s="440">
        <v>6.1804134150195388E-3</v>
      </c>
      <c r="M608" s="440">
        <v>7.2652278606427255E-3</v>
      </c>
      <c r="N608" s="440">
        <v>5.6053866564687877E-3</v>
      </c>
      <c r="O608" s="440">
        <f t="shared" si="268"/>
        <v>1.9051027932131051E-2</v>
      </c>
    </row>
    <row r="609" spans="1:15" s="351" customFormat="1" x14ac:dyDescent="0.2">
      <c r="A609" s="362" t="str">
        <f>name!E$9</f>
        <v>Caring, leisure and other service</v>
      </c>
      <c r="B609" s="440">
        <v>2.624497125953398E-2</v>
      </c>
      <c r="C609" s="440">
        <v>1.6687901293744936E-2</v>
      </c>
      <c r="D609" s="440">
        <v>2.953898972184094E-3</v>
      </c>
      <c r="E609" s="440">
        <f t="shared" si="266"/>
        <v>4.5886771525463013E-2</v>
      </c>
      <c r="F609" s="441"/>
      <c r="G609" s="440">
        <v>2.6458280548579651E-2</v>
      </c>
      <c r="H609" s="440">
        <v>1.8235041820878286E-2</v>
      </c>
      <c r="I609" s="440">
        <v>5.0351627166945632E-3</v>
      </c>
      <c r="J609" s="440">
        <f t="shared" ref="J609:J612" si="269">SUM(G609:I609)</f>
        <v>4.9728485086152498E-2</v>
      </c>
      <c r="K609" s="441"/>
      <c r="L609" s="440">
        <v>2.2417445171076602E-2</v>
      </c>
      <c r="M609" s="440">
        <v>2.0843463467190529E-2</v>
      </c>
      <c r="N609" s="440">
        <v>3.9767455138592245E-3</v>
      </c>
      <c r="O609" s="440">
        <f t="shared" si="268"/>
        <v>4.7237654152126357E-2</v>
      </c>
    </row>
    <row r="610" spans="1:15" s="351" customFormat="1" x14ac:dyDescent="0.2">
      <c r="A610" s="362" t="str">
        <f>name!E$10</f>
        <v>Sales and customer service</v>
      </c>
      <c r="B610" s="440">
        <v>4.5690266555999344E-2</v>
      </c>
      <c r="C610" s="440">
        <v>1.9196504353972108E-2</v>
      </c>
      <c r="D610" s="440">
        <v>1.0902938371032669E-3</v>
      </c>
      <c r="E610" s="440">
        <f t="shared" si="266"/>
        <v>6.5977064747074723E-2</v>
      </c>
      <c r="F610" s="441"/>
      <c r="G610" s="440">
        <v>2.9961728193612758E-2</v>
      </c>
      <c r="H610" s="440">
        <v>1.419113959270767E-2</v>
      </c>
      <c r="I610" s="440">
        <v>3.0122124866350263E-3</v>
      </c>
      <c r="J610" s="440">
        <f t="shared" si="269"/>
        <v>4.7165080272955448E-2</v>
      </c>
      <c r="K610" s="441"/>
      <c r="L610" s="440">
        <v>2.1235555129669677E-2</v>
      </c>
      <c r="M610" s="440">
        <v>1.3403180936325938E-2</v>
      </c>
      <c r="N610" s="440">
        <v>2.000777682475446E-3</v>
      </c>
      <c r="O610" s="440">
        <f t="shared" si="268"/>
        <v>3.6639513748471061E-2</v>
      </c>
    </row>
    <row r="611" spans="1:15" s="351" customFormat="1" x14ac:dyDescent="0.2">
      <c r="A611" s="362" t="str">
        <f>name!E$11</f>
        <v>Process, plant and machine operatives</v>
      </c>
      <c r="B611" s="440">
        <v>7.3656205938466002E-2</v>
      </c>
      <c r="C611" s="440">
        <v>5.5175425062350694E-2</v>
      </c>
      <c r="D611" s="440">
        <v>4.1769974320081688E-3</v>
      </c>
      <c r="E611" s="440">
        <f t="shared" si="266"/>
        <v>0.13300862843282485</v>
      </c>
      <c r="F611" s="441"/>
      <c r="G611" s="440">
        <v>1.4712745966789485E-2</v>
      </c>
      <c r="H611" s="440">
        <v>2.2974648961686411E-2</v>
      </c>
      <c r="I611" s="440">
        <v>1.3127280007771313E-2</v>
      </c>
      <c r="J611" s="440">
        <f t="shared" si="269"/>
        <v>5.0814674936247209E-2</v>
      </c>
      <c r="K611" s="441"/>
      <c r="L611" s="440">
        <v>6.2634714113759876E-3</v>
      </c>
      <c r="M611" s="440">
        <v>1.7467922513893445E-2</v>
      </c>
      <c r="N611" s="440">
        <v>6.7375703850545889E-3</v>
      </c>
      <c r="O611" s="440">
        <f t="shared" si="268"/>
        <v>3.0468964310324025E-2</v>
      </c>
    </row>
    <row r="612" spans="1:15" s="351" customFormat="1" x14ac:dyDescent="0.2">
      <c r="A612" s="362" t="str">
        <f>name!E$12</f>
        <v>Elementary occupations</v>
      </c>
      <c r="B612" s="440">
        <v>7.1791177521747046E-2</v>
      </c>
      <c r="C612" s="440">
        <v>2.2955612804819218E-2</v>
      </c>
      <c r="D612" s="440">
        <v>2.9495728464968077E-3</v>
      </c>
      <c r="E612" s="440">
        <f t="shared" si="266"/>
        <v>9.7696363173063072E-2</v>
      </c>
      <c r="F612" s="441"/>
      <c r="G612" s="440">
        <v>3.0821789216527277E-2</v>
      </c>
      <c r="H612" s="440">
        <v>1.5745490431505117E-2</v>
      </c>
      <c r="I612" s="440">
        <v>1.0541773725575307E-2</v>
      </c>
      <c r="J612" s="440">
        <f t="shared" si="269"/>
        <v>5.71090533736077E-2</v>
      </c>
      <c r="K612" s="441"/>
      <c r="L612" s="440">
        <v>1.5278176914257868E-2</v>
      </c>
      <c r="M612" s="440">
        <v>1.6745184396353988E-2</v>
      </c>
      <c r="N612" s="440">
        <v>4.9216601106563812E-3</v>
      </c>
      <c r="O612" s="440">
        <f t="shared" si="268"/>
        <v>3.6945021421268237E-2</v>
      </c>
    </row>
    <row r="613" spans="1:15" s="351" customFormat="1" x14ac:dyDescent="0.2">
      <c r="A613" s="362"/>
      <c r="B613" s="440"/>
      <c r="C613" s="440"/>
      <c r="D613" s="440"/>
      <c r="E613" s="440"/>
      <c r="F613" s="441"/>
      <c r="G613" s="440"/>
      <c r="H613" s="440"/>
      <c r="I613" s="440"/>
      <c r="J613" s="440"/>
      <c r="K613" s="441"/>
      <c r="L613" s="440"/>
      <c r="M613" s="440"/>
      <c r="N613" s="440"/>
      <c r="O613" s="440"/>
    </row>
    <row r="614" spans="1:15" s="351" customFormat="1" x14ac:dyDescent="0.2">
      <c r="A614" s="357" t="s">
        <v>32</v>
      </c>
      <c r="B614" s="450">
        <f>SUM(B604:B612)</f>
        <v>0.96599999999703301</v>
      </c>
      <c r="C614" s="450">
        <f t="shared" ref="C614:E614" si="270">SUM(C604:C612)</f>
        <v>0.27499999999967423</v>
      </c>
      <c r="D614" s="450">
        <f t="shared" si="270"/>
        <v>4.5000000000223549E-2</v>
      </c>
      <c r="E614" s="450">
        <f t="shared" si="270"/>
        <v>1.2859999999969309</v>
      </c>
      <c r="F614" s="450"/>
      <c r="G614" s="450">
        <f t="shared" ref="G614:J614" si="271">SUM(G604:G612)</f>
        <v>0.50799999999916978</v>
      </c>
      <c r="H614" s="450">
        <f t="shared" si="271"/>
        <v>0.21700000000212047</v>
      </c>
      <c r="I614" s="450">
        <f t="shared" si="271"/>
        <v>0.16599999999978057</v>
      </c>
      <c r="J614" s="450">
        <f t="shared" si="271"/>
        <v>0.89100000000107082</v>
      </c>
      <c r="K614" s="450"/>
      <c r="L614" s="450">
        <f t="shared" ref="L614:O614" si="272">SUM(L604:L612)</f>
        <v>0.33699999999909103</v>
      </c>
      <c r="M614" s="450">
        <f t="shared" si="272"/>
        <v>0.21500000000254754</v>
      </c>
      <c r="N614" s="450">
        <f t="shared" si="272"/>
        <v>0.11199999999870257</v>
      </c>
      <c r="O614" s="450">
        <f t="shared" si="272"/>
        <v>0.6640000000003411</v>
      </c>
    </row>
    <row r="615" spans="1:15" s="351" customFormat="1" x14ac:dyDescent="0.2">
      <c r="A615" s="348"/>
      <c r="B615" s="348"/>
      <c r="C615" s="348"/>
      <c r="D615" s="348"/>
      <c r="E615" s="348"/>
      <c r="F615" s="348"/>
      <c r="G615" s="348"/>
      <c r="H615" s="348"/>
      <c r="I615" s="348"/>
      <c r="J615" s="348"/>
      <c r="K615" s="348"/>
      <c r="L615" s="348"/>
      <c r="M615" s="348"/>
      <c r="N615" s="353"/>
    </row>
    <row r="616" spans="1:15" s="351" customFormat="1" x14ac:dyDescent="0.2">
      <c r="A616" s="348"/>
      <c r="B616" s="348"/>
      <c r="C616" s="348"/>
      <c r="D616" s="348"/>
      <c r="E616" s="348"/>
      <c r="F616" s="348"/>
      <c r="G616" s="348"/>
      <c r="H616" s="348"/>
      <c r="I616" s="348"/>
      <c r="J616" s="348"/>
      <c r="K616" s="348"/>
      <c r="L616" s="348"/>
      <c r="M616" s="348"/>
      <c r="N616" s="353"/>
      <c r="O616" s="367" t="s">
        <v>35</v>
      </c>
    </row>
    <row r="617" spans="1:15" s="351" customFormat="1" x14ac:dyDescent="0.2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</row>
    <row r="618" spans="1:15" s="351" customFormat="1" x14ac:dyDescent="0.2">
      <c r="A618" s="354" t="str">
        <f>name!A39</f>
        <v>Air transport</v>
      </c>
      <c r="B618" s="519">
        <f>$B$6</f>
        <v>2007</v>
      </c>
      <c r="C618" s="519"/>
      <c r="D618" s="519"/>
      <c r="E618" s="519"/>
      <c r="F618" s="380"/>
      <c r="G618" s="519">
        <f>$G$6</f>
        <v>2017</v>
      </c>
      <c r="H618" s="519"/>
      <c r="I618" s="519"/>
      <c r="J618" s="519"/>
      <c r="K618" s="380"/>
      <c r="L618" s="519">
        <f>$L$6</f>
        <v>2027</v>
      </c>
      <c r="M618" s="519"/>
      <c r="N618" s="519"/>
      <c r="O618" s="519"/>
    </row>
    <row r="619" spans="1:15" s="351" customFormat="1" x14ac:dyDescent="0.2">
      <c r="A619" s="370"/>
      <c r="B619" s="388" t="str">
        <f>$B$7</f>
        <v>FT</v>
      </c>
      <c r="C619" s="388" t="str">
        <f>$C$7</f>
        <v>PT</v>
      </c>
      <c r="D619" s="388" t="str">
        <f>$D$7</f>
        <v>SE</v>
      </c>
      <c r="E619" s="388" t="str">
        <f>$E$7</f>
        <v>Total</v>
      </c>
      <c r="F619" s="388"/>
      <c r="G619" s="388" t="str">
        <f>$G$7</f>
        <v>FT</v>
      </c>
      <c r="H619" s="388" t="str">
        <f>$H$7</f>
        <v>PT</v>
      </c>
      <c r="I619" s="388" t="str">
        <f>$I$7</f>
        <v>SE</v>
      </c>
      <c r="J619" s="388" t="str">
        <f>$J$7</f>
        <v>Total</v>
      </c>
      <c r="K619" s="388"/>
      <c r="L619" s="388" t="str">
        <f>$L$7</f>
        <v>FT</v>
      </c>
      <c r="M619" s="388" t="str">
        <f>$M$7</f>
        <v>PT</v>
      </c>
      <c r="N619" s="388" t="str">
        <f>$N$7</f>
        <v>SE</v>
      </c>
      <c r="O619" s="388" t="str">
        <f>$O$7</f>
        <v>Total</v>
      </c>
    </row>
    <row r="620" spans="1:15" s="351" customFormat="1" x14ac:dyDescent="0.2">
      <c r="A620" s="374"/>
      <c r="B620" s="350"/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</row>
    <row r="621" spans="1:15" s="351" customFormat="1" x14ac:dyDescent="0.2">
      <c r="A621" s="362" t="str">
        <f>name!E$4</f>
        <v>Managers, directors and senior officials</v>
      </c>
      <c r="B621" s="440">
        <v>1.9275894923596305E-2</v>
      </c>
      <c r="C621" s="440">
        <v>3.040608290911081E-3</v>
      </c>
      <c r="D621" s="440">
        <v>2.3811002796452208E-3</v>
      </c>
      <c r="E621" s="440">
        <f>SUM(B621:D621)</f>
        <v>2.4697603494152606E-2</v>
      </c>
      <c r="F621" s="441"/>
      <c r="G621" s="440">
        <v>6.0749699658035573E-3</v>
      </c>
      <c r="H621" s="440">
        <v>7.8822175277798966E-4</v>
      </c>
      <c r="I621" s="440">
        <v>5.9829829956177857E-3</v>
      </c>
      <c r="J621" s="440">
        <f>SUM(G621:I621)</f>
        <v>1.2846174714199333E-2</v>
      </c>
      <c r="K621" s="441"/>
      <c r="L621" s="440">
        <v>9.6622333887654531E-3</v>
      </c>
      <c r="M621" s="440">
        <v>1.1474707610500481E-3</v>
      </c>
      <c r="N621" s="440">
        <v>7.7083677687801088E-3</v>
      </c>
      <c r="O621" s="440">
        <f>SUM(L621:N621)</f>
        <v>1.851807191859561E-2</v>
      </c>
    </row>
    <row r="622" spans="1:15" s="351" customFormat="1" x14ac:dyDescent="0.2">
      <c r="A622" s="362" t="str">
        <f>name!E$5</f>
        <v>Professional occupations</v>
      </c>
      <c r="B622" s="440">
        <v>2.6469953784934306E-2</v>
      </c>
      <c r="C622" s="440">
        <v>4.4970689764222988E-3</v>
      </c>
      <c r="D622" s="440">
        <v>1.2348591560169171E-3</v>
      </c>
      <c r="E622" s="440">
        <f t="shared" ref="E622:E629" si="273">SUM(B622:D622)</f>
        <v>3.2201881917373526E-2</v>
      </c>
      <c r="F622" s="441"/>
      <c r="G622" s="440">
        <v>1.1928890676112552E-2</v>
      </c>
      <c r="H622" s="440">
        <v>1.2095811146028536E-3</v>
      </c>
      <c r="I622" s="440">
        <v>2.5322915330653734E-3</v>
      </c>
      <c r="J622" s="440">
        <f t="shared" ref="J622:J624" si="274">SUM(G622:I622)</f>
        <v>1.5670763323780777E-2</v>
      </c>
      <c r="K622" s="441"/>
      <c r="L622" s="440">
        <v>1.8705378104330213E-2</v>
      </c>
      <c r="M622" s="440">
        <v>1.8215470924351413E-3</v>
      </c>
      <c r="N622" s="440">
        <v>3.2817705686056251E-3</v>
      </c>
      <c r="O622" s="440">
        <f t="shared" ref="O622:O629" si="275">SUM(L622:N622)</f>
        <v>2.380869576537098E-2</v>
      </c>
    </row>
    <row r="623" spans="1:15" s="351" customFormat="1" x14ac:dyDescent="0.2">
      <c r="A623" s="362" t="str">
        <f>name!E$6</f>
        <v>Associate professional and technical</v>
      </c>
      <c r="B623" s="440">
        <v>6.684324791051087E-2</v>
      </c>
      <c r="C623" s="440">
        <v>1.7551261756567668E-2</v>
      </c>
      <c r="D623" s="440">
        <v>1.7700084321516025E-3</v>
      </c>
      <c r="E623" s="440">
        <f t="shared" si="273"/>
        <v>8.6164518099230133E-2</v>
      </c>
      <c r="F623" s="441"/>
      <c r="G623" s="440">
        <v>3.7617858640626944E-2</v>
      </c>
      <c r="H623" s="440">
        <v>4.5036359234139406E-3</v>
      </c>
      <c r="I623" s="440">
        <v>4.7753364627859569E-3</v>
      </c>
      <c r="J623" s="440">
        <f t="shared" si="274"/>
        <v>4.6896831026826846E-2</v>
      </c>
      <c r="K623" s="441"/>
      <c r="L623" s="440">
        <v>5.0840839356594815E-2</v>
      </c>
      <c r="M623" s="440">
        <v>6.4283886846720996E-3</v>
      </c>
      <c r="N623" s="440">
        <v>5.7518913898806905E-3</v>
      </c>
      <c r="O623" s="440">
        <f t="shared" si="275"/>
        <v>6.3021119431147604E-2</v>
      </c>
    </row>
    <row r="624" spans="1:15" s="351" customFormat="1" x14ac:dyDescent="0.2">
      <c r="A624" s="362" t="str">
        <f>name!E$7</f>
        <v>Administrative and secretarial</v>
      </c>
      <c r="B624" s="440">
        <v>0.11500810765366433</v>
      </c>
      <c r="C624" s="440">
        <v>2.6783123971306694E-2</v>
      </c>
      <c r="D624" s="440">
        <v>4.5455264473323153E-4</v>
      </c>
      <c r="E624" s="440">
        <f t="shared" si="273"/>
        <v>0.14224578426970427</v>
      </c>
      <c r="F624" s="441"/>
      <c r="G624" s="440">
        <v>6.0774837822268273E-2</v>
      </c>
      <c r="H624" s="440">
        <v>6.1871997169810934E-3</v>
      </c>
      <c r="I624" s="440">
        <v>1.3064714747833075E-3</v>
      </c>
      <c r="J624" s="440">
        <f t="shared" si="274"/>
        <v>6.8268509014032683E-2</v>
      </c>
      <c r="K624" s="441"/>
      <c r="L624" s="440">
        <v>7.1420370754130061E-2</v>
      </c>
      <c r="M624" s="440">
        <v>6.7338055120716601E-3</v>
      </c>
      <c r="N624" s="440">
        <v>1.3837562723553129E-3</v>
      </c>
      <c r="O624" s="440">
        <f t="shared" si="275"/>
        <v>7.9537932538557038E-2</v>
      </c>
    </row>
    <row r="625" spans="1:15" s="351" customFormat="1" x14ac:dyDescent="0.2">
      <c r="A625" s="362" t="str">
        <f>name!E$8</f>
        <v>Skilled trades occupations</v>
      </c>
      <c r="B625" s="440">
        <v>1.8240646327983438E-2</v>
      </c>
      <c r="C625" s="440">
        <v>3.2922468937179993E-3</v>
      </c>
      <c r="D625" s="440">
        <v>2.879320444113165E-3</v>
      </c>
      <c r="E625" s="440">
        <f t="shared" si="273"/>
        <v>2.4412213665814603E-2</v>
      </c>
      <c r="F625" s="441"/>
      <c r="G625" s="440">
        <v>2.9225080889301669E-3</v>
      </c>
      <c r="H625" s="440">
        <v>5.5444826299176934E-4</v>
      </c>
      <c r="I625" s="440">
        <v>2.9149457674551519E-3</v>
      </c>
      <c r="J625" s="440">
        <f>SUM(G625:I625)</f>
        <v>6.3919021193770877E-3</v>
      </c>
      <c r="K625" s="441"/>
      <c r="L625" s="440">
        <v>2.8080526390653012E-3</v>
      </c>
      <c r="M625" s="440">
        <v>5.7856400984939284E-4</v>
      </c>
      <c r="N625" s="440">
        <v>3.3564105818976609E-3</v>
      </c>
      <c r="O625" s="440">
        <f t="shared" si="275"/>
        <v>6.7430272308123549E-3</v>
      </c>
    </row>
    <row r="626" spans="1:15" s="351" customFormat="1" x14ac:dyDescent="0.2">
      <c r="A626" s="362" t="str">
        <f>name!E$9</f>
        <v>Caring, leisure and other service</v>
      </c>
      <c r="B626" s="440">
        <v>0.15070423546452497</v>
      </c>
      <c r="C626" s="440">
        <v>7.3661208454750104E-2</v>
      </c>
      <c r="D626" s="440">
        <v>1.2474114137535194E-3</v>
      </c>
      <c r="E626" s="440">
        <f t="shared" si="273"/>
        <v>0.22561285533302858</v>
      </c>
      <c r="F626" s="441"/>
      <c r="G626" s="440">
        <v>7.1554466774879949E-2</v>
      </c>
      <c r="H626" s="440">
        <v>1.4600446153614719E-2</v>
      </c>
      <c r="I626" s="440">
        <v>2.0990724162324062E-3</v>
      </c>
      <c r="J626" s="440">
        <f t="shared" ref="J626:J629" si="276">SUM(G626:I626)</f>
        <v>8.8253985344727073E-2</v>
      </c>
      <c r="K626" s="441"/>
      <c r="L626" s="440">
        <v>8.7915445858274127E-2</v>
      </c>
      <c r="M626" s="440">
        <v>1.7929766594335806E-2</v>
      </c>
      <c r="N626" s="440">
        <v>2.5665636531670773E-3</v>
      </c>
      <c r="O626" s="440">
        <f t="shared" si="275"/>
        <v>0.10841177610577701</v>
      </c>
    </row>
    <row r="627" spans="1:15" s="351" customFormat="1" x14ac:dyDescent="0.2">
      <c r="A627" s="362" t="str">
        <f>name!E$10</f>
        <v>Sales and customer service</v>
      </c>
      <c r="B627" s="440">
        <v>2.752369970464319E-2</v>
      </c>
      <c r="C627" s="440">
        <v>1.8231460216791031E-2</v>
      </c>
      <c r="D627" s="440">
        <v>3.8143495558098906E-4</v>
      </c>
      <c r="E627" s="440">
        <f t="shared" si="273"/>
        <v>4.6136594877015213E-2</v>
      </c>
      <c r="F627" s="441"/>
      <c r="G627" s="440">
        <v>2.053276147296244E-2</v>
      </c>
      <c r="H627" s="440">
        <v>4.9087508697141478E-3</v>
      </c>
      <c r="I627" s="440">
        <v>5.3999622835198429E-4</v>
      </c>
      <c r="J627" s="440">
        <f t="shared" si="276"/>
        <v>2.5981508571028572E-2</v>
      </c>
      <c r="K627" s="441"/>
      <c r="L627" s="440">
        <v>2.7290735243557969E-2</v>
      </c>
      <c r="M627" s="440">
        <v>6.9155750148965252E-3</v>
      </c>
      <c r="N627" s="440">
        <v>6.5390410845312806E-4</v>
      </c>
      <c r="O627" s="440">
        <f t="shared" si="275"/>
        <v>3.4860214366907623E-2</v>
      </c>
    </row>
    <row r="628" spans="1:15" s="351" customFormat="1" x14ac:dyDescent="0.2">
      <c r="A628" s="362" t="str">
        <f>name!E$11</f>
        <v>Process, plant and machine operatives</v>
      </c>
      <c r="B628" s="440">
        <v>2.2888706694396587E-2</v>
      </c>
      <c r="C628" s="440">
        <v>9.9053376650939853E-3</v>
      </c>
      <c r="D628" s="440">
        <v>7.5387819809365957E-4</v>
      </c>
      <c r="E628" s="440">
        <f t="shared" si="273"/>
        <v>3.354792255758423E-2</v>
      </c>
      <c r="F628" s="441"/>
      <c r="G628" s="440">
        <v>9.8121790697592564E-3</v>
      </c>
      <c r="H628" s="440">
        <v>1.9742630936668538E-3</v>
      </c>
      <c r="I628" s="440">
        <v>2.6294360357845378E-3</v>
      </c>
      <c r="J628" s="440">
        <f t="shared" si="276"/>
        <v>1.4415878199210648E-2</v>
      </c>
      <c r="K628" s="441"/>
      <c r="L628" s="440">
        <v>1.1600107393122241E-2</v>
      </c>
      <c r="M628" s="440">
        <v>1.9592650552610418E-3</v>
      </c>
      <c r="N628" s="440">
        <v>2.7633497586440317E-3</v>
      </c>
      <c r="O628" s="440">
        <f t="shared" si="275"/>
        <v>1.6322722207027317E-2</v>
      </c>
    </row>
    <row r="629" spans="1:15" s="351" customFormat="1" x14ac:dyDescent="0.2">
      <c r="A629" s="362" t="str">
        <f>name!E$12</f>
        <v>Elementary occupations</v>
      </c>
      <c r="B629" s="440">
        <v>5.1045507531716411E-2</v>
      </c>
      <c r="C629" s="440">
        <v>7.0376837735405253E-3</v>
      </c>
      <c r="D629" s="440">
        <v>8.9743447598711681E-4</v>
      </c>
      <c r="E629" s="440">
        <f t="shared" si="273"/>
        <v>5.898062578124405E-2</v>
      </c>
      <c r="F629" s="441"/>
      <c r="G629" s="440">
        <v>3.3781527488876271E-2</v>
      </c>
      <c r="H629" s="440">
        <v>1.2734531131141983E-3</v>
      </c>
      <c r="I629" s="440">
        <v>2.2194670860636815E-3</v>
      </c>
      <c r="J629" s="440">
        <f t="shared" si="276"/>
        <v>3.7274447688054151E-2</v>
      </c>
      <c r="K629" s="441"/>
      <c r="L629" s="440">
        <v>3.7756837259596936E-2</v>
      </c>
      <c r="M629" s="440">
        <v>1.4856172761980705E-3</v>
      </c>
      <c r="N629" s="440">
        <v>2.533985898164069E-3</v>
      </c>
      <c r="O629" s="440">
        <f t="shared" si="275"/>
        <v>4.1776440433959075E-2</v>
      </c>
    </row>
    <row r="630" spans="1:15" s="351" customFormat="1" x14ac:dyDescent="0.2">
      <c r="A630" s="362"/>
      <c r="B630" s="440"/>
      <c r="C630" s="440"/>
      <c r="D630" s="440"/>
      <c r="E630" s="440"/>
      <c r="F630" s="441"/>
      <c r="G630" s="440"/>
      <c r="H630" s="440"/>
      <c r="I630" s="440"/>
      <c r="J630" s="440"/>
      <c r="K630" s="441"/>
      <c r="L630" s="440"/>
      <c r="M630" s="440"/>
      <c r="N630" s="440"/>
      <c r="O630" s="440"/>
    </row>
    <row r="631" spans="1:15" s="351" customFormat="1" x14ac:dyDescent="0.2">
      <c r="A631" s="357" t="s">
        <v>32</v>
      </c>
      <c r="B631" s="450">
        <f>SUM(B621:B629)</f>
        <v>0.49799999999597044</v>
      </c>
      <c r="C631" s="450">
        <f t="shared" ref="C631:E631" si="277">SUM(C621:C629)</f>
        <v>0.16399999999910139</v>
      </c>
      <c r="D631" s="450">
        <f t="shared" si="277"/>
        <v>1.2000000000075421E-2</v>
      </c>
      <c r="E631" s="450">
        <f t="shared" si="277"/>
        <v>0.67399999999514715</v>
      </c>
      <c r="F631" s="450"/>
      <c r="G631" s="450">
        <f t="shared" ref="G631:J631" si="278">SUM(G621:G629)</f>
        <v>0.25500000000021938</v>
      </c>
      <c r="H631" s="450">
        <f t="shared" si="278"/>
        <v>3.6000000000877573E-2</v>
      </c>
      <c r="I631" s="450">
        <f t="shared" si="278"/>
        <v>2.5000000000140188E-2</v>
      </c>
      <c r="J631" s="450">
        <f t="shared" si="278"/>
        <v>0.31600000000123724</v>
      </c>
      <c r="K631" s="450"/>
      <c r="L631" s="450">
        <f t="shared" ref="L631:O631" si="279">SUM(L621:L629)</f>
        <v>0.31799999999743711</v>
      </c>
      <c r="M631" s="450">
        <f t="shared" si="279"/>
        <v>4.5000000000769792E-2</v>
      </c>
      <c r="N631" s="450">
        <f t="shared" si="279"/>
        <v>2.9999999999947704E-2</v>
      </c>
      <c r="O631" s="450">
        <f t="shared" si="279"/>
        <v>0.39299999999815455</v>
      </c>
    </row>
    <row r="632" spans="1:15" s="351" customFormat="1" x14ac:dyDescent="0.2">
      <c r="A632" s="348"/>
      <c r="B632" s="348"/>
      <c r="C632" s="348"/>
      <c r="D632" s="348"/>
      <c r="E632" s="348"/>
      <c r="F632" s="348"/>
      <c r="G632" s="348"/>
      <c r="H632" s="348"/>
      <c r="I632" s="348"/>
      <c r="J632" s="348"/>
      <c r="K632" s="348"/>
      <c r="L632" s="348"/>
      <c r="M632" s="348"/>
      <c r="N632" s="353"/>
    </row>
    <row r="633" spans="1:15" s="351" customFormat="1" x14ac:dyDescent="0.2">
      <c r="A633" s="348"/>
      <c r="B633" s="348"/>
      <c r="C633" s="348"/>
      <c r="D633" s="348"/>
      <c r="E633" s="348"/>
      <c r="F633" s="348"/>
      <c r="G633" s="348"/>
      <c r="H633" s="348"/>
      <c r="I633" s="348"/>
      <c r="J633" s="348"/>
      <c r="K633" s="348"/>
      <c r="L633" s="348"/>
      <c r="M633" s="348"/>
      <c r="N633" s="353"/>
      <c r="O633" s="367" t="s">
        <v>35</v>
      </c>
    </row>
    <row r="634" spans="1:15" s="351" customFormat="1" x14ac:dyDescent="0.2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</row>
    <row r="635" spans="1:15" s="351" customFormat="1" x14ac:dyDescent="0.2">
      <c r="A635" s="354" t="str">
        <f>name!A40</f>
        <v>Warehousing, etc</v>
      </c>
      <c r="B635" s="519">
        <f>$B$6</f>
        <v>2007</v>
      </c>
      <c r="C635" s="519"/>
      <c r="D635" s="519"/>
      <c r="E635" s="519"/>
      <c r="F635" s="380"/>
      <c r="G635" s="519">
        <f>$G$6</f>
        <v>2017</v>
      </c>
      <c r="H635" s="519"/>
      <c r="I635" s="519"/>
      <c r="J635" s="519"/>
      <c r="K635" s="380"/>
      <c r="L635" s="519">
        <f>$L$6</f>
        <v>2027</v>
      </c>
      <c r="M635" s="519"/>
      <c r="N635" s="519"/>
      <c r="O635" s="519"/>
    </row>
    <row r="636" spans="1:15" s="351" customFormat="1" x14ac:dyDescent="0.2">
      <c r="A636" s="370"/>
      <c r="B636" s="388" t="str">
        <f>$B$7</f>
        <v>FT</v>
      </c>
      <c r="C636" s="388" t="str">
        <f>$C$7</f>
        <v>PT</v>
      </c>
      <c r="D636" s="388" t="str">
        <f>$D$7</f>
        <v>SE</v>
      </c>
      <c r="E636" s="388" t="str">
        <f>$E$7</f>
        <v>Total</v>
      </c>
      <c r="F636" s="388"/>
      <c r="G636" s="388" t="str">
        <f>$G$7</f>
        <v>FT</v>
      </c>
      <c r="H636" s="388" t="str">
        <f>$H$7</f>
        <v>PT</v>
      </c>
      <c r="I636" s="388" t="str">
        <f>$I$7</f>
        <v>SE</v>
      </c>
      <c r="J636" s="388" t="str">
        <f>$J$7</f>
        <v>Total</v>
      </c>
      <c r="K636" s="388"/>
      <c r="L636" s="388" t="str">
        <f>$L$7</f>
        <v>FT</v>
      </c>
      <c r="M636" s="388" t="str">
        <f>$M$7</f>
        <v>PT</v>
      </c>
      <c r="N636" s="388" t="str">
        <f>$N$7</f>
        <v>SE</v>
      </c>
      <c r="O636" s="388" t="str">
        <f>$O$7</f>
        <v>Total</v>
      </c>
    </row>
    <row r="637" spans="1:15" s="351" customFormat="1" x14ac:dyDescent="0.2">
      <c r="A637" s="374"/>
      <c r="B637" s="350"/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</row>
    <row r="638" spans="1:15" s="351" customFormat="1" x14ac:dyDescent="0.2">
      <c r="A638" s="362" t="str">
        <f>name!E$4</f>
        <v>Managers, directors and senior officials</v>
      </c>
      <c r="B638" s="440">
        <v>0.71538460270651993</v>
      </c>
      <c r="C638" s="440">
        <v>4.117808479117234E-2</v>
      </c>
      <c r="D638" s="440">
        <v>0.24885045221777868</v>
      </c>
      <c r="E638" s="440">
        <f>SUM(B638:D638)</f>
        <v>1.0054131397154711</v>
      </c>
      <c r="F638" s="441"/>
      <c r="G638" s="440">
        <v>0.84596586531705209</v>
      </c>
      <c r="H638" s="440">
        <v>8.4173991176715993E-2</v>
      </c>
      <c r="I638" s="440">
        <v>0.45595436917712912</v>
      </c>
      <c r="J638" s="440">
        <f>SUM(G638:I638)</f>
        <v>1.3860942256708972</v>
      </c>
      <c r="K638" s="441"/>
      <c r="L638" s="440">
        <v>0.91796346346322277</v>
      </c>
      <c r="M638" s="440">
        <v>9.8714742410674641E-2</v>
      </c>
      <c r="N638" s="440">
        <v>0.48139108850022877</v>
      </c>
      <c r="O638" s="440">
        <f>SUM(L638:N638)</f>
        <v>1.4980692943741263</v>
      </c>
    </row>
    <row r="639" spans="1:15" s="351" customFormat="1" x14ac:dyDescent="0.2">
      <c r="A639" s="362" t="str">
        <f>name!E$5</f>
        <v>Professional occupations</v>
      </c>
      <c r="B639" s="440">
        <v>0.46769656313478619</v>
      </c>
      <c r="C639" s="440">
        <v>2.2071477800208406E-2</v>
      </c>
      <c r="D639" s="440">
        <v>4.1208865949574243E-2</v>
      </c>
      <c r="E639" s="440">
        <f t="shared" ref="E639:E646" si="280">SUM(B639:D639)</f>
        <v>0.53097690688456889</v>
      </c>
      <c r="F639" s="441"/>
      <c r="G639" s="440">
        <v>0.47787077531065303</v>
      </c>
      <c r="H639" s="440">
        <v>4.3319211066582812E-2</v>
      </c>
      <c r="I639" s="440">
        <v>9.728385919119259E-2</v>
      </c>
      <c r="J639" s="440">
        <f t="shared" ref="J639:J641" si="281">SUM(G639:I639)</f>
        <v>0.61847384556842844</v>
      </c>
      <c r="K639" s="441"/>
      <c r="L639" s="440">
        <v>0.48874967456280888</v>
      </c>
      <c r="M639" s="440">
        <v>5.2573524231886597E-2</v>
      </c>
      <c r="N639" s="440">
        <v>0.10058184601465019</v>
      </c>
      <c r="O639" s="440">
        <f t="shared" ref="O639:O646" si="282">SUM(L639:N639)</f>
        <v>0.64190504480934563</v>
      </c>
    </row>
    <row r="640" spans="1:15" s="351" customFormat="1" x14ac:dyDescent="0.2">
      <c r="A640" s="362" t="str">
        <f>name!E$6</f>
        <v>Associate professional and technical</v>
      </c>
      <c r="B640" s="440">
        <v>0.86742792011930325</v>
      </c>
      <c r="C640" s="440">
        <v>3.3867449031841676E-2</v>
      </c>
      <c r="D640" s="440">
        <v>6.9839298748839707E-2</v>
      </c>
      <c r="E640" s="440">
        <f t="shared" si="280"/>
        <v>0.97113466789998459</v>
      </c>
      <c r="F640" s="441"/>
      <c r="G640" s="440">
        <v>0.6144087965623608</v>
      </c>
      <c r="H640" s="440">
        <v>6.5613734747557551E-2</v>
      </c>
      <c r="I640" s="440">
        <v>0.12578578968840232</v>
      </c>
      <c r="J640" s="440">
        <f t="shared" si="281"/>
        <v>0.80580832099832067</v>
      </c>
      <c r="K640" s="441"/>
      <c r="L640" s="440">
        <v>0.58365607089377247</v>
      </c>
      <c r="M640" s="440">
        <v>7.5128894765945295E-2</v>
      </c>
      <c r="N640" s="440">
        <v>0.13128970251678954</v>
      </c>
      <c r="O640" s="440">
        <f t="shared" si="282"/>
        <v>0.79007466817650729</v>
      </c>
    </row>
    <row r="641" spans="1:15" s="351" customFormat="1" x14ac:dyDescent="0.2">
      <c r="A641" s="362" t="str">
        <f>name!E$7</f>
        <v>Administrative and secretarial</v>
      </c>
      <c r="B641" s="440">
        <v>0.79177913976068648</v>
      </c>
      <c r="C641" s="440">
        <v>0.13212065667986694</v>
      </c>
      <c r="D641" s="440">
        <v>3.6555127233746598E-2</v>
      </c>
      <c r="E641" s="440">
        <f t="shared" si="280"/>
        <v>0.96045492367430008</v>
      </c>
      <c r="F641" s="441"/>
      <c r="G641" s="440">
        <v>0.81753134538203664</v>
      </c>
      <c r="H641" s="440">
        <v>0.28009939000744705</v>
      </c>
      <c r="I641" s="440">
        <v>6.2311094791063934E-2</v>
      </c>
      <c r="J641" s="440">
        <f t="shared" si="281"/>
        <v>1.1599418301805475</v>
      </c>
      <c r="K641" s="441"/>
      <c r="L641" s="440">
        <v>0.78788719281480102</v>
      </c>
      <c r="M641" s="440">
        <v>0.27623305710982904</v>
      </c>
      <c r="N641" s="440">
        <v>5.5294062534112613E-2</v>
      </c>
      <c r="O641" s="440">
        <f t="shared" si="282"/>
        <v>1.1194143124587426</v>
      </c>
    </row>
    <row r="642" spans="1:15" s="351" customFormat="1" x14ac:dyDescent="0.2">
      <c r="A642" s="362" t="str">
        <f>name!E$8</f>
        <v>Skilled trades occupations</v>
      </c>
      <c r="B642" s="440">
        <v>0.44196603329169781</v>
      </c>
      <c r="C642" s="440">
        <v>2.7138152670317658E-2</v>
      </c>
      <c r="D642" s="440">
        <v>6.0358622144832903E-2</v>
      </c>
      <c r="E642" s="440">
        <f t="shared" si="280"/>
        <v>0.52946280810684843</v>
      </c>
      <c r="F642" s="441"/>
      <c r="G642" s="440">
        <v>0.25415273861769205</v>
      </c>
      <c r="H642" s="440">
        <v>4.0544895443463701E-2</v>
      </c>
      <c r="I642" s="440">
        <v>6.7516579518257305E-2</v>
      </c>
      <c r="J642" s="440">
        <f>SUM(G642:I642)</f>
        <v>0.36221421357941302</v>
      </c>
      <c r="K642" s="441"/>
      <c r="L642" s="440">
        <v>0.19771625018537997</v>
      </c>
      <c r="M642" s="440">
        <v>3.9671074280035641E-2</v>
      </c>
      <c r="N642" s="440">
        <v>6.5252386037229701E-2</v>
      </c>
      <c r="O642" s="440">
        <f t="shared" si="282"/>
        <v>0.30263971050264532</v>
      </c>
    </row>
    <row r="643" spans="1:15" s="351" customFormat="1" x14ac:dyDescent="0.2">
      <c r="A643" s="362" t="str">
        <f>name!E$9</f>
        <v>Caring, leisure and other service</v>
      </c>
      <c r="B643" s="440">
        <v>0.44575862780607206</v>
      </c>
      <c r="C643" s="440">
        <v>0.13693060957312755</v>
      </c>
      <c r="D643" s="440">
        <v>0.30233738022309342</v>
      </c>
      <c r="E643" s="440">
        <f t="shared" si="280"/>
        <v>0.88502661760229306</v>
      </c>
      <c r="F643" s="441"/>
      <c r="G643" s="440">
        <v>0.44490312332511445</v>
      </c>
      <c r="H643" s="440">
        <v>0.30841843079071435</v>
      </c>
      <c r="I643" s="440">
        <v>0.47096147176417558</v>
      </c>
      <c r="J643" s="440">
        <f t="shared" ref="J643:J646" si="283">SUM(G643:I643)</f>
        <v>1.2242830258800044</v>
      </c>
      <c r="K643" s="441"/>
      <c r="L643" s="440">
        <v>0.40516663526713598</v>
      </c>
      <c r="M643" s="440">
        <v>0.34917382430560617</v>
      </c>
      <c r="N643" s="440">
        <v>0.44579525397345776</v>
      </c>
      <c r="O643" s="440">
        <f t="shared" si="282"/>
        <v>1.2001357135461999</v>
      </c>
    </row>
    <row r="644" spans="1:15" s="351" customFormat="1" x14ac:dyDescent="0.2">
      <c r="A644" s="362" t="str">
        <f>name!E$10</f>
        <v>Sales and customer service</v>
      </c>
      <c r="B644" s="440">
        <v>0.33737724168716443</v>
      </c>
      <c r="C644" s="440">
        <v>4.8354555186399695E-2</v>
      </c>
      <c r="D644" s="440">
        <v>1.9397792096768191E-2</v>
      </c>
      <c r="E644" s="440">
        <f t="shared" si="280"/>
        <v>0.4051295889703323</v>
      </c>
      <c r="F644" s="441"/>
      <c r="G644" s="440">
        <v>0.50311033805394167</v>
      </c>
      <c r="H644" s="440">
        <v>8.8267369208422708E-2</v>
      </c>
      <c r="I644" s="440">
        <v>2.9284614189832241E-2</v>
      </c>
      <c r="J644" s="440">
        <f t="shared" si="283"/>
        <v>0.62066232145219657</v>
      </c>
      <c r="K644" s="441"/>
      <c r="L644" s="440">
        <v>0.48805804564066302</v>
      </c>
      <c r="M644" s="440">
        <v>9.1810674095487974E-2</v>
      </c>
      <c r="N644" s="440">
        <v>2.927379506593264E-2</v>
      </c>
      <c r="O644" s="440">
        <f t="shared" si="282"/>
        <v>0.60914251480208359</v>
      </c>
    </row>
    <row r="645" spans="1:15" s="351" customFormat="1" x14ac:dyDescent="0.2">
      <c r="A645" s="362" t="str">
        <f>name!E$11</f>
        <v>Process, plant and machine operatives</v>
      </c>
      <c r="B645" s="440">
        <v>1.7488199558691571</v>
      </c>
      <c r="C645" s="440">
        <v>0.18083319191444139</v>
      </c>
      <c r="D645" s="440">
        <v>0.23068943586968846</v>
      </c>
      <c r="E645" s="440">
        <f t="shared" si="280"/>
        <v>2.160342583653287</v>
      </c>
      <c r="F645" s="441"/>
      <c r="G645" s="440">
        <v>1.1479632607316241</v>
      </c>
      <c r="H645" s="440">
        <v>0.28687715961944393</v>
      </c>
      <c r="I645" s="440">
        <v>0.16622381063000166</v>
      </c>
      <c r="J645" s="440">
        <f t="shared" si="283"/>
        <v>1.6010642309810696</v>
      </c>
      <c r="K645" s="441"/>
      <c r="L645" s="440">
        <v>1.0351403320179571</v>
      </c>
      <c r="M645" s="440">
        <v>0.26900027760523498</v>
      </c>
      <c r="N645" s="440">
        <v>0.13804658253034069</v>
      </c>
      <c r="O645" s="440">
        <f t="shared" si="282"/>
        <v>1.4421871921535327</v>
      </c>
    </row>
    <row r="646" spans="1:15" s="351" customFormat="1" x14ac:dyDescent="0.2">
      <c r="A646" s="362" t="str">
        <f>name!E$12</f>
        <v>Elementary occupations</v>
      </c>
      <c r="B646" s="440">
        <v>2.2617899156273542</v>
      </c>
      <c r="C646" s="440">
        <v>0.26050582235144204</v>
      </c>
      <c r="D646" s="440">
        <v>4.6763025514772939E-2</v>
      </c>
      <c r="E646" s="440">
        <f t="shared" si="280"/>
        <v>2.5690587634935689</v>
      </c>
      <c r="F646" s="441"/>
      <c r="G646" s="440">
        <v>2.6070937567109542</v>
      </c>
      <c r="H646" s="440">
        <v>0.38168581795719547</v>
      </c>
      <c r="I646" s="440">
        <v>8.4678411062807574E-2</v>
      </c>
      <c r="J646" s="440">
        <f t="shared" si="283"/>
        <v>3.0734579857309572</v>
      </c>
      <c r="K646" s="441"/>
      <c r="L646" s="440">
        <v>2.4326623350622358</v>
      </c>
      <c r="M646" s="440">
        <v>0.37969393119136025</v>
      </c>
      <c r="N646" s="440">
        <v>8.2075282812456185E-2</v>
      </c>
      <c r="O646" s="440">
        <f t="shared" si="282"/>
        <v>2.8944315490660522</v>
      </c>
    </row>
    <row r="647" spans="1:15" s="351" customFormat="1" x14ac:dyDescent="0.2">
      <c r="A647" s="362"/>
      <c r="B647" s="440"/>
      <c r="C647" s="440"/>
      <c r="D647" s="440"/>
      <c r="E647" s="440"/>
      <c r="F647" s="441"/>
      <c r="G647" s="440"/>
      <c r="H647" s="440"/>
      <c r="I647" s="440"/>
      <c r="J647" s="440"/>
      <c r="K647" s="441"/>
      <c r="L647" s="440"/>
      <c r="M647" s="440"/>
      <c r="N647" s="440"/>
      <c r="O647" s="440"/>
    </row>
    <row r="648" spans="1:15" s="351" customFormat="1" x14ac:dyDescent="0.2">
      <c r="A648" s="357" t="s">
        <v>32</v>
      </c>
      <c r="B648" s="450">
        <f>SUM(B638:B646)</f>
        <v>8.0780000000027421</v>
      </c>
      <c r="C648" s="450">
        <f t="shared" ref="C648:E648" si="284">SUM(C638:C646)</f>
        <v>0.88299999999881773</v>
      </c>
      <c r="D648" s="450">
        <f t="shared" si="284"/>
        <v>1.055999999999095</v>
      </c>
      <c r="E648" s="450">
        <f t="shared" si="284"/>
        <v>10.017000000000655</v>
      </c>
      <c r="F648" s="450"/>
      <c r="G648" s="450">
        <f t="shared" ref="G648:J648" si="285">SUM(G638:G646)</f>
        <v>7.71300000001143</v>
      </c>
      <c r="H648" s="450">
        <f t="shared" si="285"/>
        <v>1.5790000000175435</v>
      </c>
      <c r="I648" s="450">
        <f t="shared" si="285"/>
        <v>1.5600000000128622</v>
      </c>
      <c r="J648" s="450">
        <f t="shared" si="285"/>
        <v>10.852000000041835</v>
      </c>
      <c r="K648" s="450"/>
      <c r="L648" s="450">
        <f t="shared" ref="L648:O648" si="286">SUM(L638:L646)</f>
        <v>7.3369999999079774</v>
      </c>
      <c r="M648" s="450">
        <f t="shared" si="286"/>
        <v>1.6319999999960606</v>
      </c>
      <c r="N648" s="450">
        <f t="shared" si="286"/>
        <v>1.5289999999851982</v>
      </c>
      <c r="O648" s="450">
        <f t="shared" si="286"/>
        <v>10.497999999889236</v>
      </c>
    </row>
    <row r="649" spans="1:15" s="351" customFormat="1" x14ac:dyDescent="0.2">
      <c r="A649" s="348"/>
      <c r="B649" s="348"/>
      <c r="C649" s="348"/>
      <c r="D649" s="348"/>
      <c r="E649" s="348"/>
      <c r="F649" s="348"/>
      <c r="G649" s="348"/>
      <c r="H649" s="348"/>
      <c r="I649" s="348"/>
      <c r="J649" s="348"/>
      <c r="K649" s="348"/>
      <c r="L649" s="348"/>
      <c r="M649" s="348"/>
      <c r="N649" s="353"/>
    </row>
    <row r="650" spans="1:15" s="351" customFormat="1" x14ac:dyDescent="0.2">
      <c r="A650" s="348"/>
      <c r="B650" s="348"/>
      <c r="C650" s="348"/>
      <c r="D650" s="348"/>
      <c r="E650" s="348"/>
      <c r="F650" s="348"/>
      <c r="G650" s="348"/>
      <c r="H650" s="348"/>
      <c r="I650" s="348"/>
      <c r="J650" s="348"/>
      <c r="K650" s="348"/>
      <c r="L650" s="348"/>
      <c r="M650" s="348"/>
      <c r="N650" s="353"/>
      <c r="O650" s="367" t="s">
        <v>35</v>
      </c>
    </row>
    <row r="651" spans="1:15" s="351" customFormat="1" x14ac:dyDescent="0.2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</row>
    <row r="652" spans="1:15" s="351" customFormat="1" x14ac:dyDescent="0.2">
      <c r="A652" s="354" t="str">
        <f>name!A41</f>
        <v>Postal and courier</v>
      </c>
      <c r="B652" s="519">
        <f>$B$6</f>
        <v>2007</v>
      </c>
      <c r="C652" s="519"/>
      <c r="D652" s="519"/>
      <c r="E652" s="519"/>
      <c r="F652" s="380"/>
      <c r="G652" s="519">
        <f>$G$6</f>
        <v>2017</v>
      </c>
      <c r="H652" s="519"/>
      <c r="I652" s="519"/>
      <c r="J652" s="519"/>
      <c r="K652" s="380"/>
      <c r="L652" s="519">
        <f>$L$6</f>
        <v>2027</v>
      </c>
      <c r="M652" s="519"/>
      <c r="N652" s="519"/>
      <c r="O652" s="519"/>
    </row>
    <row r="653" spans="1:15" s="351" customFormat="1" x14ac:dyDescent="0.2">
      <c r="A653" s="370"/>
      <c r="B653" s="388" t="str">
        <f>$B$7</f>
        <v>FT</v>
      </c>
      <c r="C653" s="388" t="str">
        <f>$C$7</f>
        <v>PT</v>
      </c>
      <c r="D653" s="388" t="str">
        <f>$D$7</f>
        <v>SE</v>
      </c>
      <c r="E653" s="388" t="str">
        <f>$E$7</f>
        <v>Total</v>
      </c>
      <c r="F653" s="388"/>
      <c r="G653" s="388" t="str">
        <f>$G$7</f>
        <v>FT</v>
      </c>
      <c r="H653" s="388" t="str">
        <f>$H$7</f>
        <v>PT</v>
      </c>
      <c r="I653" s="388" t="str">
        <f>$I$7</f>
        <v>SE</v>
      </c>
      <c r="J653" s="388" t="str">
        <f>$J$7</f>
        <v>Total</v>
      </c>
      <c r="K653" s="388"/>
      <c r="L653" s="388" t="str">
        <f>$L$7</f>
        <v>FT</v>
      </c>
      <c r="M653" s="388" t="str">
        <f>$M$7</f>
        <v>PT</v>
      </c>
      <c r="N653" s="388" t="str">
        <f>$N$7</f>
        <v>SE</v>
      </c>
      <c r="O653" s="388" t="str">
        <f>$O$7</f>
        <v>Total</v>
      </c>
    </row>
    <row r="654" spans="1:15" s="351" customFormat="1" x14ac:dyDescent="0.2">
      <c r="A654" s="374"/>
      <c r="B654" s="350"/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</row>
    <row r="655" spans="1:15" s="351" customFormat="1" x14ac:dyDescent="0.2">
      <c r="A655" s="362" t="str">
        <f>name!E$4</f>
        <v>Managers, directors and senior officials</v>
      </c>
      <c r="B655" s="440">
        <v>0.5065491547243508</v>
      </c>
      <c r="C655" s="440">
        <v>7.1739160689184692E-2</v>
      </c>
      <c r="D655" s="440">
        <v>0.20622416542220515</v>
      </c>
      <c r="E655" s="440">
        <f>SUM(B655:D655)</f>
        <v>0.78451248083574066</v>
      </c>
      <c r="F655" s="441"/>
      <c r="G655" s="440">
        <v>0.56428381075299561</v>
      </c>
      <c r="H655" s="440">
        <v>3.1935115582174149E-2</v>
      </c>
      <c r="I655" s="440">
        <v>0.18180569033206626</v>
      </c>
      <c r="J655" s="440">
        <f>SUM(G655:I655)</f>
        <v>0.77802461666723599</v>
      </c>
      <c r="K655" s="441"/>
      <c r="L655" s="440">
        <v>0.66383886538779169</v>
      </c>
      <c r="M655" s="440">
        <v>4.4377767919660006E-2</v>
      </c>
      <c r="N655" s="440">
        <v>0.20003436444008152</v>
      </c>
      <c r="O655" s="440">
        <f>SUM(L655:N655)</f>
        <v>0.90825099774753315</v>
      </c>
    </row>
    <row r="656" spans="1:15" s="351" customFormat="1" x14ac:dyDescent="0.2">
      <c r="A656" s="362" t="str">
        <f>name!E$5</f>
        <v>Professional occupations</v>
      </c>
      <c r="B656" s="440">
        <v>0.3607868876074169</v>
      </c>
      <c r="C656" s="440">
        <v>6.1919153442138768E-2</v>
      </c>
      <c r="D656" s="440">
        <v>3.6378064132670154E-2</v>
      </c>
      <c r="E656" s="440">
        <f t="shared" ref="E656:E663" si="287">SUM(B656:D656)</f>
        <v>0.45908410518222581</v>
      </c>
      <c r="F656" s="441"/>
      <c r="G656" s="440">
        <v>0.30737213391895779</v>
      </c>
      <c r="H656" s="440">
        <v>2.6036230069916299E-2</v>
      </c>
      <c r="I656" s="440">
        <v>3.5576574380875269E-2</v>
      </c>
      <c r="J656" s="440">
        <f t="shared" ref="J656:J658" si="288">SUM(G656:I656)</f>
        <v>0.36898493836974933</v>
      </c>
      <c r="K656" s="441"/>
      <c r="L656" s="440">
        <v>0.35439600499520668</v>
      </c>
      <c r="M656" s="440">
        <v>3.3975114903633828E-2</v>
      </c>
      <c r="N656" s="440">
        <v>3.861359739584086E-2</v>
      </c>
      <c r="O656" s="440">
        <f t="shared" ref="O656:O663" si="289">SUM(L656:N656)</f>
        <v>0.42698471729468135</v>
      </c>
    </row>
    <row r="657" spans="1:15" s="351" customFormat="1" x14ac:dyDescent="0.2">
      <c r="A657" s="362" t="str">
        <f>name!E$6</f>
        <v>Associate professional and technical</v>
      </c>
      <c r="B657" s="440">
        <v>0.58323768891354655</v>
      </c>
      <c r="C657" s="440">
        <v>9.4312997589547934E-2</v>
      </c>
      <c r="D657" s="440">
        <v>3.9499585794635098E-2</v>
      </c>
      <c r="E657" s="440">
        <f t="shared" si="287"/>
        <v>0.71705027229772955</v>
      </c>
      <c r="F657" s="441"/>
      <c r="G657" s="440">
        <v>0.41424926210423996</v>
      </c>
      <c r="H657" s="440">
        <v>4.3449512994751902E-2</v>
      </c>
      <c r="I657" s="440">
        <v>4.1256752893754876E-2</v>
      </c>
      <c r="J657" s="440">
        <f t="shared" si="288"/>
        <v>0.49895552799274673</v>
      </c>
      <c r="K657" s="441"/>
      <c r="L657" s="440">
        <v>0.43088396763007669</v>
      </c>
      <c r="M657" s="440">
        <v>5.7237094405999785E-2</v>
      </c>
      <c r="N657" s="440">
        <v>4.4394214132654097E-2</v>
      </c>
      <c r="O657" s="440">
        <f t="shared" si="289"/>
        <v>0.53251527616873062</v>
      </c>
    </row>
    <row r="658" spans="1:15" s="351" customFormat="1" x14ac:dyDescent="0.2">
      <c r="A658" s="362" t="str">
        <f>name!E$7</f>
        <v>Administrative and secretarial</v>
      </c>
      <c r="B658" s="440">
        <v>0.99008760696758147</v>
      </c>
      <c r="C658" s="440">
        <v>0.99473194355873873</v>
      </c>
      <c r="D658" s="440">
        <v>2.4356776230672735E-2</v>
      </c>
      <c r="E658" s="440">
        <f t="shared" si="287"/>
        <v>2.0091763267569931</v>
      </c>
      <c r="F658" s="441"/>
      <c r="G658" s="440">
        <v>0.85523516074789396</v>
      </c>
      <c r="H658" s="440">
        <v>0.43404355144738149</v>
      </c>
      <c r="I658" s="440">
        <v>2.0141433398383188E-2</v>
      </c>
      <c r="J658" s="440">
        <f t="shared" si="288"/>
        <v>1.3094201455936587</v>
      </c>
      <c r="K658" s="441"/>
      <c r="L658" s="440">
        <v>0.790763277288832</v>
      </c>
      <c r="M658" s="440">
        <v>0.46854587049137053</v>
      </c>
      <c r="N658" s="440">
        <v>1.8554292127585172E-2</v>
      </c>
      <c r="O658" s="440">
        <f t="shared" si="289"/>
        <v>1.2778634399077877</v>
      </c>
    </row>
    <row r="659" spans="1:15" s="351" customFormat="1" x14ac:dyDescent="0.2">
      <c r="A659" s="362" t="str">
        <f>name!E$8</f>
        <v>Skilled trades occupations</v>
      </c>
      <c r="B659" s="440">
        <v>0.21907117204093651</v>
      </c>
      <c r="C659" s="440">
        <v>0.39718995817949887</v>
      </c>
      <c r="D659" s="440">
        <v>0.24028506119418969</v>
      </c>
      <c r="E659" s="440">
        <f t="shared" si="287"/>
        <v>0.85654619141462507</v>
      </c>
      <c r="F659" s="441"/>
      <c r="G659" s="440">
        <v>0.12734281758617763</v>
      </c>
      <c r="H659" s="440">
        <v>0.10368786403799117</v>
      </c>
      <c r="I659" s="440">
        <v>0.15419142154698601</v>
      </c>
      <c r="J659" s="440">
        <f>SUM(G659:I659)</f>
        <v>0.38522210317115479</v>
      </c>
      <c r="K659" s="441"/>
      <c r="L659" s="440">
        <v>9.6357324279309473E-2</v>
      </c>
      <c r="M659" s="440">
        <v>8.8174935580471944E-2</v>
      </c>
      <c r="N659" s="440">
        <v>0.13295249903611556</v>
      </c>
      <c r="O659" s="440">
        <f t="shared" si="289"/>
        <v>0.317484758895897</v>
      </c>
    </row>
    <row r="660" spans="1:15" s="351" customFormat="1" x14ac:dyDescent="0.2">
      <c r="A660" s="362" t="str">
        <f>name!E$9</f>
        <v>Caring, leisure and other service</v>
      </c>
      <c r="B660" s="440">
        <v>0.14762740981378586</v>
      </c>
      <c r="C660" s="440">
        <v>0.11602086313049499</v>
      </c>
      <c r="D660" s="440">
        <v>4.4597298604688335E-2</v>
      </c>
      <c r="E660" s="440">
        <f t="shared" si="287"/>
        <v>0.30824557154896914</v>
      </c>
      <c r="F660" s="441"/>
      <c r="G660" s="440">
        <v>0.11694561512959285</v>
      </c>
      <c r="H660" s="440">
        <v>4.7573590186157422E-2</v>
      </c>
      <c r="I660" s="440">
        <v>3.0914610918704729E-2</v>
      </c>
      <c r="J660" s="440">
        <f t="shared" ref="J660:J663" si="290">SUM(G660:I660)</f>
        <v>0.19543381623445499</v>
      </c>
      <c r="K660" s="441"/>
      <c r="L660" s="440">
        <v>0.12697693748330199</v>
      </c>
      <c r="M660" s="440">
        <v>5.6222528343491888E-2</v>
      </c>
      <c r="N660" s="440">
        <v>3.0959145328365467E-2</v>
      </c>
      <c r="O660" s="440">
        <f t="shared" si="289"/>
        <v>0.21415861115515936</v>
      </c>
    </row>
    <row r="661" spans="1:15" s="351" customFormat="1" x14ac:dyDescent="0.2">
      <c r="A661" s="362" t="str">
        <f>name!E$10</f>
        <v>Sales and customer service</v>
      </c>
      <c r="B661" s="440">
        <v>0.37807488667644423</v>
      </c>
      <c r="C661" s="440">
        <v>0.3165631327370057</v>
      </c>
      <c r="D661" s="440">
        <v>1.6860844562417834E-2</v>
      </c>
      <c r="E661" s="440">
        <f t="shared" si="287"/>
        <v>0.71149886397586781</v>
      </c>
      <c r="F661" s="441"/>
      <c r="G661" s="440">
        <v>0.38523227743608801</v>
      </c>
      <c r="H661" s="440">
        <v>0.14774374889293218</v>
      </c>
      <c r="I661" s="440">
        <v>1.3283863749808696E-2</v>
      </c>
      <c r="J661" s="440">
        <f t="shared" si="290"/>
        <v>0.54625989007882891</v>
      </c>
      <c r="K661" s="441"/>
      <c r="L661" s="440">
        <v>0.39975359512753517</v>
      </c>
      <c r="M661" s="440">
        <v>0.20011350493786473</v>
      </c>
      <c r="N661" s="440">
        <v>1.3336449270602934E-2</v>
      </c>
      <c r="O661" s="440">
        <f t="shared" si="289"/>
        <v>0.61320354933600285</v>
      </c>
    </row>
    <row r="662" spans="1:15" s="351" customFormat="1" x14ac:dyDescent="0.2">
      <c r="A662" s="362" t="str">
        <f>name!E$11</f>
        <v>Process, plant and machine operatives</v>
      </c>
      <c r="B662" s="440">
        <v>0.89343544391918162</v>
      </c>
      <c r="C662" s="440">
        <v>0.2159295900084901</v>
      </c>
      <c r="D662" s="440">
        <v>0.4087837306739493</v>
      </c>
      <c r="E662" s="440">
        <f t="shared" si="287"/>
        <v>1.518148764601621</v>
      </c>
      <c r="F662" s="441"/>
      <c r="G662" s="440">
        <v>0.53636565146795046</v>
      </c>
      <c r="H662" s="440">
        <v>8.8375107982890722E-2</v>
      </c>
      <c r="I662" s="440">
        <v>0.30589901870200331</v>
      </c>
      <c r="J662" s="440">
        <f t="shared" si="290"/>
        <v>0.93063977815284449</v>
      </c>
      <c r="K662" s="441"/>
      <c r="L662" s="440">
        <v>0.50522426552275213</v>
      </c>
      <c r="M662" s="440">
        <v>9.5319206253153932E-2</v>
      </c>
      <c r="N662" s="440">
        <v>0.27802973730716735</v>
      </c>
      <c r="O662" s="440">
        <f t="shared" si="289"/>
        <v>0.87857320908307335</v>
      </c>
    </row>
    <row r="663" spans="1:15" s="351" customFormat="1" x14ac:dyDescent="0.2">
      <c r="A663" s="362" t="str">
        <f>name!E$12</f>
        <v>Elementary occupations</v>
      </c>
      <c r="B663" s="440">
        <v>3.1361297493092728</v>
      </c>
      <c r="C663" s="440">
        <v>1.5465932006507723</v>
      </c>
      <c r="D663" s="440">
        <v>0.18601447339475286</v>
      </c>
      <c r="E663" s="440">
        <f t="shared" si="287"/>
        <v>4.8687374233547978</v>
      </c>
      <c r="F663" s="441"/>
      <c r="G663" s="440">
        <v>2.1009732708702962</v>
      </c>
      <c r="H663" s="440">
        <v>0.55015527884057436</v>
      </c>
      <c r="I663" s="440">
        <v>0.16893063410928216</v>
      </c>
      <c r="J663" s="440">
        <f t="shared" si="290"/>
        <v>2.8200591838201525</v>
      </c>
      <c r="K663" s="441"/>
      <c r="L663" s="440">
        <v>1.9328057622276402</v>
      </c>
      <c r="M663" s="440">
        <v>0.60703397718539409</v>
      </c>
      <c r="N663" s="440">
        <v>0.17812570095802124</v>
      </c>
      <c r="O663" s="440">
        <f t="shared" si="289"/>
        <v>2.7179654403710556</v>
      </c>
    </row>
    <row r="664" spans="1:15" s="351" customFormat="1" x14ac:dyDescent="0.2">
      <c r="A664" s="362"/>
      <c r="B664" s="440"/>
      <c r="C664" s="440"/>
      <c r="D664" s="440"/>
      <c r="E664" s="440"/>
      <c r="F664" s="441"/>
      <c r="G664" s="440"/>
      <c r="H664" s="440"/>
      <c r="I664" s="440"/>
      <c r="J664" s="440"/>
      <c r="K664" s="441"/>
      <c r="L664" s="440"/>
      <c r="M664" s="440"/>
      <c r="N664" s="440"/>
      <c r="O664" s="440"/>
    </row>
    <row r="665" spans="1:15" s="351" customFormat="1" x14ac:dyDescent="0.2">
      <c r="A665" s="357" t="s">
        <v>32</v>
      </c>
      <c r="B665" s="450">
        <f>SUM(B655:B663)</f>
        <v>7.214999999972517</v>
      </c>
      <c r="C665" s="450">
        <f t="shared" ref="C665:E665" si="291">SUM(C655:C663)</f>
        <v>3.8149999999858721</v>
      </c>
      <c r="D665" s="450">
        <f t="shared" si="291"/>
        <v>1.203000000010181</v>
      </c>
      <c r="E665" s="450">
        <f t="shared" si="291"/>
        <v>12.23299999996857</v>
      </c>
      <c r="F665" s="450"/>
      <c r="G665" s="450">
        <f t="shared" ref="G665:J665" si="292">SUM(G655:G663)</f>
        <v>5.4080000000141926</v>
      </c>
      <c r="H665" s="450">
        <f t="shared" si="292"/>
        <v>1.4730000000347698</v>
      </c>
      <c r="I665" s="450">
        <f t="shared" si="292"/>
        <v>0.95200000003186447</v>
      </c>
      <c r="J665" s="450">
        <f t="shared" si="292"/>
        <v>7.8330000000808271</v>
      </c>
      <c r="K665" s="450"/>
      <c r="L665" s="450">
        <f t="shared" ref="L665:O665" si="293">SUM(L655:L663)</f>
        <v>5.3009999999424462</v>
      </c>
      <c r="M665" s="450">
        <f t="shared" si="293"/>
        <v>1.6510000000210407</v>
      </c>
      <c r="N665" s="450">
        <f t="shared" si="293"/>
        <v>0.93499999999643424</v>
      </c>
      <c r="O665" s="450">
        <f t="shared" si="293"/>
        <v>7.8869999999599214</v>
      </c>
    </row>
    <row r="666" spans="1:15" s="351" customFormat="1" x14ac:dyDescent="0.2">
      <c r="A666" s="348"/>
      <c r="B666" s="348"/>
      <c r="C666" s="348"/>
      <c r="D666" s="348"/>
      <c r="E666" s="348"/>
      <c r="F666" s="348"/>
      <c r="G666" s="348"/>
      <c r="H666" s="348"/>
      <c r="I666" s="348"/>
      <c r="J666" s="348"/>
      <c r="K666" s="348"/>
      <c r="L666" s="348"/>
      <c r="M666" s="348"/>
      <c r="N666" s="353"/>
    </row>
    <row r="667" spans="1:15" s="351" customFormat="1" x14ac:dyDescent="0.2">
      <c r="A667" s="348"/>
      <c r="B667" s="348"/>
      <c r="C667" s="348"/>
      <c r="D667" s="348"/>
      <c r="E667" s="348"/>
      <c r="F667" s="348"/>
      <c r="G667" s="348"/>
      <c r="H667" s="348"/>
      <c r="I667" s="348"/>
      <c r="J667" s="348"/>
      <c r="K667" s="348"/>
      <c r="L667" s="348"/>
      <c r="M667" s="348"/>
      <c r="N667" s="353"/>
      <c r="O667" s="367" t="s">
        <v>35</v>
      </c>
    </row>
    <row r="668" spans="1:15" s="351" customFormat="1" x14ac:dyDescent="0.2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</row>
    <row r="669" spans="1:15" s="351" customFormat="1" x14ac:dyDescent="0.2">
      <c r="A669" s="354" t="str">
        <f>name!A42</f>
        <v>Accommodation</v>
      </c>
      <c r="B669" s="519">
        <f>$B$6</f>
        <v>2007</v>
      </c>
      <c r="C669" s="519"/>
      <c r="D669" s="519"/>
      <c r="E669" s="519"/>
      <c r="F669" s="380"/>
      <c r="G669" s="519">
        <f>$G$6</f>
        <v>2017</v>
      </c>
      <c r="H669" s="519"/>
      <c r="I669" s="519"/>
      <c r="J669" s="519"/>
      <c r="K669" s="380"/>
      <c r="L669" s="519">
        <f>$L$6</f>
        <v>2027</v>
      </c>
      <c r="M669" s="519"/>
      <c r="N669" s="519"/>
      <c r="O669" s="519"/>
    </row>
    <row r="670" spans="1:15" s="351" customFormat="1" x14ac:dyDescent="0.2">
      <c r="A670" s="370"/>
      <c r="B670" s="388" t="str">
        <f>$B$7</f>
        <v>FT</v>
      </c>
      <c r="C670" s="388" t="str">
        <f>$C$7</f>
        <v>PT</v>
      </c>
      <c r="D670" s="388" t="str">
        <f>$D$7</f>
        <v>SE</v>
      </c>
      <c r="E670" s="388" t="str">
        <f>$E$7</f>
        <v>Total</v>
      </c>
      <c r="F670" s="388"/>
      <c r="G670" s="388" t="str">
        <f>$G$7</f>
        <v>FT</v>
      </c>
      <c r="H670" s="388" t="str">
        <f>$H$7</f>
        <v>PT</v>
      </c>
      <c r="I670" s="388" t="str">
        <f>$I$7</f>
        <v>SE</v>
      </c>
      <c r="J670" s="388" t="str">
        <f>$J$7</f>
        <v>Total</v>
      </c>
      <c r="K670" s="388"/>
      <c r="L670" s="388" t="str">
        <f>$L$7</f>
        <v>FT</v>
      </c>
      <c r="M670" s="388" t="str">
        <f>$M$7</f>
        <v>PT</v>
      </c>
      <c r="N670" s="388" t="str">
        <f>$N$7</f>
        <v>SE</v>
      </c>
      <c r="O670" s="388" t="str">
        <f>$O$7</f>
        <v>Total</v>
      </c>
    </row>
    <row r="671" spans="1:15" s="351" customFormat="1" x14ac:dyDescent="0.2">
      <c r="A671" s="374"/>
      <c r="B671" s="350"/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</row>
    <row r="672" spans="1:15" s="351" customFormat="1" x14ac:dyDescent="0.2">
      <c r="A672" s="362" t="str">
        <f>name!E$4</f>
        <v>Managers, directors and senior officials</v>
      </c>
      <c r="B672" s="440">
        <v>1.46049617769373</v>
      </c>
      <c r="C672" s="440">
        <v>0.29074904270069113</v>
      </c>
      <c r="D672" s="440">
        <v>1.8308765923248667</v>
      </c>
      <c r="E672" s="440">
        <f>SUM(B672:D672)</f>
        <v>3.5821218127192878</v>
      </c>
      <c r="F672" s="441"/>
      <c r="G672" s="440">
        <v>2.8238190613292193</v>
      </c>
      <c r="H672" s="440">
        <v>0.32787436340634063</v>
      </c>
      <c r="I672" s="440">
        <v>2.7025740308329924</v>
      </c>
      <c r="J672" s="440">
        <f>SUM(G672:I672)</f>
        <v>5.8542674555685519</v>
      </c>
      <c r="K672" s="441"/>
      <c r="L672" s="440">
        <v>3.8036044006515612</v>
      </c>
      <c r="M672" s="440">
        <v>0.38346078753771795</v>
      </c>
      <c r="N672" s="440">
        <v>3.0020468218410516</v>
      </c>
      <c r="O672" s="440">
        <f>SUM(L672:N672)</f>
        <v>7.1891120100303301</v>
      </c>
    </row>
    <row r="673" spans="1:15" s="351" customFormat="1" x14ac:dyDescent="0.2">
      <c r="A673" s="362" t="str">
        <f>name!E$5</f>
        <v>Professional occupations</v>
      </c>
      <c r="B673" s="440">
        <v>0.3800964444889145</v>
      </c>
      <c r="C673" s="440">
        <v>7.1107719577623435E-2</v>
      </c>
      <c r="D673" s="440">
        <v>6.100630067852552E-2</v>
      </c>
      <c r="E673" s="440">
        <f t="shared" ref="E673:E680" si="294">SUM(B673:D673)</f>
        <v>0.51221046474506349</v>
      </c>
      <c r="F673" s="441"/>
      <c r="G673" s="440">
        <v>0.74302947964547927</v>
      </c>
      <c r="H673" s="440">
        <v>0.10264098563446154</v>
      </c>
      <c r="I673" s="440">
        <v>8.4837055753487517E-2</v>
      </c>
      <c r="J673" s="440">
        <f t="shared" ref="J673:J675" si="295">SUM(G673:I673)</f>
        <v>0.93050752103342838</v>
      </c>
      <c r="K673" s="441"/>
      <c r="L673" s="440">
        <v>0.97383422907463679</v>
      </c>
      <c r="M673" s="440">
        <v>0.12683894339873061</v>
      </c>
      <c r="N673" s="440">
        <v>8.386581363937741E-2</v>
      </c>
      <c r="O673" s="440">
        <f t="shared" ref="O673:O680" si="296">SUM(L673:N673)</f>
        <v>1.1845389861127449</v>
      </c>
    </row>
    <row r="674" spans="1:15" s="351" customFormat="1" x14ac:dyDescent="0.2">
      <c r="A674" s="362" t="str">
        <f>name!E$6</f>
        <v>Associate professional and technical</v>
      </c>
      <c r="B674" s="440">
        <v>0.33345843965543631</v>
      </c>
      <c r="C674" s="440">
        <v>0.13542633233432741</v>
      </c>
      <c r="D674" s="440">
        <v>5.9014045083887058E-2</v>
      </c>
      <c r="E674" s="440">
        <f t="shared" si="294"/>
        <v>0.52789881707365083</v>
      </c>
      <c r="F674" s="441"/>
      <c r="G674" s="440">
        <v>0.80574989341734093</v>
      </c>
      <c r="H674" s="440">
        <v>0.25710822651848581</v>
      </c>
      <c r="I674" s="440">
        <v>6.2361622971841842E-2</v>
      </c>
      <c r="J674" s="440">
        <f t="shared" si="295"/>
        <v>1.1252197429076685</v>
      </c>
      <c r="K674" s="441"/>
      <c r="L674" s="440">
        <v>1.1084016196500344</v>
      </c>
      <c r="M674" s="440">
        <v>0.32301491292301132</v>
      </c>
      <c r="N674" s="440">
        <v>6.5544176508627455E-2</v>
      </c>
      <c r="O674" s="440">
        <f t="shared" si="296"/>
        <v>1.4969607090816732</v>
      </c>
    </row>
    <row r="675" spans="1:15" s="351" customFormat="1" x14ac:dyDescent="0.2">
      <c r="A675" s="362" t="str">
        <f>name!E$7</f>
        <v>Administrative and secretarial</v>
      </c>
      <c r="B675" s="440">
        <v>1.0232060504465628</v>
      </c>
      <c r="C675" s="440">
        <v>0.31899317866431737</v>
      </c>
      <c r="D675" s="440">
        <v>1.2997066664512778E-2</v>
      </c>
      <c r="E675" s="440">
        <f t="shared" si="294"/>
        <v>1.3551962957753929</v>
      </c>
      <c r="F675" s="441"/>
      <c r="G675" s="440">
        <v>1.7969711170925198</v>
      </c>
      <c r="H675" s="440">
        <v>0.58710824528572114</v>
      </c>
      <c r="I675" s="440">
        <v>2.1245101189599963E-2</v>
      </c>
      <c r="J675" s="440">
        <f t="shared" si="295"/>
        <v>2.4053244635678408</v>
      </c>
      <c r="K675" s="441"/>
      <c r="L675" s="440">
        <v>1.7534718246090992</v>
      </c>
      <c r="M675" s="440">
        <v>0.59178902938763966</v>
      </c>
      <c r="N675" s="440">
        <v>1.6927675698377477E-2</v>
      </c>
      <c r="O675" s="440">
        <f t="shared" si="296"/>
        <v>2.3621885296951164</v>
      </c>
    </row>
    <row r="676" spans="1:15" s="351" customFormat="1" x14ac:dyDescent="0.2">
      <c r="A676" s="362" t="str">
        <f>name!E$8</f>
        <v>Skilled trades occupations</v>
      </c>
      <c r="B676" s="440">
        <v>3.3912229615134981</v>
      </c>
      <c r="C676" s="440">
        <v>1.0257128203331527</v>
      </c>
      <c r="D676" s="440">
        <v>0.44059327497045569</v>
      </c>
      <c r="E676" s="440">
        <f t="shared" si="294"/>
        <v>4.857529056817107</v>
      </c>
      <c r="F676" s="441"/>
      <c r="G676" s="440">
        <v>6.2037771263935078</v>
      </c>
      <c r="H676" s="440">
        <v>1.4782069111059748</v>
      </c>
      <c r="I676" s="440">
        <v>0.57900248060889759</v>
      </c>
      <c r="J676" s="440">
        <f>SUM(G676:I676)</f>
        <v>8.2609865181083801</v>
      </c>
      <c r="K676" s="441"/>
      <c r="L676" s="440">
        <v>5.9645279797174569</v>
      </c>
      <c r="M676" s="440">
        <v>1.2392622785448495</v>
      </c>
      <c r="N676" s="440">
        <v>0.51027356111828825</v>
      </c>
      <c r="O676" s="440">
        <f t="shared" si="296"/>
        <v>7.7140638193805948</v>
      </c>
    </row>
    <row r="677" spans="1:15" s="351" customFormat="1" x14ac:dyDescent="0.2">
      <c r="A677" s="362" t="str">
        <f>name!E$9</f>
        <v>Caring, leisure and other service</v>
      </c>
      <c r="B677" s="440">
        <v>0.43021568254369413</v>
      </c>
      <c r="C677" s="440">
        <v>0.43234680427581618</v>
      </c>
      <c r="D677" s="440">
        <v>6.8409914804430066E-2</v>
      </c>
      <c r="E677" s="440">
        <f t="shared" si="294"/>
        <v>0.93097240162394035</v>
      </c>
      <c r="F677" s="441"/>
      <c r="G677" s="440">
        <v>1.2218357458941305</v>
      </c>
      <c r="H677" s="440">
        <v>0.54153418940240194</v>
      </c>
      <c r="I677" s="440">
        <v>9.7719653449145072E-2</v>
      </c>
      <c r="J677" s="440">
        <f t="shared" ref="J677:J680" si="297">SUM(G677:I677)</f>
        <v>1.8610895887456775</v>
      </c>
      <c r="K677" s="441"/>
      <c r="L677" s="440">
        <v>1.5412254170403938</v>
      </c>
      <c r="M677" s="440">
        <v>0.61369674865961099</v>
      </c>
      <c r="N677" s="440">
        <v>0.10150370120863686</v>
      </c>
      <c r="O677" s="440">
        <f t="shared" si="296"/>
        <v>2.2564258669086419</v>
      </c>
    </row>
    <row r="678" spans="1:15" s="351" customFormat="1" x14ac:dyDescent="0.2">
      <c r="A678" s="362" t="str">
        <f>name!E$10</f>
        <v>Sales and customer service</v>
      </c>
      <c r="B678" s="440">
        <v>0.47467984666539359</v>
      </c>
      <c r="C678" s="440">
        <v>1.1608337612595718</v>
      </c>
      <c r="D678" s="440">
        <v>6.8754425109286837E-2</v>
      </c>
      <c r="E678" s="440">
        <f t="shared" si="294"/>
        <v>1.7042680330342523</v>
      </c>
      <c r="F678" s="441"/>
      <c r="G678" s="440">
        <v>0.63016369223887037</v>
      </c>
      <c r="H678" s="440">
        <v>1.835719361042875</v>
      </c>
      <c r="I678" s="440">
        <v>9.9825278617679342E-2</v>
      </c>
      <c r="J678" s="440">
        <f t="shared" si="297"/>
        <v>2.5657083318994247</v>
      </c>
      <c r="K678" s="441"/>
      <c r="L678" s="440">
        <v>0.71405828774331592</v>
      </c>
      <c r="M678" s="440">
        <v>2.092302433636843</v>
      </c>
      <c r="N678" s="440">
        <v>8.4244585769610622E-2</v>
      </c>
      <c r="O678" s="440">
        <f t="shared" si="296"/>
        <v>2.8906053071497695</v>
      </c>
    </row>
    <row r="679" spans="1:15" s="351" customFormat="1" x14ac:dyDescent="0.2">
      <c r="A679" s="362" t="str">
        <f>name!E$11</f>
        <v>Process, plant and machine operatives</v>
      </c>
      <c r="B679" s="440">
        <v>0.33070515774987774</v>
      </c>
      <c r="C679" s="440">
        <v>0.26350117626438058</v>
      </c>
      <c r="D679" s="440">
        <v>5.1795810390268572E-2</v>
      </c>
      <c r="E679" s="440">
        <f t="shared" si="294"/>
        <v>0.64600214440452686</v>
      </c>
      <c r="F679" s="441"/>
      <c r="G679" s="440">
        <v>0.80533505187591647</v>
      </c>
      <c r="H679" s="440">
        <v>0.55411748159087426</v>
      </c>
      <c r="I679" s="440">
        <v>2.2678413531355936E-2</v>
      </c>
      <c r="J679" s="440">
        <f t="shared" si="297"/>
        <v>1.3821309469981469</v>
      </c>
      <c r="K679" s="441"/>
      <c r="L679" s="440">
        <v>0.7975005232814949</v>
      </c>
      <c r="M679" s="440">
        <v>0.51894904666371111</v>
      </c>
      <c r="N679" s="440">
        <v>1.9489881589331497E-2</v>
      </c>
      <c r="O679" s="440">
        <f t="shared" si="296"/>
        <v>1.3359394515345375</v>
      </c>
    </row>
    <row r="680" spans="1:15" s="351" customFormat="1" x14ac:dyDescent="0.2">
      <c r="A680" s="362" t="str">
        <f>name!E$12</f>
        <v>Elementary occupations</v>
      </c>
      <c r="B680" s="440">
        <v>3.3689192391232092</v>
      </c>
      <c r="C680" s="440">
        <v>9.1433291645447294</v>
      </c>
      <c r="D680" s="440">
        <v>0.18655256997357161</v>
      </c>
      <c r="E680" s="440">
        <f t="shared" si="294"/>
        <v>12.698800973641511</v>
      </c>
      <c r="F680" s="441"/>
      <c r="G680" s="440">
        <v>6.6253188321741252</v>
      </c>
      <c r="H680" s="440">
        <v>11.518690236463046</v>
      </c>
      <c r="I680" s="440">
        <v>5.075636311682407E-2</v>
      </c>
      <c r="J680" s="440">
        <f t="shared" si="297"/>
        <v>18.194765431753996</v>
      </c>
      <c r="K680" s="441"/>
      <c r="L680" s="440">
        <v>7.5443757181345976</v>
      </c>
      <c r="M680" s="440">
        <v>13.120685819540247</v>
      </c>
      <c r="N680" s="440">
        <v>3.8103782684366434E-2</v>
      </c>
      <c r="O680" s="440">
        <f t="shared" si="296"/>
        <v>20.703165320359211</v>
      </c>
    </row>
    <row r="681" spans="1:15" s="351" customFormat="1" x14ac:dyDescent="0.2">
      <c r="A681" s="362"/>
      <c r="B681" s="440"/>
      <c r="C681" s="440"/>
      <c r="D681" s="440"/>
      <c r="E681" s="440"/>
      <c r="F681" s="441"/>
      <c r="G681" s="440"/>
      <c r="H681" s="440"/>
      <c r="I681" s="440"/>
      <c r="J681" s="440"/>
      <c r="K681" s="441"/>
      <c r="L681" s="440"/>
      <c r="M681" s="440"/>
      <c r="N681" s="440"/>
      <c r="O681" s="440"/>
    </row>
    <row r="682" spans="1:15" s="351" customFormat="1" x14ac:dyDescent="0.2">
      <c r="A682" s="357" t="s">
        <v>32</v>
      </c>
      <c r="B682" s="450">
        <f>SUM(B672:B680)</f>
        <v>11.192999999880318</v>
      </c>
      <c r="C682" s="450">
        <f t="shared" ref="C682:E682" si="298">SUM(C672:C680)</f>
        <v>12.841999999954609</v>
      </c>
      <c r="D682" s="450">
        <f t="shared" si="298"/>
        <v>2.7799999999998044</v>
      </c>
      <c r="E682" s="450">
        <f t="shared" si="298"/>
        <v>26.814999999834733</v>
      </c>
      <c r="F682" s="450"/>
      <c r="G682" s="450">
        <f t="shared" ref="G682:J682" si="299">SUM(G672:G680)</f>
        <v>21.656000000061113</v>
      </c>
      <c r="H682" s="450">
        <f t="shared" si="299"/>
        <v>17.203000000450182</v>
      </c>
      <c r="I682" s="450">
        <f t="shared" si="299"/>
        <v>3.7210000000718231</v>
      </c>
      <c r="J682" s="450">
        <f t="shared" si="299"/>
        <v>42.580000000583112</v>
      </c>
      <c r="K682" s="450"/>
      <c r="L682" s="450">
        <f t="shared" ref="L682:O682" si="300">SUM(L672:L680)</f>
        <v>24.200999999902592</v>
      </c>
      <c r="M682" s="450">
        <f t="shared" si="300"/>
        <v>19.010000000292361</v>
      </c>
      <c r="N682" s="450">
        <f t="shared" si="300"/>
        <v>3.9220000000576682</v>
      </c>
      <c r="O682" s="450">
        <f t="shared" si="300"/>
        <v>47.133000000252622</v>
      </c>
    </row>
    <row r="683" spans="1:15" s="351" customFormat="1" x14ac:dyDescent="0.2">
      <c r="A683" s="348"/>
      <c r="B683" s="348"/>
      <c r="C683" s="348"/>
      <c r="D683" s="348"/>
      <c r="E683" s="348"/>
      <c r="F683" s="348"/>
      <c r="G683" s="348"/>
      <c r="H683" s="348"/>
      <c r="I683" s="348"/>
      <c r="J683" s="348"/>
      <c r="K683" s="348"/>
      <c r="L683" s="348"/>
      <c r="M683" s="348"/>
      <c r="N683" s="353"/>
    </row>
    <row r="684" spans="1:15" s="351" customFormat="1" x14ac:dyDescent="0.2">
      <c r="A684" s="348"/>
      <c r="B684" s="348"/>
      <c r="C684" s="348"/>
      <c r="D684" s="348"/>
      <c r="E684" s="348"/>
      <c r="F684" s="348"/>
      <c r="G684" s="348"/>
      <c r="H684" s="348"/>
      <c r="I684" s="348"/>
      <c r="J684" s="348"/>
      <c r="K684" s="348"/>
      <c r="L684" s="348"/>
      <c r="M684" s="348"/>
      <c r="N684" s="353"/>
      <c r="O684" s="367" t="s">
        <v>35</v>
      </c>
    </row>
    <row r="685" spans="1:15" s="351" customFormat="1" x14ac:dyDescent="0.2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</row>
    <row r="686" spans="1:15" s="351" customFormat="1" x14ac:dyDescent="0.2">
      <c r="A686" s="354" t="str">
        <f>name!A43</f>
        <v>Food and beverage services</v>
      </c>
      <c r="B686" s="519">
        <f>$B$6</f>
        <v>2007</v>
      </c>
      <c r="C686" s="519"/>
      <c r="D686" s="519"/>
      <c r="E686" s="519"/>
      <c r="F686" s="380"/>
      <c r="G686" s="519">
        <f>$G$6</f>
        <v>2017</v>
      </c>
      <c r="H686" s="519"/>
      <c r="I686" s="519"/>
      <c r="J686" s="519"/>
      <c r="K686" s="380"/>
      <c r="L686" s="519">
        <f>$L$6</f>
        <v>2027</v>
      </c>
      <c r="M686" s="519"/>
      <c r="N686" s="519"/>
      <c r="O686" s="519"/>
    </row>
    <row r="687" spans="1:15" s="351" customFormat="1" x14ac:dyDescent="0.2">
      <c r="A687" s="370"/>
      <c r="B687" s="388" t="str">
        <f>$B$7</f>
        <v>FT</v>
      </c>
      <c r="C687" s="388" t="str">
        <f>$C$7</f>
        <v>PT</v>
      </c>
      <c r="D687" s="388" t="str">
        <f>$D$7</f>
        <v>SE</v>
      </c>
      <c r="E687" s="388" t="str">
        <f>$E$7</f>
        <v>Total</v>
      </c>
      <c r="F687" s="388"/>
      <c r="G687" s="388" t="str">
        <f>$G$7</f>
        <v>FT</v>
      </c>
      <c r="H687" s="388" t="str">
        <f>$H$7</f>
        <v>PT</v>
      </c>
      <c r="I687" s="388" t="str">
        <f>$I$7</f>
        <v>SE</v>
      </c>
      <c r="J687" s="388" t="str">
        <f>$J$7</f>
        <v>Total</v>
      </c>
      <c r="K687" s="388"/>
      <c r="L687" s="388" t="str">
        <f>$L$7</f>
        <v>FT</v>
      </c>
      <c r="M687" s="388" t="str">
        <f>$M$7</f>
        <v>PT</v>
      </c>
      <c r="N687" s="388" t="str">
        <f>$N$7</f>
        <v>SE</v>
      </c>
      <c r="O687" s="388" t="str">
        <f>$O$7</f>
        <v>Total</v>
      </c>
    </row>
    <row r="688" spans="1:15" s="351" customFormat="1" x14ac:dyDescent="0.2">
      <c r="A688" s="374"/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</row>
    <row r="689" spans="1:15" s="351" customFormat="1" x14ac:dyDescent="0.2">
      <c r="A689" s="362" t="str">
        <f>name!E$4</f>
        <v>Managers, directors and senior officials</v>
      </c>
      <c r="B689" s="440">
        <v>2.869796434930834</v>
      </c>
      <c r="C689" s="440">
        <v>0.9497811762869155</v>
      </c>
      <c r="D689" s="440">
        <v>4.3346052680616847</v>
      </c>
      <c r="E689" s="440">
        <f>SUM(B689:D689)</f>
        <v>8.1541828792794337</v>
      </c>
      <c r="F689" s="441"/>
      <c r="G689" s="440">
        <v>4.2182569548767352</v>
      </c>
      <c r="H689" s="440">
        <v>1.1603789798561335</v>
      </c>
      <c r="I689" s="440">
        <v>3.6871113482780498</v>
      </c>
      <c r="J689" s="440">
        <f>SUM(G689:I689)</f>
        <v>9.0657472830109178</v>
      </c>
      <c r="K689" s="441"/>
      <c r="L689" s="440">
        <v>5.2956643296805739</v>
      </c>
      <c r="M689" s="440">
        <v>1.1952771688247308</v>
      </c>
      <c r="N689" s="440">
        <v>4.214620609704169</v>
      </c>
      <c r="O689" s="440">
        <f>SUM(L689:N689)</f>
        <v>10.705562108209474</v>
      </c>
    </row>
    <row r="690" spans="1:15" s="351" customFormat="1" x14ac:dyDescent="0.2">
      <c r="A690" s="362" t="str">
        <f>name!E$5</f>
        <v>Professional occupations</v>
      </c>
      <c r="B690" s="440">
        <v>0.7619875620120411</v>
      </c>
      <c r="C690" s="440">
        <v>0.22862989506597967</v>
      </c>
      <c r="D690" s="440">
        <v>0.1507996483989284</v>
      </c>
      <c r="E690" s="440">
        <f t="shared" ref="E690:E697" si="301">SUM(B690:D690)</f>
        <v>1.1414171054769491</v>
      </c>
      <c r="F690" s="441"/>
      <c r="G690" s="440">
        <v>1.0606038174781811</v>
      </c>
      <c r="H690" s="440">
        <v>0.34903260281500442</v>
      </c>
      <c r="I690" s="440">
        <v>0.13158496860268648</v>
      </c>
      <c r="J690" s="440">
        <f t="shared" ref="J690:J692" si="302">SUM(G690:I690)</f>
        <v>1.5412213888958719</v>
      </c>
      <c r="K690" s="441"/>
      <c r="L690" s="440">
        <v>1.2994841365967427</v>
      </c>
      <c r="M690" s="440">
        <v>0.38247368073773536</v>
      </c>
      <c r="N690" s="440">
        <v>0.12918165311723234</v>
      </c>
      <c r="O690" s="440">
        <f t="shared" ref="O690:O697" si="303">SUM(L690:N690)</f>
        <v>1.8111394704517103</v>
      </c>
    </row>
    <row r="691" spans="1:15" s="351" customFormat="1" x14ac:dyDescent="0.2">
      <c r="A691" s="362" t="str">
        <f>name!E$6</f>
        <v>Associate professional and technical</v>
      </c>
      <c r="B691" s="440">
        <v>0.66808453749459418</v>
      </c>
      <c r="C691" s="440">
        <v>0.43559622408320237</v>
      </c>
      <c r="D691" s="440">
        <v>0.14509061507274715</v>
      </c>
      <c r="E691" s="440">
        <f t="shared" si="301"/>
        <v>1.2487713766505437</v>
      </c>
      <c r="F691" s="441"/>
      <c r="G691" s="440">
        <v>1.1387022975372869</v>
      </c>
      <c r="H691" s="440">
        <v>0.85417442632804064</v>
      </c>
      <c r="I691" s="440">
        <v>8.4105901456802981E-2</v>
      </c>
      <c r="J691" s="440">
        <f t="shared" si="302"/>
        <v>2.0769826253221306</v>
      </c>
      <c r="K691" s="441"/>
      <c r="L691" s="440">
        <v>1.4604010481398657</v>
      </c>
      <c r="M691" s="440">
        <v>0.95685195969033443</v>
      </c>
      <c r="N691" s="440">
        <v>8.9396891189973918E-2</v>
      </c>
      <c r="O691" s="440">
        <f t="shared" si="303"/>
        <v>2.5066498990201742</v>
      </c>
    </row>
    <row r="692" spans="1:15" s="351" customFormat="1" x14ac:dyDescent="0.2">
      <c r="A692" s="362" t="str">
        <f>name!E$7</f>
        <v>Administrative and secretarial</v>
      </c>
      <c r="B692" s="440">
        <v>2.1034119825665494</v>
      </c>
      <c r="C692" s="440">
        <v>0.97768582460584486</v>
      </c>
      <c r="D692" s="440">
        <v>2.4246323008260205E-2</v>
      </c>
      <c r="E692" s="440">
        <f t="shared" si="301"/>
        <v>3.1053441301806548</v>
      </c>
      <c r="F692" s="441"/>
      <c r="G692" s="440">
        <v>2.3838160074168062</v>
      </c>
      <c r="H692" s="440">
        <v>1.9404813538598173</v>
      </c>
      <c r="I692" s="440">
        <v>2.41306685772395E-2</v>
      </c>
      <c r="J692" s="440">
        <f t="shared" si="302"/>
        <v>4.3484280298538627</v>
      </c>
      <c r="K692" s="441"/>
      <c r="L692" s="440">
        <v>2.2122130900124288</v>
      </c>
      <c r="M692" s="440">
        <v>1.7738788463330279</v>
      </c>
      <c r="N692" s="440">
        <v>2.0863634782290287E-2</v>
      </c>
      <c r="O692" s="440">
        <f t="shared" si="303"/>
        <v>4.0069555711277474</v>
      </c>
    </row>
    <row r="693" spans="1:15" s="351" customFormat="1" x14ac:dyDescent="0.2">
      <c r="A693" s="362" t="str">
        <f>name!E$8</f>
        <v>Skilled trades occupations</v>
      </c>
      <c r="B693" s="440">
        <v>6.5575060389767925</v>
      </c>
      <c r="C693" s="440">
        <v>3.3240282874668545</v>
      </c>
      <c r="D693" s="440">
        <v>1.0749930621014543</v>
      </c>
      <c r="E693" s="440">
        <f t="shared" si="301"/>
        <v>10.956527388545101</v>
      </c>
      <c r="F693" s="441"/>
      <c r="G693" s="440">
        <v>9.6983797385093311</v>
      </c>
      <c r="H693" s="440">
        <v>5.4569990684251497</v>
      </c>
      <c r="I693" s="440">
        <v>0.81189320051028246</v>
      </c>
      <c r="J693" s="440">
        <f>SUM(G693:I693)</f>
        <v>15.967272007444762</v>
      </c>
      <c r="K693" s="441"/>
      <c r="L693" s="440">
        <v>8.6111443273649702</v>
      </c>
      <c r="M693" s="440">
        <v>4.0213654324538766</v>
      </c>
      <c r="N693" s="440">
        <v>0.72063841731008549</v>
      </c>
      <c r="O693" s="440">
        <f t="shared" si="303"/>
        <v>13.353148177128933</v>
      </c>
    </row>
    <row r="694" spans="1:15" s="351" customFormat="1" x14ac:dyDescent="0.2">
      <c r="A694" s="362" t="str">
        <f>name!E$9</f>
        <v>Caring, leisure and other service</v>
      </c>
      <c r="B694" s="440">
        <v>0.88503753046551381</v>
      </c>
      <c r="C694" s="440">
        <v>1.3706769406517545</v>
      </c>
      <c r="D694" s="440">
        <v>0.13281645621712349</v>
      </c>
      <c r="E694" s="440">
        <f t="shared" si="301"/>
        <v>2.3885309273343918</v>
      </c>
      <c r="F694" s="441"/>
      <c r="G694" s="440">
        <v>1.6217137633545591</v>
      </c>
      <c r="H694" s="440">
        <v>1.7454909384869004</v>
      </c>
      <c r="I694" s="440">
        <v>0.11424135397286315</v>
      </c>
      <c r="J694" s="440">
        <f t="shared" ref="J694:J697" si="304">SUM(G694:I694)</f>
        <v>3.481446055814323</v>
      </c>
      <c r="K694" s="441"/>
      <c r="L694" s="440">
        <v>1.9363311976913666</v>
      </c>
      <c r="M694" s="440">
        <v>1.8061926007830045</v>
      </c>
      <c r="N694" s="440">
        <v>0.1258158958135886</v>
      </c>
      <c r="O694" s="440">
        <f t="shared" si="303"/>
        <v>3.8683396942879598</v>
      </c>
    </row>
    <row r="695" spans="1:15" s="351" customFormat="1" x14ac:dyDescent="0.2">
      <c r="A695" s="362" t="str">
        <f>name!E$10</f>
        <v>Sales and customer service</v>
      </c>
      <c r="B695" s="440">
        <v>0.96857438155200015</v>
      </c>
      <c r="C695" s="440">
        <v>3.686185845164383</v>
      </c>
      <c r="D695" s="440">
        <v>0.1551246154407617</v>
      </c>
      <c r="E695" s="440">
        <f t="shared" si="301"/>
        <v>4.8098848421571443</v>
      </c>
      <c r="F695" s="441"/>
      <c r="G695" s="440">
        <v>0.87850432939497525</v>
      </c>
      <c r="H695" s="440">
        <v>6.1753792148080233</v>
      </c>
      <c r="I695" s="440">
        <v>0.1294809819270499</v>
      </c>
      <c r="J695" s="440">
        <f t="shared" si="304"/>
        <v>7.1833645261300481</v>
      </c>
      <c r="K695" s="441"/>
      <c r="L695" s="440">
        <v>0.94775994331423863</v>
      </c>
      <c r="M695" s="440">
        <v>6.2375093327120554</v>
      </c>
      <c r="N695" s="440">
        <v>0.11481330416948561</v>
      </c>
      <c r="O695" s="440">
        <f t="shared" si="303"/>
        <v>7.30008258019578</v>
      </c>
    </row>
    <row r="696" spans="1:15" s="351" customFormat="1" x14ac:dyDescent="0.2">
      <c r="A696" s="362" t="str">
        <f>name!E$11</f>
        <v>Process, plant and machine operatives</v>
      </c>
      <c r="B696" s="440">
        <v>0.63205632454480343</v>
      </c>
      <c r="C696" s="440">
        <v>0.8766395963851541</v>
      </c>
      <c r="D696" s="440">
        <v>0.14934751600518587</v>
      </c>
      <c r="E696" s="440">
        <f t="shared" si="301"/>
        <v>1.6580434369351433</v>
      </c>
      <c r="F696" s="441"/>
      <c r="G696" s="440">
        <v>1.2316921081872367</v>
      </c>
      <c r="H696" s="440">
        <v>2.1399438483711579</v>
      </c>
      <c r="I696" s="440">
        <v>4.0795490742494465E-2</v>
      </c>
      <c r="J696" s="440">
        <f t="shared" si="304"/>
        <v>3.412431447300889</v>
      </c>
      <c r="K696" s="441"/>
      <c r="L696" s="440">
        <v>1.141820988826018</v>
      </c>
      <c r="M696" s="440">
        <v>1.7701913449624631</v>
      </c>
      <c r="N696" s="440">
        <v>3.501871516297296E-2</v>
      </c>
      <c r="O696" s="440">
        <f t="shared" si="303"/>
        <v>2.947031048951454</v>
      </c>
    </row>
    <row r="697" spans="1:15" s="351" customFormat="1" x14ac:dyDescent="0.2">
      <c r="A697" s="362" t="str">
        <f>name!E$12</f>
        <v>Elementary occupations</v>
      </c>
      <c r="B697" s="440">
        <v>6.7865452072059007</v>
      </c>
      <c r="C697" s="440">
        <v>28.688776210145537</v>
      </c>
      <c r="D697" s="440">
        <v>0.34697649568277311</v>
      </c>
      <c r="E697" s="440">
        <f t="shared" si="301"/>
        <v>35.822297913034213</v>
      </c>
      <c r="F697" s="441"/>
      <c r="G697" s="440">
        <v>9.475330983319056</v>
      </c>
      <c r="H697" s="440">
        <v>38.886119568408013</v>
      </c>
      <c r="I697" s="440">
        <v>5.4656085997397165E-2</v>
      </c>
      <c r="J697" s="440">
        <f t="shared" si="304"/>
        <v>48.416106637724461</v>
      </c>
      <c r="K697" s="441"/>
      <c r="L697" s="440">
        <v>10.241180938223595</v>
      </c>
      <c r="M697" s="440">
        <v>40.019259634262276</v>
      </c>
      <c r="N697" s="440">
        <v>4.4650878801891045E-2</v>
      </c>
      <c r="O697" s="440">
        <f t="shared" si="303"/>
        <v>50.305091451287758</v>
      </c>
    </row>
    <row r="698" spans="1:15" s="351" customFormat="1" x14ac:dyDescent="0.2">
      <c r="A698" s="362"/>
      <c r="B698" s="440"/>
      <c r="C698" s="440"/>
      <c r="D698" s="440"/>
      <c r="E698" s="440"/>
      <c r="F698" s="441"/>
      <c r="G698" s="440"/>
      <c r="H698" s="440"/>
      <c r="I698" s="440"/>
      <c r="J698" s="440"/>
      <c r="K698" s="441"/>
      <c r="L698" s="440"/>
      <c r="M698" s="440"/>
      <c r="N698" s="440"/>
      <c r="O698" s="440"/>
    </row>
    <row r="699" spans="1:15" s="351" customFormat="1" x14ac:dyDescent="0.2">
      <c r="A699" s="357" t="s">
        <v>32</v>
      </c>
      <c r="B699" s="450">
        <f>SUM(B689:B697)</f>
        <v>22.23299999974903</v>
      </c>
      <c r="C699" s="450">
        <f t="shared" ref="C699:E699" si="305">SUM(C689:C697)</f>
        <v>40.537999999855629</v>
      </c>
      <c r="D699" s="450">
        <f t="shared" si="305"/>
        <v>6.5139999999889184</v>
      </c>
      <c r="E699" s="450">
        <f t="shared" si="305"/>
        <v>69.28499999959358</v>
      </c>
      <c r="F699" s="450"/>
      <c r="G699" s="450">
        <f t="shared" ref="G699:J699" si="306">SUM(G689:G697)</f>
        <v>31.707000000074167</v>
      </c>
      <c r="H699" s="450">
        <f t="shared" si="306"/>
        <v>58.708000001358243</v>
      </c>
      <c r="I699" s="450">
        <f t="shared" si="306"/>
        <v>5.0780000000648666</v>
      </c>
      <c r="J699" s="450">
        <f t="shared" si="306"/>
        <v>95.493000001497265</v>
      </c>
      <c r="K699" s="450"/>
      <c r="L699" s="450">
        <f t="shared" ref="L699:O699" si="307">SUM(L689:L697)</f>
        <v>33.145999999849799</v>
      </c>
      <c r="M699" s="450">
        <f t="shared" si="307"/>
        <v>58.163000000759503</v>
      </c>
      <c r="N699" s="450">
        <f t="shared" si="307"/>
        <v>5.4950000000516894</v>
      </c>
      <c r="O699" s="450">
        <f t="shared" si="307"/>
        <v>96.804000000660977</v>
      </c>
    </row>
    <row r="700" spans="1:15" s="351" customFormat="1" x14ac:dyDescent="0.2">
      <c r="A700" s="348"/>
      <c r="B700" s="348"/>
      <c r="C700" s="348"/>
      <c r="D700" s="348"/>
      <c r="E700" s="348"/>
      <c r="F700" s="348"/>
      <c r="G700" s="348"/>
      <c r="H700" s="348"/>
      <c r="I700" s="348"/>
      <c r="J700" s="348"/>
      <c r="K700" s="348"/>
      <c r="L700" s="348"/>
      <c r="M700" s="348"/>
      <c r="N700" s="353"/>
    </row>
    <row r="701" spans="1:15" s="351" customFormat="1" x14ac:dyDescent="0.2">
      <c r="A701" s="348"/>
      <c r="B701" s="348"/>
      <c r="C701" s="348"/>
      <c r="D701" s="348"/>
      <c r="E701" s="348"/>
      <c r="F701" s="348"/>
      <c r="G701" s="348"/>
      <c r="H701" s="348"/>
      <c r="I701" s="348"/>
      <c r="J701" s="348"/>
      <c r="K701" s="348"/>
      <c r="L701" s="348"/>
      <c r="M701" s="348"/>
      <c r="N701" s="353"/>
      <c r="O701" s="367" t="s">
        <v>35</v>
      </c>
    </row>
    <row r="702" spans="1:15" s="351" customFormat="1" x14ac:dyDescent="0.2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</row>
    <row r="703" spans="1:15" s="351" customFormat="1" x14ac:dyDescent="0.2">
      <c r="A703" s="354" t="str">
        <f>name!A44</f>
        <v>Publishing activities</v>
      </c>
      <c r="B703" s="519">
        <f>$B$6</f>
        <v>2007</v>
      </c>
      <c r="C703" s="519"/>
      <c r="D703" s="519"/>
      <c r="E703" s="519"/>
      <c r="F703" s="380"/>
      <c r="G703" s="519">
        <f>$G$6</f>
        <v>2017</v>
      </c>
      <c r="H703" s="519"/>
      <c r="I703" s="519"/>
      <c r="J703" s="519"/>
      <c r="K703" s="380"/>
      <c r="L703" s="519">
        <f>$L$6</f>
        <v>2027</v>
      </c>
      <c r="M703" s="519"/>
      <c r="N703" s="519"/>
      <c r="O703" s="519"/>
    </row>
    <row r="704" spans="1:15" s="351" customFormat="1" x14ac:dyDescent="0.2">
      <c r="A704" s="370"/>
      <c r="B704" s="388" t="str">
        <f>$B$7</f>
        <v>FT</v>
      </c>
      <c r="C704" s="388" t="str">
        <f>$C$7</f>
        <v>PT</v>
      </c>
      <c r="D704" s="388" t="str">
        <f>$D$7</f>
        <v>SE</v>
      </c>
      <c r="E704" s="388" t="str">
        <f>$E$7</f>
        <v>Total</v>
      </c>
      <c r="F704" s="388"/>
      <c r="G704" s="388" t="str">
        <f>$G$7</f>
        <v>FT</v>
      </c>
      <c r="H704" s="388" t="str">
        <f>$H$7</f>
        <v>PT</v>
      </c>
      <c r="I704" s="388" t="str">
        <f>$I$7</f>
        <v>SE</v>
      </c>
      <c r="J704" s="388" t="str">
        <f>$J$7</f>
        <v>Total</v>
      </c>
      <c r="K704" s="388"/>
      <c r="L704" s="388" t="str">
        <f>$L$7</f>
        <v>FT</v>
      </c>
      <c r="M704" s="388" t="str">
        <f>$M$7</f>
        <v>PT</v>
      </c>
      <c r="N704" s="388" t="str">
        <f>$N$7</f>
        <v>SE</v>
      </c>
      <c r="O704" s="388" t="str">
        <f>$O$7</f>
        <v>Total</v>
      </c>
    </row>
    <row r="705" spans="1:15" s="351" customFormat="1" x14ac:dyDescent="0.2">
      <c r="A705" s="374"/>
      <c r="B705" s="350"/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</row>
    <row r="706" spans="1:15" s="351" customFormat="1" x14ac:dyDescent="0.2">
      <c r="A706" s="362" t="str">
        <f>name!E$4</f>
        <v>Managers, directors and senior officials</v>
      </c>
      <c r="B706" s="440">
        <v>0.15499848041693592</v>
      </c>
      <c r="C706" s="440">
        <v>7.8885994646809052E-2</v>
      </c>
      <c r="D706" s="440">
        <v>0.20131944803475352</v>
      </c>
      <c r="E706" s="440">
        <f>SUM(B706:D706)</f>
        <v>0.43520392309849854</v>
      </c>
      <c r="F706" s="441"/>
      <c r="G706" s="440">
        <v>0.22928413732619649</v>
      </c>
      <c r="H706" s="440">
        <v>4.9210464376427142E-2</v>
      </c>
      <c r="I706" s="440">
        <v>6.9532622934375551E-2</v>
      </c>
      <c r="J706" s="440">
        <f>SUM(G706:I706)</f>
        <v>0.3480272246369992</v>
      </c>
      <c r="K706" s="441"/>
      <c r="L706" s="440">
        <v>0.24172564640614913</v>
      </c>
      <c r="M706" s="440">
        <v>9.4206097265812985E-2</v>
      </c>
      <c r="N706" s="440">
        <v>7.041552738991079E-2</v>
      </c>
      <c r="O706" s="440">
        <f>SUM(L706:N706)</f>
        <v>0.40634727106187291</v>
      </c>
    </row>
    <row r="707" spans="1:15" s="351" customFormat="1" x14ac:dyDescent="0.2">
      <c r="A707" s="362" t="str">
        <f>name!E$5</f>
        <v>Professional occupations</v>
      </c>
      <c r="B707" s="440">
        <v>0.29752152650017499</v>
      </c>
      <c r="C707" s="440">
        <v>8.6423634727214052E-2</v>
      </c>
      <c r="D707" s="440">
        <v>0.18668664948439367</v>
      </c>
      <c r="E707" s="440">
        <f t="shared" ref="E707:E714" si="308">SUM(B707:D707)</f>
        <v>0.57063181071178271</v>
      </c>
      <c r="F707" s="441"/>
      <c r="G707" s="440">
        <v>0.30603673704919865</v>
      </c>
      <c r="H707" s="440">
        <v>6.6781757701592837E-2</v>
      </c>
      <c r="I707" s="440">
        <v>0.18322305593557286</v>
      </c>
      <c r="J707" s="440">
        <f t="shared" ref="J707:J709" si="309">SUM(G707:I707)</f>
        <v>0.55604155068636429</v>
      </c>
      <c r="K707" s="441"/>
      <c r="L707" s="440">
        <v>0.32618381154675835</v>
      </c>
      <c r="M707" s="440">
        <v>0.12886088711423388</v>
      </c>
      <c r="N707" s="440">
        <v>0.1776125949080076</v>
      </c>
      <c r="O707" s="440">
        <f t="shared" ref="O707:O714" si="310">SUM(L707:N707)</f>
        <v>0.6326572935689998</v>
      </c>
    </row>
    <row r="708" spans="1:15" s="351" customFormat="1" x14ac:dyDescent="0.2">
      <c r="A708" s="362" t="str">
        <f>name!E$6</f>
        <v>Associate professional and technical</v>
      </c>
      <c r="B708" s="440">
        <v>0.35167330528822094</v>
      </c>
      <c r="C708" s="440">
        <v>0.24631553981748322</v>
      </c>
      <c r="D708" s="440">
        <v>0.24764168501195566</v>
      </c>
      <c r="E708" s="440">
        <f t="shared" si="308"/>
        <v>0.84563053011765987</v>
      </c>
      <c r="F708" s="441"/>
      <c r="G708" s="440">
        <v>0.37132424409002601</v>
      </c>
      <c r="H708" s="440">
        <v>0.14211659926348119</v>
      </c>
      <c r="I708" s="440">
        <v>6.6088610787327043E-2</v>
      </c>
      <c r="J708" s="440">
        <f t="shared" si="309"/>
        <v>0.57952945414083423</v>
      </c>
      <c r="K708" s="441"/>
      <c r="L708" s="440">
        <v>0.37484950921262944</v>
      </c>
      <c r="M708" s="440">
        <v>0.2296596979736443</v>
      </c>
      <c r="N708" s="440">
        <v>6.1349951426877616E-2</v>
      </c>
      <c r="O708" s="440">
        <f t="shared" si="310"/>
        <v>0.66585915861315137</v>
      </c>
    </row>
    <row r="709" spans="1:15" s="351" customFormat="1" x14ac:dyDescent="0.2">
      <c r="A709" s="362" t="str">
        <f>name!E$7</f>
        <v>Administrative and secretarial</v>
      </c>
      <c r="B709" s="440">
        <v>0.45227310696318862</v>
      </c>
      <c r="C709" s="440">
        <v>0.67223573294457162</v>
      </c>
      <c r="D709" s="440">
        <v>3.4605624564818235E-2</v>
      </c>
      <c r="E709" s="440">
        <f t="shared" si="308"/>
        <v>1.1591144644725786</v>
      </c>
      <c r="F709" s="441"/>
      <c r="G709" s="440">
        <v>0.3612907365441288</v>
      </c>
      <c r="H709" s="440">
        <v>0.2875264377113026</v>
      </c>
      <c r="I709" s="440">
        <v>2.5966683674051604E-3</v>
      </c>
      <c r="J709" s="440">
        <f t="shared" si="309"/>
        <v>0.65141384262283653</v>
      </c>
      <c r="K709" s="441"/>
      <c r="L709" s="440">
        <v>0.24130357498305977</v>
      </c>
      <c r="M709" s="440">
        <v>0.34411852170788743</v>
      </c>
      <c r="N709" s="440">
        <v>2.1721437838319898E-3</v>
      </c>
      <c r="O709" s="440">
        <f t="shared" si="310"/>
        <v>0.58759424047477915</v>
      </c>
    </row>
    <row r="710" spans="1:15" s="351" customFormat="1" x14ac:dyDescent="0.2">
      <c r="A710" s="362" t="str">
        <f>name!E$8</f>
        <v>Skilled trades occupations</v>
      </c>
      <c r="B710" s="440">
        <v>0.36201191972955199</v>
      </c>
      <c r="C710" s="440">
        <v>0.13361527262193071</v>
      </c>
      <c r="D710" s="440">
        <v>0.2656796375368819</v>
      </c>
      <c r="E710" s="440">
        <f t="shared" si="308"/>
        <v>0.76130682988836451</v>
      </c>
      <c r="F710" s="441"/>
      <c r="G710" s="440">
        <v>0.41417635255784852</v>
      </c>
      <c r="H710" s="440">
        <v>3.3539966301575221E-2</v>
      </c>
      <c r="I710" s="440">
        <v>9.5824712527952341E-2</v>
      </c>
      <c r="J710" s="440">
        <f>SUM(G710:I710)</f>
        <v>0.54354103138737608</v>
      </c>
      <c r="K710" s="441"/>
      <c r="L710" s="440">
        <v>0.31225908902656108</v>
      </c>
      <c r="M710" s="440">
        <v>3.5149381213557998E-2</v>
      </c>
      <c r="N710" s="440">
        <v>9.549554664307372E-2</v>
      </c>
      <c r="O710" s="440">
        <f t="shared" si="310"/>
        <v>0.44290401688319281</v>
      </c>
    </row>
    <row r="711" spans="1:15" s="351" customFormat="1" x14ac:dyDescent="0.2">
      <c r="A711" s="362" t="str">
        <f>name!E$9</f>
        <v>Caring, leisure and other service</v>
      </c>
      <c r="B711" s="440">
        <v>2.2574711456502874E-2</v>
      </c>
      <c r="C711" s="440">
        <v>3.3839361099946189E-2</v>
      </c>
      <c r="D711" s="440">
        <v>2.4267783405313242E-2</v>
      </c>
      <c r="E711" s="440">
        <f t="shared" si="308"/>
        <v>8.0681855961762305E-2</v>
      </c>
      <c r="F711" s="441"/>
      <c r="G711" s="440">
        <v>2.1076464789570072E-2</v>
      </c>
      <c r="H711" s="440">
        <v>1.7062723639424821E-2</v>
      </c>
      <c r="I711" s="440">
        <v>4.6291430148309972E-3</v>
      </c>
      <c r="J711" s="440">
        <f t="shared" ref="J711:J714" si="311">SUM(G711:I711)</f>
        <v>4.2768331443825892E-2</v>
      </c>
      <c r="K711" s="441"/>
      <c r="L711" s="440">
        <v>2.7288560374921111E-2</v>
      </c>
      <c r="M711" s="440">
        <v>3.1770546437153331E-2</v>
      </c>
      <c r="N711" s="440">
        <v>4.5572911505155954E-3</v>
      </c>
      <c r="O711" s="440">
        <f t="shared" si="310"/>
        <v>6.3616397962590041E-2</v>
      </c>
    </row>
    <row r="712" spans="1:15" s="351" customFormat="1" x14ac:dyDescent="0.2">
      <c r="A712" s="362" t="str">
        <f>name!E$10</f>
        <v>Sales and customer service</v>
      </c>
      <c r="B712" s="440">
        <v>8.0536407637097282E-2</v>
      </c>
      <c r="C712" s="440">
        <v>0.1684458476842895</v>
      </c>
      <c r="D712" s="440">
        <v>1.692072019071118E-2</v>
      </c>
      <c r="E712" s="440">
        <f t="shared" si="308"/>
        <v>0.26590297551209796</v>
      </c>
      <c r="F712" s="441"/>
      <c r="G712" s="440">
        <v>0.14816017179386745</v>
      </c>
      <c r="H712" s="440">
        <v>6.5187757514339723E-2</v>
      </c>
      <c r="I712" s="440">
        <v>2.0810457256032365E-3</v>
      </c>
      <c r="J712" s="440">
        <f t="shared" si="311"/>
        <v>0.21542897503381042</v>
      </c>
      <c r="K712" s="441"/>
      <c r="L712" s="440">
        <v>0.12983301025610092</v>
      </c>
      <c r="M712" s="440">
        <v>0.10000441481586543</v>
      </c>
      <c r="N712" s="440">
        <v>1.8584625037467203E-3</v>
      </c>
      <c r="O712" s="440">
        <f t="shared" si="310"/>
        <v>0.23169588757571308</v>
      </c>
    </row>
    <row r="713" spans="1:15" s="351" customFormat="1" x14ac:dyDescent="0.2">
      <c r="A713" s="362" t="str">
        <f>name!E$11</f>
        <v>Process, plant and machine operatives</v>
      </c>
      <c r="B713" s="440">
        <v>0.18115400873414109</v>
      </c>
      <c r="C713" s="440">
        <v>0.14286121656917009</v>
      </c>
      <c r="D713" s="440">
        <v>5.0732608733953979E-2</v>
      </c>
      <c r="E713" s="440">
        <f t="shared" si="308"/>
        <v>0.37474783403726514</v>
      </c>
      <c r="F713" s="441"/>
      <c r="G713" s="440">
        <v>0.13721912016399918</v>
      </c>
      <c r="H713" s="440">
        <v>5.5651058751948979E-2</v>
      </c>
      <c r="I713" s="440">
        <v>2.9790823590940901E-2</v>
      </c>
      <c r="J713" s="440">
        <f t="shared" si="311"/>
        <v>0.22266100250688906</v>
      </c>
      <c r="K713" s="441"/>
      <c r="L713" s="440">
        <v>9.1738518123462856E-2</v>
      </c>
      <c r="M713" s="440">
        <v>5.6464817070954507E-2</v>
      </c>
      <c r="N713" s="440">
        <v>2.5772676262024903E-2</v>
      </c>
      <c r="O713" s="440">
        <f t="shared" si="310"/>
        <v>0.17397601145644226</v>
      </c>
    </row>
    <row r="714" spans="1:15" s="351" customFormat="1" x14ac:dyDescent="0.2">
      <c r="A714" s="362" t="str">
        <f>name!E$12</f>
        <v>Elementary occupations</v>
      </c>
      <c r="B714" s="440">
        <v>0.170256533261922</v>
      </c>
      <c r="C714" s="440">
        <v>0.69537739988146863</v>
      </c>
      <c r="D714" s="440">
        <v>2.71458430322527E-2</v>
      </c>
      <c r="E714" s="440">
        <f t="shared" si="308"/>
        <v>0.8927797761756433</v>
      </c>
      <c r="F714" s="441"/>
      <c r="G714" s="440">
        <v>0.31643203567211092</v>
      </c>
      <c r="H714" s="440">
        <v>0.19892323474736517</v>
      </c>
      <c r="I714" s="440">
        <v>1.0233317107735009E-2</v>
      </c>
      <c r="J714" s="440">
        <f t="shared" si="311"/>
        <v>0.52558858752721116</v>
      </c>
      <c r="K714" s="441"/>
      <c r="L714" s="440">
        <v>0.26981828005747627</v>
      </c>
      <c r="M714" s="440">
        <v>0.18276563640605459</v>
      </c>
      <c r="N714" s="440">
        <v>9.7658059321038011E-3</v>
      </c>
      <c r="O714" s="440">
        <f t="shared" si="310"/>
        <v>0.46234972239563465</v>
      </c>
    </row>
    <row r="715" spans="1:15" s="351" customFormat="1" x14ac:dyDescent="0.2">
      <c r="A715" s="362"/>
      <c r="B715" s="440"/>
      <c r="C715" s="440"/>
      <c r="D715" s="440"/>
      <c r="E715" s="440"/>
      <c r="F715" s="441"/>
      <c r="G715" s="440"/>
      <c r="H715" s="440"/>
      <c r="I715" s="440"/>
      <c r="J715" s="440"/>
      <c r="K715" s="441"/>
      <c r="L715" s="440"/>
      <c r="M715" s="440"/>
      <c r="N715" s="440"/>
      <c r="O715" s="440"/>
    </row>
    <row r="716" spans="1:15" s="351" customFormat="1" x14ac:dyDescent="0.2">
      <c r="A716" s="357" t="s">
        <v>32</v>
      </c>
      <c r="B716" s="450">
        <f>SUM(B706:B714)</f>
        <v>2.0729999999877355</v>
      </c>
      <c r="C716" s="450">
        <f t="shared" ref="C716:E716" si="312">SUM(C706:C714)</f>
        <v>2.2579999999928826</v>
      </c>
      <c r="D716" s="450">
        <f t="shared" si="312"/>
        <v>1.0549999999950339</v>
      </c>
      <c r="E716" s="450">
        <f t="shared" si="312"/>
        <v>5.3859999999756525</v>
      </c>
      <c r="F716" s="450"/>
      <c r="G716" s="450">
        <f t="shared" ref="G716:J716" si="313">SUM(G706:G714)</f>
        <v>2.3049999999869462</v>
      </c>
      <c r="H716" s="450">
        <f t="shared" si="313"/>
        <v>0.91600000000745763</v>
      </c>
      <c r="I716" s="450">
        <f t="shared" si="313"/>
        <v>0.46399999999174313</v>
      </c>
      <c r="J716" s="450">
        <f t="shared" si="313"/>
        <v>3.6849999999861467</v>
      </c>
      <c r="K716" s="450"/>
      <c r="L716" s="450">
        <f t="shared" ref="L716:O716" si="314">SUM(L706:L714)</f>
        <v>2.0149999999871189</v>
      </c>
      <c r="M716" s="450">
        <f t="shared" si="314"/>
        <v>1.2030000000051644</v>
      </c>
      <c r="N716" s="450">
        <f t="shared" si="314"/>
        <v>0.44900000000009271</v>
      </c>
      <c r="O716" s="450">
        <f t="shared" si="314"/>
        <v>3.6669999999923761</v>
      </c>
    </row>
    <row r="717" spans="1:15" s="351" customFormat="1" x14ac:dyDescent="0.2">
      <c r="A717" s="348"/>
      <c r="B717" s="348"/>
      <c r="C717" s="348"/>
      <c r="D717" s="348"/>
      <c r="E717" s="348"/>
      <c r="F717" s="348"/>
      <c r="G717" s="348"/>
      <c r="H717" s="348"/>
      <c r="I717" s="348"/>
      <c r="J717" s="348"/>
      <c r="K717" s="348"/>
      <c r="L717" s="348"/>
      <c r="M717" s="348"/>
      <c r="N717" s="353"/>
    </row>
    <row r="718" spans="1:15" s="351" customFormat="1" x14ac:dyDescent="0.2">
      <c r="A718" s="348"/>
      <c r="B718" s="348"/>
      <c r="C718" s="348"/>
      <c r="D718" s="348"/>
      <c r="E718" s="348"/>
      <c r="F718" s="348"/>
      <c r="G718" s="348"/>
      <c r="H718" s="348"/>
      <c r="I718" s="348"/>
      <c r="J718" s="348"/>
      <c r="K718" s="348"/>
      <c r="L718" s="348"/>
      <c r="M718" s="348"/>
      <c r="N718" s="353"/>
      <c r="O718" s="367" t="s">
        <v>35</v>
      </c>
    </row>
    <row r="719" spans="1:15" s="351" customFormat="1" x14ac:dyDescent="0.2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</row>
    <row r="720" spans="1:15" s="351" customFormat="1" x14ac:dyDescent="0.2">
      <c r="A720" s="354" t="str">
        <f>name!A45</f>
        <v>Film and music</v>
      </c>
      <c r="B720" s="519">
        <f>$B$6</f>
        <v>2007</v>
      </c>
      <c r="C720" s="519"/>
      <c r="D720" s="519"/>
      <c r="E720" s="519"/>
      <c r="F720" s="380"/>
      <c r="G720" s="519">
        <f>$G$6</f>
        <v>2017</v>
      </c>
      <c r="H720" s="519"/>
      <c r="I720" s="519"/>
      <c r="J720" s="519"/>
      <c r="K720" s="380"/>
      <c r="L720" s="519">
        <f>$L$6</f>
        <v>2027</v>
      </c>
      <c r="M720" s="519"/>
      <c r="N720" s="519"/>
      <c r="O720" s="519"/>
    </row>
    <row r="721" spans="1:15" s="351" customFormat="1" x14ac:dyDescent="0.2">
      <c r="A721" s="370"/>
      <c r="B721" s="388" t="str">
        <f>$B$7</f>
        <v>FT</v>
      </c>
      <c r="C721" s="388" t="str">
        <f>$C$7</f>
        <v>PT</v>
      </c>
      <c r="D721" s="388" t="str">
        <f>$D$7</f>
        <v>SE</v>
      </c>
      <c r="E721" s="388" t="str">
        <f>$E$7</f>
        <v>Total</v>
      </c>
      <c r="F721" s="388"/>
      <c r="G721" s="388" t="str">
        <f>$G$7</f>
        <v>FT</v>
      </c>
      <c r="H721" s="388" t="str">
        <f>$H$7</f>
        <v>PT</v>
      </c>
      <c r="I721" s="388" t="str">
        <f>$I$7</f>
        <v>SE</v>
      </c>
      <c r="J721" s="388" t="str">
        <f>$J$7</f>
        <v>Total</v>
      </c>
      <c r="K721" s="388"/>
      <c r="L721" s="388" t="str">
        <f>$L$7</f>
        <v>FT</v>
      </c>
      <c r="M721" s="388" t="str">
        <f>$M$7</f>
        <v>PT</v>
      </c>
      <c r="N721" s="388" t="str">
        <f>$N$7</f>
        <v>SE</v>
      </c>
      <c r="O721" s="388" t="str">
        <f>$O$7</f>
        <v>Total</v>
      </c>
    </row>
    <row r="722" spans="1:15" s="351" customFormat="1" x14ac:dyDescent="0.2">
      <c r="A722" s="374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</row>
    <row r="723" spans="1:15" s="351" customFormat="1" x14ac:dyDescent="0.2">
      <c r="A723" s="362" t="str">
        <f>name!E$4</f>
        <v>Managers, directors and senior officials</v>
      </c>
      <c r="B723" s="440">
        <v>0.18514771848130535</v>
      </c>
      <c r="C723" s="440">
        <v>3.7260724268664371E-2</v>
      </c>
      <c r="D723" s="440">
        <v>0.13278318567277719</v>
      </c>
      <c r="E723" s="440">
        <f>SUM(B723:D723)</f>
        <v>0.35519162842274687</v>
      </c>
      <c r="F723" s="441"/>
      <c r="G723" s="440">
        <v>0.1408750380280494</v>
      </c>
      <c r="H723" s="440">
        <v>4.3518430794025821E-2</v>
      </c>
      <c r="I723" s="440">
        <v>5.5294899876936893E-2</v>
      </c>
      <c r="J723" s="440">
        <f>SUM(G723:I723)</f>
        <v>0.23968836869901211</v>
      </c>
      <c r="K723" s="441"/>
      <c r="L723" s="440">
        <v>0.13678388833127569</v>
      </c>
      <c r="M723" s="440">
        <v>6.3294886045908536E-2</v>
      </c>
      <c r="N723" s="440">
        <v>5.9300509709928846E-2</v>
      </c>
      <c r="O723" s="440">
        <f>SUM(L723:N723)</f>
        <v>0.25937928408711308</v>
      </c>
    </row>
    <row r="724" spans="1:15" s="351" customFormat="1" x14ac:dyDescent="0.2">
      <c r="A724" s="362" t="str">
        <f>name!E$5</f>
        <v>Professional occupations</v>
      </c>
      <c r="B724" s="440">
        <v>0.28815029507307338</v>
      </c>
      <c r="C724" s="440">
        <v>9.0325113073766256E-2</v>
      </c>
      <c r="D724" s="440">
        <v>0.13344217076095469</v>
      </c>
      <c r="E724" s="440">
        <f t="shared" ref="E724:E731" si="315">SUM(B724:D724)</f>
        <v>0.51191757890779432</v>
      </c>
      <c r="F724" s="441"/>
      <c r="G724" s="440">
        <v>0.20656202980594629</v>
      </c>
      <c r="H724" s="440">
        <v>6.5966329454117914E-2</v>
      </c>
      <c r="I724" s="440">
        <v>5.0979274530609131E-2</v>
      </c>
      <c r="J724" s="440">
        <f t="shared" ref="J724:J726" si="316">SUM(G724:I724)</f>
        <v>0.32350763379067332</v>
      </c>
      <c r="K724" s="441"/>
      <c r="L724" s="440">
        <v>0.21191623010680588</v>
      </c>
      <c r="M724" s="440">
        <v>9.9891326543102163E-2</v>
      </c>
      <c r="N724" s="440">
        <v>5.360268689120333E-2</v>
      </c>
      <c r="O724" s="440">
        <f t="shared" ref="O724:O731" si="317">SUM(L724:N724)</f>
        <v>0.3654102435411114</v>
      </c>
    </row>
    <row r="725" spans="1:15" s="351" customFormat="1" x14ac:dyDescent="0.2">
      <c r="A725" s="362" t="str">
        <f>name!E$6</f>
        <v>Associate professional and technical</v>
      </c>
      <c r="B725" s="440">
        <v>0.40541260448530592</v>
      </c>
      <c r="C725" s="440">
        <v>0.16891860940104381</v>
      </c>
      <c r="D725" s="440">
        <v>0.68782445648799773</v>
      </c>
      <c r="E725" s="440">
        <f t="shared" si="315"/>
        <v>1.2621556703743475</v>
      </c>
      <c r="F725" s="441"/>
      <c r="G725" s="440">
        <v>0.27857171845468698</v>
      </c>
      <c r="H725" s="440">
        <v>9.7006491105935858E-2</v>
      </c>
      <c r="I725" s="440">
        <v>0.25140889231919911</v>
      </c>
      <c r="J725" s="440">
        <f t="shared" si="316"/>
        <v>0.62698710187982187</v>
      </c>
      <c r="K725" s="441"/>
      <c r="L725" s="440">
        <v>0.25456860803388898</v>
      </c>
      <c r="M725" s="440">
        <v>0.14227991415438423</v>
      </c>
      <c r="N725" s="440">
        <v>0.24968709398510527</v>
      </c>
      <c r="O725" s="440">
        <f t="shared" si="317"/>
        <v>0.64653561617337851</v>
      </c>
    </row>
    <row r="726" spans="1:15" s="351" customFormat="1" x14ac:dyDescent="0.2">
      <c r="A726" s="362" t="str">
        <f>name!E$7</f>
        <v>Administrative and secretarial</v>
      </c>
      <c r="B726" s="440">
        <v>0.54807703110734907</v>
      </c>
      <c r="C726" s="440">
        <v>0.39267778934081093</v>
      </c>
      <c r="D726" s="440">
        <v>1.1605222518311814E-2</v>
      </c>
      <c r="E726" s="440">
        <f t="shared" si="315"/>
        <v>0.95236004296647181</v>
      </c>
      <c r="F726" s="441"/>
      <c r="G726" s="440">
        <v>0.35030929012332401</v>
      </c>
      <c r="H726" s="440">
        <v>0.30212421097582093</v>
      </c>
      <c r="I726" s="440">
        <v>2.1384546555704284E-3</v>
      </c>
      <c r="J726" s="440">
        <f t="shared" si="316"/>
        <v>0.65457195575471527</v>
      </c>
      <c r="K726" s="441"/>
      <c r="L726" s="440">
        <v>0.25769391116163282</v>
      </c>
      <c r="M726" s="440">
        <v>0.33338351637637675</v>
      </c>
      <c r="N726" s="440">
        <v>1.5865920922690914E-3</v>
      </c>
      <c r="O726" s="440">
        <f t="shared" si="317"/>
        <v>0.59266401963027859</v>
      </c>
    </row>
    <row r="727" spans="1:15" s="351" customFormat="1" x14ac:dyDescent="0.2">
      <c r="A727" s="362" t="str">
        <f>name!E$8</f>
        <v>Skilled trades occupations</v>
      </c>
      <c r="B727" s="440">
        <v>0.15659990274220598</v>
      </c>
      <c r="C727" s="440">
        <v>6.2473055998777879E-2</v>
      </c>
      <c r="D727" s="440">
        <v>0.14808475076020713</v>
      </c>
      <c r="E727" s="440">
        <f t="shared" si="315"/>
        <v>0.36715770950119098</v>
      </c>
      <c r="F727" s="441"/>
      <c r="G727" s="440">
        <v>9.1601666598442141E-2</v>
      </c>
      <c r="H727" s="440">
        <v>5.4550518488828879E-2</v>
      </c>
      <c r="I727" s="440">
        <v>5.9908716967052453E-2</v>
      </c>
      <c r="J727" s="440">
        <f>SUM(G727:I727)</f>
        <v>0.20606090205432348</v>
      </c>
      <c r="K727" s="441"/>
      <c r="L727" s="440">
        <v>6.9611239868291444E-2</v>
      </c>
      <c r="M727" s="440">
        <v>8.6441749424850708E-2</v>
      </c>
      <c r="N727" s="440">
        <v>4.7649582101315972E-2</v>
      </c>
      <c r="O727" s="440">
        <f t="shared" si="317"/>
        <v>0.20370257139445813</v>
      </c>
    </row>
    <row r="728" spans="1:15" s="351" customFormat="1" x14ac:dyDescent="0.2">
      <c r="A728" s="362" t="str">
        <f>name!E$9</f>
        <v>Caring, leisure and other service</v>
      </c>
      <c r="B728" s="440">
        <v>0.23160098941302171</v>
      </c>
      <c r="C728" s="440">
        <v>0.30965190747854648</v>
      </c>
      <c r="D728" s="440">
        <v>2.5091936165223233E-2</v>
      </c>
      <c r="E728" s="440">
        <f t="shared" si="315"/>
        <v>0.5663448330567914</v>
      </c>
      <c r="F728" s="441"/>
      <c r="G728" s="440">
        <v>0.19323547535629035</v>
      </c>
      <c r="H728" s="440">
        <v>0.18598085306569265</v>
      </c>
      <c r="I728" s="440">
        <v>9.5486833047509229E-3</v>
      </c>
      <c r="J728" s="440">
        <f t="shared" ref="J728:J731" si="318">SUM(G728:I728)</f>
        <v>0.38876501172673394</v>
      </c>
      <c r="K728" s="441"/>
      <c r="L728" s="440">
        <v>0.18561036363239364</v>
      </c>
      <c r="M728" s="440">
        <v>0.25989035893973816</v>
      </c>
      <c r="N728" s="440">
        <v>6.708711073289784E-3</v>
      </c>
      <c r="O728" s="440">
        <f t="shared" si="317"/>
        <v>0.4522094336454216</v>
      </c>
    </row>
    <row r="729" spans="1:15" s="351" customFormat="1" x14ac:dyDescent="0.2">
      <c r="A729" s="362" t="str">
        <f>name!E$10</f>
        <v>Sales and customer service</v>
      </c>
      <c r="B729" s="440">
        <v>0.16745164029940668</v>
      </c>
      <c r="C729" s="440">
        <v>0.16263892996074603</v>
      </c>
      <c r="D729" s="440">
        <v>8.7383936122368121E-3</v>
      </c>
      <c r="E729" s="440">
        <f t="shared" si="315"/>
        <v>0.33882896387238953</v>
      </c>
      <c r="F729" s="441"/>
      <c r="G729" s="440">
        <v>0.19664712274422294</v>
      </c>
      <c r="H729" s="440">
        <v>0.14748614268024499</v>
      </c>
      <c r="I729" s="440">
        <v>1.798906601108067E-3</v>
      </c>
      <c r="J729" s="440">
        <f t="shared" si="318"/>
        <v>0.34593217202557597</v>
      </c>
      <c r="K729" s="441"/>
      <c r="L729" s="440">
        <v>0.17979181291329829</v>
      </c>
      <c r="M729" s="440">
        <v>0.18452108202537856</v>
      </c>
      <c r="N729" s="440">
        <v>1.5396970909003285E-3</v>
      </c>
      <c r="O729" s="440">
        <f t="shared" si="317"/>
        <v>0.36585259202957721</v>
      </c>
    </row>
    <row r="730" spans="1:15" s="351" customFormat="1" x14ac:dyDescent="0.2">
      <c r="A730" s="362" t="str">
        <f>name!E$11</f>
        <v>Process, plant and machine operatives</v>
      </c>
      <c r="B730" s="440">
        <v>8.716637720890047E-2</v>
      </c>
      <c r="C730" s="440">
        <v>2.6041603652100655E-2</v>
      </c>
      <c r="D730" s="440">
        <v>1.1502556774096956E-2</v>
      </c>
      <c r="E730" s="440">
        <f t="shared" si="315"/>
        <v>0.12471053763509807</v>
      </c>
      <c r="F730" s="441"/>
      <c r="G730" s="440">
        <v>4.454775611746345E-2</v>
      </c>
      <c r="H730" s="440">
        <v>2.6814558046849266E-2</v>
      </c>
      <c r="I730" s="440">
        <v>3.5415113904745505E-3</v>
      </c>
      <c r="J730" s="440">
        <f t="shared" si="318"/>
        <v>7.4903825554787265E-2</v>
      </c>
      <c r="K730" s="441"/>
      <c r="L730" s="440">
        <v>3.5556007050695192E-2</v>
      </c>
      <c r="M730" s="440">
        <v>3.8232508452241382E-2</v>
      </c>
      <c r="N730" s="440">
        <v>2.5324565697758877E-3</v>
      </c>
      <c r="O730" s="440">
        <f t="shared" si="317"/>
        <v>7.6320972072712462E-2</v>
      </c>
    </row>
    <row r="731" spans="1:15" s="351" customFormat="1" x14ac:dyDescent="0.2">
      <c r="A731" s="362" t="str">
        <f>name!E$12</f>
        <v>Elementary occupations</v>
      </c>
      <c r="B731" s="440">
        <v>0.515393441191074</v>
      </c>
      <c r="C731" s="440">
        <v>0.40801226682189756</v>
      </c>
      <c r="D731" s="440">
        <v>9.5927327236695961E-2</v>
      </c>
      <c r="E731" s="440">
        <f t="shared" si="315"/>
        <v>1.0193330352496677</v>
      </c>
      <c r="F731" s="441"/>
      <c r="G731" s="440">
        <v>0.32164990276403038</v>
      </c>
      <c r="H731" s="440">
        <v>0.30855246539778591</v>
      </c>
      <c r="I731" s="440">
        <v>6.3806603424322273E-3</v>
      </c>
      <c r="J731" s="440">
        <f t="shared" si="318"/>
        <v>0.63658302850424853</v>
      </c>
      <c r="K731" s="441"/>
      <c r="L731" s="440">
        <v>0.26246793889222669</v>
      </c>
      <c r="M731" s="440">
        <v>0.45906465803411706</v>
      </c>
      <c r="N731" s="440">
        <v>3.3926704768289691E-3</v>
      </c>
      <c r="O731" s="440">
        <f t="shared" si="317"/>
        <v>0.72492526740317276</v>
      </c>
    </row>
    <row r="732" spans="1:15" s="351" customFormat="1" x14ac:dyDescent="0.2">
      <c r="A732" s="362"/>
      <c r="B732" s="440"/>
      <c r="C732" s="440"/>
      <c r="D732" s="440"/>
      <c r="E732" s="440"/>
      <c r="F732" s="441"/>
      <c r="G732" s="440"/>
      <c r="H732" s="440"/>
      <c r="I732" s="440"/>
      <c r="J732" s="440"/>
      <c r="K732" s="441"/>
      <c r="L732" s="440"/>
      <c r="M732" s="440"/>
      <c r="N732" s="440"/>
      <c r="O732" s="440"/>
    </row>
    <row r="733" spans="1:15" s="351" customFormat="1" x14ac:dyDescent="0.2">
      <c r="A733" s="357" t="s">
        <v>32</v>
      </c>
      <c r="B733" s="450">
        <f>SUM(B723:B731)</f>
        <v>2.5850000000016427</v>
      </c>
      <c r="C733" s="450">
        <f t="shared" ref="C733:E733" si="319">SUM(C723:C731)</f>
        <v>1.6579999999963539</v>
      </c>
      <c r="D733" s="450">
        <f t="shared" si="319"/>
        <v>1.2549999999885018</v>
      </c>
      <c r="E733" s="450">
        <f t="shared" si="319"/>
        <v>5.4979999999864972</v>
      </c>
      <c r="F733" s="450"/>
      <c r="G733" s="450">
        <f t="shared" ref="G733:J733" si="320">SUM(G723:G731)</f>
        <v>1.8239999999924561</v>
      </c>
      <c r="H733" s="450">
        <f t="shared" si="320"/>
        <v>1.2320000000093021</v>
      </c>
      <c r="I733" s="450">
        <f t="shared" si="320"/>
        <v>0.44099999998813377</v>
      </c>
      <c r="J733" s="450">
        <f t="shared" si="320"/>
        <v>3.496999999989892</v>
      </c>
      <c r="K733" s="450"/>
      <c r="L733" s="450">
        <f t="shared" ref="L733:O733" si="321">SUM(L723:L731)</f>
        <v>1.5939999999905086</v>
      </c>
      <c r="M733" s="450">
        <f t="shared" si="321"/>
        <v>1.6669999999960978</v>
      </c>
      <c r="N733" s="450">
        <f t="shared" si="321"/>
        <v>0.42599999999061755</v>
      </c>
      <c r="O733" s="450">
        <f t="shared" si="321"/>
        <v>3.6869999999772238</v>
      </c>
    </row>
    <row r="734" spans="1:15" s="351" customFormat="1" x14ac:dyDescent="0.2">
      <c r="A734" s="348"/>
      <c r="B734" s="348"/>
      <c r="C734" s="348"/>
      <c r="D734" s="348"/>
      <c r="E734" s="348"/>
      <c r="F734" s="348"/>
      <c r="G734" s="348"/>
      <c r="H734" s="348"/>
      <c r="I734" s="348"/>
      <c r="J734" s="348"/>
      <c r="K734" s="348"/>
      <c r="L734" s="348"/>
      <c r="M734" s="348"/>
      <c r="N734" s="353"/>
    </row>
    <row r="735" spans="1:15" s="351" customFormat="1" x14ac:dyDescent="0.2">
      <c r="A735" s="348"/>
      <c r="B735" s="348"/>
      <c r="C735" s="348"/>
      <c r="D735" s="348"/>
      <c r="E735" s="348"/>
      <c r="F735" s="348"/>
      <c r="G735" s="348"/>
      <c r="H735" s="348"/>
      <c r="I735" s="348"/>
      <c r="J735" s="348"/>
      <c r="K735" s="348"/>
      <c r="L735" s="348"/>
      <c r="M735" s="348"/>
      <c r="N735" s="353"/>
      <c r="O735" s="367" t="s">
        <v>35</v>
      </c>
    </row>
    <row r="736" spans="1:15" s="351" customFormat="1" x14ac:dyDescent="0.2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</row>
    <row r="737" spans="1:15" s="351" customFormat="1" x14ac:dyDescent="0.2">
      <c r="A737" s="354" t="str">
        <f>name!A46</f>
        <v>Broadcasting</v>
      </c>
      <c r="B737" s="519">
        <f>$B$6</f>
        <v>2007</v>
      </c>
      <c r="C737" s="519"/>
      <c r="D737" s="519"/>
      <c r="E737" s="519"/>
      <c r="F737" s="380"/>
      <c r="G737" s="519">
        <f>$G$6</f>
        <v>2017</v>
      </c>
      <c r="H737" s="519"/>
      <c r="I737" s="519"/>
      <c r="J737" s="519"/>
      <c r="K737" s="380"/>
      <c r="L737" s="519">
        <f>$L$6</f>
        <v>2027</v>
      </c>
      <c r="M737" s="519"/>
      <c r="N737" s="519"/>
      <c r="O737" s="519"/>
    </row>
    <row r="738" spans="1:15" s="351" customFormat="1" x14ac:dyDescent="0.2">
      <c r="A738" s="370"/>
      <c r="B738" s="388" t="str">
        <f>$B$7</f>
        <v>FT</v>
      </c>
      <c r="C738" s="388" t="str">
        <f>$C$7</f>
        <v>PT</v>
      </c>
      <c r="D738" s="388" t="str">
        <f>$D$7</f>
        <v>SE</v>
      </c>
      <c r="E738" s="388" t="str">
        <f>$E$7</f>
        <v>Total</v>
      </c>
      <c r="F738" s="388"/>
      <c r="G738" s="388" t="str">
        <f>$G$7</f>
        <v>FT</v>
      </c>
      <c r="H738" s="388" t="str">
        <f>$H$7</f>
        <v>PT</v>
      </c>
      <c r="I738" s="388" t="str">
        <f>$I$7</f>
        <v>SE</v>
      </c>
      <c r="J738" s="388" t="str">
        <f>$J$7</f>
        <v>Total</v>
      </c>
      <c r="K738" s="388"/>
      <c r="L738" s="388" t="str">
        <f>$L$7</f>
        <v>FT</v>
      </c>
      <c r="M738" s="388" t="str">
        <f>$M$7</f>
        <v>PT</v>
      </c>
      <c r="N738" s="388" t="str">
        <f>$N$7</f>
        <v>SE</v>
      </c>
      <c r="O738" s="388" t="str">
        <f>$O$7</f>
        <v>Total</v>
      </c>
    </row>
    <row r="739" spans="1:15" s="351" customFormat="1" x14ac:dyDescent="0.2">
      <c r="A739" s="374"/>
      <c r="B739" s="350"/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</row>
    <row r="740" spans="1:15" s="351" customFormat="1" x14ac:dyDescent="0.2">
      <c r="A740" s="362" t="str">
        <f>name!E$4</f>
        <v>Managers, directors and senior officials</v>
      </c>
      <c r="B740" s="440">
        <v>5.7494237573742966E-2</v>
      </c>
      <c r="C740" s="440">
        <v>2.8777228990243815E-3</v>
      </c>
      <c r="D740" s="440">
        <v>3.0256584470250546E-2</v>
      </c>
      <c r="E740" s="440">
        <f>SUM(B740:D740)</f>
        <v>9.0628544943017891E-2</v>
      </c>
      <c r="F740" s="441"/>
      <c r="G740" s="440">
        <v>0.146115029682238</v>
      </c>
      <c r="H740" s="440">
        <v>1.0948676736173005E-2</v>
      </c>
      <c r="I740" s="440">
        <v>2.628501200355712E-2</v>
      </c>
      <c r="J740" s="440">
        <f>SUM(G740:I740)</f>
        <v>0.18334871842196812</v>
      </c>
      <c r="K740" s="441"/>
      <c r="L740" s="440">
        <v>0.13342237030447385</v>
      </c>
      <c r="M740" s="440">
        <v>1.7794415294044776E-2</v>
      </c>
      <c r="N740" s="440">
        <v>2.8011382443415708E-2</v>
      </c>
      <c r="O740" s="440">
        <f>SUM(L740:N740)</f>
        <v>0.17922816804193431</v>
      </c>
    </row>
    <row r="741" spans="1:15" s="351" customFormat="1" x14ac:dyDescent="0.2">
      <c r="A741" s="362" t="str">
        <f>name!E$5</f>
        <v>Professional occupations</v>
      </c>
      <c r="B741" s="440">
        <v>6.6002043480617056E-2</v>
      </c>
      <c r="C741" s="440">
        <v>4.5196596053325459E-3</v>
      </c>
      <c r="D741" s="440">
        <v>3.6212005938726213E-2</v>
      </c>
      <c r="E741" s="440">
        <f t="shared" ref="E741:E748" si="322">SUM(B741:D741)</f>
        <v>0.10673370902467581</v>
      </c>
      <c r="F741" s="441"/>
      <c r="G741" s="440">
        <v>0.15339770081942888</v>
      </c>
      <c r="H741" s="440">
        <v>1.1699095332294582E-2</v>
      </c>
      <c r="I741" s="440">
        <v>3.1503823031502148E-2</v>
      </c>
      <c r="J741" s="440">
        <f t="shared" ref="J741:J743" si="323">SUM(G741:I741)</f>
        <v>0.19660061918322561</v>
      </c>
      <c r="K741" s="441"/>
      <c r="L741" s="440">
        <v>0.12757015168921973</v>
      </c>
      <c r="M741" s="440">
        <v>1.8725837588924116E-2</v>
      </c>
      <c r="N741" s="440">
        <v>3.0169598788036673E-2</v>
      </c>
      <c r="O741" s="440">
        <f t="shared" ref="O741:O748" si="324">SUM(L741:N741)</f>
        <v>0.17646558806618054</v>
      </c>
    </row>
    <row r="742" spans="1:15" s="351" customFormat="1" x14ac:dyDescent="0.2">
      <c r="A742" s="362" t="str">
        <f>name!E$6</f>
        <v>Associate professional and technical</v>
      </c>
      <c r="B742" s="440">
        <v>8.7199098400479097E-2</v>
      </c>
      <c r="C742" s="440">
        <v>8.1157096739277717E-3</v>
      </c>
      <c r="D742" s="440">
        <v>0.15652753456867427</v>
      </c>
      <c r="E742" s="440">
        <f t="shared" si="322"/>
        <v>0.25184234264308114</v>
      </c>
      <c r="F742" s="441"/>
      <c r="G742" s="440">
        <v>0.19610170697409393</v>
      </c>
      <c r="H742" s="440">
        <v>1.6468272067959207E-2</v>
      </c>
      <c r="I742" s="440">
        <v>0.1312930161973494</v>
      </c>
      <c r="J742" s="440">
        <f t="shared" si="323"/>
        <v>0.34386299523940256</v>
      </c>
      <c r="K742" s="441"/>
      <c r="L742" s="440">
        <v>0.17491165765707875</v>
      </c>
      <c r="M742" s="440">
        <v>2.4775689918946547E-2</v>
      </c>
      <c r="N742" s="440">
        <v>0.13310717974484632</v>
      </c>
      <c r="O742" s="440">
        <f t="shared" si="324"/>
        <v>0.33279452732087161</v>
      </c>
    </row>
    <row r="743" spans="1:15" s="351" customFormat="1" x14ac:dyDescent="0.2">
      <c r="A743" s="362" t="str">
        <f>name!E$7</f>
        <v>Administrative and secretarial</v>
      </c>
      <c r="B743" s="440">
        <v>7.307405245453466E-2</v>
      </c>
      <c r="C743" s="440">
        <v>1.4754073102892323E-2</v>
      </c>
      <c r="D743" s="440">
        <v>4.2844722507692995E-3</v>
      </c>
      <c r="E743" s="440">
        <f t="shared" si="322"/>
        <v>9.2112597808196292E-2</v>
      </c>
      <c r="F743" s="441"/>
      <c r="G743" s="440">
        <v>0.14750657074730994</v>
      </c>
      <c r="H743" s="440">
        <v>3.941540408802921E-2</v>
      </c>
      <c r="I743" s="440">
        <v>1.2640629757888048E-3</v>
      </c>
      <c r="J743" s="440">
        <f t="shared" si="323"/>
        <v>0.18818603781112794</v>
      </c>
      <c r="K743" s="441"/>
      <c r="L743" s="440">
        <v>0.12813176641792307</v>
      </c>
      <c r="M743" s="440">
        <v>4.287470884003948E-2</v>
      </c>
      <c r="N743" s="440">
        <v>8.9515994901974124E-4</v>
      </c>
      <c r="O743" s="440">
        <f t="shared" si="324"/>
        <v>0.17190163520698226</v>
      </c>
    </row>
    <row r="744" spans="1:15" s="351" customFormat="1" x14ac:dyDescent="0.2">
      <c r="A744" s="362" t="str">
        <f>name!E$8</f>
        <v>Skilled trades occupations</v>
      </c>
      <c r="B744" s="440">
        <v>6.8179828293366773E-2</v>
      </c>
      <c r="C744" s="440">
        <v>5.7366654904301801E-3</v>
      </c>
      <c r="D744" s="440">
        <v>3.3181345999440295E-2</v>
      </c>
      <c r="E744" s="440">
        <f t="shared" si="322"/>
        <v>0.10709783978323725</v>
      </c>
      <c r="F744" s="441"/>
      <c r="G744" s="440">
        <v>0.12063003150091062</v>
      </c>
      <c r="H744" s="440">
        <v>1.4046770026301132E-2</v>
      </c>
      <c r="I744" s="440">
        <v>3.0274951140685295E-2</v>
      </c>
      <c r="J744" s="440">
        <f>SUM(G744:I744)</f>
        <v>0.16495175266789705</v>
      </c>
      <c r="K744" s="441"/>
      <c r="L744" s="440">
        <v>8.6462201366420854E-2</v>
      </c>
      <c r="M744" s="440">
        <v>2.170383504744201E-2</v>
      </c>
      <c r="N744" s="440">
        <v>2.3911582300040146E-2</v>
      </c>
      <c r="O744" s="440">
        <f t="shared" si="324"/>
        <v>0.132077618713903</v>
      </c>
    </row>
    <row r="745" spans="1:15" s="351" customFormat="1" x14ac:dyDescent="0.2">
      <c r="A745" s="362" t="str">
        <f>name!E$9</f>
        <v>Caring, leisure and other service</v>
      </c>
      <c r="B745" s="440">
        <v>3.6449303204301182E-2</v>
      </c>
      <c r="C745" s="440">
        <v>2.2556346845674639E-2</v>
      </c>
      <c r="D745" s="440">
        <v>6.1301756455713107E-3</v>
      </c>
      <c r="E745" s="440">
        <f t="shared" si="322"/>
        <v>6.5135825695547128E-2</v>
      </c>
      <c r="F745" s="441"/>
      <c r="G745" s="440">
        <v>8.9827982728191286E-2</v>
      </c>
      <c r="H745" s="440">
        <v>3.2909552555571105E-2</v>
      </c>
      <c r="I745" s="440">
        <v>3.998736872182042E-3</v>
      </c>
      <c r="J745" s="440">
        <f t="shared" ref="J745:J748" si="325">SUM(G745:I745)</f>
        <v>0.12673627215594443</v>
      </c>
      <c r="K745" s="441"/>
      <c r="L745" s="440">
        <v>9.0292250938904084E-2</v>
      </c>
      <c r="M745" s="440">
        <v>4.5744983784024827E-2</v>
      </c>
      <c r="N745" s="440">
        <v>3.1446109655426033E-3</v>
      </c>
      <c r="O745" s="440">
        <f t="shared" si="324"/>
        <v>0.13918184568847153</v>
      </c>
    </row>
    <row r="746" spans="1:15" s="351" customFormat="1" x14ac:dyDescent="0.2">
      <c r="A746" s="362" t="str">
        <f>name!E$10</f>
        <v>Sales and customer service</v>
      </c>
      <c r="B746" s="440">
        <v>4.1817393734974333E-2</v>
      </c>
      <c r="C746" s="440">
        <v>1.402765143409076E-2</v>
      </c>
      <c r="D746" s="440">
        <v>2.5441716420979269E-3</v>
      </c>
      <c r="E746" s="440">
        <f t="shared" si="322"/>
        <v>5.8389216811163019E-2</v>
      </c>
      <c r="F746" s="441"/>
      <c r="G746" s="440">
        <v>9.6826685349888239E-2</v>
      </c>
      <c r="H746" s="440">
        <v>5.8309396626368852E-2</v>
      </c>
      <c r="I746" s="440">
        <v>1.0787284275699993E-3</v>
      </c>
      <c r="J746" s="440">
        <f t="shared" si="325"/>
        <v>0.15621481040382709</v>
      </c>
      <c r="K746" s="441"/>
      <c r="L746" s="440">
        <v>8.9020482547071483E-2</v>
      </c>
      <c r="M746" s="440">
        <v>8.8777173923962491E-2</v>
      </c>
      <c r="N746" s="440">
        <v>8.4965308290565859E-4</v>
      </c>
      <c r="O746" s="440">
        <f t="shared" si="324"/>
        <v>0.17864730955393962</v>
      </c>
    </row>
    <row r="747" spans="1:15" s="351" customFormat="1" x14ac:dyDescent="0.2">
      <c r="A747" s="362" t="str">
        <f>name!E$11</f>
        <v>Process, plant and machine operatives</v>
      </c>
      <c r="B747" s="440">
        <v>1.3466474234843677E-2</v>
      </c>
      <c r="C747" s="440">
        <v>2.3884029910775069E-3</v>
      </c>
      <c r="D747" s="440">
        <v>2.6593195356706561E-3</v>
      </c>
      <c r="E747" s="440">
        <f t="shared" si="322"/>
        <v>1.8514196761591842E-2</v>
      </c>
      <c r="F747" s="441"/>
      <c r="G747" s="440">
        <v>2.8642382093078025E-2</v>
      </c>
      <c r="H747" s="440">
        <v>7.9292405372063182E-3</v>
      </c>
      <c r="I747" s="440">
        <v>2.2018543191715651E-3</v>
      </c>
      <c r="J747" s="440">
        <f t="shared" si="325"/>
        <v>3.8773476949455911E-2</v>
      </c>
      <c r="K747" s="441"/>
      <c r="L747" s="440">
        <v>2.3181182845008929E-2</v>
      </c>
      <c r="M747" s="440">
        <v>1.1294458165812017E-2</v>
      </c>
      <c r="N747" s="440">
        <v>1.4428444944409101E-3</v>
      </c>
      <c r="O747" s="440">
        <f t="shared" si="324"/>
        <v>3.5918485505261853E-2</v>
      </c>
    </row>
    <row r="748" spans="1:15" s="351" customFormat="1" x14ac:dyDescent="0.2">
      <c r="A748" s="362" t="str">
        <f>name!E$12</f>
        <v>Elementary occupations</v>
      </c>
      <c r="B748" s="440">
        <v>4.2317568622478957E-2</v>
      </c>
      <c r="C748" s="440">
        <v>2.1023767957576281E-2</v>
      </c>
      <c r="D748" s="440">
        <v>1.7204389948372572E-2</v>
      </c>
      <c r="E748" s="440">
        <f t="shared" si="322"/>
        <v>8.0545726528427813E-2</v>
      </c>
      <c r="F748" s="441"/>
      <c r="G748" s="440">
        <v>9.7951910099805584E-2</v>
      </c>
      <c r="H748" s="440">
        <v>4.1273592031314754E-2</v>
      </c>
      <c r="I748" s="440">
        <v>4.0998150257963118E-3</v>
      </c>
      <c r="J748" s="440">
        <f t="shared" si="325"/>
        <v>0.14332531715691665</v>
      </c>
      <c r="K748" s="441"/>
      <c r="L748" s="440">
        <v>9.1007936233745063E-2</v>
      </c>
      <c r="M748" s="440">
        <v>6.1308897435091853E-2</v>
      </c>
      <c r="N748" s="440">
        <v>2.4679882267571083E-3</v>
      </c>
      <c r="O748" s="440">
        <f t="shared" si="324"/>
        <v>0.15478482189559403</v>
      </c>
    </row>
    <row r="749" spans="1:15" s="351" customFormat="1" x14ac:dyDescent="0.2">
      <c r="A749" s="362"/>
      <c r="B749" s="440"/>
      <c r="C749" s="440"/>
      <c r="D749" s="440"/>
      <c r="E749" s="440"/>
      <c r="F749" s="441"/>
      <c r="G749" s="440"/>
      <c r="H749" s="440"/>
      <c r="I749" s="440"/>
      <c r="J749" s="440"/>
      <c r="K749" s="441"/>
      <c r="L749" s="440"/>
      <c r="M749" s="440"/>
      <c r="N749" s="440"/>
      <c r="O749" s="440"/>
    </row>
    <row r="750" spans="1:15" s="351" customFormat="1" x14ac:dyDescent="0.2">
      <c r="A750" s="357" t="s">
        <v>32</v>
      </c>
      <c r="B750" s="450">
        <f>SUM(B740:B748)</f>
        <v>0.48599999999933863</v>
      </c>
      <c r="C750" s="450">
        <f t="shared" ref="C750:E750" si="326">SUM(C740:C748)</f>
        <v>9.6000000000026398E-2</v>
      </c>
      <c r="D750" s="450">
        <f t="shared" si="326"/>
        <v>0.28899999999957315</v>
      </c>
      <c r="E750" s="450">
        <f t="shared" si="326"/>
        <v>0.87099999999893818</v>
      </c>
      <c r="F750" s="450"/>
      <c r="G750" s="450">
        <f t="shared" ref="G750:J750" si="327">SUM(G740:G748)</f>
        <v>1.0769999999949444</v>
      </c>
      <c r="H750" s="450">
        <f t="shared" si="327"/>
        <v>0.23300000000121818</v>
      </c>
      <c r="I750" s="450">
        <f t="shared" si="327"/>
        <v>0.23199999999360268</v>
      </c>
      <c r="J750" s="450">
        <f t="shared" si="327"/>
        <v>1.5419999999897651</v>
      </c>
      <c r="K750" s="450"/>
      <c r="L750" s="450">
        <f t="shared" ref="L750:O750" si="328">SUM(L740:L748)</f>
        <v>0.94399999999984596</v>
      </c>
      <c r="M750" s="450">
        <f t="shared" si="328"/>
        <v>0.33299999999828811</v>
      </c>
      <c r="N750" s="450">
        <f t="shared" si="328"/>
        <v>0.22399999999500486</v>
      </c>
      <c r="O750" s="450">
        <f t="shared" si="328"/>
        <v>1.5009999999931387</v>
      </c>
    </row>
    <row r="751" spans="1:15" s="351" customFormat="1" x14ac:dyDescent="0.2">
      <c r="A751" s="348"/>
      <c r="B751" s="348"/>
      <c r="C751" s="348"/>
      <c r="D751" s="348"/>
      <c r="E751" s="348"/>
      <c r="F751" s="348"/>
      <c r="G751" s="348"/>
      <c r="H751" s="348"/>
      <c r="I751" s="348"/>
      <c r="J751" s="348"/>
      <c r="K751" s="348"/>
      <c r="L751" s="348"/>
      <c r="M751" s="348"/>
      <c r="N751" s="353"/>
    </row>
    <row r="752" spans="1:15" s="351" customFormat="1" x14ac:dyDescent="0.2">
      <c r="A752" s="348"/>
      <c r="B752" s="348"/>
      <c r="C752" s="348"/>
      <c r="D752" s="348"/>
      <c r="E752" s="348"/>
      <c r="F752" s="348"/>
      <c r="G752" s="348"/>
      <c r="H752" s="348"/>
      <c r="I752" s="348"/>
      <c r="J752" s="348"/>
      <c r="K752" s="348"/>
      <c r="L752" s="348"/>
      <c r="M752" s="348"/>
      <c r="N752" s="353"/>
      <c r="O752" s="367" t="s">
        <v>35</v>
      </c>
    </row>
    <row r="753" spans="1:15" s="351" customFormat="1" x14ac:dyDescent="0.2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</row>
    <row r="754" spans="1:15" s="351" customFormat="1" x14ac:dyDescent="0.2">
      <c r="A754" s="354" t="str">
        <f>name!A47</f>
        <v>Telecommunications</v>
      </c>
      <c r="B754" s="519">
        <f>$B$6</f>
        <v>2007</v>
      </c>
      <c r="C754" s="519"/>
      <c r="D754" s="519"/>
      <c r="E754" s="519"/>
      <c r="F754" s="380"/>
      <c r="G754" s="519">
        <f>$G$6</f>
        <v>2017</v>
      </c>
      <c r="H754" s="519"/>
      <c r="I754" s="519"/>
      <c r="J754" s="519"/>
      <c r="K754" s="380"/>
      <c r="L754" s="519">
        <f>$L$6</f>
        <v>2027</v>
      </c>
      <c r="M754" s="519"/>
      <c r="N754" s="519"/>
      <c r="O754" s="519"/>
    </row>
    <row r="755" spans="1:15" s="351" customFormat="1" x14ac:dyDescent="0.2">
      <c r="A755" s="370"/>
      <c r="B755" s="388" t="str">
        <f>$B$7</f>
        <v>FT</v>
      </c>
      <c r="C755" s="388" t="str">
        <f>$C$7</f>
        <v>PT</v>
      </c>
      <c r="D755" s="388" t="str">
        <f>$D$7</f>
        <v>SE</v>
      </c>
      <c r="E755" s="388" t="str">
        <f>$E$7</f>
        <v>Total</v>
      </c>
      <c r="F755" s="388"/>
      <c r="G755" s="388" t="str">
        <f>$G$7</f>
        <v>FT</v>
      </c>
      <c r="H755" s="388" t="str">
        <f>$H$7</f>
        <v>PT</v>
      </c>
      <c r="I755" s="388" t="str">
        <f>$I$7</f>
        <v>SE</v>
      </c>
      <c r="J755" s="388" t="str">
        <f>$J$7</f>
        <v>Total</v>
      </c>
      <c r="K755" s="388"/>
      <c r="L755" s="388" t="str">
        <f>$L$7</f>
        <v>FT</v>
      </c>
      <c r="M755" s="388" t="str">
        <f>$M$7</f>
        <v>PT</v>
      </c>
      <c r="N755" s="388" t="str">
        <f>$N$7</f>
        <v>SE</v>
      </c>
      <c r="O755" s="388" t="str">
        <f>$O$7</f>
        <v>Total</v>
      </c>
    </row>
    <row r="756" spans="1:15" s="351" customFormat="1" x14ac:dyDescent="0.2">
      <c r="A756" s="374"/>
      <c r="B756" s="350"/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</row>
    <row r="757" spans="1:15" s="351" customFormat="1" x14ac:dyDescent="0.2">
      <c r="A757" s="362" t="str">
        <f>name!E$4</f>
        <v>Managers, directors and senior officials</v>
      </c>
      <c r="B757" s="440">
        <v>0.8982098533557612</v>
      </c>
      <c r="C757" s="440">
        <v>4.1790345913001396E-2</v>
      </c>
      <c r="D757" s="440">
        <v>0.33030214050267015</v>
      </c>
      <c r="E757" s="440">
        <f>SUM(B757:D757)</f>
        <v>1.2703023397714328</v>
      </c>
      <c r="F757" s="441"/>
      <c r="G757" s="440">
        <v>0.80199680332716905</v>
      </c>
      <c r="H757" s="440">
        <v>1.48843623262371E-2</v>
      </c>
      <c r="I757" s="440">
        <v>6.2032828476226279E-2</v>
      </c>
      <c r="J757" s="440">
        <f>SUM(G757:I757)</f>
        <v>0.87891399412963245</v>
      </c>
      <c r="K757" s="441"/>
      <c r="L757" s="440">
        <v>0.82341928504228856</v>
      </c>
      <c r="M757" s="440">
        <v>2.9639713712338346E-2</v>
      </c>
      <c r="N757" s="440">
        <v>7.7686186760633172E-2</v>
      </c>
      <c r="O757" s="440">
        <f>SUM(L757:N757)</f>
        <v>0.93074518551526009</v>
      </c>
    </row>
    <row r="758" spans="1:15" s="351" customFormat="1" x14ac:dyDescent="0.2">
      <c r="A758" s="362" t="str">
        <f>name!E$5</f>
        <v>Professional occupations</v>
      </c>
      <c r="B758" s="440">
        <v>1.1378773428129962</v>
      </c>
      <c r="C758" s="440">
        <v>2.1742108969336361E-2</v>
      </c>
      <c r="D758" s="440">
        <v>0.43315683588095566</v>
      </c>
      <c r="E758" s="440">
        <f t="shared" ref="E758:E765" si="329">SUM(B758:D758)</f>
        <v>1.5927762876632883</v>
      </c>
      <c r="F758" s="441"/>
      <c r="G758" s="440">
        <v>1.0921313883236379</v>
      </c>
      <c r="H758" s="440">
        <v>7.3309956781107462E-3</v>
      </c>
      <c r="I758" s="440">
        <v>0.11041893740961685</v>
      </c>
      <c r="J758" s="440">
        <f t="shared" ref="J758:J760" si="330">SUM(G758:I758)</f>
        <v>1.2098813214113655</v>
      </c>
      <c r="K758" s="441"/>
      <c r="L758" s="440">
        <v>1.0835837375357618</v>
      </c>
      <c r="M758" s="440">
        <v>1.4234330485531882E-2</v>
      </c>
      <c r="N758" s="440">
        <v>0.13354214087731825</v>
      </c>
      <c r="O758" s="440">
        <f t="shared" ref="O758:O765" si="331">SUM(L758:N758)</f>
        <v>1.231360208898612</v>
      </c>
    </row>
    <row r="759" spans="1:15" s="351" customFormat="1" x14ac:dyDescent="0.2">
      <c r="A759" s="362" t="str">
        <f>name!E$6</f>
        <v>Associate professional and technical</v>
      </c>
      <c r="B759" s="440">
        <v>1.0407789513111843</v>
      </c>
      <c r="C759" s="440">
        <v>4.839147531254382E-2</v>
      </c>
      <c r="D759" s="440">
        <v>0.17531091668012791</v>
      </c>
      <c r="E759" s="440">
        <f t="shared" si="329"/>
        <v>1.264481343303856</v>
      </c>
      <c r="F759" s="441"/>
      <c r="G759" s="440">
        <v>0.7306478806647474</v>
      </c>
      <c r="H759" s="440">
        <v>1.5095254396737248E-2</v>
      </c>
      <c r="I759" s="440">
        <v>3.9475529577324864E-2</v>
      </c>
      <c r="J759" s="440">
        <f t="shared" si="330"/>
        <v>0.78521866463880952</v>
      </c>
      <c r="K759" s="441"/>
      <c r="L759" s="440">
        <v>0.73138950964633243</v>
      </c>
      <c r="M759" s="440">
        <v>2.9025745360715356E-2</v>
      </c>
      <c r="N759" s="440">
        <v>4.7670267274274966E-2</v>
      </c>
      <c r="O759" s="440">
        <f t="shared" si="331"/>
        <v>0.80808552228132269</v>
      </c>
    </row>
    <row r="760" spans="1:15" s="351" customFormat="1" x14ac:dyDescent="0.2">
      <c r="A760" s="362" t="str">
        <f>name!E$7</f>
        <v>Administrative and secretarial</v>
      </c>
      <c r="B760" s="440">
        <v>0.47845858934614843</v>
      </c>
      <c r="C760" s="440">
        <v>8.8776158837730726E-2</v>
      </c>
      <c r="D760" s="440">
        <v>5.2009142209817019E-2</v>
      </c>
      <c r="E760" s="440">
        <f t="shared" si="329"/>
        <v>0.61924389039369621</v>
      </c>
      <c r="F760" s="441"/>
      <c r="G760" s="440">
        <v>0.22407752113561807</v>
      </c>
      <c r="H760" s="440">
        <v>1.4299044062159601E-2</v>
      </c>
      <c r="I760" s="440">
        <v>5.2815674072843287E-3</v>
      </c>
      <c r="J760" s="440">
        <f t="shared" si="330"/>
        <v>0.243658132605062</v>
      </c>
      <c r="K760" s="441"/>
      <c r="L760" s="440">
        <v>0.20114145098900596</v>
      </c>
      <c r="M760" s="440">
        <v>2.2464221849951217E-2</v>
      </c>
      <c r="N760" s="440">
        <v>5.9864161403041741E-3</v>
      </c>
      <c r="O760" s="440">
        <f t="shared" si="331"/>
        <v>0.22959208897926137</v>
      </c>
    </row>
    <row r="761" spans="1:15" s="351" customFormat="1" x14ac:dyDescent="0.2">
      <c r="A761" s="362" t="str">
        <f>name!E$8</f>
        <v>Skilled trades occupations</v>
      </c>
      <c r="B761" s="440">
        <v>0.97697792544432616</v>
      </c>
      <c r="C761" s="440">
        <v>2.1457558646633648E-2</v>
      </c>
      <c r="D761" s="440">
        <v>0.43108265738959983</v>
      </c>
      <c r="E761" s="440">
        <f t="shared" si="329"/>
        <v>1.4295181414805596</v>
      </c>
      <c r="F761" s="441"/>
      <c r="G761" s="440">
        <v>0.53241725467243461</v>
      </c>
      <c r="H761" s="440">
        <v>4.9824130298580785E-3</v>
      </c>
      <c r="I761" s="440">
        <v>4.4439148996929224E-2</v>
      </c>
      <c r="J761" s="440">
        <f>SUM(G761:I761)</f>
        <v>0.58183881669922188</v>
      </c>
      <c r="K761" s="441"/>
      <c r="L761" s="440">
        <v>0.37506082537293667</v>
      </c>
      <c r="M761" s="440">
        <v>7.1374673643621964E-3</v>
      </c>
      <c r="N761" s="440">
        <v>5.1452426081258808E-2</v>
      </c>
      <c r="O761" s="440">
        <f t="shared" si="331"/>
        <v>0.43365071881855771</v>
      </c>
    </row>
    <row r="762" spans="1:15" s="351" customFormat="1" x14ac:dyDescent="0.2">
      <c r="A762" s="362" t="str">
        <f>name!E$9</f>
        <v>Caring, leisure and other service</v>
      </c>
      <c r="B762" s="440">
        <v>0.11869205323210309</v>
      </c>
      <c r="C762" s="440">
        <v>1.8832475309590212E-2</v>
      </c>
      <c r="D762" s="440">
        <v>3.3070503932709966E-2</v>
      </c>
      <c r="E762" s="440">
        <f t="shared" si="329"/>
        <v>0.17059503247440327</v>
      </c>
      <c r="F762" s="441"/>
      <c r="G762" s="440">
        <v>0.1198115611559727</v>
      </c>
      <c r="H762" s="440">
        <v>5.1073194638573439E-3</v>
      </c>
      <c r="I762" s="440">
        <v>4.8196927286287905E-3</v>
      </c>
      <c r="J762" s="440">
        <f t="shared" ref="J762:J765" si="332">SUM(G762:I762)</f>
        <v>0.12973857334845884</v>
      </c>
      <c r="K762" s="441"/>
      <c r="L762" s="440">
        <v>0.13092705994932394</v>
      </c>
      <c r="M762" s="440">
        <v>1.023301630087144E-2</v>
      </c>
      <c r="N762" s="440">
        <v>7.0586021513384285E-3</v>
      </c>
      <c r="O762" s="440">
        <f t="shared" si="331"/>
        <v>0.14821867840153383</v>
      </c>
    </row>
    <row r="763" spans="1:15" s="351" customFormat="1" x14ac:dyDescent="0.2">
      <c r="A763" s="362" t="str">
        <f>name!E$10</f>
        <v>Sales and customer service</v>
      </c>
      <c r="B763" s="440">
        <v>0.89945164919868581</v>
      </c>
      <c r="C763" s="440">
        <v>0.29810438546713658</v>
      </c>
      <c r="D763" s="440">
        <v>4.576914419045075E-2</v>
      </c>
      <c r="E763" s="440">
        <f t="shared" si="329"/>
        <v>1.2433251788562729</v>
      </c>
      <c r="F763" s="441"/>
      <c r="G763" s="440">
        <v>0.46317224493541925</v>
      </c>
      <c r="H763" s="440">
        <v>9.6693274502388737E-2</v>
      </c>
      <c r="I763" s="440">
        <v>6.8156857727211919E-3</v>
      </c>
      <c r="J763" s="440">
        <f t="shared" si="332"/>
        <v>0.56668120521052912</v>
      </c>
      <c r="K763" s="441"/>
      <c r="L763" s="440">
        <v>0.46549649382106362</v>
      </c>
      <c r="M763" s="440">
        <v>0.17744492714580914</v>
      </c>
      <c r="N763" s="440">
        <v>8.3228992851782976E-3</v>
      </c>
      <c r="O763" s="440">
        <f t="shared" si="331"/>
        <v>0.65126432025205105</v>
      </c>
    </row>
    <row r="764" spans="1:15" s="351" customFormat="1" x14ac:dyDescent="0.2">
      <c r="A764" s="362" t="str">
        <f>name!E$11</f>
        <v>Process, plant and machine operatives</v>
      </c>
      <c r="B764" s="440">
        <v>7.0895769903025069E-2</v>
      </c>
      <c r="C764" s="440">
        <v>2.5952724267726265E-2</v>
      </c>
      <c r="D764" s="440">
        <v>7.4384713579407735E-2</v>
      </c>
      <c r="E764" s="440">
        <f t="shared" si="329"/>
        <v>0.17123320775015907</v>
      </c>
      <c r="F764" s="441"/>
      <c r="G764" s="440">
        <v>4.923495762279096E-2</v>
      </c>
      <c r="H764" s="440">
        <v>8.3762438991544456E-3</v>
      </c>
      <c r="I764" s="440">
        <v>1.3782570334497129E-2</v>
      </c>
      <c r="J764" s="440">
        <f t="shared" si="332"/>
        <v>7.1393771856442537E-2</v>
      </c>
      <c r="K764" s="441"/>
      <c r="L764" s="440">
        <v>4.0797819423214463E-2</v>
      </c>
      <c r="M764" s="440">
        <v>1.4629505728391966E-2</v>
      </c>
      <c r="N764" s="440">
        <v>1.7535139720377766E-2</v>
      </c>
      <c r="O764" s="440">
        <f t="shared" si="331"/>
        <v>7.2962464871984198E-2</v>
      </c>
    </row>
    <row r="765" spans="1:15" s="351" customFormat="1" x14ac:dyDescent="0.2">
      <c r="A765" s="362" t="str">
        <f>name!E$12</f>
        <v>Elementary occupations</v>
      </c>
      <c r="B765" s="440">
        <v>5.6657865353649424E-2</v>
      </c>
      <c r="C765" s="440">
        <v>2.7952767275513452E-2</v>
      </c>
      <c r="D765" s="440">
        <v>0.16991394562333187</v>
      </c>
      <c r="E765" s="440">
        <f t="shared" si="329"/>
        <v>0.25452457825249475</v>
      </c>
      <c r="F765" s="441"/>
      <c r="G765" s="440">
        <v>4.051038811906299E-2</v>
      </c>
      <c r="H765" s="440">
        <v>7.2310926429958594E-3</v>
      </c>
      <c r="I765" s="440">
        <v>4.0934039290459807E-2</v>
      </c>
      <c r="J765" s="440">
        <f t="shared" si="332"/>
        <v>8.8675520052518664E-2</v>
      </c>
      <c r="K765" s="441"/>
      <c r="L765" s="440">
        <v>3.518381825476101E-2</v>
      </c>
      <c r="M765" s="440">
        <v>1.3191072051698206E-2</v>
      </c>
      <c r="N765" s="440">
        <v>4.7745921709997426E-2</v>
      </c>
      <c r="O765" s="440">
        <f t="shared" si="331"/>
        <v>9.6120812016456642E-2</v>
      </c>
    </row>
    <row r="766" spans="1:15" s="351" customFormat="1" x14ac:dyDescent="0.2">
      <c r="A766" s="362"/>
      <c r="B766" s="440"/>
      <c r="C766" s="440"/>
      <c r="D766" s="440"/>
      <c r="E766" s="440"/>
      <c r="F766" s="441"/>
      <c r="G766" s="440"/>
      <c r="H766" s="440"/>
      <c r="I766" s="440"/>
      <c r="J766" s="440"/>
      <c r="K766" s="441"/>
      <c r="L766" s="440"/>
      <c r="M766" s="440"/>
      <c r="N766" s="440"/>
      <c r="O766" s="440"/>
    </row>
    <row r="767" spans="1:15" s="351" customFormat="1" x14ac:dyDescent="0.2">
      <c r="A767" s="357" t="s">
        <v>32</v>
      </c>
      <c r="B767" s="450">
        <f>SUM(B757:B765)</f>
        <v>5.6779999999578807</v>
      </c>
      <c r="C767" s="450">
        <f t="shared" ref="C767:E767" si="333">SUM(C757:C765)</f>
        <v>0.59299999999921238</v>
      </c>
      <c r="D767" s="450">
        <f t="shared" si="333"/>
        <v>1.7449999999890711</v>
      </c>
      <c r="E767" s="450">
        <f t="shared" si="333"/>
        <v>8.015999999946164</v>
      </c>
      <c r="F767" s="450"/>
      <c r="G767" s="450">
        <f t="shared" ref="G767:J767" si="334">SUM(G757:G765)</f>
        <v>4.0539999999568526</v>
      </c>
      <c r="H767" s="450">
        <f t="shared" si="334"/>
        <v>0.17400000000149918</v>
      </c>
      <c r="I767" s="450">
        <f t="shared" si="334"/>
        <v>0.32799999999368851</v>
      </c>
      <c r="J767" s="450">
        <f t="shared" si="334"/>
        <v>4.5559999999520402</v>
      </c>
      <c r="K767" s="450"/>
      <c r="L767" s="450">
        <f t="shared" ref="L767:O767" si="335">SUM(L757:L765)</f>
        <v>3.8870000000346883</v>
      </c>
      <c r="M767" s="450">
        <f t="shared" si="335"/>
        <v>0.31799999999966977</v>
      </c>
      <c r="N767" s="450">
        <f t="shared" si="335"/>
        <v>0.39700000000068131</v>
      </c>
      <c r="O767" s="450">
        <f t="shared" si="335"/>
        <v>4.6020000000350398</v>
      </c>
    </row>
    <row r="768" spans="1:15" s="351" customFormat="1" x14ac:dyDescent="0.2">
      <c r="A768" s="348"/>
      <c r="B768" s="348"/>
      <c r="C768" s="348"/>
      <c r="D768" s="348"/>
      <c r="E768" s="348"/>
      <c r="F768" s="348"/>
      <c r="G768" s="348"/>
      <c r="H768" s="348"/>
      <c r="I768" s="348"/>
      <c r="J768" s="348"/>
      <c r="K768" s="348"/>
      <c r="L768" s="348"/>
      <c r="M768" s="348"/>
      <c r="N768" s="353"/>
    </row>
    <row r="769" spans="1:15" s="351" customFormat="1" x14ac:dyDescent="0.2">
      <c r="A769" s="348"/>
      <c r="B769" s="348"/>
      <c r="C769" s="348"/>
      <c r="D769" s="348"/>
      <c r="E769" s="348"/>
      <c r="F769" s="348"/>
      <c r="G769" s="348"/>
      <c r="H769" s="348"/>
      <c r="I769" s="348"/>
      <c r="J769" s="348"/>
      <c r="K769" s="348"/>
      <c r="L769" s="348"/>
      <c r="M769" s="348"/>
      <c r="N769" s="353"/>
      <c r="O769" s="367" t="s">
        <v>35</v>
      </c>
    </row>
    <row r="770" spans="1:15" s="351" customFormat="1" x14ac:dyDescent="0.2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</row>
    <row r="771" spans="1:15" s="351" customFormat="1" x14ac:dyDescent="0.2">
      <c r="A771" s="354" t="str">
        <f>name!A48</f>
        <v>Computing services</v>
      </c>
      <c r="B771" s="519">
        <f>$B$6</f>
        <v>2007</v>
      </c>
      <c r="C771" s="519"/>
      <c r="D771" s="519"/>
      <c r="E771" s="519"/>
      <c r="F771" s="380"/>
      <c r="G771" s="519">
        <f>$G$6</f>
        <v>2017</v>
      </c>
      <c r="H771" s="519"/>
      <c r="I771" s="519"/>
      <c r="J771" s="519"/>
      <c r="K771" s="380"/>
      <c r="L771" s="519">
        <f>$L$6</f>
        <v>2027</v>
      </c>
      <c r="M771" s="519"/>
      <c r="N771" s="519"/>
      <c r="O771" s="519"/>
    </row>
    <row r="772" spans="1:15" s="351" customFormat="1" x14ac:dyDescent="0.2">
      <c r="A772" s="370"/>
      <c r="B772" s="388" t="str">
        <f>$B$7</f>
        <v>FT</v>
      </c>
      <c r="C772" s="388" t="str">
        <f>$C$7</f>
        <v>PT</v>
      </c>
      <c r="D772" s="388" t="str">
        <f>$D$7</f>
        <v>SE</v>
      </c>
      <c r="E772" s="388" t="str">
        <f>$E$7</f>
        <v>Total</v>
      </c>
      <c r="F772" s="388"/>
      <c r="G772" s="388" t="str">
        <f>$G$7</f>
        <v>FT</v>
      </c>
      <c r="H772" s="388" t="str">
        <f>$H$7</f>
        <v>PT</v>
      </c>
      <c r="I772" s="388" t="str">
        <f>$I$7</f>
        <v>SE</v>
      </c>
      <c r="J772" s="388" t="str">
        <f>$J$7</f>
        <v>Total</v>
      </c>
      <c r="K772" s="388"/>
      <c r="L772" s="388" t="str">
        <f>$L$7</f>
        <v>FT</v>
      </c>
      <c r="M772" s="388" t="str">
        <f>$M$7</f>
        <v>PT</v>
      </c>
      <c r="N772" s="388" t="str">
        <f>$N$7</f>
        <v>SE</v>
      </c>
      <c r="O772" s="388" t="str">
        <f>$O$7</f>
        <v>Total</v>
      </c>
    </row>
    <row r="773" spans="1:15" s="351" customFormat="1" x14ac:dyDescent="0.2">
      <c r="A773" s="374"/>
      <c r="B773" s="350"/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</row>
    <row r="774" spans="1:15" s="351" customFormat="1" x14ac:dyDescent="0.2">
      <c r="A774" s="362" t="str">
        <f>name!E$4</f>
        <v>Managers, directors and senior officials</v>
      </c>
      <c r="B774" s="440">
        <v>0.94303082445310449</v>
      </c>
      <c r="C774" s="440">
        <v>0.15347550611523325</v>
      </c>
      <c r="D774" s="440">
        <v>0.37377019531576999</v>
      </c>
      <c r="E774" s="440">
        <f>SUM(B774:D774)</f>
        <v>1.4702765258841077</v>
      </c>
      <c r="F774" s="441"/>
      <c r="G774" s="440">
        <v>2.4905106846972092</v>
      </c>
      <c r="H774" s="440">
        <v>0.18654911750044775</v>
      </c>
      <c r="I774" s="440">
        <v>0.24019944035033863</v>
      </c>
      <c r="J774" s="440">
        <f>SUM(G774:I774)</f>
        <v>2.9172592425479955</v>
      </c>
      <c r="K774" s="441"/>
      <c r="L774" s="440">
        <v>2.5434240906315972</v>
      </c>
      <c r="M774" s="440">
        <v>0.36683265539766124</v>
      </c>
      <c r="N774" s="440">
        <v>0.27309791023917418</v>
      </c>
      <c r="O774" s="440">
        <f>SUM(L774:N774)</f>
        <v>3.1833546562684325</v>
      </c>
    </row>
    <row r="775" spans="1:15" s="351" customFormat="1" x14ac:dyDescent="0.2">
      <c r="A775" s="362" t="str">
        <f>name!E$5</f>
        <v>Professional occupations</v>
      </c>
      <c r="B775" s="440">
        <v>2.9863354402105489</v>
      </c>
      <c r="C775" s="440">
        <v>0.20413393144377939</v>
      </c>
      <c r="D775" s="440">
        <v>0.98902877107202936</v>
      </c>
      <c r="E775" s="440">
        <f t="shared" ref="E775:E782" si="336">SUM(B775:D775)</f>
        <v>4.1794981427263576</v>
      </c>
      <c r="F775" s="441"/>
      <c r="G775" s="440">
        <v>8.2126843036239912</v>
      </c>
      <c r="H775" s="440">
        <v>0.27894849114658254</v>
      </c>
      <c r="I775" s="440">
        <v>0.72093919010539542</v>
      </c>
      <c r="J775" s="440">
        <f t="shared" ref="J775:J777" si="337">SUM(G775:I775)</f>
        <v>9.2125719848759697</v>
      </c>
      <c r="K775" s="441"/>
      <c r="L775" s="440">
        <v>7.9992590488227995</v>
      </c>
      <c r="M775" s="440">
        <v>0.56879860722785547</v>
      </c>
      <c r="N775" s="440">
        <v>0.85463116985914922</v>
      </c>
      <c r="O775" s="440">
        <f t="shared" ref="O775:O782" si="338">SUM(L775:N775)</f>
        <v>9.4226888259098036</v>
      </c>
    </row>
    <row r="776" spans="1:15" s="351" customFormat="1" x14ac:dyDescent="0.2">
      <c r="A776" s="362" t="str">
        <f>name!E$6</f>
        <v>Associate professional and technical</v>
      </c>
      <c r="B776" s="440">
        <v>1.9384885509913419</v>
      </c>
      <c r="C776" s="440">
        <v>0.20679432889039639</v>
      </c>
      <c r="D776" s="440">
        <v>0.34543057661572335</v>
      </c>
      <c r="E776" s="440">
        <f t="shared" si="336"/>
        <v>2.4907134564974616</v>
      </c>
      <c r="F776" s="441"/>
      <c r="G776" s="440">
        <v>5.0732404512424001</v>
      </c>
      <c r="H776" s="440">
        <v>0.27759246210648164</v>
      </c>
      <c r="I776" s="440">
        <v>0.2433459929102357</v>
      </c>
      <c r="J776" s="440">
        <f t="shared" si="337"/>
        <v>5.594178906259117</v>
      </c>
      <c r="K776" s="441"/>
      <c r="L776" s="440">
        <v>5.0496231142844765</v>
      </c>
      <c r="M776" s="440">
        <v>0.53739554087976171</v>
      </c>
      <c r="N776" s="440">
        <v>0.26789006427169654</v>
      </c>
      <c r="O776" s="440">
        <f t="shared" si="338"/>
        <v>5.8549087194359348</v>
      </c>
    </row>
    <row r="777" spans="1:15" s="351" customFormat="1" x14ac:dyDescent="0.2">
      <c r="A777" s="362" t="str">
        <f>name!E$7</f>
        <v>Administrative and secretarial</v>
      </c>
      <c r="B777" s="440">
        <v>0.82883211142966162</v>
      </c>
      <c r="C777" s="440">
        <v>0.7675668437564126</v>
      </c>
      <c r="D777" s="440">
        <v>4.2088403444619692E-2</v>
      </c>
      <c r="E777" s="440">
        <f t="shared" si="336"/>
        <v>1.6384873586306938</v>
      </c>
      <c r="F777" s="441"/>
      <c r="G777" s="440">
        <v>1.9637055523707447</v>
      </c>
      <c r="H777" s="440">
        <v>0.74508776982289215</v>
      </c>
      <c r="I777" s="440">
        <v>9.1858350196574647E-3</v>
      </c>
      <c r="J777" s="440">
        <f t="shared" si="337"/>
        <v>2.7179791572132945</v>
      </c>
      <c r="K777" s="441"/>
      <c r="L777" s="440">
        <v>1.6434876713218578</v>
      </c>
      <c r="M777" s="440">
        <v>1.1293437455904463</v>
      </c>
      <c r="N777" s="440">
        <v>9.9859654919006481E-3</v>
      </c>
      <c r="O777" s="440">
        <f t="shared" si="338"/>
        <v>2.7828173824042044</v>
      </c>
    </row>
    <row r="778" spans="1:15" s="351" customFormat="1" x14ac:dyDescent="0.2">
      <c r="A778" s="362" t="str">
        <f>name!E$8</f>
        <v>Skilled trades occupations</v>
      </c>
      <c r="B778" s="440">
        <v>0.51187491809325159</v>
      </c>
      <c r="C778" s="440">
        <v>3.406056300381026E-2</v>
      </c>
      <c r="D778" s="440">
        <v>0.59481508835732266</v>
      </c>
      <c r="E778" s="440">
        <f t="shared" si="336"/>
        <v>1.1407505694543845</v>
      </c>
      <c r="F778" s="441"/>
      <c r="G778" s="440">
        <v>0.77163362596461593</v>
      </c>
      <c r="H778" s="440">
        <v>3.8722551708885701E-2</v>
      </c>
      <c r="I778" s="440">
        <v>0.41638959822095922</v>
      </c>
      <c r="J778" s="440">
        <f>SUM(G778:I778)</f>
        <v>1.2267457758944609</v>
      </c>
      <c r="K778" s="441"/>
      <c r="L778" s="440">
        <v>0.54166767939480931</v>
      </c>
      <c r="M778" s="440">
        <v>6.6712216098690616E-2</v>
      </c>
      <c r="N778" s="440">
        <v>0.58373660353921775</v>
      </c>
      <c r="O778" s="440">
        <f t="shared" si="338"/>
        <v>1.1921164990327178</v>
      </c>
    </row>
    <row r="779" spans="1:15" s="351" customFormat="1" x14ac:dyDescent="0.2">
      <c r="A779" s="362" t="str">
        <f>name!E$9</f>
        <v>Caring, leisure and other service</v>
      </c>
      <c r="B779" s="440">
        <v>0.21166302302992099</v>
      </c>
      <c r="C779" s="440">
        <v>3.9670240980260563E-2</v>
      </c>
      <c r="D779" s="440">
        <v>4.1055996458169076E-2</v>
      </c>
      <c r="E779" s="440">
        <f t="shared" si="336"/>
        <v>0.29238926046835062</v>
      </c>
      <c r="F779" s="441"/>
      <c r="G779" s="440">
        <v>0.6165958174692121</v>
      </c>
      <c r="H779" s="440">
        <v>5.4880019640925662E-2</v>
      </c>
      <c r="I779" s="440">
        <v>1.8098205840758382E-2</v>
      </c>
      <c r="J779" s="440">
        <f t="shared" ref="J779:J782" si="339">SUM(G779:I779)</f>
        <v>0.68957404295089619</v>
      </c>
      <c r="K779" s="441"/>
      <c r="L779" s="440">
        <v>0.73832409781347019</v>
      </c>
      <c r="M779" s="440">
        <v>0.1217994293514487</v>
      </c>
      <c r="N779" s="440">
        <v>2.4517754015324356E-2</v>
      </c>
      <c r="O779" s="440">
        <f t="shared" si="338"/>
        <v>0.88464128118024332</v>
      </c>
    </row>
    <row r="780" spans="1:15" s="351" customFormat="1" x14ac:dyDescent="0.2">
      <c r="A780" s="362" t="str">
        <f>name!E$10</f>
        <v>Sales and customer service</v>
      </c>
      <c r="B780" s="440">
        <v>0.38430133632965485</v>
      </c>
      <c r="C780" s="440">
        <v>0.1181668533476502</v>
      </c>
      <c r="D780" s="440">
        <v>2.1566694656419739E-2</v>
      </c>
      <c r="E780" s="440">
        <f t="shared" si="336"/>
        <v>0.5240348843337248</v>
      </c>
      <c r="F780" s="441"/>
      <c r="G780" s="440">
        <v>0.57259189284286682</v>
      </c>
      <c r="H780" s="440">
        <v>0.16969536157565135</v>
      </c>
      <c r="I780" s="440">
        <v>6.9572038693378902E-3</v>
      </c>
      <c r="J780" s="440">
        <f t="shared" si="339"/>
        <v>0.74924445828785602</v>
      </c>
      <c r="K780" s="441"/>
      <c r="L780" s="440">
        <v>0.56265194374608796</v>
      </c>
      <c r="M780" s="440">
        <v>0.32598449808669855</v>
      </c>
      <c r="N780" s="440">
        <v>7.7637643757350354E-3</v>
      </c>
      <c r="O780" s="440">
        <f t="shared" si="338"/>
        <v>0.89640020620852157</v>
      </c>
    </row>
    <row r="781" spans="1:15" s="351" customFormat="1" x14ac:dyDescent="0.2">
      <c r="A781" s="362" t="str">
        <f>name!E$11</f>
        <v>Process, plant and machine operatives</v>
      </c>
      <c r="B781" s="440">
        <v>4.0755641271692809E-2</v>
      </c>
      <c r="C781" s="440">
        <v>2.3068117060796447E-2</v>
      </c>
      <c r="D781" s="440">
        <v>0.17779252823937475</v>
      </c>
      <c r="E781" s="440">
        <f t="shared" si="336"/>
        <v>0.24161628657186401</v>
      </c>
      <c r="F781" s="441"/>
      <c r="G781" s="440">
        <v>9.7493658207860087E-2</v>
      </c>
      <c r="H781" s="440">
        <v>3.2483454753205604E-2</v>
      </c>
      <c r="I781" s="440">
        <v>0.11079251198325318</v>
      </c>
      <c r="J781" s="440">
        <f t="shared" si="339"/>
        <v>0.24076962494431886</v>
      </c>
      <c r="K781" s="441"/>
      <c r="L781" s="440">
        <v>7.8465434125099084E-2</v>
      </c>
      <c r="M781" s="440">
        <v>5.8667987820286004E-2</v>
      </c>
      <c r="N781" s="440">
        <v>0.1232284110618255</v>
      </c>
      <c r="O781" s="440">
        <f t="shared" si="338"/>
        <v>0.26036183300721061</v>
      </c>
    </row>
    <row r="782" spans="1:15" s="351" customFormat="1" x14ac:dyDescent="0.2">
      <c r="A782" s="362" t="str">
        <f>name!E$12</f>
        <v>Elementary occupations</v>
      </c>
      <c r="B782" s="440">
        <v>4.0718154141530738E-2</v>
      </c>
      <c r="C782" s="440">
        <v>2.9063615394351709E-2</v>
      </c>
      <c r="D782" s="440">
        <v>6.345174580289821E-2</v>
      </c>
      <c r="E782" s="440">
        <f t="shared" si="336"/>
        <v>0.13323351533878064</v>
      </c>
      <c r="F782" s="441"/>
      <c r="G782" s="440">
        <v>0.20654401333069147</v>
      </c>
      <c r="H782" s="440">
        <v>3.4040771732880046E-2</v>
      </c>
      <c r="I782" s="440">
        <v>3.3092021665555832E-2</v>
      </c>
      <c r="J782" s="440">
        <f t="shared" si="339"/>
        <v>0.27367680672912731</v>
      </c>
      <c r="K782" s="441"/>
      <c r="L782" s="440">
        <v>0.18209692006904843</v>
      </c>
      <c r="M782" s="440">
        <v>6.1465319544277544E-2</v>
      </c>
      <c r="N782" s="440">
        <v>3.3148357152406327E-2</v>
      </c>
      <c r="O782" s="440">
        <f t="shared" si="338"/>
        <v>0.27671059676573229</v>
      </c>
    </row>
    <row r="783" spans="1:15" s="351" customFormat="1" x14ac:dyDescent="0.2">
      <c r="A783" s="362"/>
      <c r="B783" s="440"/>
      <c r="C783" s="440"/>
      <c r="D783" s="440"/>
      <c r="E783" s="440"/>
      <c r="F783" s="441"/>
      <c r="G783" s="440"/>
      <c r="H783" s="440"/>
      <c r="I783" s="440"/>
      <c r="J783" s="440"/>
      <c r="K783" s="441"/>
      <c r="L783" s="440"/>
      <c r="M783" s="440"/>
      <c r="N783" s="440"/>
      <c r="O783" s="440"/>
    </row>
    <row r="784" spans="1:15" s="351" customFormat="1" x14ac:dyDescent="0.2">
      <c r="A784" s="357" t="s">
        <v>32</v>
      </c>
      <c r="B784" s="450">
        <f>SUM(B774:B782)</f>
        <v>7.8859999999507071</v>
      </c>
      <c r="C784" s="450">
        <f t="shared" ref="C784:E784" si="340">SUM(C774:C782)</f>
        <v>1.5759999999926908</v>
      </c>
      <c r="D784" s="450">
        <f t="shared" si="340"/>
        <v>2.6489999999623266</v>
      </c>
      <c r="E784" s="450">
        <f t="shared" si="340"/>
        <v>12.110999999905726</v>
      </c>
      <c r="F784" s="450"/>
      <c r="G784" s="450">
        <f t="shared" ref="G784:J784" si="341">SUM(G774:G782)</f>
        <v>20.00499999974959</v>
      </c>
      <c r="H784" s="450">
        <f t="shared" si="341"/>
        <v>1.8179999999879524</v>
      </c>
      <c r="I784" s="450">
        <f t="shared" si="341"/>
        <v>1.7989999999654918</v>
      </c>
      <c r="J784" s="450">
        <f t="shared" si="341"/>
        <v>23.621999999703032</v>
      </c>
      <c r="K784" s="450"/>
      <c r="L784" s="450">
        <f t="shared" ref="L784:O784" si="342">SUM(L774:L782)</f>
        <v>19.339000000209246</v>
      </c>
      <c r="M784" s="450">
        <f t="shared" si="342"/>
        <v>3.2369999999971264</v>
      </c>
      <c r="N784" s="450">
        <f t="shared" si="342"/>
        <v>2.1780000000064299</v>
      </c>
      <c r="O784" s="450">
        <f t="shared" si="342"/>
        <v>24.754000000212798</v>
      </c>
    </row>
    <row r="785" spans="1:15" s="351" customFormat="1" x14ac:dyDescent="0.2">
      <c r="A785" s="348"/>
      <c r="B785" s="348"/>
      <c r="C785" s="348"/>
      <c r="D785" s="348"/>
      <c r="E785" s="348"/>
      <c r="F785" s="348"/>
      <c r="G785" s="348"/>
      <c r="H785" s="348"/>
      <c r="I785" s="348"/>
      <c r="J785" s="348"/>
      <c r="K785" s="348"/>
      <c r="L785" s="348"/>
      <c r="M785" s="348"/>
      <c r="N785" s="353"/>
    </row>
    <row r="786" spans="1:15" s="351" customFormat="1" x14ac:dyDescent="0.2">
      <c r="A786" s="348"/>
      <c r="B786" s="348"/>
      <c r="C786" s="348"/>
      <c r="D786" s="348"/>
      <c r="E786" s="348"/>
      <c r="F786" s="348"/>
      <c r="G786" s="348"/>
      <c r="H786" s="348"/>
      <c r="I786" s="348"/>
      <c r="J786" s="348"/>
      <c r="K786" s="348"/>
      <c r="L786" s="348"/>
      <c r="M786" s="348"/>
      <c r="N786" s="353"/>
      <c r="O786" s="367" t="s">
        <v>35</v>
      </c>
    </row>
    <row r="787" spans="1:15" s="351" customFormat="1" x14ac:dyDescent="0.2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</row>
    <row r="788" spans="1:15" s="351" customFormat="1" x14ac:dyDescent="0.2">
      <c r="A788" s="354" t="str">
        <f>name!A49</f>
        <v>Information services</v>
      </c>
      <c r="B788" s="519">
        <f>$B$6</f>
        <v>2007</v>
      </c>
      <c r="C788" s="519"/>
      <c r="D788" s="519"/>
      <c r="E788" s="519"/>
      <c r="F788" s="380"/>
      <c r="G788" s="519">
        <f>$G$6</f>
        <v>2017</v>
      </c>
      <c r="H788" s="519"/>
      <c r="I788" s="519"/>
      <c r="J788" s="519"/>
      <c r="K788" s="380"/>
      <c r="L788" s="519">
        <f>$L$6</f>
        <v>2027</v>
      </c>
      <c r="M788" s="519"/>
      <c r="N788" s="519"/>
      <c r="O788" s="519"/>
    </row>
    <row r="789" spans="1:15" s="351" customFormat="1" x14ac:dyDescent="0.2">
      <c r="A789" s="370"/>
      <c r="B789" s="388" t="str">
        <f>$B$7</f>
        <v>FT</v>
      </c>
      <c r="C789" s="388" t="str">
        <f>$C$7</f>
        <v>PT</v>
      </c>
      <c r="D789" s="388" t="str">
        <f>$D$7</f>
        <v>SE</v>
      </c>
      <c r="E789" s="388" t="str">
        <f>$E$7</f>
        <v>Total</v>
      </c>
      <c r="F789" s="388"/>
      <c r="G789" s="388" t="str">
        <f>$G$7</f>
        <v>FT</v>
      </c>
      <c r="H789" s="388" t="str">
        <f>$H$7</f>
        <v>PT</v>
      </c>
      <c r="I789" s="388" t="str">
        <f>$I$7</f>
        <v>SE</v>
      </c>
      <c r="J789" s="388" t="str">
        <f>$J$7</f>
        <v>Total</v>
      </c>
      <c r="K789" s="388"/>
      <c r="L789" s="388" t="str">
        <f>$L$7</f>
        <v>FT</v>
      </c>
      <c r="M789" s="388" t="str">
        <f>$M$7</f>
        <v>PT</v>
      </c>
      <c r="N789" s="388" t="str">
        <f>$N$7</f>
        <v>SE</v>
      </c>
      <c r="O789" s="388" t="str">
        <f>$O$7</f>
        <v>Total</v>
      </c>
    </row>
    <row r="790" spans="1:15" s="351" customFormat="1" x14ac:dyDescent="0.2">
      <c r="A790" s="374"/>
      <c r="B790" s="350"/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</row>
    <row r="791" spans="1:15" s="351" customFormat="1" x14ac:dyDescent="0.2">
      <c r="A791" s="362" t="str">
        <f>name!E$4</f>
        <v>Managers, directors and senior officials</v>
      </c>
      <c r="B791" s="440">
        <v>4.9887566059105118E-2</v>
      </c>
      <c r="C791" s="440">
        <v>2.482269089261086E-3</v>
      </c>
      <c r="D791" s="440">
        <v>2.4229134595666193E-2</v>
      </c>
      <c r="E791" s="440">
        <f>SUM(B791:D791)</f>
        <v>7.6598969744032394E-2</v>
      </c>
      <c r="F791" s="441"/>
      <c r="G791" s="440">
        <v>4.7199246295880286E-2</v>
      </c>
      <c r="H791" s="440">
        <v>2.6912727022509815E-3</v>
      </c>
      <c r="I791" s="440">
        <v>7.3475566923677143E-3</v>
      </c>
      <c r="J791" s="440">
        <f>SUM(G791:I791)</f>
        <v>5.7238075690498984E-2</v>
      </c>
      <c r="K791" s="441"/>
      <c r="L791" s="440">
        <v>4.7615325079925531E-2</v>
      </c>
      <c r="M791" s="440">
        <v>5.8739193644804909E-3</v>
      </c>
      <c r="N791" s="440">
        <v>9.3207191453098196E-3</v>
      </c>
      <c r="O791" s="440">
        <f>SUM(L791:N791)</f>
        <v>6.2809963589715842E-2</v>
      </c>
    </row>
    <row r="792" spans="1:15" s="351" customFormat="1" x14ac:dyDescent="0.2">
      <c r="A792" s="362" t="str">
        <f>name!E$5</f>
        <v>Professional occupations</v>
      </c>
      <c r="B792" s="440">
        <v>0.11804258757361046</v>
      </c>
      <c r="C792" s="440">
        <v>4.5197539769592102E-3</v>
      </c>
      <c r="D792" s="440">
        <v>4.3021619352263514E-2</v>
      </c>
      <c r="E792" s="440">
        <f t="shared" ref="E792:E799" si="343">SUM(B792:D792)</f>
        <v>0.16558396090283317</v>
      </c>
      <c r="F792" s="441"/>
      <c r="G792" s="440">
        <v>9.6075485814814926E-2</v>
      </c>
      <c r="H792" s="440">
        <v>3.2788763161005641E-3</v>
      </c>
      <c r="I792" s="440">
        <v>1.1659416357411211E-2</v>
      </c>
      <c r="J792" s="440">
        <f t="shared" ref="J792:J794" si="344">SUM(G792:I792)</f>
        <v>0.11101377848832669</v>
      </c>
      <c r="K792" s="441"/>
      <c r="L792" s="440">
        <v>9.0823166930352639E-2</v>
      </c>
      <c r="M792" s="440">
        <v>7.0269907791116462E-3</v>
      </c>
      <c r="N792" s="440">
        <v>1.3725085858048915E-2</v>
      </c>
      <c r="O792" s="440">
        <f t="shared" ref="O792:O799" si="345">SUM(L792:N792)</f>
        <v>0.11157524356751319</v>
      </c>
    </row>
    <row r="793" spans="1:15" s="351" customFormat="1" x14ac:dyDescent="0.2">
      <c r="A793" s="362" t="str">
        <f>name!E$6</f>
        <v>Associate professional and technical</v>
      </c>
      <c r="B793" s="440">
        <v>0.10826831974282632</v>
      </c>
      <c r="C793" s="440">
        <v>4.9698502911072542E-3</v>
      </c>
      <c r="D793" s="440">
        <v>2.9067339133375319E-2</v>
      </c>
      <c r="E793" s="440">
        <f t="shared" si="343"/>
        <v>0.14230550916730889</v>
      </c>
      <c r="F793" s="441"/>
      <c r="G793" s="440">
        <v>9.4994331843969965E-2</v>
      </c>
      <c r="H793" s="440">
        <v>3.717444117120986E-3</v>
      </c>
      <c r="I793" s="440">
        <v>8.0623129797037178E-3</v>
      </c>
      <c r="J793" s="440">
        <f t="shared" si="344"/>
        <v>0.10677408894079467</v>
      </c>
      <c r="K793" s="441"/>
      <c r="L793" s="440">
        <v>9.0375679969008804E-2</v>
      </c>
      <c r="M793" s="440">
        <v>8.1233697778303211E-3</v>
      </c>
      <c r="N793" s="440">
        <v>9.6273923939710297E-3</v>
      </c>
      <c r="O793" s="440">
        <f t="shared" si="345"/>
        <v>0.10812644214081016</v>
      </c>
    </row>
    <row r="794" spans="1:15" s="351" customFormat="1" x14ac:dyDescent="0.2">
      <c r="A794" s="362" t="str">
        <f>name!E$7</f>
        <v>Administrative and secretarial</v>
      </c>
      <c r="B794" s="440">
        <v>7.9765005767240285E-2</v>
      </c>
      <c r="C794" s="440">
        <v>1.3406309844400052E-2</v>
      </c>
      <c r="D794" s="440">
        <v>5.7851578348319822E-3</v>
      </c>
      <c r="E794" s="440">
        <f t="shared" si="343"/>
        <v>9.8956473446472321E-2</v>
      </c>
      <c r="F794" s="441"/>
      <c r="G794" s="440">
        <v>0.10488197661763191</v>
      </c>
      <c r="H794" s="440">
        <v>6.1602606096915428E-3</v>
      </c>
      <c r="I794" s="440">
        <v>2.3002734744046515E-4</v>
      </c>
      <c r="J794" s="440">
        <f t="shared" si="344"/>
        <v>0.11127226457476391</v>
      </c>
      <c r="K794" s="441"/>
      <c r="L794" s="440">
        <v>9.02992107110554E-2</v>
      </c>
      <c r="M794" s="440">
        <v>1.0496030028879364E-2</v>
      </c>
      <c r="N794" s="440">
        <v>2.383795449152405E-4</v>
      </c>
      <c r="O794" s="440">
        <f t="shared" si="345"/>
        <v>0.10103362028485</v>
      </c>
    </row>
    <row r="795" spans="1:15" s="351" customFormat="1" x14ac:dyDescent="0.2">
      <c r="A795" s="362" t="str">
        <f>name!E$8</f>
        <v>Skilled trades occupations</v>
      </c>
      <c r="B795" s="440">
        <v>3.1602231014681473E-2</v>
      </c>
      <c r="C795" s="440">
        <v>1.4409758566795241E-3</v>
      </c>
      <c r="D795" s="440">
        <v>2.9343276834045782E-2</v>
      </c>
      <c r="E795" s="440">
        <f t="shared" si="343"/>
        <v>6.2386483705406781E-2</v>
      </c>
      <c r="F795" s="441"/>
      <c r="G795" s="440">
        <v>1.7898881777886507E-2</v>
      </c>
      <c r="H795" s="440">
        <v>1.0839132427439369E-3</v>
      </c>
      <c r="I795" s="440">
        <v>9.1783696211878395E-3</v>
      </c>
      <c r="J795" s="440">
        <f>SUM(G795:I795)</f>
        <v>2.8161164641818285E-2</v>
      </c>
      <c r="K795" s="441"/>
      <c r="L795" s="440">
        <v>1.2685108025307605E-2</v>
      </c>
      <c r="M795" s="440">
        <v>2.2111033831490831E-3</v>
      </c>
      <c r="N795" s="440">
        <v>1.2408955936071001E-2</v>
      </c>
      <c r="O795" s="440">
        <f t="shared" si="345"/>
        <v>2.7305167344527689E-2</v>
      </c>
    </row>
    <row r="796" spans="1:15" s="351" customFormat="1" x14ac:dyDescent="0.2">
      <c r="A796" s="362" t="str">
        <f>name!E$9</f>
        <v>Caring, leisure and other service</v>
      </c>
      <c r="B796" s="440">
        <v>2.1071018315438835E-2</v>
      </c>
      <c r="C796" s="440">
        <v>2.9106119760815819E-3</v>
      </c>
      <c r="D796" s="440">
        <v>6.2096981415819038E-3</v>
      </c>
      <c r="E796" s="440">
        <f t="shared" si="343"/>
        <v>3.0191328433102321E-2</v>
      </c>
      <c r="F796" s="441"/>
      <c r="G796" s="440">
        <v>3.3161214169283436E-2</v>
      </c>
      <c r="H796" s="440">
        <v>3.322518200971999E-3</v>
      </c>
      <c r="I796" s="440">
        <v>1.0544549975328515E-3</v>
      </c>
      <c r="J796" s="440">
        <f t="shared" ref="J796:J799" si="346">SUM(G796:I796)</f>
        <v>3.7538187367788287E-2</v>
      </c>
      <c r="K796" s="441"/>
      <c r="L796" s="440">
        <v>3.9775097744386187E-2</v>
      </c>
      <c r="M796" s="440">
        <v>6.6631699996916706E-3</v>
      </c>
      <c r="N796" s="440">
        <v>1.3310659068238161E-3</v>
      </c>
      <c r="O796" s="440">
        <f t="shared" si="345"/>
        <v>4.7769333650901677E-2</v>
      </c>
    </row>
    <row r="797" spans="1:15" s="351" customFormat="1" x14ac:dyDescent="0.2">
      <c r="A797" s="362" t="str">
        <f>name!E$10</f>
        <v>Sales and customer service</v>
      </c>
      <c r="B797" s="440">
        <v>3.3470275596585088E-2</v>
      </c>
      <c r="C797" s="440">
        <v>5.8150649655367842E-3</v>
      </c>
      <c r="D797" s="440">
        <v>2.6605521267101034E-3</v>
      </c>
      <c r="E797" s="440">
        <f t="shared" si="343"/>
        <v>4.1945892688831976E-2</v>
      </c>
      <c r="F797" s="441"/>
      <c r="G797" s="440">
        <v>7.9315953061637148E-2</v>
      </c>
      <c r="H797" s="440">
        <v>4.432177002025273E-3</v>
      </c>
      <c r="I797" s="440">
        <v>2.3824384218004891E-4</v>
      </c>
      <c r="J797" s="440">
        <f t="shared" si="346"/>
        <v>8.3986373905842474E-2</v>
      </c>
      <c r="K797" s="441"/>
      <c r="L797" s="440">
        <v>8.2027163273597992E-2</v>
      </c>
      <c r="M797" s="440">
        <v>8.2677784516749526E-3</v>
      </c>
      <c r="N797" s="440">
        <v>2.6017768557736923E-4</v>
      </c>
      <c r="O797" s="440">
        <f t="shared" si="345"/>
        <v>9.0555119410850315E-2</v>
      </c>
    </row>
    <row r="798" spans="1:15" s="351" customFormat="1" x14ac:dyDescent="0.2">
      <c r="A798" s="362" t="str">
        <f>name!E$11</f>
        <v>Process, plant and machine operatives</v>
      </c>
      <c r="B798" s="440">
        <v>2.1194749764187122E-2</v>
      </c>
      <c r="C798" s="440">
        <v>2.3485867952129451E-3</v>
      </c>
      <c r="D798" s="440">
        <v>8.2864817409139258E-3</v>
      </c>
      <c r="E798" s="440">
        <f t="shared" si="343"/>
        <v>3.1829818300313992E-2</v>
      </c>
      <c r="F798" s="441"/>
      <c r="G798" s="440">
        <v>2.1277612719526835E-2</v>
      </c>
      <c r="H798" s="440">
        <v>1.9687689084845524E-3</v>
      </c>
      <c r="I798" s="440">
        <v>1.9542626653005417E-3</v>
      </c>
      <c r="J798" s="440">
        <f t="shared" si="346"/>
        <v>2.5200644293311932E-2</v>
      </c>
      <c r="K798" s="441"/>
      <c r="L798" s="440">
        <v>2.0064609465780009E-2</v>
      </c>
      <c r="M798" s="440">
        <v>3.5315656117768973E-3</v>
      </c>
      <c r="N798" s="440">
        <v>2.0472940502584114E-3</v>
      </c>
      <c r="O798" s="440">
        <f t="shared" si="345"/>
        <v>2.5643469127815316E-2</v>
      </c>
    </row>
    <row r="799" spans="1:15" s="351" customFormat="1" x14ac:dyDescent="0.2">
      <c r="A799" s="362" t="str">
        <f>name!E$12</f>
        <v>Elementary occupations</v>
      </c>
      <c r="B799" s="440">
        <v>0.13469824616269188</v>
      </c>
      <c r="C799" s="440">
        <v>2.2106577204537792E-2</v>
      </c>
      <c r="D799" s="440">
        <v>9.1396740239031618E-2</v>
      </c>
      <c r="E799" s="440">
        <f t="shared" si="343"/>
        <v>0.24820156360626128</v>
      </c>
      <c r="F799" s="441"/>
      <c r="G799" s="440">
        <v>0.22119529769769922</v>
      </c>
      <c r="H799" s="440">
        <v>1.3344768900661967E-2</v>
      </c>
      <c r="I799" s="440">
        <v>1.2753554961362466E-3</v>
      </c>
      <c r="J799" s="440">
        <f t="shared" si="346"/>
        <v>0.23581542209449743</v>
      </c>
      <c r="K799" s="441"/>
      <c r="L799" s="440">
        <v>0.21933463879944529</v>
      </c>
      <c r="M799" s="440">
        <v>2.1806072602888173E-2</v>
      </c>
      <c r="N799" s="440">
        <v>1.0409294790152969E-3</v>
      </c>
      <c r="O799" s="440">
        <f t="shared" si="345"/>
        <v>0.24218164088134875</v>
      </c>
    </row>
    <row r="800" spans="1:15" s="351" customFormat="1" x14ac:dyDescent="0.2">
      <c r="A800" s="362"/>
      <c r="B800" s="440"/>
      <c r="C800" s="440"/>
      <c r="D800" s="440"/>
      <c r="E800" s="440"/>
      <c r="F800" s="441"/>
      <c r="G800" s="440"/>
      <c r="H800" s="440"/>
      <c r="I800" s="440"/>
      <c r="J800" s="440"/>
      <c r="K800" s="441"/>
      <c r="L800" s="440"/>
      <c r="M800" s="440"/>
      <c r="N800" s="440"/>
      <c r="O800" s="440"/>
    </row>
    <row r="801" spans="1:15" s="351" customFormat="1" x14ac:dyDescent="0.2">
      <c r="A801" s="357" t="s">
        <v>32</v>
      </c>
      <c r="B801" s="450">
        <f>SUM(B791:B799)</f>
        <v>0.59799999999636655</v>
      </c>
      <c r="C801" s="450">
        <f t="shared" ref="C801:E801" si="347">SUM(C791:C799)</f>
        <v>5.9999999999776225E-2</v>
      </c>
      <c r="D801" s="450">
        <f t="shared" si="347"/>
        <v>0.23999999999842031</v>
      </c>
      <c r="E801" s="450">
        <f t="shared" si="347"/>
        <v>0.89799999999456315</v>
      </c>
      <c r="F801" s="450"/>
      <c r="G801" s="450">
        <f t="shared" ref="G801:J801" si="348">SUM(G791:G799)</f>
        <v>0.71599999999833019</v>
      </c>
      <c r="H801" s="450">
        <f t="shared" si="348"/>
        <v>4.0000000000051807E-2</v>
      </c>
      <c r="I801" s="450">
        <f t="shared" si="348"/>
        <v>4.0999999999260642E-2</v>
      </c>
      <c r="J801" s="450">
        <f t="shared" si="348"/>
        <v>0.79699999999764271</v>
      </c>
      <c r="K801" s="450"/>
      <c r="L801" s="450">
        <f t="shared" ref="L801:O801" si="349">SUM(L791:L799)</f>
        <v>0.69299999999885942</v>
      </c>
      <c r="M801" s="450">
        <f t="shared" si="349"/>
        <v>7.3999999999482591E-2</v>
      </c>
      <c r="N801" s="450">
        <f t="shared" si="349"/>
        <v>4.9999999999990892E-2</v>
      </c>
      <c r="O801" s="450">
        <f t="shared" si="349"/>
        <v>0.81699999999833295</v>
      </c>
    </row>
    <row r="802" spans="1:15" s="351" customFormat="1" x14ac:dyDescent="0.2">
      <c r="A802" s="348"/>
      <c r="B802" s="348"/>
      <c r="C802" s="348"/>
      <c r="D802" s="348"/>
      <c r="E802" s="348"/>
      <c r="F802" s="348"/>
      <c r="G802" s="348"/>
      <c r="H802" s="348"/>
      <c r="I802" s="348"/>
      <c r="J802" s="348"/>
      <c r="K802" s="348"/>
      <c r="L802" s="348"/>
      <c r="M802" s="348"/>
      <c r="N802" s="353"/>
    </row>
    <row r="803" spans="1:15" s="351" customFormat="1" x14ac:dyDescent="0.2">
      <c r="A803" s="348"/>
      <c r="B803" s="348"/>
      <c r="C803" s="348"/>
      <c r="D803" s="348"/>
      <c r="E803" s="348"/>
      <c r="F803" s="348"/>
      <c r="G803" s="348"/>
      <c r="H803" s="348"/>
      <c r="I803" s="348"/>
      <c r="J803" s="348"/>
      <c r="K803" s="348"/>
      <c r="L803" s="348"/>
      <c r="M803" s="348"/>
      <c r="N803" s="353"/>
      <c r="O803" s="367" t="s">
        <v>35</v>
      </c>
    </row>
    <row r="804" spans="1:15" s="351" customFormat="1" x14ac:dyDescent="0.2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</row>
    <row r="805" spans="1:15" s="351" customFormat="1" x14ac:dyDescent="0.2">
      <c r="A805" s="354" t="str">
        <f>name!A50</f>
        <v>Financial services</v>
      </c>
      <c r="B805" s="519">
        <f>$B$6</f>
        <v>2007</v>
      </c>
      <c r="C805" s="519"/>
      <c r="D805" s="519"/>
      <c r="E805" s="519"/>
      <c r="F805" s="380"/>
      <c r="G805" s="519">
        <f>$G$6</f>
        <v>2017</v>
      </c>
      <c r="H805" s="519"/>
      <c r="I805" s="519"/>
      <c r="J805" s="519"/>
      <c r="K805" s="380"/>
      <c r="L805" s="519">
        <f>$L$6</f>
        <v>2027</v>
      </c>
      <c r="M805" s="519"/>
      <c r="N805" s="519"/>
      <c r="O805" s="519"/>
    </row>
    <row r="806" spans="1:15" s="351" customFormat="1" x14ac:dyDescent="0.2">
      <c r="A806" s="370"/>
      <c r="B806" s="388" t="str">
        <f>$B$7</f>
        <v>FT</v>
      </c>
      <c r="C806" s="388" t="str">
        <f>$C$7</f>
        <v>PT</v>
      </c>
      <c r="D806" s="388" t="str">
        <f>$D$7</f>
        <v>SE</v>
      </c>
      <c r="E806" s="388" t="str">
        <f>$E$7</f>
        <v>Total</v>
      </c>
      <c r="F806" s="388"/>
      <c r="G806" s="388" t="str">
        <f>$G$7</f>
        <v>FT</v>
      </c>
      <c r="H806" s="388" t="str">
        <f>$H$7</f>
        <v>PT</v>
      </c>
      <c r="I806" s="388" t="str">
        <f>$I$7</f>
        <v>SE</v>
      </c>
      <c r="J806" s="388" t="str">
        <f>$J$7</f>
        <v>Total</v>
      </c>
      <c r="K806" s="388"/>
      <c r="L806" s="388" t="str">
        <f>$L$7</f>
        <v>FT</v>
      </c>
      <c r="M806" s="388" t="str">
        <f>$M$7</f>
        <v>PT</v>
      </c>
      <c r="N806" s="388" t="str">
        <f>$N$7</f>
        <v>SE</v>
      </c>
      <c r="O806" s="388" t="str">
        <f>$O$7</f>
        <v>Total</v>
      </c>
    </row>
    <row r="807" spans="1:15" s="351" customFormat="1" x14ac:dyDescent="0.2">
      <c r="A807" s="374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</row>
    <row r="808" spans="1:15" s="351" customFormat="1" x14ac:dyDescent="0.2">
      <c r="A808" s="362" t="str">
        <f>name!E$4</f>
        <v>Managers, directors and senior officials</v>
      </c>
      <c r="B808" s="440">
        <v>1.6531475243041511</v>
      </c>
      <c r="C808" s="440">
        <v>0.23704543131437206</v>
      </c>
      <c r="D808" s="440">
        <v>0.43347946533368026</v>
      </c>
      <c r="E808" s="440">
        <f>SUM(B808:D808)</f>
        <v>2.3236724209522035</v>
      </c>
      <c r="F808" s="441"/>
      <c r="G808" s="440">
        <v>1.3307386520964597</v>
      </c>
      <c r="H808" s="440">
        <v>0.37408783433397125</v>
      </c>
      <c r="I808" s="440">
        <v>0.39233802813931373</v>
      </c>
      <c r="J808" s="440">
        <f>SUM(G808:I808)</f>
        <v>2.0971645145697448</v>
      </c>
      <c r="K808" s="441"/>
      <c r="L808" s="440">
        <v>1.682824585227614</v>
      </c>
      <c r="M808" s="440">
        <v>0.52253426565094385</v>
      </c>
      <c r="N808" s="440">
        <v>0.44468946258909153</v>
      </c>
      <c r="O808" s="440">
        <f>SUM(L808:N808)</f>
        <v>2.6500483134676491</v>
      </c>
    </row>
    <row r="809" spans="1:15" s="351" customFormat="1" x14ac:dyDescent="0.2">
      <c r="A809" s="362" t="str">
        <f>name!E$5</f>
        <v>Professional occupations</v>
      </c>
      <c r="B809" s="440">
        <v>1.8198364809594292</v>
      </c>
      <c r="C809" s="440">
        <v>0.15886891814102827</v>
      </c>
      <c r="D809" s="440">
        <v>0.1797352464811269</v>
      </c>
      <c r="E809" s="440">
        <f t="shared" ref="E809:E816" si="350">SUM(B809:D809)</f>
        <v>2.1584406455815843</v>
      </c>
      <c r="F809" s="441"/>
      <c r="G809" s="440">
        <v>1.4694256379574651</v>
      </c>
      <c r="H809" s="440">
        <v>0.12916693169586227</v>
      </c>
      <c r="I809" s="440">
        <v>0.16203626934285581</v>
      </c>
      <c r="J809" s="440">
        <f t="shared" ref="J809:J811" si="351">SUM(G809:I809)</f>
        <v>1.7606288389961833</v>
      </c>
      <c r="K809" s="441"/>
      <c r="L809" s="440">
        <v>1.8302954991776796</v>
      </c>
      <c r="M809" s="440">
        <v>0.16552443728873015</v>
      </c>
      <c r="N809" s="440">
        <v>0.1762059007400647</v>
      </c>
      <c r="O809" s="440">
        <f t="shared" ref="O809:O816" si="352">SUM(L809:N809)</f>
        <v>2.1720258372064745</v>
      </c>
    </row>
    <row r="810" spans="1:15" s="351" customFormat="1" x14ac:dyDescent="0.2">
      <c r="A810" s="362" t="str">
        <f>name!E$6</f>
        <v>Associate professional and technical</v>
      </c>
      <c r="B810" s="440">
        <v>3.0669210966894038</v>
      </c>
      <c r="C810" s="440">
        <v>0.53504307612052882</v>
      </c>
      <c r="D810" s="440">
        <v>0.39414868093230671</v>
      </c>
      <c r="E810" s="440">
        <f t="shared" si="350"/>
        <v>3.9961128537422397</v>
      </c>
      <c r="F810" s="441"/>
      <c r="G810" s="440">
        <v>2.1907233266562347</v>
      </c>
      <c r="H810" s="440">
        <v>0.50775492627469543</v>
      </c>
      <c r="I810" s="440">
        <v>0.30605069948889307</v>
      </c>
      <c r="J810" s="440">
        <f t="shared" si="351"/>
        <v>3.0045289524198231</v>
      </c>
      <c r="K810" s="441"/>
      <c r="L810" s="440">
        <v>2.6331690844697992</v>
      </c>
      <c r="M810" s="440">
        <v>0.64724589388779519</v>
      </c>
      <c r="N810" s="440">
        <v>0.33975355867183932</v>
      </c>
      <c r="O810" s="440">
        <f t="shared" si="352"/>
        <v>3.6201685370294339</v>
      </c>
    </row>
    <row r="811" spans="1:15" s="351" customFormat="1" x14ac:dyDescent="0.2">
      <c r="A811" s="362" t="str">
        <f>name!E$7</f>
        <v>Administrative and secretarial</v>
      </c>
      <c r="B811" s="440">
        <v>4.803163529326989</v>
      </c>
      <c r="C811" s="440">
        <v>2.8536763279040911</v>
      </c>
      <c r="D811" s="440">
        <v>5.3791359844020677E-2</v>
      </c>
      <c r="E811" s="440">
        <f t="shared" si="350"/>
        <v>7.7106312170751012</v>
      </c>
      <c r="F811" s="441"/>
      <c r="G811" s="440">
        <v>3.3923942008089192</v>
      </c>
      <c r="H811" s="440">
        <v>2.6358371628819524</v>
      </c>
      <c r="I811" s="440">
        <v>3.4124351023866378E-2</v>
      </c>
      <c r="J811" s="440">
        <f t="shared" si="351"/>
        <v>6.0623557147147373</v>
      </c>
      <c r="K811" s="441"/>
      <c r="L811" s="440">
        <v>3.2350294976445411</v>
      </c>
      <c r="M811" s="440">
        <v>2.4404294177316674</v>
      </c>
      <c r="N811" s="440">
        <v>3.7732872050380832E-2</v>
      </c>
      <c r="O811" s="440">
        <f t="shared" si="352"/>
        <v>5.713191787426589</v>
      </c>
    </row>
    <row r="812" spans="1:15" s="351" customFormat="1" x14ac:dyDescent="0.2">
      <c r="A812" s="362" t="str">
        <f>name!E$8</f>
        <v>Skilled trades occupations</v>
      </c>
      <c r="B812" s="440">
        <v>9.444889014490622E-2</v>
      </c>
      <c r="C812" s="440">
        <v>1.3011194236154239E-2</v>
      </c>
      <c r="D812" s="440">
        <v>9.2699884449224237E-2</v>
      </c>
      <c r="E812" s="440">
        <f t="shared" si="350"/>
        <v>0.2001599688302847</v>
      </c>
      <c r="F812" s="441"/>
      <c r="G812" s="440">
        <v>9.1429283323798891E-2</v>
      </c>
      <c r="H812" s="440">
        <v>8.2533488062404917E-3</v>
      </c>
      <c r="I812" s="440">
        <v>6.150784724440788E-2</v>
      </c>
      <c r="J812" s="440">
        <f>SUM(G812:I812)</f>
        <v>0.16119047937444728</v>
      </c>
      <c r="K812" s="441"/>
      <c r="L812" s="440">
        <v>9.4357798657143263E-2</v>
      </c>
      <c r="M812" s="440">
        <v>8.6131624377130643E-3</v>
      </c>
      <c r="N812" s="440">
        <v>7.0522447795335355E-2</v>
      </c>
      <c r="O812" s="440">
        <f t="shared" si="352"/>
        <v>0.17349340889019169</v>
      </c>
    </row>
    <row r="813" spans="1:15" s="351" customFormat="1" x14ac:dyDescent="0.2">
      <c r="A813" s="362" t="str">
        <f>name!E$9</f>
        <v>Caring, leisure and other service</v>
      </c>
      <c r="B813" s="440">
        <v>2.6752203362842137E-2</v>
      </c>
      <c r="C813" s="440">
        <v>1.582441225037835E-2</v>
      </c>
      <c r="D813" s="440">
        <v>3.5839999499440181E-2</v>
      </c>
      <c r="E813" s="440">
        <f t="shared" si="350"/>
        <v>7.8416615112660668E-2</v>
      </c>
      <c r="F813" s="441"/>
      <c r="G813" s="440">
        <v>1.9689008948426671E-2</v>
      </c>
      <c r="H813" s="440">
        <v>1.0793401487097442E-2</v>
      </c>
      <c r="I813" s="440">
        <v>2.892495512956059E-2</v>
      </c>
      <c r="J813" s="440">
        <f t="shared" ref="J813:J816" si="353">SUM(G813:I813)</f>
        <v>5.9407365565084705E-2</v>
      </c>
      <c r="K813" s="441"/>
      <c r="L813" s="440">
        <v>2.4535868909248401E-2</v>
      </c>
      <c r="M813" s="440">
        <v>1.2434984795184506E-2</v>
      </c>
      <c r="N813" s="440">
        <v>3.1973621501352766E-2</v>
      </c>
      <c r="O813" s="440">
        <f t="shared" si="352"/>
        <v>6.8944475205785671E-2</v>
      </c>
    </row>
    <row r="814" spans="1:15" s="351" customFormat="1" x14ac:dyDescent="0.2">
      <c r="A814" s="362" t="str">
        <f>name!E$10</f>
        <v>Sales and customer service</v>
      </c>
      <c r="B814" s="440">
        <v>1.2978388477680205</v>
      </c>
      <c r="C814" s="440">
        <v>0.7512805192629437</v>
      </c>
      <c r="D814" s="440">
        <v>0.3729422471693663</v>
      </c>
      <c r="E814" s="440">
        <f t="shared" si="350"/>
        <v>2.4220616142003304</v>
      </c>
      <c r="F814" s="441"/>
      <c r="G814" s="440">
        <v>0.80262838398164293</v>
      </c>
      <c r="H814" s="440">
        <v>0.76944153257571068</v>
      </c>
      <c r="I814" s="440">
        <v>4.4149824791572242E-2</v>
      </c>
      <c r="J814" s="440">
        <f t="shared" si="353"/>
        <v>1.6162197413489257</v>
      </c>
      <c r="K814" s="441"/>
      <c r="L814" s="440">
        <v>0.90618689836562161</v>
      </c>
      <c r="M814" s="440">
        <v>0.9307902188392142</v>
      </c>
      <c r="N814" s="440">
        <v>5.1256752961749447E-2</v>
      </c>
      <c r="O814" s="440">
        <f t="shared" si="352"/>
        <v>1.8882338701665851</v>
      </c>
    </row>
    <row r="815" spans="1:15" s="351" customFormat="1" x14ac:dyDescent="0.2">
      <c r="A815" s="362" t="str">
        <f>name!E$11</f>
        <v>Process, plant and machine operatives</v>
      </c>
      <c r="B815" s="440">
        <v>5.5278088349233506E-2</v>
      </c>
      <c r="C815" s="440">
        <v>1.4211379470577542E-2</v>
      </c>
      <c r="D815" s="440">
        <v>4.0775922856137466E-2</v>
      </c>
      <c r="E815" s="440">
        <f t="shared" si="350"/>
        <v>0.11026539067594851</v>
      </c>
      <c r="F815" s="441"/>
      <c r="G815" s="440">
        <v>3.0778285881028287E-2</v>
      </c>
      <c r="H815" s="440">
        <v>5.7782307548311616E-3</v>
      </c>
      <c r="I815" s="440">
        <v>2.4052588820826833E-2</v>
      </c>
      <c r="J815" s="440">
        <f t="shared" si="353"/>
        <v>6.0609105456686282E-2</v>
      </c>
      <c r="K815" s="441"/>
      <c r="L815" s="440">
        <v>3.525208394247583E-2</v>
      </c>
      <c r="M815" s="440">
        <v>6.0553877174757227E-3</v>
      </c>
      <c r="N815" s="440">
        <v>2.5816673971925708E-2</v>
      </c>
      <c r="O815" s="440">
        <f t="shared" si="352"/>
        <v>6.7124145631877255E-2</v>
      </c>
    </row>
    <row r="816" spans="1:15" s="351" customFormat="1" x14ac:dyDescent="0.2">
      <c r="A816" s="362" t="str">
        <f>name!E$12</f>
        <v>Elementary occupations</v>
      </c>
      <c r="B816" s="440">
        <v>0.12761333897377458</v>
      </c>
      <c r="C816" s="440">
        <v>0.18603874127010539</v>
      </c>
      <c r="D816" s="440">
        <v>7.8587193416399775E-2</v>
      </c>
      <c r="E816" s="440">
        <f t="shared" si="350"/>
        <v>0.39223927366027977</v>
      </c>
      <c r="F816" s="441"/>
      <c r="G816" s="440">
        <v>6.3193220243341675E-2</v>
      </c>
      <c r="H816" s="440">
        <v>9.8866312342248113E-3</v>
      </c>
      <c r="I816" s="440">
        <v>7.8154359985548368E-3</v>
      </c>
      <c r="J816" s="440">
        <f t="shared" si="353"/>
        <v>8.0895287476121319E-2</v>
      </c>
      <c r="K816" s="441"/>
      <c r="L816" s="440">
        <v>6.9348683567388297E-2</v>
      </c>
      <c r="M816" s="440">
        <v>1.1372231688364461E-2</v>
      </c>
      <c r="N816" s="440">
        <v>9.0487097030866152E-3</v>
      </c>
      <c r="O816" s="440">
        <f t="shared" si="352"/>
        <v>8.9769624958839375E-2</v>
      </c>
    </row>
    <row r="817" spans="1:15" s="351" customFormat="1" x14ac:dyDescent="0.2">
      <c r="A817" s="362"/>
      <c r="B817" s="440"/>
      <c r="C817" s="440"/>
      <c r="D817" s="440"/>
      <c r="E817" s="440"/>
      <c r="F817" s="441"/>
      <c r="G817" s="440"/>
      <c r="H817" s="440"/>
      <c r="I817" s="440"/>
      <c r="J817" s="440"/>
      <c r="K817" s="441"/>
      <c r="L817" s="440"/>
      <c r="M817" s="440"/>
      <c r="N817" s="440"/>
      <c r="O817" s="440"/>
    </row>
    <row r="818" spans="1:15" s="351" customFormat="1" x14ac:dyDescent="0.2">
      <c r="A818" s="357" t="s">
        <v>32</v>
      </c>
      <c r="B818" s="450">
        <f>SUM(B808:B816)</f>
        <v>12.94499999987875</v>
      </c>
      <c r="C818" s="450">
        <f t="shared" ref="C818:E818" si="354">SUM(C808:C816)</f>
        <v>4.76499999997018</v>
      </c>
      <c r="D818" s="450">
        <f t="shared" si="354"/>
        <v>1.6819999999817026</v>
      </c>
      <c r="E818" s="450">
        <f t="shared" si="354"/>
        <v>19.391999999830634</v>
      </c>
      <c r="F818" s="450"/>
      <c r="G818" s="450">
        <f t="shared" ref="G818:J818" si="355">SUM(G808:G816)</f>
        <v>9.3909999998973195</v>
      </c>
      <c r="H818" s="450">
        <f t="shared" si="355"/>
        <v>4.4510000000445862</v>
      </c>
      <c r="I818" s="450">
        <f t="shared" si="355"/>
        <v>1.0609999999798512</v>
      </c>
      <c r="J818" s="450">
        <f t="shared" si="355"/>
        <v>14.902999999921754</v>
      </c>
      <c r="K818" s="450"/>
      <c r="L818" s="450">
        <f t="shared" ref="L818:O818" si="356">SUM(L808:L816)</f>
        <v>10.510999999961513</v>
      </c>
      <c r="M818" s="450">
        <f t="shared" si="356"/>
        <v>4.7450000000370878</v>
      </c>
      <c r="N818" s="450">
        <f t="shared" si="356"/>
        <v>1.1869999999848264</v>
      </c>
      <c r="O818" s="450">
        <f t="shared" si="356"/>
        <v>16.442999999983424</v>
      </c>
    </row>
    <row r="819" spans="1:15" s="351" customFormat="1" x14ac:dyDescent="0.2">
      <c r="A819" s="348"/>
      <c r="B819" s="348"/>
      <c r="C819" s="348"/>
      <c r="D819" s="348"/>
      <c r="E819" s="348"/>
      <c r="F819" s="348"/>
      <c r="G819" s="348"/>
      <c r="H819" s="348"/>
      <c r="I819" s="348"/>
      <c r="J819" s="348"/>
      <c r="K819" s="348"/>
      <c r="L819" s="348"/>
      <c r="M819" s="348"/>
      <c r="N819" s="353"/>
    </row>
    <row r="820" spans="1:15" s="351" customFormat="1" x14ac:dyDescent="0.2">
      <c r="A820" s="348"/>
      <c r="B820" s="348"/>
      <c r="C820" s="348"/>
      <c r="D820" s="348"/>
      <c r="E820" s="348"/>
      <c r="F820" s="348"/>
      <c r="G820" s="348"/>
      <c r="H820" s="348"/>
      <c r="I820" s="348"/>
      <c r="J820" s="348"/>
      <c r="K820" s="348"/>
      <c r="L820" s="348"/>
      <c r="M820" s="348"/>
      <c r="N820" s="353"/>
      <c r="O820" s="367" t="s">
        <v>35</v>
      </c>
    </row>
    <row r="821" spans="1:15" s="351" customFormat="1" x14ac:dyDescent="0.2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</row>
    <row r="822" spans="1:15" s="351" customFormat="1" x14ac:dyDescent="0.2">
      <c r="A822" s="354" t="str">
        <f>name!A51</f>
        <v>Insurance and pensions</v>
      </c>
      <c r="B822" s="519">
        <f>$B$6</f>
        <v>2007</v>
      </c>
      <c r="C822" s="519"/>
      <c r="D822" s="519"/>
      <c r="E822" s="519"/>
      <c r="F822" s="380"/>
      <c r="G822" s="519">
        <f>$G$6</f>
        <v>2017</v>
      </c>
      <c r="H822" s="519"/>
      <c r="I822" s="519"/>
      <c r="J822" s="519"/>
      <c r="K822" s="380"/>
      <c r="L822" s="519">
        <f>$L$6</f>
        <v>2027</v>
      </c>
      <c r="M822" s="519"/>
      <c r="N822" s="519"/>
      <c r="O822" s="519"/>
    </row>
    <row r="823" spans="1:15" s="351" customFormat="1" x14ac:dyDescent="0.2">
      <c r="A823" s="370"/>
      <c r="B823" s="388" t="str">
        <f>$B$7</f>
        <v>FT</v>
      </c>
      <c r="C823" s="388" t="str">
        <f>$C$7</f>
        <v>PT</v>
      </c>
      <c r="D823" s="388" t="str">
        <f>$D$7</f>
        <v>SE</v>
      </c>
      <c r="E823" s="388" t="str">
        <f>$E$7</f>
        <v>Total</v>
      </c>
      <c r="F823" s="388"/>
      <c r="G823" s="388" t="str">
        <f>$G$7</f>
        <v>FT</v>
      </c>
      <c r="H823" s="388" t="str">
        <f>$H$7</f>
        <v>PT</v>
      </c>
      <c r="I823" s="388" t="str">
        <f>$I$7</f>
        <v>SE</v>
      </c>
      <c r="J823" s="388" t="str">
        <f>$J$7</f>
        <v>Total</v>
      </c>
      <c r="K823" s="388"/>
      <c r="L823" s="388" t="str">
        <f>$L$7</f>
        <v>FT</v>
      </c>
      <c r="M823" s="388" t="str">
        <f>$M$7</f>
        <v>PT</v>
      </c>
      <c r="N823" s="388" t="str">
        <f>$N$7</f>
        <v>SE</v>
      </c>
      <c r="O823" s="388" t="str">
        <f>$O$7</f>
        <v>Total</v>
      </c>
    </row>
    <row r="824" spans="1:15" s="351" customFormat="1" x14ac:dyDescent="0.2">
      <c r="A824" s="374"/>
      <c r="B824" s="350"/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</row>
    <row r="825" spans="1:15" s="351" customFormat="1" x14ac:dyDescent="0.2">
      <c r="A825" s="362" t="str">
        <f>name!E$4</f>
        <v>Managers, directors and senior officials</v>
      </c>
      <c r="B825" s="440">
        <v>0.32215497285831518</v>
      </c>
      <c r="C825" s="440">
        <v>2.1960601283476489E-2</v>
      </c>
      <c r="D825" s="440">
        <v>9.802724498838547E-2</v>
      </c>
      <c r="E825" s="440">
        <f>SUM(B825:D825)</f>
        <v>0.44214281913017717</v>
      </c>
      <c r="F825" s="441"/>
      <c r="G825" s="440">
        <v>0.37917576040218059</v>
      </c>
      <c r="H825" s="440">
        <v>3.9432171919384966E-2</v>
      </c>
      <c r="I825" s="440">
        <v>0.19425605180450306</v>
      </c>
      <c r="J825" s="440">
        <f>SUM(G825:I825)</f>
        <v>0.61286398412606857</v>
      </c>
      <c r="K825" s="441"/>
      <c r="L825" s="440">
        <v>0.46995485056234482</v>
      </c>
      <c r="M825" s="440">
        <v>5.139183803297092E-2</v>
      </c>
      <c r="N825" s="440">
        <v>0.16527852184357306</v>
      </c>
      <c r="O825" s="440">
        <f>SUM(L825:N825)</f>
        <v>0.6866252104388888</v>
      </c>
    </row>
    <row r="826" spans="1:15" s="351" customFormat="1" x14ac:dyDescent="0.2">
      <c r="A826" s="362" t="str">
        <f>name!E$5</f>
        <v>Professional occupations</v>
      </c>
      <c r="B826" s="440">
        <v>0.59740030315848602</v>
      </c>
      <c r="C826" s="440">
        <v>3.0711035155296371E-2</v>
      </c>
      <c r="D826" s="440">
        <v>3.1493218746472255E-2</v>
      </c>
      <c r="E826" s="440">
        <f t="shared" ref="E826:E833" si="357">SUM(B826:D826)</f>
        <v>0.65960455706025467</v>
      </c>
      <c r="F826" s="441"/>
      <c r="G826" s="440">
        <v>0.71262815528743628</v>
      </c>
      <c r="H826" s="440">
        <v>4.56640762208732E-2</v>
      </c>
      <c r="I826" s="440">
        <v>7.1237758377233562E-2</v>
      </c>
      <c r="J826" s="440">
        <f t="shared" ref="J826:J828" si="358">SUM(G826:I826)</f>
        <v>0.82952998988554305</v>
      </c>
      <c r="K826" s="441"/>
      <c r="L826" s="440">
        <v>0.88399173199007941</v>
      </c>
      <c r="M826" s="440">
        <v>5.5448740005604125E-2</v>
      </c>
      <c r="N826" s="440">
        <v>5.8139703269662689E-2</v>
      </c>
      <c r="O826" s="440">
        <f t="shared" ref="O826:O833" si="359">SUM(L826:N826)</f>
        <v>0.99758017526534615</v>
      </c>
    </row>
    <row r="827" spans="1:15" s="351" customFormat="1" x14ac:dyDescent="0.2">
      <c r="A827" s="362" t="str">
        <f>name!E$6</f>
        <v>Associate professional and technical</v>
      </c>
      <c r="B827" s="440">
        <v>1.157133838459895</v>
      </c>
      <c r="C827" s="440">
        <v>0.10646518386814476</v>
      </c>
      <c r="D827" s="440">
        <v>0.21227764090940043</v>
      </c>
      <c r="E827" s="440">
        <f t="shared" si="357"/>
        <v>1.4758766632374403</v>
      </c>
      <c r="F827" s="441"/>
      <c r="G827" s="440">
        <v>1.295351748140845</v>
      </c>
      <c r="H827" s="440">
        <v>0.15497270778903521</v>
      </c>
      <c r="I827" s="440">
        <v>0.51198515976088366</v>
      </c>
      <c r="J827" s="440">
        <f t="shared" si="358"/>
        <v>1.962309615690764</v>
      </c>
      <c r="K827" s="441"/>
      <c r="L827" s="440">
        <v>1.4996160749778042</v>
      </c>
      <c r="M827" s="440">
        <v>0.18749123081894239</v>
      </c>
      <c r="N827" s="440">
        <v>0.42926962794045481</v>
      </c>
      <c r="O827" s="440">
        <f t="shared" si="359"/>
        <v>2.1163769337372016</v>
      </c>
    </row>
    <row r="828" spans="1:15" s="351" customFormat="1" x14ac:dyDescent="0.2">
      <c r="A828" s="362" t="str">
        <f>name!E$7</f>
        <v>Administrative and secretarial</v>
      </c>
      <c r="B828" s="440">
        <v>1.21158174256388</v>
      </c>
      <c r="C828" s="440">
        <v>0.20085383252332895</v>
      </c>
      <c r="D828" s="440">
        <v>4.7732526886870241E-2</v>
      </c>
      <c r="E828" s="440">
        <f t="shared" si="357"/>
        <v>1.4601681019740791</v>
      </c>
      <c r="F828" s="441"/>
      <c r="G828" s="440">
        <v>1.6052797312431839</v>
      </c>
      <c r="H828" s="440">
        <v>0.21641433489078199</v>
      </c>
      <c r="I828" s="440">
        <v>0.1140348081510052</v>
      </c>
      <c r="J828" s="440">
        <f t="shared" si="358"/>
        <v>1.935728874284971</v>
      </c>
      <c r="K828" s="441"/>
      <c r="L828" s="440">
        <v>1.6324688842201829</v>
      </c>
      <c r="M828" s="440">
        <v>0.1849313398741278</v>
      </c>
      <c r="N828" s="440">
        <v>9.4868388345653004E-2</v>
      </c>
      <c r="O828" s="440">
        <f t="shared" si="359"/>
        <v>1.9122686124399637</v>
      </c>
    </row>
    <row r="829" spans="1:15" s="351" customFormat="1" x14ac:dyDescent="0.2">
      <c r="A829" s="362" t="str">
        <f>name!E$8</f>
        <v>Skilled trades occupations</v>
      </c>
      <c r="B829" s="440">
        <v>6.6377974459287684E-2</v>
      </c>
      <c r="C829" s="440">
        <v>8.1537342347944575E-3</v>
      </c>
      <c r="D829" s="440">
        <v>0.16686046561162604</v>
      </c>
      <c r="E829" s="440">
        <f t="shared" si="357"/>
        <v>0.2413921743057082</v>
      </c>
      <c r="F829" s="441"/>
      <c r="G829" s="440">
        <v>5.8395758414696089E-2</v>
      </c>
      <c r="H829" s="440">
        <v>5.1398905105040672E-3</v>
      </c>
      <c r="I829" s="440">
        <v>0.27729114971147495</v>
      </c>
      <c r="J829" s="440">
        <f>SUM(G829:I829)</f>
        <v>0.34082679863667509</v>
      </c>
      <c r="K829" s="441"/>
      <c r="L829" s="440">
        <v>6.6337627429020524E-2</v>
      </c>
      <c r="M829" s="440">
        <v>3.8441413706425515E-3</v>
      </c>
      <c r="N829" s="440">
        <v>0.25703139511479944</v>
      </c>
      <c r="O829" s="440">
        <f t="shared" si="359"/>
        <v>0.32721316391446253</v>
      </c>
    </row>
    <row r="830" spans="1:15" s="351" customFormat="1" x14ac:dyDescent="0.2">
      <c r="A830" s="362" t="str">
        <f>name!E$9</f>
        <v>Caring, leisure and other service</v>
      </c>
      <c r="B830" s="440">
        <v>0.1264916103907148</v>
      </c>
      <c r="C830" s="440">
        <v>2.6105019112828611E-3</v>
      </c>
      <c r="D830" s="440">
        <v>1.0800471937376998E-2</v>
      </c>
      <c r="E830" s="440">
        <f t="shared" si="357"/>
        <v>0.13990258423937466</v>
      </c>
      <c r="F830" s="441"/>
      <c r="G830" s="440">
        <v>0.19062500155150994</v>
      </c>
      <c r="H830" s="440">
        <v>2.9266919052865882E-3</v>
      </c>
      <c r="I830" s="440">
        <v>1.0551316382081019E-2</v>
      </c>
      <c r="J830" s="440">
        <f t="shared" ref="J830:J833" si="360">SUM(G830:I830)</f>
        <v>0.20410300983887752</v>
      </c>
      <c r="K830" s="441"/>
      <c r="L830" s="440">
        <v>0.24875204428113001</v>
      </c>
      <c r="M830" s="440">
        <v>3.0493251295176859E-3</v>
      </c>
      <c r="N830" s="440">
        <v>9.1487324408888321E-3</v>
      </c>
      <c r="O830" s="440">
        <f t="shared" si="359"/>
        <v>0.2609501018515365</v>
      </c>
    </row>
    <row r="831" spans="1:15" s="351" customFormat="1" x14ac:dyDescent="0.2">
      <c r="A831" s="362" t="str">
        <f>name!E$10</f>
        <v>Sales and customer service</v>
      </c>
      <c r="B831" s="440">
        <v>0.55930156144678667</v>
      </c>
      <c r="C831" s="440">
        <v>0.13036997396951772</v>
      </c>
      <c r="D831" s="440">
        <v>6.1875185497515063E-2</v>
      </c>
      <c r="E831" s="440">
        <f t="shared" si="357"/>
        <v>0.75154672091381935</v>
      </c>
      <c r="F831" s="441"/>
      <c r="G831" s="440">
        <v>0.85447830188683294</v>
      </c>
      <c r="H831" s="440">
        <v>0.16318762896572075</v>
      </c>
      <c r="I831" s="440">
        <v>8.4400619917574735E-2</v>
      </c>
      <c r="J831" s="440">
        <f t="shared" si="360"/>
        <v>1.1020665507701284</v>
      </c>
      <c r="K831" s="441"/>
      <c r="L831" s="440">
        <v>0.96742064329813904</v>
      </c>
      <c r="M831" s="440">
        <v>0.18093196498157019</v>
      </c>
      <c r="N831" s="440">
        <v>7.4651452830830439E-2</v>
      </c>
      <c r="O831" s="440">
        <f t="shared" si="359"/>
        <v>1.2230040611105397</v>
      </c>
    </row>
    <row r="832" spans="1:15" s="351" customFormat="1" x14ac:dyDescent="0.2">
      <c r="A832" s="362" t="str">
        <f>name!E$11</f>
        <v>Process, plant and machine operatives</v>
      </c>
      <c r="B832" s="440">
        <v>2.6834247414493015E-2</v>
      </c>
      <c r="C832" s="440">
        <v>1.7030211050566911E-3</v>
      </c>
      <c r="D832" s="440">
        <v>2.1990556573264215E-2</v>
      </c>
      <c r="E832" s="440">
        <f t="shared" si="357"/>
        <v>5.0527825092813922E-2</v>
      </c>
      <c r="F832" s="441"/>
      <c r="G832" s="440">
        <v>2.8264074919791618E-2</v>
      </c>
      <c r="H832" s="440">
        <v>3.5476670299226824E-3</v>
      </c>
      <c r="I832" s="440">
        <v>3.7079318980793745E-2</v>
      </c>
      <c r="J832" s="440">
        <f t="shared" si="360"/>
        <v>6.8891060930508036E-2</v>
      </c>
      <c r="K832" s="441"/>
      <c r="L832" s="440">
        <v>3.3476079811620908E-2</v>
      </c>
      <c r="M832" s="440">
        <v>3.5857552980496587E-3</v>
      </c>
      <c r="N832" s="440">
        <v>3.0401631165486866E-2</v>
      </c>
      <c r="O832" s="440">
        <f t="shared" si="359"/>
        <v>6.7463466275157424E-2</v>
      </c>
    </row>
    <row r="833" spans="1:15" s="351" customFormat="1" x14ac:dyDescent="0.2">
      <c r="A833" s="362" t="str">
        <f>name!E$12</f>
        <v>Elementary occupations</v>
      </c>
      <c r="B833" s="440">
        <v>4.2723749218974559E-2</v>
      </c>
      <c r="C833" s="440">
        <v>1.1172115946936871E-2</v>
      </c>
      <c r="D833" s="440">
        <v>4.9942688841133745E-2</v>
      </c>
      <c r="E833" s="440">
        <f t="shared" si="357"/>
        <v>0.10383855400704517</v>
      </c>
      <c r="F833" s="441"/>
      <c r="G833" s="440">
        <v>5.9801468106841955E-2</v>
      </c>
      <c r="H833" s="440">
        <v>1.8714830774292063E-2</v>
      </c>
      <c r="I833" s="440">
        <v>2.1163816894453451E-2</v>
      </c>
      <c r="J833" s="440">
        <f t="shared" si="360"/>
        <v>9.9680115775587469E-2</v>
      </c>
      <c r="K833" s="441"/>
      <c r="L833" s="440">
        <v>6.8982063432882337E-2</v>
      </c>
      <c r="M833" s="440">
        <v>2.0325664492652072E-2</v>
      </c>
      <c r="N833" s="440">
        <v>1.9210547039032192E-2</v>
      </c>
      <c r="O833" s="440">
        <f t="shared" si="359"/>
        <v>0.10851827496456659</v>
      </c>
    </row>
    <row r="834" spans="1:15" s="351" customFormat="1" x14ac:dyDescent="0.2">
      <c r="A834" s="362"/>
      <c r="B834" s="440"/>
      <c r="C834" s="440"/>
      <c r="D834" s="440"/>
      <c r="E834" s="440"/>
      <c r="F834" s="441"/>
      <c r="G834" s="440"/>
      <c r="H834" s="440"/>
      <c r="I834" s="440"/>
      <c r="J834" s="440"/>
      <c r="K834" s="441"/>
      <c r="L834" s="440"/>
      <c r="M834" s="440"/>
      <c r="N834" s="440"/>
      <c r="O834" s="440"/>
    </row>
    <row r="835" spans="1:15" s="351" customFormat="1" x14ac:dyDescent="0.2">
      <c r="A835" s="357" t="s">
        <v>32</v>
      </c>
      <c r="B835" s="450">
        <f>SUM(B825:B833)</f>
        <v>4.1099999999708334</v>
      </c>
      <c r="C835" s="450">
        <f t="shared" ref="C835:E835" si="361">SUM(C825:C833)</f>
        <v>0.51399999999783519</v>
      </c>
      <c r="D835" s="450">
        <f t="shared" si="361"/>
        <v>0.70099999999204443</v>
      </c>
      <c r="E835" s="450">
        <f t="shared" si="361"/>
        <v>5.3249999999607125</v>
      </c>
      <c r="F835" s="450"/>
      <c r="G835" s="450">
        <f t="shared" ref="G835:J835" si="362">SUM(G825:G833)</f>
        <v>5.1839999999533184</v>
      </c>
      <c r="H835" s="450">
        <f t="shared" si="362"/>
        <v>0.65000000000580149</v>
      </c>
      <c r="I835" s="450">
        <f t="shared" si="362"/>
        <v>1.3219999999800032</v>
      </c>
      <c r="J835" s="450">
        <f t="shared" si="362"/>
        <v>7.1559999999391222</v>
      </c>
      <c r="K835" s="450"/>
      <c r="L835" s="450">
        <f t="shared" ref="L835:O835" si="363">SUM(L825:L833)</f>
        <v>5.8710000000032041</v>
      </c>
      <c r="M835" s="450">
        <f t="shared" si="363"/>
        <v>0.69100000000407724</v>
      </c>
      <c r="N835" s="450">
        <f t="shared" si="363"/>
        <v>1.1379999999903814</v>
      </c>
      <c r="O835" s="450">
        <f t="shared" si="363"/>
        <v>7.6999999999976634</v>
      </c>
    </row>
    <row r="836" spans="1:15" s="351" customFormat="1" x14ac:dyDescent="0.2">
      <c r="A836" s="348"/>
      <c r="B836" s="348"/>
      <c r="C836" s="348"/>
      <c r="D836" s="348"/>
      <c r="E836" s="348"/>
      <c r="F836" s="348"/>
      <c r="G836" s="348"/>
      <c r="H836" s="348"/>
      <c r="I836" s="348"/>
      <c r="J836" s="348"/>
      <c r="K836" s="348"/>
      <c r="L836" s="348"/>
      <c r="M836" s="348"/>
      <c r="N836" s="353"/>
    </row>
    <row r="837" spans="1:15" s="351" customFormat="1" x14ac:dyDescent="0.2">
      <c r="A837" s="348"/>
      <c r="B837" s="348"/>
      <c r="C837" s="348"/>
      <c r="D837" s="348"/>
      <c r="E837" s="348"/>
      <c r="F837" s="348"/>
      <c r="G837" s="348"/>
      <c r="H837" s="348"/>
      <c r="I837" s="348"/>
      <c r="J837" s="348"/>
      <c r="K837" s="348"/>
      <c r="L837" s="348"/>
      <c r="M837" s="348"/>
      <c r="N837" s="353"/>
      <c r="O837" s="367" t="s">
        <v>35</v>
      </c>
    </row>
    <row r="838" spans="1:15" s="351" customFormat="1" x14ac:dyDescent="0.2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</row>
    <row r="839" spans="1:15" s="351" customFormat="1" x14ac:dyDescent="0.2">
      <c r="A839" s="354" t="str">
        <f>name!A52</f>
        <v>Auxiliary financial services</v>
      </c>
      <c r="B839" s="519">
        <f>$B$6</f>
        <v>2007</v>
      </c>
      <c r="C839" s="519"/>
      <c r="D839" s="519"/>
      <c r="E839" s="519"/>
      <c r="F839" s="380"/>
      <c r="G839" s="519">
        <f>$G$6</f>
        <v>2017</v>
      </c>
      <c r="H839" s="519"/>
      <c r="I839" s="519"/>
      <c r="J839" s="519"/>
      <c r="K839" s="380"/>
      <c r="L839" s="519">
        <f>$L$6</f>
        <v>2027</v>
      </c>
      <c r="M839" s="519"/>
      <c r="N839" s="519"/>
      <c r="O839" s="519"/>
    </row>
    <row r="840" spans="1:15" s="351" customFormat="1" x14ac:dyDescent="0.2">
      <c r="A840" s="370"/>
      <c r="B840" s="388" t="str">
        <f>$B$7</f>
        <v>FT</v>
      </c>
      <c r="C840" s="388" t="str">
        <f>$C$7</f>
        <v>PT</v>
      </c>
      <c r="D840" s="388" t="str">
        <f>$D$7</f>
        <v>SE</v>
      </c>
      <c r="E840" s="388" t="str">
        <f>$E$7</f>
        <v>Total</v>
      </c>
      <c r="F840" s="388"/>
      <c r="G840" s="388" t="str">
        <f>$G$7</f>
        <v>FT</v>
      </c>
      <c r="H840" s="388" t="str">
        <f>$H$7</f>
        <v>PT</v>
      </c>
      <c r="I840" s="388" t="str">
        <f>$I$7</f>
        <v>SE</v>
      </c>
      <c r="J840" s="388" t="str">
        <f>$J$7</f>
        <v>Total</v>
      </c>
      <c r="K840" s="388"/>
      <c r="L840" s="388" t="str">
        <f>$L$7</f>
        <v>FT</v>
      </c>
      <c r="M840" s="388" t="str">
        <f>$M$7</f>
        <v>PT</v>
      </c>
      <c r="N840" s="388" t="str">
        <f>$N$7</f>
        <v>SE</v>
      </c>
      <c r="O840" s="388" t="str">
        <f>$O$7</f>
        <v>Total</v>
      </c>
    </row>
    <row r="841" spans="1:15" s="351" customFormat="1" x14ac:dyDescent="0.2">
      <c r="A841" s="374"/>
      <c r="B841" s="350"/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</row>
    <row r="842" spans="1:15" s="351" customFormat="1" x14ac:dyDescent="0.2">
      <c r="A842" s="362" t="str">
        <f>name!E$4</f>
        <v>Managers, directors and senior officials</v>
      </c>
      <c r="B842" s="440">
        <v>0.67305513664579208</v>
      </c>
      <c r="C842" s="440">
        <v>0.12371457412074255</v>
      </c>
      <c r="D842" s="440">
        <v>0.13563137238442088</v>
      </c>
      <c r="E842" s="440">
        <f>SUM(B842:D842)</f>
        <v>0.93240108315095549</v>
      </c>
      <c r="F842" s="441"/>
      <c r="G842" s="440">
        <v>0.67982763339577468</v>
      </c>
      <c r="H842" s="440">
        <v>8.6226658995494573E-2</v>
      </c>
      <c r="I842" s="440">
        <v>0.2339850321100734</v>
      </c>
      <c r="J842" s="440">
        <f>SUM(G842:I842)</f>
        <v>1.0000393245013426</v>
      </c>
      <c r="K842" s="441"/>
      <c r="L842" s="440">
        <v>0.87932922093828136</v>
      </c>
      <c r="M842" s="440">
        <v>0.11759934324554655</v>
      </c>
      <c r="N842" s="440">
        <v>0.26606090814974659</v>
      </c>
      <c r="O842" s="440">
        <f>SUM(L842:N842)</f>
        <v>1.2629894723335746</v>
      </c>
    </row>
    <row r="843" spans="1:15" s="351" customFormat="1" x14ac:dyDescent="0.2">
      <c r="A843" s="362" t="str">
        <f>name!E$5</f>
        <v>Professional occupations</v>
      </c>
      <c r="B843" s="440">
        <v>0.85670676504308874</v>
      </c>
      <c r="C843" s="440">
        <v>9.8569179041568561E-2</v>
      </c>
      <c r="D843" s="440">
        <v>7.1342964717930807E-2</v>
      </c>
      <c r="E843" s="440">
        <f t="shared" ref="E843:E850" si="364">SUM(B843:D843)</f>
        <v>1.0266189088025881</v>
      </c>
      <c r="F843" s="441"/>
      <c r="G843" s="440">
        <v>0.90337850220461402</v>
      </c>
      <c r="H843" s="440">
        <v>5.4484734144273121E-2</v>
      </c>
      <c r="I843" s="440">
        <v>0.11461510755635008</v>
      </c>
      <c r="J843" s="440">
        <f t="shared" ref="J843:J845" si="365">SUM(G843:I843)</f>
        <v>1.0724783439052372</v>
      </c>
      <c r="K843" s="441"/>
      <c r="L843" s="440">
        <v>1.1903989491674678</v>
      </c>
      <c r="M843" s="440">
        <v>7.0333409806849212E-2</v>
      </c>
      <c r="N843" s="440">
        <v>0.12437726085372752</v>
      </c>
      <c r="O843" s="440">
        <f t="shared" ref="O843:O850" si="366">SUM(L843:N843)</f>
        <v>1.3851096198280444</v>
      </c>
    </row>
    <row r="844" spans="1:15" s="351" customFormat="1" x14ac:dyDescent="0.2">
      <c r="A844" s="362" t="str">
        <f>name!E$6</f>
        <v>Associate professional and technical</v>
      </c>
      <c r="B844" s="440">
        <v>1.8894060427357262</v>
      </c>
      <c r="C844" s="440">
        <v>0.26052441843136964</v>
      </c>
      <c r="D844" s="440">
        <v>0.37464504157850748</v>
      </c>
      <c r="E844" s="440">
        <f t="shared" si="364"/>
        <v>2.5245755027456034</v>
      </c>
      <c r="F844" s="441"/>
      <c r="G844" s="440">
        <v>1.7236710231879029</v>
      </c>
      <c r="H844" s="440">
        <v>0.1898240060055513</v>
      </c>
      <c r="I844" s="440">
        <v>0.59755369864129504</v>
      </c>
      <c r="J844" s="440">
        <f t="shared" si="365"/>
        <v>2.5110487278347495</v>
      </c>
      <c r="K844" s="441"/>
      <c r="L844" s="440">
        <v>2.1691326857948527</v>
      </c>
      <c r="M844" s="440">
        <v>0.25058390490209226</v>
      </c>
      <c r="N844" s="440">
        <v>0.66788105581342083</v>
      </c>
      <c r="O844" s="440">
        <f t="shared" si="366"/>
        <v>3.0875976465103658</v>
      </c>
    </row>
    <row r="845" spans="1:15" s="351" customFormat="1" x14ac:dyDescent="0.2">
      <c r="A845" s="362" t="str">
        <f>name!E$7</f>
        <v>Administrative and secretarial</v>
      </c>
      <c r="B845" s="440">
        <v>4.1317711747311821</v>
      </c>
      <c r="C845" s="440">
        <v>1.3592027260981527</v>
      </c>
      <c r="D845" s="440">
        <v>6.3418718716965278E-2</v>
      </c>
      <c r="E845" s="440">
        <f t="shared" si="364"/>
        <v>5.5543926195463005</v>
      </c>
      <c r="F845" s="441"/>
      <c r="G845" s="440">
        <v>3.1943803143365543</v>
      </c>
      <c r="H845" s="440">
        <v>0.83849809935856323</v>
      </c>
      <c r="I845" s="440">
        <v>5.749631906491743E-2</v>
      </c>
      <c r="J845" s="440">
        <f t="shared" si="365"/>
        <v>4.0903747327600346</v>
      </c>
      <c r="K845" s="441"/>
      <c r="L845" s="440">
        <v>2.9282257431596306</v>
      </c>
      <c r="M845" s="440">
        <v>0.78653727953717867</v>
      </c>
      <c r="N845" s="440">
        <v>6.5044614647830359E-2</v>
      </c>
      <c r="O845" s="440">
        <f t="shared" si="366"/>
        <v>3.7798076373446396</v>
      </c>
    </row>
    <row r="846" spans="1:15" s="351" customFormat="1" x14ac:dyDescent="0.2">
      <c r="A846" s="362" t="str">
        <f>name!E$8</f>
        <v>Skilled trades occupations</v>
      </c>
      <c r="B846" s="440">
        <v>4.4473784890350448E-2</v>
      </c>
      <c r="C846" s="440">
        <v>7.2238642050737045E-2</v>
      </c>
      <c r="D846" s="440">
        <v>9.1024207710154667E-2</v>
      </c>
      <c r="E846" s="440">
        <f t="shared" si="364"/>
        <v>0.20773663465124215</v>
      </c>
      <c r="F846" s="441"/>
      <c r="G846" s="440">
        <v>4.4920954585948081E-2</v>
      </c>
      <c r="H846" s="440">
        <v>2.2690856512830579E-2</v>
      </c>
      <c r="I846" s="440">
        <v>0.13691586326362382</v>
      </c>
      <c r="J846" s="440">
        <f>SUM(G846:I846)</f>
        <v>0.20452767436240249</v>
      </c>
      <c r="K846" s="441"/>
      <c r="L846" s="440">
        <v>4.5433507658433937E-2</v>
      </c>
      <c r="M846" s="440">
        <v>1.7325628494075419E-2</v>
      </c>
      <c r="N846" s="440">
        <v>0.1671901084284787</v>
      </c>
      <c r="O846" s="440">
        <f t="shared" si="366"/>
        <v>0.22994924458098806</v>
      </c>
    </row>
    <row r="847" spans="1:15" s="351" customFormat="1" x14ac:dyDescent="0.2">
      <c r="A847" s="362" t="str">
        <f>name!E$9</f>
        <v>Caring, leisure and other service</v>
      </c>
      <c r="B847" s="440">
        <v>1.5230317996396075E-2</v>
      </c>
      <c r="C847" s="440">
        <v>7.2969790656510543E-3</v>
      </c>
      <c r="D847" s="440">
        <v>2.081660316915036E-2</v>
      </c>
      <c r="E847" s="440">
        <f t="shared" si="364"/>
        <v>4.3343900231197489E-2</v>
      </c>
      <c r="F847" s="441"/>
      <c r="G847" s="440">
        <v>1.6878083339244662E-2</v>
      </c>
      <c r="H847" s="440">
        <v>5.7955212389049354E-3</v>
      </c>
      <c r="I847" s="440">
        <v>2.2885428532661449E-2</v>
      </c>
      <c r="J847" s="440">
        <f t="shared" ref="J847:J850" si="367">SUM(G847:I847)</f>
        <v>4.5559033110811047E-2</v>
      </c>
      <c r="K847" s="441"/>
      <c r="L847" s="440">
        <v>2.1412175312701981E-2</v>
      </c>
      <c r="M847" s="440">
        <v>6.6196435373157168E-3</v>
      </c>
      <c r="N847" s="440">
        <v>2.6484787154407202E-2</v>
      </c>
      <c r="O847" s="440">
        <f t="shared" si="366"/>
        <v>5.45166060044249E-2</v>
      </c>
    </row>
    <row r="848" spans="1:15" s="351" customFormat="1" x14ac:dyDescent="0.2">
      <c r="A848" s="362" t="str">
        <f>name!E$10</f>
        <v>Sales and customer service</v>
      </c>
      <c r="B848" s="440">
        <v>1.2210769663343701</v>
      </c>
      <c r="C848" s="440">
        <v>0.39527433894116881</v>
      </c>
      <c r="D848" s="440">
        <v>0.10031281655915457</v>
      </c>
      <c r="E848" s="440">
        <f t="shared" si="364"/>
        <v>1.7166641218346934</v>
      </c>
      <c r="F848" s="441"/>
      <c r="G848" s="440">
        <v>0.70745198728381187</v>
      </c>
      <c r="H848" s="440">
        <v>0.15812671014208271</v>
      </c>
      <c r="I848" s="440">
        <v>2.0475987000890393E-2</v>
      </c>
      <c r="J848" s="440">
        <f t="shared" si="367"/>
        <v>0.88605468442678492</v>
      </c>
      <c r="K848" s="441"/>
      <c r="L848" s="440">
        <v>0.82934754186896753</v>
      </c>
      <c r="M848" s="440">
        <v>0.19593451987909338</v>
      </c>
      <c r="N848" s="440">
        <v>2.6180724548622254E-2</v>
      </c>
      <c r="O848" s="440">
        <f t="shared" si="366"/>
        <v>1.0514627862966832</v>
      </c>
    </row>
    <row r="849" spans="1:15" s="351" customFormat="1" x14ac:dyDescent="0.2">
      <c r="A849" s="362" t="str">
        <f>name!E$11</f>
        <v>Process, plant and machine operatives</v>
      </c>
      <c r="B849" s="440">
        <v>4.4400360279049651E-2</v>
      </c>
      <c r="C849" s="440">
        <v>5.3629684882891887E-3</v>
      </c>
      <c r="D849" s="440">
        <v>9.9136490262944327E-2</v>
      </c>
      <c r="E849" s="440">
        <f t="shared" si="364"/>
        <v>0.14889981903028315</v>
      </c>
      <c r="F849" s="441"/>
      <c r="G849" s="440">
        <v>3.1532139473447983E-2</v>
      </c>
      <c r="H849" s="440">
        <v>2.1224559802316225E-3</v>
      </c>
      <c r="I849" s="440">
        <v>0.13846749624448182</v>
      </c>
      <c r="J849" s="440">
        <f t="shared" si="367"/>
        <v>0.17212209169816142</v>
      </c>
      <c r="K849" s="441"/>
      <c r="L849" s="440">
        <v>3.3651387700786191E-2</v>
      </c>
      <c r="M849" s="440">
        <v>2.2180435932594232E-3</v>
      </c>
      <c r="N849" s="440">
        <v>0.15233180698094567</v>
      </c>
      <c r="O849" s="440">
        <f t="shared" si="366"/>
        <v>0.1882012382749913</v>
      </c>
    </row>
    <row r="850" spans="1:15" s="351" customFormat="1" x14ac:dyDescent="0.2">
      <c r="A850" s="362" t="str">
        <f>name!E$12</f>
        <v>Elementary occupations</v>
      </c>
      <c r="B850" s="440">
        <v>8.6879451251807405E-2</v>
      </c>
      <c r="C850" s="440">
        <v>5.0816173747549528E-2</v>
      </c>
      <c r="D850" s="440">
        <v>7.6671784890450664E-2</v>
      </c>
      <c r="E850" s="440">
        <f t="shared" si="364"/>
        <v>0.21436740988980763</v>
      </c>
      <c r="F850" s="441"/>
      <c r="G850" s="440">
        <v>9.5959362118102978E-2</v>
      </c>
      <c r="H850" s="440">
        <v>2.1230957635227032E-2</v>
      </c>
      <c r="I850" s="440">
        <v>6.1605067572797538E-2</v>
      </c>
      <c r="J850" s="440">
        <f t="shared" si="367"/>
        <v>0.17879538732612754</v>
      </c>
      <c r="K850" s="441"/>
      <c r="L850" s="440">
        <v>0.10706878833197857</v>
      </c>
      <c r="M850" s="440">
        <v>2.1848227015204589E-2</v>
      </c>
      <c r="N850" s="440">
        <v>7.4448733410197684E-2</v>
      </c>
      <c r="O850" s="440">
        <f t="shared" si="366"/>
        <v>0.20336574875738084</v>
      </c>
    </row>
    <row r="851" spans="1:15" s="351" customFormat="1" x14ac:dyDescent="0.2">
      <c r="A851" s="362"/>
      <c r="B851" s="440"/>
      <c r="C851" s="440"/>
      <c r="D851" s="440"/>
      <c r="E851" s="440"/>
      <c r="F851" s="441"/>
      <c r="G851" s="440"/>
      <c r="H851" s="440"/>
      <c r="I851" s="440"/>
      <c r="J851" s="440"/>
      <c r="K851" s="441"/>
      <c r="L851" s="440"/>
      <c r="M851" s="440"/>
      <c r="N851" s="440"/>
      <c r="O851" s="440"/>
    </row>
    <row r="852" spans="1:15" s="351" customFormat="1" x14ac:dyDescent="0.2">
      <c r="A852" s="357" t="s">
        <v>32</v>
      </c>
      <c r="B852" s="450">
        <f>SUM(B842:B850)</f>
        <v>8.9629999999077619</v>
      </c>
      <c r="C852" s="450">
        <f t="shared" ref="C852:E852" si="368">SUM(C842:C850)</f>
        <v>2.3729999999852289</v>
      </c>
      <c r="D852" s="450">
        <f t="shared" si="368"/>
        <v>1.0329999999896791</v>
      </c>
      <c r="E852" s="450">
        <f t="shared" si="368"/>
        <v>12.368999999882671</v>
      </c>
      <c r="F852" s="450"/>
      <c r="G852" s="450">
        <f t="shared" ref="G852:J852" si="369">SUM(G842:G850)</f>
        <v>7.3979999999254034</v>
      </c>
      <c r="H852" s="450">
        <f t="shared" si="369"/>
        <v>1.3790000000131588</v>
      </c>
      <c r="I852" s="450">
        <f t="shared" si="369"/>
        <v>1.3839999999870909</v>
      </c>
      <c r="J852" s="450">
        <f t="shared" si="369"/>
        <v>10.160999999925652</v>
      </c>
      <c r="K852" s="450"/>
      <c r="L852" s="450">
        <f t="shared" ref="L852:O852" si="370">SUM(L842:L850)</f>
        <v>8.2039999999330995</v>
      </c>
      <c r="M852" s="450">
        <f t="shared" si="370"/>
        <v>1.4690000000106154</v>
      </c>
      <c r="N852" s="450">
        <f t="shared" si="370"/>
        <v>1.5699999999873768</v>
      </c>
      <c r="O852" s="450">
        <f t="shared" si="370"/>
        <v>11.242999999931094</v>
      </c>
    </row>
    <row r="853" spans="1:15" s="351" customFormat="1" x14ac:dyDescent="0.2">
      <c r="A853" s="348"/>
      <c r="B853" s="348"/>
      <c r="C853" s="348"/>
      <c r="D853" s="348"/>
      <c r="E853" s="348"/>
      <c r="F853" s="348"/>
      <c r="G853" s="348"/>
      <c r="H853" s="348"/>
      <c r="I853" s="348"/>
      <c r="J853" s="348"/>
      <c r="K853" s="348"/>
      <c r="L853" s="348"/>
      <c r="M853" s="348"/>
      <c r="N853" s="353"/>
    </row>
    <row r="854" spans="1:15" s="351" customFormat="1" x14ac:dyDescent="0.2">
      <c r="A854" s="348"/>
      <c r="B854" s="348"/>
      <c r="C854" s="348"/>
      <c r="D854" s="348"/>
      <c r="E854" s="348"/>
      <c r="F854" s="348"/>
      <c r="G854" s="348"/>
      <c r="H854" s="348"/>
      <c r="I854" s="348"/>
      <c r="J854" s="348"/>
      <c r="K854" s="348"/>
      <c r="L854" s="348"/>
      <c r="M854" s="348"/>
      <c r="N854" s="353"/>
      <c r="O854" s="367" t="s">
        <v>35</v>
      </c>
    </row>
    <row r="855" spans="1:15" s="351" customFormat="1" x14ac:dyDescent="0.2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</row>
    <row r="856" spans="1:15" s="351" customFormat="1" x14ac:dyDescent="0.2">
      <c r="A856" s="354" t="str">
        <f>name!A53</f>
        <v>Real estate</v>
      </c>
      <c r="B856" s="519">
        <f>$B$6</f>
        <v>2007</v>
      </c>
      <c r="C856" s="519"/>
      <c r="D856" s="519"/>
      <c r="E856" s="519"/>
      <c r="F856" s="380"/>
      <c r="G856" s="519">
        <f>$G$6</f>
        <v>2017</v>
      </c>
      <c r="H856" s="519"/>
      <c r="I856" s="519"/>
      <c r="J856" s="519"/>
      <c r="K856" s="380"/>
      <c r="L856" s="519">
        <f>$L$6</f>
        <v>2027</v>
      </c>
      <c r="M856" s="519"/>
      <c r="N856" s="519"/>
      <c r="O856" s="519"/>
    </row>
    <row r="857" spans="1:15" s="351" customFormat="1" x14ac:dyDescent="0.2">
      <c r="A857" s="370"/>
      <c r="B857" s="388" t="str">
        <f>$B$7</f>
        <v>FT</v>
      </c>
      <c r="C857" s="388" t="str">
        <f>$C$7</f>
        <v>PT</v>
      </c>
      <c r="D857" s="388" t="str">
        <f>$D$7</f>
        <v>SE</v>
      </c>
      <c r="E857" s="388" t="str">
        <f>$E$7</f>
        <v>Total</v>
      </c>
      <c r="F857" s="388"/>
      <c r="G857" s="388" t="str">
        <f>$G$7</f>
        <v>FT</v>
      </c>
      <c r="H857" s="388" t="str">
        <f>$H$7</f>
        <v>PT</v>
      </c>
      <c r="I857" s="388" t="str">
        <f>$I$7</f>
        <v>SE</v>
      </c>
      <c r="J857" s="388" t="str">
        <f>$J$7</f>
        <v>Total</v>
      </c>
      <c r="K857" s="388"/>
      <c r="L857" s="388" t="str">
        <f>$L$7</f>
        <v>FT</v>
      </c>
      <c r="M857" s="388" t="str">
        <f>$M$7</f>
        <v>PT</v>
      </c>
      <c r="N857" s="388" t="str">
        <f>$N$7</f>
        <v>SE</v>
      </c>
      <c r="O857" s="388" t="str">
        <f>$O$7</f>
        <v>Total</v>
      </c>
    </row>
    <row r="858" spans="1:15" s="351" customFormat="1" x14ac:dyDescent="0.2">
      <c r="A858" s="374"/>
      <c r="B858" s="350"/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</row>
    <row r="859" spans="1:15" s="351" customFormat="1" x14ac:dyDescent="0.2">
      <c r="A859" s="362" t="str">
        <f>name!E$4</f>
        <v>Managers, directors and senior officials</v>
      </c>
      <c r="B859" s="440">
        <v>0.93511440157091064</v>
      </c>
      <c r="C859" s="440">
        <v>0.23882276428918486</v>
      </c>
      <c r="D859" s="440">
        <v>1.3582923394608937</v>
      </c>
      <c r="E859" s="440">
        <f>SUM(B859:D859)</f>
        <v>2.5322295053209891</v>
      </c>
      <c r="F859" s="441"/>
      <c r="G859" s="440">
        <v>1.5389158736540214</v>
      </c>
      <c r="H859" s="440">
        <v>1.1343436161141536</v>
      </c>
      <c r="I859" s="440">
        <v>1.6847753378329409</v>
      </c>
      <c r="J859" s="440">
        <f>SUM(G859:I859)</f>
        <v>4.3580348276011165</v>
      </c>
      <c r="K859" s="441"/>
      <c r="L859" s="440">
        <v>1.9857372269403</v>
      </c>
      <c r="M859" s="440">
        <v>1.4515270717874833</v>
      </c>
      <c r="N859" s="440">
        <v>1.804076730898907</v>
      </c>
      <c r="O859" s="440">
        <f>SUM(L859:N859)</f>
        <v>5.2413410296266907</v>
      </c>
    </row>
    <row r="860" spans="1:15" s="351" customFormat="1" x14ac:dyDescent="0.2">
      <c r="A860" s="362" t="str">
        <f>name!E$5</f>
        <v>Professional occupations</v>
      </c>
      <c r="B860" s="440">
        <v>1.3662072106277308</v>
      </c>
      <c r="C860" s="440">
        <v>0.17586352062562741</v>
      </c>
      <c r="D860" s="440">
        <v>0.11553165377186959</v>
      </c>
      <c r="E860" s="440">
        <f t="shared" ref="E860:E867" si="371">SUM(B860:D860)</f>
        <v>1.6576023850252277</v>
      </c>
      <c r="F860" s="441"/>
      <c r="G860" s="440">
        <v>1.563247392293893</v>
      </c>
      <c r="H860" s="440">
        <v>0.48282635137453328</v>
      </c>
      <c r="I860" s="440">
        <v>0.19030737857244373</v>
      </c>
      <c r="J860" s="440">
        <f t="shared" ref="J860:J862" si="372">SUM(G860:I860)</f>
        <v>2.23638112224087</v>
      </c>
      <c r="K860" s="441"/>
      <c r="L860" s="440">
        <v>1.8542135071763928</v>
      </c>
      <c r="M860" s="440">
        <v>0.56682671327939826</v>
      </c>
      <c r="N860" s="440">
        <v>0.22148102871994044</v>
      </c>
      <c r="O860" s="440">
        <f t="shared" ref="O860:O867" si="373">SUM(L860:N860)</f>
        <v>2.6425212491757315</v>
      </c>
    </row>
    <row r="861" spans="1:15" s="351" customFormat="1" x14ac:dyDescent="0.2">
      <c r="A861" s="362" t="str">
        <f>name!E$6</f>
        <v>Associate professional and technical</v>
      </c>
      <c r="B861" s="440">
        <v>1.2982726929061741</v>
      </c>
      <c r="C861" s="440">
        <v>0.26396959281294707</v>
      </c>
      <c r="D861" s="440">
        <v>0.21530153380578615</v>
      </c>
      <c r="E861" s="440">
        <f t="shared" si="371"/>
        <v>1.7775438195249074</v>
      </c>
      <c r="F861" s="441"/>
      <c r="G861" s="440">
        <v>1.9642757331406839</v>
      </c>
      <c r="H861" s="440">
        <v>0.80827290039367083</v>
      </c>
      <c r="I861" s="440">
        <v>0.32498152186775731</v>
      </c>
      <c r="J861" s="440">
        <f t="shared" si="372"/>
        <v>3.097530155402112</v>
      </c>
      <c r="K861" s="441"/>
      <c r="L861" s="440">
        <v>2.4011834561492966</v>
      </c>
      <c r="M861" s="440">
        <v>0.93822547253602417</v>
      </c>
      <c r="N861" s="440">
        <v>0.3612976940263895</v>
      </c>
      <c r="O861" s="440">
        <f t="shared" si="373"/>
        <v>3.7007066227117105</v>
      </c>
    </row>
    <row r="862" spans="1:15" s="351" customFormat="1" x14ac:dyDescent="0.2">
      <c r="A862" s="362" t="str">
        <f>name!E$7</f>
        <v>Administrative and secretarial</v>
      </c>
      <c r="B862" s="440">
        <v>2.2347476405716047</v>
      </c>
      <c r="C862" s="440">
        <v>1.170370525381689</v>
      </c>
      <c r="D862" s="440">
        <v>0.14037861458152809</v>
      </c>
      <c r="E862" s="440">
        <f t="shared" si="371"/>
        <v>3.5454967805348216</v>
      </c>
      <c r="F862" s="441"/>
      <c r="G862" s="440">
        <v>3.3488428807458552</v>
      </c>
      <c r="H862" s="440">
        <v>1.9525894914666329</v>
      </c>
      <c r="I862" s="440">
        <v>0.19886590489575842</v>
      </c>
      <c r="J862" s="440">
        <f t="shared" si="372"/>
        <v>5.5002982771082474</v>
      </c>
      <c r="K862" s="441"/>
      <c r="L862" s="440">
        <v>3.0141431287754377</v>
      </c>
      <c r="M862" s="440">
        <v>1.5387811361218799</v>
      </c>
      <c r="N862" s="440">
        <v>0.17540405859648653</v>
      </c>
      <c r="O862" s="440">
        <f t="shared" si="373"/>
        <v>4.7283283234938036</v>
      </c>
    </row>
    <row r="863" spans="1:15" s="351" customFormat="1" x14ac:dyDescent="0.2">
      <c r="A863" s="362" t="str">
        <f>name!E$8</f>
        <v>Skilled trades occupations</v>
      </c>
      <c r="B863" s="440">
        <v>0.39081611606361594</v>
      </c>
      <c r="C863" s="440">
        <v>5.8288308968084714E-2</v>
      </c>
      <c r="D863" s="440">
        <v>0.43250461090520903</v>
      </c>
      <c r="E863" s="440">
        <f t="shared" si="371"/>
        <v>0.88160903593690976</v>
      </c>
      <c r="F863" s="441"/>
      <c r="G863" s="440">
        <v>0.52712139234017796</v>
      </c>
      <c r="H863" s="440">
        <v>0.25880356284948103</v>
      </c>
      <c r="I863" s="440">
        <v>0.72302915551056812</v>
      </c>
      <c r="J863" s="440">
        <f>SUM(G863:I863)</f>
        <v>1.5089541107002271</v>
      </c>
      <c r="K863" s="441"/>
      <c r="L863" s="440">
        <v>0.62012548700879966</v>
      </c>
      <c r="M863" s="440">
        <v>0.41115082853826301</v>
      </c>
      <c r="N863" s="440">
        <v>0.8662607443877739</v>
      </c>
      <c r="O863" s="440">
        <f t="shared" si="373"/>
        <v>1.8975370599348367</v>
      </c>
    </row>
    <row r="864" spans="1:15" s="351" customFormat="1" x14ac:dyDescent="0.2">
      <c r="A864" s="362" t="str">
        <f>name!E$9</f>
        <v>Caring, leisure and other service</v>
      </c>
      <c r="B864" s="440">
        <v>0.5260882088547667</v>
      </c>
      <c r="C864" s="440">
        <v>0.13749717476882831</v>
      </c>
      <c r="D864" s="440">
        <v>4.3914346810321518E-2</v>
      </c>
      <c r="E864" s="440">
        <f t="shared" si="371"/>
        <v>0.70749973043391645</v>
      </c>
      <c r="F864" s="441"/>
      <c r="G864" s="440">
        <v>0.52593822569200166</v>
      </c>
      <c r="H864" s="440">
        <v>0.23084232813549796</v>
      </c>
      <c r="I864" s="440">
        <v>7.8944639170221903E-2</v>
      </c>
      <c r="J864" s="440">
        <f t="shared" ref="J864:J867" si="374">SUM(G864:I864)</f>
        <v>0.83572519299772152</v>
      </c>
      <c r="K864" s="441"/>
      <c r="L864" s="440">
        <v>0.66249223464635587</v>
      </c>
      <c r="M864" s="440">
        <v>0.25713455410947128</v>
      </c>
      <c r="N864" s="440">
        <v>9.097695033829728E-2</v>
      </c>
      <c r="O864" s="440">
        <f t="shared" si="373"/>
        <v>1.0106037390941245</v>
      </c>
    </row>
    <row r="865" spans="1:15" s="351" customFormat="1" x14ac:dyDescent="0.2">
      <c r="A865" s="362" t="str">
        <f>name!E$10</f>
        <v>Sales and customer service</v>
      </c>
      <c r="B865" s="440">
        <v>0.81919511942376655</v>
      </c>
      <c r="C865" s="440">
        <v>0.55312200242102472</v>
      </c>
      <c r="D865" s="440">
        <v>6.3908889764654933E-2</v>
      </c>
      <c r="E865" s="440">
        <f t="shared" si="371"/>
        <v>1.4362260116094463</v>
      </c>
      <c r="F865" s="441"/>
      <c r="G865" s="440">
        <v>2.1210539197610858</v>
      </c>
      <c r="H865" s="440">
        <v>1.0113921743083223</v>
      </c>
      <c r="I865" s="440">
        <v>7.3682093582770711E-2</v>
      </c>
      <c r="J865" s="440">
        <f t="shared" si="374"/>
        <v>3.2061281876521788</v>
      </c>
      <c r="K865" s="441"/>
      <c r="L865" s="440">
        <v>2.2145270609320313</v>
      </c>
      <c r="M865" s="440">
        <v>1.0400579054314634</v>
      </c>
      <c r="N865" s="440">
        <v>6.779214995234982E-2</v>
      </c>
      <c r="O865" s="440">
        <f t="shared" si="373"/>
        <v>3.3223771163158444</v>
      </c>
    </row>
    <row r="866" spans="1:15" s="351" customFormat="1" x14ac:dyDescent="0.2">
      <c r="A866" s="362" t="str">
        <f>name!E$11</f>
        <v>Process, plant and machine operatives</v>
      </c>
      <c r="B866" s="440">
        <v>0.12668386460357844</v>
      </c>
      <c r="C866" s="440">
        <v>2.1190734099318941E-2</v>
      </c>
      <c r="D866" s="440">
        <v>1.8878534092748409E-2</v>
      </c>
      <c r="E866" s="440">
        <f t="shared" si="371"/>
        <v>0.1667531327956458</v>
      </c>
      <c r="F866" s="441"/>
      <c r="G866" s="440">
        <v>0.33112824657037448</v>
      </c>
      <c r="H866" s="440">
        <v>4.8276058726915649E-2</v>
      </c>
      <c r="I866" s="440">
        <v>1.925180192102767E-2</v>
      </c>
      <c r="J866" s="440">
        <f t="shared" si="374"/>
        <v>0.39865610721831779</v>
      </c>
      <c r="K866" s="441"/>
      <c r="L866" s="440">
        <v>0.36118455595995747</v>
      </c>
      <c r="M866" s="440">
        <v>4.619343784975493E-2</v>
      </c>
      <c r="N866" s="440">
        <v>1.7371527551910751E-2</v>
      </c>
      <c r="O866" s="440">
        <f t="shared" si="373"/>
        <v>0.42474952136162314</v>
      </c>
    </row>
    <row r="867" spans="1:15" s="351" customFormat="1" x14ac:dyDescent="0.2">
      <c r="A867" s="362" t="str">
        <f>name!E$12</f>
        <v>Elementary occupations</v>
      </c>
      <c r="B867" s="440">
        <v>0.51587474533062494</v>
      </c>
      <c r="C867" s="440">
        <v>0.1408753766298162</v>
      </c>
      <c r="D867" s="440">
        <v>9.0289476828282964E-2</v>
      </c>
      <c r="E867" s="440">
        <f t="shared" si="371"/>
        <v>0.74703959878872406</v>
      </c>
      <c r="F867" s="441"/>
      <c r="G867" s="440">
        <v>0.63047633573454875</v>
      </c>
      <c r="H867" s="440">
        <v>0.23465351668251397</v>
      </c>
      <c r="I867" s="440">
        <v>0.30616216666938717</v>
      </c>
      <c r="J867" s="440">
        <f t="shared" si="374"/>
        <v>1.17129201908645</v>
      </c>
      <c r="K867" s="441"/>
      <c r="L867" s="440">
        <v>0.66739334235843406</v>
      </c>
      <c r="M867" s="440">
        <v>0.22910288041290908</v>
      </c>
      <c r="N867" s="440">
        <v>0.38033911557137629</v>
      </c>
      <c r="O867" s="440">
        <f t="shared" si="373"/>
        <v>1.2768353383427193</v>
      </c>
    </row>
    <row r="868" spans="1:15" s="351" customFormat="1" x14ac:dyDescent="0.2">
      <c r="A868" s="362"/>
      <c r="B868" s="440"/>
      <c r="C868" s="440"/>
      <c r="D868" s="440"/>
      <c r="E868" s="440"/>
      <c r="F868" s="441"/>
      <c r="G868" s="440"/>
      <c r="H868" s="440"/>
      <c r="I868" s="440"/>
      <c r="J868" s="440"/>
      <c r="K868" s="441"/>
      <c r="L868" s="440"/>
      <c r="M868" s="440"/>
      <c r="N868" s="440"/>
      <c r="O868" s="440"/>
    </row>
    <row r="869" spans="1:15" s="351" customFormat="1" x14ac:dyDescent="0.2">
      <c r="A869" s="357" t="s">
        <v>32</v>
      </c>
      <c r="B869" s="450">
        <f>SUM(B859:B867)</f>
        <v>8.212999999952773</v>
      </c>
      <c r="C869" s="450">
        <f t="shared" ref="C869:E869" si="375">SUM(C859:C867)</f>
        <v>2.7599999999965212</v>
      </c>
      <c r="D869" s="450">
        <f t="shared" si="375"/>
        <v>2.4790000000212937</v>
      </c>
      <c r="E869" s="450">
        <f t="shared" si="375"/>
        <v>13.451999999970591</v>
      </c>
      <c r="F869" s="450"/>
      <c r="G869" s="450">
        <f t="shared" ref="G869:J869" si="376">SUM(G859:G867)</f>
        <v>12.550999999932641</v>
      </c>
      <c r="H869" s="450">
        <f t="shared" si="376"/>
        <v>6.1620000000517221</v>
      </c>
      <c r="I869" s="450">
        <f t="shared" si="376"/>
        <v>3.6000000000228756</v>
      </c>
      <c r="J869" s="450">
        <f t="shared" si="376"/>
        <v>22.313000000007243</v>
      </c>
      <c r="K869" s="450"/>
      <c r="L869" s="450">
        <f t="shared" ref="L869:O869" si="377">SUM(L859:L867)</f>
        <v>13.780999999947005</v>
      </c>
      <c r="M869" s="450">
        <f t="shared" si="377"/>
        <v>6.4790000000666472</v>
      </c>
      <c r="N869" s="450">
        <f t="shared" si="377"/>
        <v>3.9850000000434322</v>
      </c>
      <c r="O869" s="450">
        <f t="shared" si="377"/>
        <v>24.24500000005709</v>
      </c>
    </row>
    <row r="870" spans="1:15" s="351" customFormat="1" x14ac:dyDescent="0.2">
      <c r="A870" s="348"/>
      <c r="B870" s="348"/>
      <c r="C870" s="348"/>
      <c r="D870" s="348"/>
      <c r="E870" s="348"/>
      <c r="F870" s="348"/>
      <c r="G870" s="348"/>
      <c r="H870" s="348"/>
      <c r="I870" s="348"/>
      <c r="J870" s="348"/>
      <c r="K870" s="348"/>
      <c r="L870" s="348"/>
      <c r="M870" s="348"/>
      <c r="N870" s="353"/>
    </row>
    <row r="871" spans="1:15" s="351" customFormat="1" x14ac:dyDescent="0.2">
      <c r="A871" s="348"/>
      <c r="B871" s="348"/>
      <c r="C871" s="348"/>
      <c r="D871" s="348"/>
      <c r="E871" s="348"/>
      <c r="F871" s="348"/>
      <c r="G871" s="348"/>
      <c r="H871" s="348"/>
      <c r="I871" s="348"/>
      <c r="J871" s="348"/>
      <c r="K871" s="348"/>
      <c r="L871" s="348"/>
      <c r="M871" s="348"/>
      <c r="N871" s="353"/>
      <c r="O871" s="367" t="s">
        <v>35</v>
      </c>
    </row>
    <row r="872" spans="1:15" s="351" customFormat="1" x14ac:dyDescent="0.2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</row>
    <row r="873" spans="1:15" s="351" customFormat="1" x14ac:dyDescent="0.2">
      <c r="A873" s="354" t="str">
        <f>name!A54</f>
        <v>Legal and accounting</v>
      </c>
      <c r="B873" s="519">
        <f>$B$6</f>
        <v>2007</v>
      </c>
      <c r="C873" s="519"/>
      <c r="D873" s="519"/>
      <c r="E873" s="519"/>
      <c r="F873" s="380"/>
      <c r="G873" s="519">
        <f>$G$6</f>
        <v>2017</v>
      </c>
      <c r="H873" s="519"/>
      <c r="I873" s="519"/>
      <c r="J873" s="519"/>
      <c r="K873" s="380"/>
      <c r="L873" s="519">
        <f>$L$6</f>
        <v>2027</v>
      </c>
      <c r="M873" s="519"/>
      <c r="N873" s="519"/>
      <c r="O873" s="519"/>
    </row>
    <row r="874" spans="1:15" s="351" customFormat="1" x14ac:dyDescent="0.2">
      <c r="A874" s="370"/>
      <c r="B874" s="388" t="str">
        <f>$B$7</f>
        <v>FT</v>
      </c>
      <c r="C874" s="388" t="str">
        <f>$C$7</f>
        <v>PT</v>
      </c>
      <c r="D874" s="388" t="str">
        <f>$D$7</f>
        <v>SE</v>
      </c>
      <c r="E874" s="388" t="str">
        <f>$E$7</f>
        <v>Total</v>
      </c>
      <c r="F874" s="388"/>
      <c r="G874" s="388" t="str">
        <f>$G$7</f>
        <v>FT</v>
      </c>
      <c r="H874" s="388" t="str">
        <f>$H$7</f>
        <v>PT</v>
      </c>
      <c r="I874" s="388" t="str">
        <f>$I$7</f>
        <v>SE</v>
      </c>
      <c r="J874" s="388" t="str">
        <f>$J$7</f>
        <v>Total</v>
      </c>
      <c r="K874" s="388"/>
      <c r="L874" s="388" t="str">
        <f>$L$7</f>
        <v>FT</v>
      </c>
      <c r="M874" s="388" t="str">
        <f>$M$7</f>
        <v>PT</v>
      </c>
      <c r="N874" s="388" t="str">
        <f>$N$7</f>
        <v>SE</v>
      </c>
      <c r="O874" s="388" t="str">
        <f>$O$7</f>
        <v>Total</v>
      </c>
    </row>
    <row r="875" spans="1:15" s="351" customFormat="1" x14ac:dyDescent="0.2">
      <c r="A875" s="374"/>
      <c r="B875" s="350"/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</row>
    <row r="876" spans="1:15" s="351" customFormat="1" x14ac:dyDescent="0.2">
      <c r="A876" s="362" t="str">
        <f>name!E$4</f>
        <v>Managers, directors and senior officials</v>
      </c>
      <c r="B876" s="440">
        <v>1.2075562825729942</v>
      </c>
      <c r="C876" s="440">
        <v>0.33504254690479102</v>
      </c>
      <c r="D876" s="440">
        <v>0.84821988429624839</v>
      </c>
      <c r="E876" s="440">
        <f>SUM(B876:D876)</f>
        <v>2.3908187137740335</v>
      </c>
      <c r="F876" s="441"/>
      <c r="G876" s="440">
        <v>1.0674878900657823</v>
      </c>
      <c r="H876" s="440">
        <v>0.35577358495071298</v>
      </c>
      <c r="I876" s="440">
        <v>0.55089332868710406</v>
      </c>
      <c r="J876" s="440">
        <f>SUM(G876:I876)</f>
        <v>1.9741548037035992</v>
      </c>
      <c r="K876" s="441"/>
      <c r="L876" s="440">
        <v>1.2587329023205502</v>
      </c>
      <c r="M876" s="440">
        <v>0.41959420007360998</v>
      </c>
      <c r="N876" s="440">
        <v>0.60287986748075928</v>
      </c>
      <c r="O876" s="440">
        <f>SUM(L876:N876)</f>
        <v>2.2812069698749196</v>
      </c>
    </row>
    <row r="877" spans="1:15" s="351" customFormat="1" x14ac:dyDescent="0.2">
      <c r="A877" s="362" t="str">
        <f>name!E$5</f>
        <v>Professional occupations</v>
      </c>
      <c r="B877" s="440">
        <v>3.9601754214955336</v>
      </c>
      <c r="C877" s="440">
        <v>0.81416705929031852</v>
      </c>
      <c r="D877" s="440">
        <v>1.5566571459699825</v>
      </c>
      <c r="E877" s="440">
        <f t="shared" ref="E877:E884" si="378">SUM(B877:D877)</f>
        <v>6.3309996267558342</v>
      </c>
      <c r="F877" s="441"/>
      <c r="G877" s="440">
        <v>3.2799300067047117</v>
      </c>
      <c r="H877" s="440">
        <v>0.65389247384599902</v>
      </c>
      <c r="I877" s="440">
        <v>0.96463543357440629</v>
      </c>
      <c r="J877" s="440">
        <f t="shared" ref="J877:J879" si="379">SUM(G877:I877)</f>
        <v>4.8984579141251166</v>
      </c>
      <c r="K877" s="441"/>
      <c r="L877" s="440">
        <v>3.7334726929926756</v>
      </c>
      <c r="M877" s="440">
        <v>0.75444333357490156</v>
      </c>
      <c r="N877" s="440">
        <v>1.0257135140041203</v>
      </c>
      <c r="O877" s="440">
        <f t="shared" ref="O877:O884" si="380">SUM(L877:N877)</f>
        <v>5.5136295405716975</v>
      </c>
    </row>
    <row r="878" spans="1:15" s="351" customFormat="1" x14ac:dyDescent="0.2">
      <c r="A878" s="362" t="str">
        <f>name!E$6</f>
        <v>Associate professional and technical</v>
      </c>
      <c r="B878" s="440">
        <v>2.6282310740027</v>
      </c>
      <c r="C878" s="440">
        <v>0.47370941831524543</v>
      </c>
      <c r="D878" s="440">
        <v>1.3125826581563855</v>
      </c>
      <c r="E878" s="440">
        <f t="shared" si="378"/>
        <v>4.4145231504743307</v>
      </c>
      <c r="F878" s="441"/>
      <c r="G878" s="440">
        <v>2.4846411069576844</v>
      </c>
      <c r="H878" s="440">
        <v>0.57631594030789812</v>
      </c>
      <c r="I878" s="440">
        <v>0.86919130582756765</v>
      </c>
      <c r="J878" s="440">
        <f t="shared" si="379"/>
        <v>3.9301483530931502</v>
      </c>
      <c r="K878" s="441"/>
      <c r="L878" s="440">
        <v>2.8076995867226051</v>
      </c>
      <c r="M878" s="440">
        <v>0.68724695202481922</v>
      </c>
      <c r="N878" s="440">
        <v>0.91958040916783013</v>
      </c>
      <c r="O878" s="440">
        <f t="shared" si="380"/>
        <v>4.4145269479152542</v>
      </c>
    </row>
    <row r="879" spans="1:15" s="351" customFormat="1" x14ac:dyDescent="0.2">
      <c r="A879" s="362" t="str">
        <f>name!E$7</f>
        <v>Administrative and secretarial</v>
      </c>
      <c r="B879" s="440">
        <v>5.118797744702376</v>
      </c>
      <c r="C879" s="440">
        <v>2.7307141345356181</v>
      </c>
      <c r="D879" s="440">
        <v>0.59196519035590089</v>
      </c>
      <c r="E879" s="440">
        <f t="shared" si="378"/>
        <v>8.4414770695938941</v>
      </c>
      <c r="F879" s="441"/>
      <c r="G879" s="440">
        <v>4.592520914452594</v>
      </c>
      <c r="H879" s="440">
        <v>2.8065244065243897</v>
      </c>
      <c r="I879" s="440">
        <v>0.53865993154566594</v>
      </c>
      <c r="J879" s="440">
        <f t="shared" si="379"/>
        <v>7.9377052525226492</v>
      </c>
      <c r="K879" s="441"/>
      <c r="L879" s="440">
        <v>3.4706871339422731</v>
      </c>
      <c r="M879" s="440">
        <v>2.3637619570879909</v>
      </c>
      <c r="N879" s="440">
        <v>0.43792257648342381</v>
      </c>
      <c r="O879" s="440">
        <f t="shared" si="380"/>
        <v>6.2723716675136876</v>
      </c>
    </row>
    <row r="880" spans="1:15" s="351" customFormat="1" x14ac:dyDescent="0.2">
      <c r="A880" s="362" t="str">
        <f>name!E$8</f>
        <v>Skilled trades occupations</v>
      </c>
      <c r="B880" s="440">
        <v>0.34897870192918778</v>
      </c>
      <c r="C880" s="440">
        <v>8.7075472808030088E-2</v>
      </c>
      <c r="D880" s="440">
        <v>0.24957398311995871</v>
      </c>
      <c r="E880" s="440">
        <f t="shared" si="378"/>
        <v>0.68562815785717657</v>
      </c>
      <c r="F880" s="441"/>
      <c r="G880" s="440">
        <v>0.25147070651943437</v>
      </c>
      <c r="H880" s="440">
        <v>4.4501143693404133E-2</v>
      </c>
      <c r="I880" s="440">
        <v>0.125572115356028</v>
      </c>
      <c r="J880" s="440">
        <f>SUM(G880:I880)</f>
        <v>0.42154396556886653</v>
      </c>
      <c r="K880" s="441"/>
      <c r="L880" s="440">
        <v>0.22310701643540576</v>
      </c>
      <c r="M880" s="440">
        <v>4.2455744332749401E-2</v>
      </c>
      <c r="N880" s="440">
        <v>0.12890151719896364</v>
      </c>
      <c r="O880" s="440">
        <f t="shared" si="380"/>
        <v>0.3944642779671188</v>
      </c>
    </row>
    <row r="881" spans="1:15" s="351" customFormat="1" x14ac:dyDescent="0.2">
      <c r="A881" s="362" t="str">
        <f>name!E$9</f>
        <v>Caring, leisure and other service</v>
      </c>
      <c r="B881" s="440">
        <v>3.0766837335824953E-2</v>
      </c>
      <c r="C881" s="440">
        <v>1.3986501225825341E-2</v>
      </c>
      <c r="D881" s="440">
        <v>0.10276948150745666</v>
      </c>
      <c r="E881" s="440">
        <f t="shared" si="378"/>
        <v>0.14752282006910694</v>
      </c>
      <c r="F881" s="441"/>
      <c r="G881" s="440">
        <v>3.8042157624262107E-2</v>
      </c>
      <c r="H881" s="440">
        <v>1.4273621680577716E-2</v>
      </c>
      <c r="I881" s="440">
        <v>7.1807631814391384E-2</v>
      </c>
      <c r="J881" s="440">
        <f t="shared" ref="J881:J884" si="381">SUM(G881:I881)</f>
        <v>0.12412341111923121</v>
      </c>
      <c r="K881" s="441"/>
      <c r="L881" s="440">
        <v>4.0931931696344959E-2</v>
      </c>
      <c r="M881" s="440">
        <v>1.5106422106035735E-2</v>
      </c>
      <c r="N881" s="440">
        <v>7.6247885044827712E-2</v>
      </c>
      <c r="O881" s="440">
        <f t="shared" si="380"/>
        <v>0.13228623884720841</v>
      </c>
    </row>
    <row r="882" spans="1:15" s="351" customFormat="1" x14ac:dyDescent="0.2">
      <c r="A882" s="362" t="str">
        <f>name!E$10</f>
        <v>Sales and customer service</v>
      </c>
      <c r="B882" s="440">
        <v>0.345196095850961</v>
      </c>
      <c r="C882" s="440">
        <v>0.31898169824956424</v>
      </c>
      <c r="D882" s="440">
        <v>8.9933926147470075E-2</v>
      </c>
      <c r="E882" s="440">
        <f t="shared" si="378"/>
        <v>0.75411172024799533</v>
      </c>
      <c r="F882" s="441"/>
      <c r="G882" s="440">
        <v>0.78197514034658866</v>
      </c>
      <c r="H882" s="440">
        <v>0.46473823580206319</v>
      </c>
      <c r="I882" s="440">
        <v>0.13710093715755386</v>
      </c>
      <c r="J882" s="440">
        <f t="shared" si="381"/>
        <v>1.3838143133062057</v>
      </c>
      <c r="K882" s="441"/>
      <c r="L882" s="440">
        <v>0.77075246058312086</v>
      </c>
      <c r="M882" s="440">
        <v>0.48065630271449772</v>
      </c>
      <c r="N882" s="440">
        <v>0.11377914392770244</v>
      </c>
      <c r="O882" s="440">
        <f t="shared" si="380"/>
        <v>1.365187907225321</v>
      </c>
    </row>
    <row r="883" spans="1:15" s="351" customFormat="1" x14ac:dyDescent="0.2">
      <c r="A883" s="362" t="str">
        <f>name!E$11</f>
        <v>Process, plant and machine operatives</v>
      </c>
      <c r="B883" s="440">
        <v>0.22178806754515268</v>
      </c>
      <c r="C883" s="440">
        <v>5.270371276639603E-2</v>
      </c>
      <c r="D883" s="440">
        <v>0.11394656185942467</v>
      </c>
      <c r="E883" s="440">
        <f t="shared" si="378"/>
        <v>0.38843834217097339</v>
      </c>
      <c r="F883" s="441"/>
      <c r="G883" s="440">
        <v>0.17339801705685115</v>
      </c>
      <c r="H883" s="440">
        <v>2.720255802085891E-2</v>
      </c>
      <c r="I883" s="440">
        <v>5.9316570443550161E-2</v>
      </c>
      <c r="J883" s="440">
        <f t="shared" si="381"/>
        <v>0.25991714552126022</v>
      </c>
      <c r="K883" s="441"/>
      <c r="L883" s="440">
        <v>0.15392402390254667</v>
      </c>
      <c r="M883" s="440">
        <v>2.169283807002231E-2</v>
      </c>
      <c r="N883" s="440">
        <v>5.2577248402877239E-2</v>
      </c>
      <c r="O883" s="440">
        <f t="shared" si="380"/>
        <v>0.22819411037544624</v>
      </c>
    </row>
    <row r="884" spans="1:15" s="351" customFormat="1" x14ac:dyDescent="0.2">
      <c r="A884" s="362" t="str">
        <f>name!E$12</f>
        <v>Elementary occupations</v>
      </c>
      <c r="B884" s="440">
        <v>0.20050977445643578</v>
      </c>
      <c r="C884" s="440">
        <v>0.15061945589237014</v>
      </c>
      <c r="D884" s="440">
        <v>0.12735116850463846</v>
      </c>
      <c r="E884" s="440">
        <f t="shared" si="378"/>
        <v>0.4784803988534444</v>
      </c>
      <c r="F884" s="441"/>
      <c r="G884" s="440">
        <v>0.20953406003084957</v>
      </c>
      <c r="H884" s="440">
        <v>0.11077803517135812</v>
      </c>
      <c r="I884" s="440">
        <v>0.13782274553671897</v>
      </c>
      <c r="J884" s="440">
        <f t="shared" si="381"/>
        <v>0.45813484073892669</v>
      </c>
      <c r="K884" s="441"/>
      <c r="L884" s="440">
        <v>0.18569225130456932</v>
      </c>
      <c r="M884" s="440">
        <v>0.10604225001133541</v>
      </c>
      <c r="N884" s="440">
        <v>0.13739783827715712</v>
      </c>
      <c r="O884" s="440">
        <f t="shared" si="380"/>
        <v>0.42913233959306185</v>
      </c>
    </row>
    <row r="885" spans="1:15" s="351" customFormat="1" x14ac:dyDescent="0.2">
      <c r="A885" s="362"/>
      <c r="B885" s="440"/>
      <c r="C885" s="440"/>
      <c r="D885" s="440"/>
      <c r="E885" s="440"/>
      <c r="F885" s="441"/>
      <c r="G885" s="440"/>
      <c r="H885" s="440"/>
      <c r="I885" s="440"/>
      <c r="J885" s="440"/>
      <c r="K885" s="441"/>
      <c r="L885" s="440"/>
      <c r="M885" s="440"/>
      <c r="N885" s="440"/>
      <c r="O885" s="440"/>
    </row>
    <row r="886" spans="1:15" s="351" customFormat="1" x14ac:dyDescent="0.2">
      <c r="A886" s="357" t="s">
        <v>32</v>
      </c>
      <c r="B886" s="450">
        <f>SUM(B876:B884)</f>
        <v>14.061999999891167</v>
      </c>
      <c r="C886" s="450">
        <f t="shared" ref="C886:E886" si="382">SUM(C876:C884)</f>
        <v>4.9769999999881591</v>
      </c>
      <c r="D886" s="450">
        <f t="shared" si="382"/>
        <v>4.9929999999174663</v>
      </c>
      <c r="E886" s="450">
        <f t="shared" si="382"/>
        <v>24.031999999796792</v>
      </c>
      <c r="F886" s="450"/>
      <c r="G886" s="450">
        <f t="shared" ref="G886:J886" si="383">SUM(G876:G884)</f>
        <v>12.878999999758758</v>
      </c>
      <c r="H886" s="450">
        <f t="shared" si="383"/>
        <v>5.0539999999972611</v>
      </c>
      <c r="I886" s="450">
        <f t="shared" si="383"/>
        <v>3.4549999999429861</v>
      </c>
      <c r="J886" s="450">
        <f t="shared" si="383"/>
        <v>21.387999999699005</v>
      </c>
      <c r="K886" s="450"/>
      <c r="L886" s="450">
        <f t="shared" ref="L886:O886" si="384">SUM(L876:L884)</f>
        <v>12.644999999900094</v>
      </c>
      <c r="M886" s="450">
        <f t="shared" si="384"/>
        <v>4.8909999999959624</v>
      </c>
      <c r="N886" s="450">
        <f t="shared" si="384"/>
        <v>3.4949999999876615</v>
      </c>
      <c r="O886" s="450">
        <f t="shared" si="384"/>
        <v>21.030999999883711</v>
      </c>
    </row>
    <row r="887" spans="1:15" s="351" customFormat="1" x14ac:dyDescent="0.2">
      <c r="A887" s="348"/>
      <c r="B887" s="348"/>
      <c r="C887" s="348"/>
      <c r="D887" s="348"/>
      <c r="E887" s="348"/>
      <c r="F887" s="348"/>
      <c r="G887" s="348"/>
      <c r="H887" s="348"/>
      <c r="I887" s="348"/>
      <c r="J887" s="348"/>
      <c r="K887" s="348"/>
      <c r="L887" s="348"/>
      <c r="M887" s="348"/>
      <c r="N887" s="353"/>
    </row>
    <row r="888" spans="1:15" s="351" customFormat="1" x14ac:dyDescent="0.2">
      <c r="A888" s="348"/>
      <c r="B888" s="348"/>
      <c r="C888" s="348"/>
      <c r="D888" s="348"/>
      <c r="E888" s="348"/>
      <c r="F888" s="348"/>
      <c r="G888" s="348"/>
      <c r="H888" s="348"/>
      <c r="I888" s="348"/>
      <c r="J888" s="348"/>
      <c r="K888" s="348"/>
      <c r="L888" s="348"/>
      <c r="M888" s="348"/>
      <c r="N888" s="353"/>
      <c r="O888" s="367" t="s">
        <v>35</v>
      </c>
    </row>
    <row r="889" spans="1:15" s="351" customFormat="1" x14ac:dyDescent="0.2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</row>
    <row r="890" spans="1:15" s="351" customFormat="1" x14ac:dyDescent="0.2">
      <c r="A890" s="354" t="str">
        <f>name!A55</f>
        <v>Head offices, etc</v>
      </c>
      <c r="B890" s="519">
        <f>$B$6</f>
        <v>2007</v>
      </c>
      <c r="C890" s="519"/>
      <c r="D890" s="519"/>
      <c r="E890" s="519"/>
      <c r="F890" s="380"/>
      <c r="G890" s="519">
        <f>$G$6</f>
        <v>2017</v>
      </c>
      <c r="H890" s="519"/>
      <c r="I890" s="519"/>
      <c r="J890" s="519"/>
      <c r="K890" s="380"/>
      <c r="L890" s="519">
        <f>$L$6</f>
        <v>2027</v>
      </c>
      <c r="M890" s="519"/>
      <c r="N890" s="519"/>
      <c r="O890" s="519"/>
    </row>
    <row r="891" spans="1:15" s="351" customFormat="1" x14ac:dyDescent="0.2">
      <c r="A891" s="370"/>
      <c r="B891" s="388" t="str">
        <f>$B$7</f>
        <v>FT</v>
      </c>
      <c r="C891" s="388" t="str">
        <f>$C$7</f>
        <v>PT</v>
      </c>
      <c r="D891" s="388" t="str">
        <f>$D$7</f>
        <v>SE</v>
      </c>
      <c r="E891" s="388" t="str">
        <f>$E$7</f>
        <v>Total</v>
      </c>
      <c r="F891" s="388"/>
      <c r="G891" s="388" t="str">
        <f>$G$7</f>
        <v>FT</v>
      </c>
      <c r="H891" s="388" t="str">
        <f>$H$7</f>
        <v>PT</v>
      </c>
      <c r="I891" s="388" t="str">
        <f>$I$7</f>
        <v>SE</v>
      </c>
      <c r="J891" s="388" t="str">
        <f>$J$7</f>
        <v>Total</v>
      </c>
      <c r="K891" s="388"/>
      <c r="L891" s="388" t="str">
        <f>$L$7</f>
        <v>FT</v>
      </c>
      <c r="M891" s="388" t="str">
        <f>$M$7</f>
        <v>PT</v>
      </c>
      <c r="N891" s="388" t="str">
        <f>$N$7</f>
        <v>SE</v>
      </c>
      <c r="O891" s="388" t="str">
        <f>$O$7</f>
        <v>Total</v>
      </c>
    </row>
    <row r="892" spans="1:15" s="351" customFormat="1" x14ac:dyDescent="0.2">
      <c r="A892" s="374"/>
      <c r="B892" s="350"/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</row>
    <row r="893" spans="1:15" s="351" customFormat="1" x14ac:dyDescent="0.2">
      <c r="A893" s="362" t="str">
        <f>name!E$4</f>
        <v>Managers, directors and senior officials</v>
      </c>
      <c r="B893" s="440">
        <v>0.65704456736070949</v>
      </c>
      <c r="C893" s="440">
        <v>0.1672987284861914</v>
      </c>
      <c r="D893" s="440">
        <v>0.27843681028676454</v>
      </c>
      <c r="E893" s="440">
        <f>SUM(B893:D893)</f>
        <v>1.1027801061336655</v>
      </c>
      <c r="F893" s="441"/>
      <c r="G893" s="440">
        <v>0.93283188089719937</v>
      </c>
      <c r="H893" s="440">
        <v>0.16879867152647712</v>
      </c>
      <c r="I893" s="440">
        <v>0.33848050373323912</v>
      </c>
      <c r="J893" s="440">
        <f>SUM(G893:I893)</f>
        <v>1.4401110561569155</v>
      </c>
      <c r="K893" s="441"/>
      <c r="L893" s="440">
        <v>1.1428289154711679</v>
      </c>
      <c r="M893" s="440">
        <v>0.21716799418163277</v>
      </c>
      <c r="N893" s="440">
        <v>0.39467895502827954</v>
      </c>
      <c r="O893" s="440">
        <f>SUM(L893:N893)</f>
        <v>1.7546758646810803</v>
      </c>
    </row>
    <row r="894" spans="1:15" s="351" customFormat="1" x14ac:dyDescent="0.2">
      <c r="A894" s="362" t="str">
        <f>name!E$5</f>
        <v>Professional occupations</v>
      </c>
      <c r="B894" s="440">
        <v>2.0088762259469908</v>
      </c>
      <c r="C894" s="440">
        <v>0.45890156566968293</v>
      </c>
      <c r="D894" s="440">
        <v>0.50807391324365847</v>
      </c>
      <c r="E894" s="440">
        <f t="shared" ref="E894:E901" si="385">SUM(B894:D894)</f>
        <v>2.9758517048603323</v>
      </c>
      <c r="F894" s="441"/>
      <c r="G894" s="440">
        <v>2.625020071050709</v>
      </c>
      <c r="H894" s="440">
        <v>0.31299046492118016</v>
      </c>
      <c r="I894" s="440">
        <v>0.58496521009115943</v>
      </c>
      <c r="J894" s="440">
        <f t="shared" ref="J894:J896" si="386">SUM(G894:I894)</f>
        <v>3.5229757460630489</v>
      </c>
      <c r="K894" s="441"/>
      <c r="L894" s="440">
        <v>3.1276199364183457</v>
      </c>
      <c r="M894" s="440">
        <v>0.39203574672803221</v>
      </c>
      <c r="N894" s="440">
        <v>0.65682598894045396</v>
      </c>
      <c r="O894" s="440">
        <f t="shared" ref="O894:O901" si="387">SUM(L894:N894)</f>
        <v>4.1764816720868314</v>
      </c>
    </row>
    <row r="895" spans="1:15" s="351" customFormat="1" x14ac:dyDescent="0.2">
      <c r="A895" s="362" t="str">
        <f>name!E$6</f>
        <v>Associate professional and technical</v>
      </c>
      <c r="B895" s="440">
        <v>1.3263964497043981</v>
      </c>
      <c r="C895" s="440">
        <v>0.23681928056115292</v>
      </c>
      <c r="D895" s="440">
        <v>0.4255513581036241</v>
      </c>
      <c r="E895" s="440">
        <f t="shared" si="385"/>
        <v>1.988767088369175</v>
      </c>
      <c r="F895" s="441"/>
      <c r="G895" s="440">
        <v>1.9744586851871753</v>
      </c>
      <c r="H895" s="440">
        <v>0.27312535652140252</v>
      </c>
      <c r="I895" s="440">
        <v>0.5185588117029124</v>
      </c>
      <c r="J895" s="440">
        <f t="shared" si="386"/>
        <v>2.7661428534114902</v>
      </c>
      <c r="K895" s="441"/>
      <c r="L895" s="440">
        <v>2.3621568814473233</v>
      </c>
      <c r="M895" s="440">
        <v>0.35520495834194321</v>
      </c>
      <c r="N895" s="440">
        <v>0.58533314494115163</v>
      </c>
      <c r="O895" s="440">
        <f t="shared" si="387"/>
        <v>3.3026949847304179</v>
      </c>
    </row>
    <row r="896" spans="1:15" s="351" customFormat="1" x14ac:dyDescent="0.2">
      <c r="A896" s="362" t="str">
        <f>name!E$7</f>
        <v>Administrative and secretarial</v>
      </c>
      <c r="B896" s="440">
        <v>2.1259126865417302</v>
      </c>
      <c r="C896" s="440">
        <v>1.259246293988014</v>
      </c>
      <c r="D896" s="440">
        <v>0.18012266480922595</v>
      </c>
      <c r="E896" s="440">
        <f t="shared" si="385"/>
        <v>3.56528164533897</v>
      </c>
      <c r="F896" s="441"/>
      <c r="G896" s="440">
        <v>3.3427456605417984</v>
      </c>
      <c r="H896" s="440">
        <v>1.3217295929569504</v>
      </c>
      <c r="I896" s="440">
        <v>0.29996024205250499</v>
      </c>
      <c r="J896" s="440">
        <f t="shared" si="386"/>
        <v>4.9644354955512533</v>
      </c>
      <c r="K896" s="441"/>
      <c r="L896" s="440">
        <v>2.8530810937674191</v>
      </c>
      <c r="M896" s="440">
        <v>1.220446237921452</v>
      </c>
      <c r="N896" s="440">
        <v>0.26814858874186098</v>
      </c>
      <c r="O896" s="440">
        <f t="shared" si="387"/>
        <v>4.341675920430732</v>
      </c>
    </row>
    <row r="897" spans="1:15" s="351" customFormat="1" x14ac:dyDescent="0.2">
      <c r="A897" s="362" t="str">
        <f>name!E$8</f>
        <v>Skilled trades occupations</v>
      </c>
      <c r="B897" s="440">
        <v>0.20068547531594821</v>
      </c>
      <c r="C897" s="440">
        <v>4.9239020904306034E-2</v>
      </c>
      <c r="D897" s="440">
        <v>8.217008316444957E-2</v>
      </c>
      <c r="E897" s="440">
        <f t="shared" si="385"/>
        <v>0.33209457938470383</v>
      </c>
      <c r="F897" s="441"/>
      <c r="G897" s="440">
        <v>0.249826378020643</v>
      </c>
      <c r="H897" s="440">
        <v>2.2128207260030643E-2</v>
      </c>
      <c r="I897" s="440">
        <v>7.9399422299163178E-2</v>
      </c>
      <c r="J897" s="440">
        <f>SUM(G897:I897)</f>
        <v>0.35135400757983681</v>
      </c>
      <c r="K897" s="441"/>
      <c r="L897" s="440">
        <v>0.22502484194173272</v>
      </c>
      <c r="M897" s="440">
        <v>2.2791195031387445E-2</v>
      </c>
      <c r="N897" s="440">
        <v>8.6870829969790717E-2</v>
      </c>
      <c r="O897" s="440">
        <f t="shared" si="387"/>
        <v>0.33468686694291089</v>
      </c>
    </row>
    <row r="898" spans="1:15" s="351" customFormat="1" x14ac:dyDescent="0.2">
      <c r="A898" s="362" t="str">
        <f>name!E$9</f>
        <v>Caring, leisure and other service</v>
      </c>
      <c r="B898" s="440">
        <v>1.5156113393220587E-2</v>
      </c>
      <c r="C898" s="440">
        <v>7.6280860403202758E-3</v>
      </c>
      <c r="D898" s="440">
        <v>3.3784190359017433E-2</v>
      </c>
      <c r="E898" s="440">
        <f t="shared" si="385"/>
        <v>5.6568389792558293E-2</v>
      </c>
      <c r="F898" s="441"/>
      <c r="G898" s="440">
        <v>2.9608510252316301E-2</v>
      </c>
      <c r="H898" s="440">
        <v>6.8963558599113156E-3</v>
      </c>
      <c r="I898" s="440">
        <v>4.3715975877109944E-2</v>
      </c>
      <c r="J898" s="440">
        <f t="shared" ref="J898:J901" si="388">SUM(G898:I898)</f>
        <v>8.0220841989337557E-2</v>
      </c>
      <c r="K898" s="441"/>
      <c r="L898" s="440">
        <v>3.4322146712302812E-2</v>
      </c>
      <c r="M898" s="440">
        <v>7.9786658023563873E-3</v>
      </c>
      <c r="N898" s="440">
        <v>4.9813526594133711E-2</v>
      </c>
      <c r="O898" s="440">
        <f t="shared" si="387"/>
        <v>9.2114339108792909E-2</v>
      </c>
    </row>
    <row r="899" spans="1:15" s="351" customFormat="1" x14ac:dyDescent="0.2">
      <c r="A899" s="362" t="str">
        <f>name!E$10</f>
        <v>Sales and customer service</v>
      </c>
      <c r="B899" s="440">
        <v>0.16924610657007458</v>
      </c>
      <c r="C899" s="440">
        <v>0.16430172881873087</v>
      </c>
      <c r="D899" s="440">
        <v>2.7865665870098623E-2</v>
      </c>
      <c r="E899" s="440">
        <f t="shared" si="385"/>
        <v>0.36141350125890409</v>
      </c>
      <c r="F899" s="441"/>
      <c r="G899" s="440">
        <v>0.57829561365898785</v>
      </c>
      <c r="H899" s="440">
        <v>0.22159905718651488</v>
      </c>
      <c r="I899" s="440">
        <v>7.6006416903036528E-2</v>
      </c>
      <c r="J899" s="440">
        <f t="shared" si="388"/>
        <v>0.87590108774853925</v>
      </c>
      <c r="K899" s="441"/>
      <c r="L899" s="440">
        <v>0.62457339150253077</v>
      </c>
      <c r="M899" s="440">
        <v>0.24969894134454659</v>
      </c>
      <c r="N899" s="440">
        <v>6.9214196820269899E-2</v>
      </c>
      <c r="O899" s="440">
        <f t="shared" si="387"/>
        <v>0.94348652966734725</v>
      </c>
    </row>
    <row r="900" spans="1:15" s="351" customFormat="1" x14ac:dyDescent="0.2">
      <c r="A900" s="362" t="str">
        <f>name!E$11</f>
        <v>Process, plant and machine operatives</v>
      </c>
      <c r="B900" s="440">
        <v>0.12848501657481962</v>
      </c>
      <c r="C900" s="440">
        <v>3.1011850989927533E-2</v>
      </c>
      <c r="D900" s="440">
        <v>3.7404369596677173E-2</v>
      </c>
      <c r="E900" s="440">
        <f t="shared" si="385"/>
        <v>0.19690123716142433</v>
      </c>
      <c r="F900" s="441"/>
      <c r="G900" s="440">
        <v>0.17628895252865967</v>
      </c>
      <c r="H900" s="440">
        <v>1.3901608556542648E-2</v>
      </c>
      <c r="I900" s="440">
        <v>3.5780900504093383E-2</v>
      </c>
      <c r="J900" s="440">
        <f t="shared" si="388"/>
        <v>0.22597146158929571</v>
      </c>
      <c r="K900" s="441"/>
      <c r="L900" s="440">
        <v>0.1614662270893433</v>
      </c>
      <c r="M900" s="440">
        <v>1.2157878199377267E-2</v>
      </c>
      <c r="N900" s="440">
        <v>3.408861017192831E-2</v>
      </c>
      <c r="O900" s="440">
        <f t="shared" si="387"/>
        <v>0.2077127154606489</v>
      </c>
    </row>
    <row r="901" spans="1:15" s="351" customFormat="1" x14ac:dyDescent="0.2">
      <c r="A901" s="362" t="str">
        <f>name!E$12</f>
        <v>Elementary occupations</v>
      </c>
      <c r="B901" s="440">
        <v>0.10119735852831582</v>
      </c>
      <c r="C901" s="440">
        <v>7.3553444535851248E-2</v>
      </c>
      <c r="D901" s="440">
        <v>3.7590944537401867E-2</v>
      </c>
      <c r="E901" s="440">
        <f t="shared" si="385"/>
        <v>0.21234174760156893</v>
      </c>
      <c r="F901" s="441"/>
      <c r="G901" s="440">
        <v>0.17092424768169887</v>
      </c>
      <c r="H901" s="440">
        <v>5.28306852096369E-2</v>
      </c>
      <c r="I901" s="440">
        <v>7.5132516800644089E-2</v>
      </c>
      <c r="J901" s="440">
        <f t="shared" si="388"/>
        <v>0.29888744969197989</v>
      </c>
      <c r="K901" s="441"/>
      <c r="L901" s="440">
        <v>0.16592656560662053</v>
      </c>
      <c r="M901" s="440">
        <v>5.5518382447250721E-2</v>
      </c>
      <c r="N901" s="440">
        <v>8.2026158783763375E-2</v>
      </c>
      <c r="O901" s="440">
        <f t="shared" si="387"/>
        <v>0.30347110683763462</v>
      </c>
    </row>
    <row r="902" spans="1:15" s="351" customFormat="1" x14ac:dyDescent="0.2">
      <c r="A902" s="362"/>
      <c r="B902" s="440"/>
      <c r="C902" s="440"/>
      <c r="D902" s="440"/>
      <c r="E902" s="440"/>
      <c r="F902" s="441"/>
      <c r="G902" s="440"/>
      <c r="H902" s="440"/>
      <c r="I902" s="440"/>
      <c r="J902" s="440"/>
      <c r="K902" s="441"/>
      <c r="L902" s="440"/>
      <c r="M902" s="440"/>
      <c r="N902" s="440"/>
      <c r="O902" s="440"/>
    </row>
    <row r="903" spans="1:15" s="351" customFormat="1" x14ac:dyDescent="0.2">
      <c r="A903" s="357" t="s">
        <v>32</v>
      </c>
      <c r="B903" s="450">
        <f>SUM(B893:B901)</f>
        <v>6.7329999999362071</v>
      </c>
      <c r="C903" s="450">
        <f t="shared" ref="C903:E903" si="389">SUM(C893:C901)</f>
        <v>2.4479999999941766</v>
      </c>
      <c r="D903" s="450">
        <f t="shared" si="389"/>
        <v>1.6109999999709179</v>
      </c>
      <c r="E903" s="450">
        <f t="shared" si="389"/>
        <v>10.791999999901302</v>
      </c>
      <c r="F903" s="450"/>
      <c r="G903" s="450">
        <f t="shared" ref="G903:J903" si="390">SUM(G893:G901)</f>
        <v>10.079999999819186</v>
      </c>
      <c r="H903" s="450">
        <f t="shared" si="390"/>
        <v>2.3939999999986465</v>
      </c>
      <c r="I903" s="450">
        <f t="shared" si="390"/>
        <v>2.0519999999638632</v>
      </c>
      <c r="J903" s="450">
        <f t="shared" si="390"/>
        <v>14.525999999781696</v>
      </c>
      <c r="K903" s="450"/>
      <c r="L903" s="450">
        <f t="shared" ref="L903:O903" si="391">SUM(L893:L901)</f>
        <v>10.696999999956788</v>
      </c>
      <c r="M903" s="450">
        <f t="shared" si="391"/>
        <v>2.5329999999979789</v>
      </c>
      <c r="N903" s="450">
        <f t="shared" si="391"/>
        <v>2.2269999999916319</v>
      </c>
      <c r="O903" s="450">
        <f t="shared" si="391"/>
        <v>15.456999999946397</v>
      </c>
    </row>
    <row r="904" spans="1:15" s="351" customFormat="1" x14ac:dyDescent="0.2">
      <c r="A904" s="348"/>
      <c r="B904" s="348"/>
      <c r="C904" s="348"/>
      <c r="D904" s="348"/>
      <c r="E904" s="348"/>
      <c r="F904" s="348"/>
      <c r="G904" s="348"/>
      <c r="H904" s="348"/>
      <c r="I904" s="348"/>
      <c r="J904" s="348"/>
      <c r="K904" s="348"/>
      <c r="L904" s="348"/>
      <c r="M904" s="348"/>
      <c r="N904" s="353"/>
    </row>
    <row r="905" spans="1:15" s="351" customFormat="1" x14ac:dyDescent="0.2">
      <c r="A905" s="348"/>
      <c r="B905" s="348"/>
      <c r="C905" s="348"/>
      <c r="D905" s="348"/>
      <c r="E905" s="348"/>
      <c r="F905" s="348"/>
      <c r="G905" s="348"/>
      <c r="H905" s="348"/>
      <c r="I905" s="348"/>
      <c r="J905" s="348"/>
      <c r="K905" s="348"/>
      <c r="L905" s="348"/>
      <c r="M905" s="348"/>
      <c r="N905" s="353"/>
      <c r="O905" s="367" t="s">
        <v>35</v>
      </c>
    </row>
    <row r="906" spans="1:15" s="351" customFormat="1" x14ac:dyDescent="0.2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</row>
    <row r="907" spans="1:15" s="351" customFormat="1" x14ac:dyDescent="0.2">
      <c r="A907" s="354" t="str">
        <f>name!A56</f>
        <v>Architectural and related</v>
      </c>
      <c r="B907" s="519">
        <f>$B$6</f>
        <v>2007</v>
      </c>
      <c r="C907" s="519"/>
      <c r="D907" s="519"/>
      <c r="E907" s="519"/>
      <c r="F907" s="380"/>
      <c r="G907" s="519">
        <f>$G$6</f>
        <v>2017</v>
      </c>
      <c r="H907" s="519"/>
      <c r="I907" s="519"/>
      <c r="J907" s="519"/>
      <c r="K907" s="380"/>
      <c r="L907" s="519">
        <f>$L$6</f>
        <v>2027</v>
      </c>
      <c r="M907" s="519"/>
      <c r="N907" s="519"/>
      <c r="O907" s="519"/>
    </row>
    <row r="908" spans="1:15" s="351" customFormat="1" x14ac:dyDescent="0.2">
      <c r="A908" s="370"/>
      <c r="B908" s="388" t="str">
        <f>$B$7</f>
        <v>FT</v>
      </c>
      <c r="C908" s="388" t="str">
        <f>$C$7</f>
        <v>PT</v>
      </c>
      <c r="D908" s="388" t="str">
        <f>$D$7</f>
        <v>SE</v>
      </c>
      <c r="E908" s="388" t="str">
        <f>$E$7</f>
        <v>Total</v>
      </c>
      <c r="F908" s="388"/>
      <c r="G908" s="388" t="str">
        <f>$G$7</f>
        <v>FT</v>
      </c>
      <c r="H908" s="388" t="str">
        <f>$H$7</f>
        <v>PT</v>
      </c>
      <c r="I908" s="388" t="str">
        <f>$I$7</f>
        <v>SE</v>
      </c>
      <c r="J908" s="388" t="str">
        <f>$J$7</f>
        <v>Total</v>
      </c>
      <c r="K908" s="388"/>
      <c r="L908" s="388" t="str">
        <f>$L$7</f>
        <v>FT</v>
      </c>
      <c r="M908" s="388" t="str">
        <f>$M$7</f>
        <v>PT</v>
      </c>
      <c r="N908" s="388" t="str">
        <f>$N$7</f>
        <v>SE</v>
      </c>
      <c r="O908" s="388" t="str">
        <f>$O$7</f>
        <v>Total</v>
      </c>
    </row>
    <row r="909" spans="1:15" s="351" customFormat="1" x14ac:dyDescent="0.2">
      <c r="A909" s="374"/>
      <c r="B909" s="350"/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</row>
    <row r="910" spans="1:15" s="351" customFormat="1" x14ac:dyDescent="0.2">
      <c r="A910" s="362" t="str">
        <f>name!E$4</f>
        <v>Managers, directors and senior officials</v>
      </c>
      <c r="B910" s="440">
        <v>1.1117653723078935</v>
      </c>
      <c r="C910" s="440">
        <v>0.18296434550897456</v>
      </c>
      <c r="D910" s="440">
        <v>0.67754740678830738</v>
      </c>
      <c r="E910" s="440">
        <f>SUM(B910:D910)</f>
        <v>1.9722771246051753</v>
      </c>
      <c r="F910" s="441"/>
      <c r="G910" s="440">
        <v>1.8973221558745885</v>
      </c>
      <c r="H910" s="440">
        <v>0.18840400834926682</v>
      </c>
      <c r="I910" s="440">
        <v>0.79483465905435791</v>
      </c>
      <c r="J910" s="440">
        <f>SUM(G910:I910)</f>
        <v>2.8805608232782132</v>
      </c>
      <c r="K910" s="441"/>
      <c r="L910" s="440">
        <v>2.2690523434987822</v>
      </c>
      <c r="M910" s="440">
        <v>0.25210301893925691</v>
      </c>
      <c r="N910" s="440">
        <v>0.93468288179449377</v>
      </c>
      <c r="O910" s="440">
        <f>SUM(L910:N910)</f>
        <v>3.4558382442325328</v>
      </c>
    </row>
    <row r="911" spans="1:15" s="351" customFormat="1" x14ac:dyDescent="0.2">
      <c r="A911" s="362" t="str">
        <f>name!E$5</f>
        <v>Professional occupations</v>
      </c>
      <c r="B911" s="440">
        <v>3.2981573416635537</v>
      </c>
      <c r="C911" s="440">
        <v>0.52893902192391151</v>
      </c>
      <c r="D911" s="440">
        <v>1.2143631070857597</v>
      </c>
      <c r="E911" s="440">
        <f t="shared" ref="E911:E918" si="392">SUM(B911:D911)</f>
        <v>5.0414594706732245</v>
      </c>
      <c r="F911" s="441"/>
      <c r="G911" s="440">
        <v>4.3957076616497526</v>
      </c>
      <c r="H911" s="440">
        <v>0.37617297939624478</v>
      </c>
      <c r="I911" s="440">
        <v>1.2948037725257058</v>
      </c>
      <c r="J911" s="440">
        <f t="shared" ref="J911:J913" si="393">SUM(G911:I911)</f>
        <v>6.0666844135717026</v>
      </c>
      <c r="K911" s="441"/>
      <c r="L911" s="440">
        <v>4.9832539969219161</v>
      </c>
      <c r="M911" s="440">
        <v>0.47240290047781164</v>
      </c>
      <c r="N911" s="440">
        <v>1.3613417414866629</v>
      </c>
      <c r="O911" s="440">
        <f t="shared" ref="O911:O918" si="394">SUM(L911:N911)</f>
        <v>6.8169986388863899</v>
      </c>
    </row>
    <row r="912" spans="1:15" s="351" customFormat="1" x14ac:dyDescent="0.2">
      <c r="A912" s="362" t="str">
        <f>name!E$6</f>
        <v>Associate professional and technical</v>
      </c>
      <c r="B912" s="440">
        <v>2.1725994236800594</v>
      </c>
      <c r="C912" s="440">
        <v>0.25913904654514702</v>
      </c>
      <c r="D912" s="440">
        <v>0.99543202775973827</v>
      </c>
      <c r="E912" s="440">
        <f t="shared" si="392"/>
        <v>3.4271704979849447</v>
      </c>
      <c r="F912" s="441"/>
      <c r="G912" s="440">
        <v>3.2462213770765191</v>
      </c>
      <c r="H912" s="440">
        <v>0.30181295623566257</v>
      </c>
      <c r="I912" s="440">
        <v>1.0596577882933398</v>
      </c>
      <c r="J912" s="440">
        <f t="shared" si="393"/>
        <v>4.6076921216055213</v>
      </c>
      <c r="K912" s="441"/>
      <c r="L912" s="440">
        <v>3.8147628330800716</v>
      </c>
      <c r="M912" s="440">
        <v>0.40690115546452094</v>
      </c>
      <c r="N912" s="440">
        <v>1.1653885405141928</v>
      </c>
      <c r="O912" s="440">
        <f t="shared" si="394"/>
        <v>5.387052529058785</v>
      </c>
    </row>
    <row r="913" spans="1:15" s="351" customFormat="1" x14ac:dyDescent="0.2">
      <c r="A913" s="362" t="str">
        <f>name!E$7</f>
        <v>Administrative and secretarial</v>
      </c>
      <c r="B913" s="440">
        <v>3.1407896703510216</v>
      </c>
      <c r="C913" s="440">
        <v>1.3232447004443739</v>
      </c>
      <c r="D913" s="440">
        <v>0.33124223803985636</v>
      </c>
      <c r="E913" s="440">
        <f t="shared" si="392"/>
        <v>4.7952766088352528</v>
      </c>
      <c r="F913" s="441"/>
      <c r="G913" s="440">
        <v>4.1761954141330646</v>
      </c>
      <c r="H913" s="440">
        <v>1.3791528042397787</v>
      </c>
      <c r="I913" s="440">
        <v>0.38806185500932677</v>
      </c>
      <c r="J913" s="440">
        <f t="shared" si="393"/>
        <v>5.9434100733821706</v>
      </c>
      <c r="K913" s="441"/>
      <c r="L913" s="440">
        <v>4.2699127148660976</v>
      </c>
      <c r="M913" s="440">
        <v>1.3839856391029606</v>
      </c>
      <c r="N913" s="440">
        <v>0.38954296728554089</v>
      </c>
      <c r="O913" s="440">
        <f t="shared" si="394"/>
        <v>6.0434413212545994</v>
      </c>
    </row>
    <row r="914" spans="1:15" s="351" customFormat="1" x14ac:dyDescent="0.2">
      <c r="A914" s="362" t="str">
        <f>name!E$8</f>
        <v>Skilled trades occupations</v>
      </c>
      <c r="B914" s="440">
        <v>0.34705205241321074</v>
      </c>
      <c r="C914" s="440">
        <v>5.6826834824202921E-2</v>
      </c>
      <c r="D914" s="440">
        <v>0.20179940878492406</v>
      </c>
      <c r="E914" s="440">
        <f t="shared" si="392"/>
        <v>0.60567829602233769</v>
      </c>
      <c r="F914" s="441"/>
      <c r="G914" s="440">
        <v>0.62578760865944172</v>
      </c>
      <c r="H914" s="440">
        <v>3.4603424613809039E-2</v>
      </c>
      <c r="I914" s="440">
        <v>0.20935656567332644</v>
      </c>
      <c r="J914" s="440">
        <f>SUM(G914:I914)</f>
        <v>0.86974759894657727</v>
      </c>
      <c r="K914" s="441"/>
      <c r="L914" s="440">
        <v>0.55190240830465076</v>
      </c>
      <c r="M914" s="440">
        <v>3.5518778815188841E-2</v>
      </c>
      <c r="N914" s="440">
        <v>0.23862798019022624</v>
      </c>
      <c r="O914" s="440">
        <f t="shared" si="394"/>
        <v>0.82604916731006583</v>
      </c>
    </row>
    <row r="915" spans="1:15" s="351" customFormat="1" x14ac:dyDescent="0.2">
      <c r="A915" s="362" t="str">
        <f>name!E$9</f>
        <v>Caring, leisure and other service</v>
      </c>
      <c r="B915" s="440">
        <v>2.4548324006479133E-2</v>
      </c>
      <c r="C915" s="440">
        <v>8.6753458893762264E-3</v>
      </c>
      <c r="D915" s="440">
        <v>8.258039367486783E-2</v>
      </c>
      <c r="E915" s="440">
        <f t="shared" si="392"/>
        <v>0.11580406357072319</v>
      </c>
      <c r="F915" s="441"/>
      <c r="G915" s="440">
        <v>4.6002704244707829E-2</v>
      </c>
      <c r="H915" s="440">
        <v>8.9096995382854909E-3</v>
      </c>
      <c r="I915" s="440">
        <v>9.8532390800368005E-2</v>
      </c>
      <c r="J915" s="440">
        <f t="shared" ref="J915:J918" si="395">SUM(G915:I915)</f>
        <v>0.15344479458336133</v>
      </c>
      <c r="K915" s="441"/>
      <c r="L915" s="440">
        <v>5.4850424042720149E-2</v>
      </c>
      <c r="M915" s="440">
        <v>1.1036524076854584E-2</v>
      </c>
      <c r="N915" s="440">
        <v>0.11661022215529759</v>
      </c>
      <c r="O915" s="440">
        <f t="shared" si="394"/>
        <v>0.18249717027487233</v>
      </c>
    </row>
    <row r="916" spans="1:15" s="351" customFormat="1" x14ac:dyDescent="0.2">
      <c r="A916" s="362" t="str">
        <f>name!E$10</f>
        <v>Sales and customer service</v>
      </c>
      <c r="B916" s="440">
        <v>0.27351458543424911</v>
      </c>
      <c r="C916" s="440">
        <v>0.18228319279147734</v>
      </c>
      <c r="D916" s="440">
        <v>5.5317989288575356E-2</v>
      </c>
      <c r="E916" s="440">
        <f t="shared" si="392"/>
        <v>0.51111576751430177</v>
      </c>
      <c r="F916" s="441"/>
      <c r="G916" s="440">
        <v>0.76532128660486998</v>
      </c>
      <c r="H916" s="440">
        <v>0.25809279280448838</v>
      </c>
      <c r="I916" s="440">
        <v>9.4501368348870324E-2</v>
      </c>
      <c r="J916" s="440">
        <f t="shared" si="395"/>
        <v>1.1179154477582287</v>
      </c>
      <c r="K916" s="441"/>
      <c r="L916" s="440">
        <v>0.88808831775527997</v>
      </c>
      <c r="M916" s="440">
        <v>0.30014447649487236</v>
      </c>
      <c r="N916" s="440">
        <v>9.4107071809666931E-2</v>
      </c>
      <c r="O916" s="440">
        <f t="shared" si="394"/>
        <v>1.2823398660598193</v>
      </c>
    </row>
    <row r="917" spans="1:15" s="351" customFormat="1" x14ac:dyDescent="0.2">
      <c r="A917" s="362" t="str">
        <f>name!E$11</f>
        <v>Process, plant and machine operatives</v>
      </c>
      <c r="B917" s="440">
        <v>0.22281070987181564</v>
      </c>
      <c r="C917" s="440">
        <v>3.6342808101725535E-2</v>
      </c>
      <c r="D917" s="440">
        <v>9.1021587640142732E-2</v>
      </c>
      <c r="E917" s="440">
        <f t="shared" si="392"/>
        <v>0.35017510561368392</v>
      </c>
      <c r="F917" s="441"/>
      <c r="G917" s="440">
        <v>0.45543321119289537</v>
      </c>
      <c r="H917" s="440">
        <v>2.523393116002505E-2</v>
      </c>
      <c r="I917" s="440">
        <v>7.7243144116653353E-2</v>
      </c>
      <c r="J917" s="440">
        <f t="shared" si="395"/>
        <v>0.55791028646957375</v>
      </c>
      <c r="K917" s="441"/>
      <c r="L917" s="440">
        <v>0.42221740181452816</v>
      </c>
      <c r="M917" s="440">
        <v>2.4425985754169943E-2</v>
      </c>
      <c r="N917" s="440">
        <v>7.6340886481909329E-2</v>
      </c>
      <c r="O917" s="440">
        <f t="shared" si="394"/>
        <v>0.52298427405060743</v>
      </c>
    </row>
    <row r="918" spans="1:15" s="351" customFormat="1" x14ac:dyDescent="0.2">
      <c r="A918" s="362" t="str">
        <f>name!E$12</f>
        <v>Elementary occupations</v>
      </c>
      <c r="B918" s="440">
        <v>0.1657625201605947</v>
      </c>
      <c r="C918" s="440">
        <v>7.958470396449048E-2</v>
      </c>
      <c r="D918" s="440">
        <v>5.9695840852044588E-2</v>
      </c>
      <c r="E918" s="440">
        <f t="shared" si="392"/>
        <v>0.3050430649771298</v>
      </c>
      <c r="F918" s="441"/>
      <c r="G918" s="440">
        <v>0.30000858031374705</v>
      </c>
      <c r="H918" s="440">
        <v>6.1617403660404697E-2</v>
      </c>
      <c r="I918" s="440">
        <v>7.9008456081907305E-2</v>
      </c>
      <c r="J918" s="440">
        <f t="shared" si="395"/>
        <v>0.44063444005605906</v>
      </c>
      <c r="K918" s="441"/>
      <c r="L918" s="440">
        <v>0.31695955985244056</v>
      </c>
      <c r="M918" s="440">
        <v>7.1481520872755139E-2</v>
      </c>
      <c r="N918" s="440">
        <v>8.9357708258342342E-2</v>
      </c>
      <c r="O918" s="440">
        <f t="shared" si="394"/>
        <v>0.477798788983538</v>
      </c>
    </row>
    <row r="919" spans="1:15" s="351" customFormat="1" x14ac:dyDescent="0.2">
      <c r="A919" s="362"/>
      <c r="B919" s="440"/>
      <c r="C919" s="440"/>
      <c r="D919" s="440"/>
      <c r="E919" s="440"/>
      <c r="F919" s="441"/>
      <c r="G919" s="440"/>
      <c r="H919" s="440"/>
      <c r="I919" s="440"/>
      <c r="J919" s="440"/>
      <c r="K919" s="441"/>
      <c r="L919" s="440"/>
      <c r="M919" s="440"/>
      <c r="N919" s="440"/>
      <c r="O919" s="440"/>
    </row>
    <row r="920" spans="1:15" s="351" customFormat="1" x14ac:dyDescent="0.2">
      <c r="A920" s="357" t="s">
        <v>32</v>
      </c>
      <c r="B920" s="450">
        <f>SUM(B910:B918)</f>
        <v>10.756999999888878</v>
      </c>
      <c r="C920" s="450">
        <f t="shared" ref="C920:E920" si="396">SUM(C910:C918)</f>
        <v>2.6579999999936792</v>
      </c>
      <c r="D920" s="450">
        <f t="shared" si="396"/>
        <v>3.7089999999142163</v>
      </c>
      <c r="E920" s="450">
        <f t="shared" si="396"/>
        <v>17.123999999796773</v>
      </c>
      <c r="F920" s="450"/>
      <c r="G920" s="450">
        <f t="shared" ref="G920:J920" si="397">SUM(G910:G918)</f>
        <v>15.907999999749586</v>
      </c>
      <c r="H920" s="450">
        <f t="shared" si="397"/>
        <v>2.633999999997966</v>
      </c>
      <c r="I920" s="450">
        <f t="shared" si="397"/>
        <v>4.0959999999038557</v>
      </c>
      <c r="J920" s="450">
        <f t="shared" si="397"/>
        <v>22.637999999651409</v>
      </c>
      <c r="K920" s="450"/>
      <c r="L920" s="450">
        <f t="shared" ref="L920:O920" si="398">SUM(L910:L918)</f>
        <v>17.571000000136486</v>
      </c>
      <c r="M920" s="450">
        <f t="shared" si="398"/>
        <v>2.9579999999983908</v>
      </c>
      <c r="N920" s="450">
        <f t="shared" si="398"/>
        <v>4.465999999976332</v>
      </c>
      <c r="O920" s="450">
        <f t="shared" si="398"/>
        <v>24.995000000111212</v>
      </c>
    </row>
    <row r="921" spans="1:15" s="351" customFormat="1" x14ac:dyDescent="0.2">
      <c r="A921" s="348"/>
      <c r="B921" s="348"/>
      <c r="C921" s="348"/>
      <c r="D921" s="348"/>
      <c r="E921" s="348"/>
      <c r="F921" s="348"/>
      <c r="G921" s="348"/>
      <c r="H921" s="348"/>
      <c r="I921" s="348"/>
      <c r="J921" s="348"/>
      <c r="K921" s="348"/>
      <c r="L921" s="348"/>
      <c r="M921" s="348"/>
      <c r="N921" s="353"/>
    </row>
    <row r="922" spans="1:15" s="351" customFormat="1" x14ac:dyDescent="0.2">
      <c r="A922" s="348"/>
      <c r="B922" s="348"/>
      <c r="C922" s="348"/>
      <c r="D922" s="348"/>
      <c r="E922" s="348"/>
      <c r="F922" s="348"/>
      <c r="G922" s="348"/>
      <c r="H922" s="348"/>
      <c r="I922" s="348"/>
      <c r="J922" s="348"/>
      <c r="K922" s="348"/>
      <c r="L922" s="348"/>
      <c r="M922" s="348"/>
      <c r="N922" s="353"/>
      <c r="O922" s="367" t="s">
        <v>35</v>
      </c>
    </row>
    <row r="923" spans="1:15" s="351" customFormat="1" x14ac:dyDescent="0.2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</row>
    <row r="924" spans="1:15" s="351" customFormat="1" x14ac:dyDescent="0.2">
      <c r="A924" s="354" t="str">
        <f>name!A57</f>
        <v>Scientific research and development</v>
      </c>
      <c r="B924" s="519">
        <f>$B$6</f>
        <v>2007</v>
      </c>
      <c r="C924" s="519"/>
      <c r="D924" s="519"/>
      <c r="E924" s="519"/>
      <c r="F924" s="380"/>
      <c r="G924" s="519">
        <f>$G$6</f>
        <v>2017</v>
      </c>
      <c r="H924" s="519"/>
      <c r="I924" s="519"/>
      <c r="J924" s="519"/>
      <c r="K924" s="380"/>
      <c r="L924" s="519">
        <f>$L$6</f>
        <v>2027</v>
      </c>
      <c r="M924" s="519"/>
      <c r="N924" s="519"/>
      <c r="O924" s="519"/>
    </row>
    <row r="925" spans="1:15" s="351" customFormat="1" x14ac:dyDescent="0.2">
      <c r="A925" s="370"/>
      <c r="B925" s="388" t="str">
        <f>$B$7</f>
        <v>FT</v>
      </c>
      <c r="C925" s="388" t="str">
        <f>$C$7</f>
        <v>PT</v>
      </c>
      <c r="D925" s="388" t="str">
        <f>$D$7</f>
        <v>SE</v>
      </c>
      <c r="E925" s="388" t="str">
        <f>$E$7</f>
        <v>Total</v>
      </c>
      <c r="F925" s="388"/>
      <c r="G925" s="388" t="str">
        <f>$G$7</f>
        <v>FT</v>
      </c>
      <c r="H925" s="388" t="str">
        <f>$H$7</f>
        <v>PT</v>
      </c>
      <c r="I925" s="388" t="str">
        <f>$I$7</f>
        <v>SE</v>
      </c>
      <c r="J925" s="388" t="str">
        <f>$J$7</f>
        <v>Total</v>
      </c>
      <c r="K925" s="388"/>
      <c r="L925" s="388" t="str">
        <f>$L$7</f>
        <v>FT</v>
      </c>
      <c r="M925" s="388" t="str">
        <f>$M$7</f>
        <v>PT</v>
      </c>
      <c r="N925" s="388" t="str">
        <f>$N$7</f>
        <v>SE</v>
      </c>
      <c r="O925" s="388" t="str">
        <f>$O$7</f>
        <v>Total</v>
      </c>
    </row>
    <row r="926" spans="1:15" s="351" customFormat="1" x14ac:dyDescent="0.2">
      <c r="A926" s="374"/>
      <c r="B926" s="350"/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</row>
    <row r="927" spans="1:15" s="351" customFormat="1" x14ac:dyDescent="0.2">
      <c r="A927" s="362" t="str">
        <f>name!E$4</f>
        <v>Managers, directors and senior officials</v>
      </c>
      <c r="B927" s="440">
        <v>0.12395056950625682</v>
      </c>
      <c r="C927" s="440">
        <v>1.1673844601068774E-2</v>
      </c>
      <c r="D927" s="440">
        <v>0.13728958752670789</v>
      </c>
      <c r="E927" s="440">
        <f>SUM(B927:D927)</f>
        <v>0.27291400163403345</v>
      </c>
      <c r="F927" s="441"/>
      <c r="G927" s="440">
        <v>0.17637695837807538</v>
      </c>
      <c r="H927" s="440">
        <v>4.0980618910290617E-2</v>
      </c>
      <c r="I927" s="440">
        <v>0.11027608900227751</v>
      </c>
      <c r="J927" s="440">
        <f>SUM(G927:I927)</f>
        <v>0.3276336662906435</v>
      </c>
      <c r="K927" s="441"/>
      <c r="L927" s="440">
        <v>0.21985214010819829</v>
      </c>
      <c r="M927" s="440">
        <v>5.457148053990471E-2</v>
      </c>
      <c r="N927" s="440">
        <v>0.13331301195635412</v>
      </c>
      <c r="O927" s="440">
        <f>SUM(L927:N927)</f>
        <v>0.40773663260445714</v>
      </c>
    </row>
    <row r="928" spans="1:15" s="351" customFormat="1" x14ac:dyDescent="0.2">
      <c r="A928" s="362" t="str">
        <f>name!E$5</f>
        <v>Professional occupations</v>
      </c>
      <c r="B928" s="440">
        <v>0.89974745495736996</v>
      </c>
      <c r="C928" s="440">
        <v>6.9520041521063683E-2</v>
      </c>
      <c r="D928" s="440">
        <v>0.31409972083488447</v>
      </c>
      <c r="E928" s="440">
        <f t="shared" ref="E928:E935" si="399">SUM(B928:D928)</f>
        <v>1.2833672173133182</v>
      </c>
      <c r="F928" s="441"/>
      <c r="G928" s="440">
        <v>1.1385605164093953</v>
      </c>
      <c r="H928" s="440">
        <v>0.17780391330099871</v>
      </c>
      <c r="I928" s="440">
        <v>0.4694406641826257</v>
      </c>
      <c r="J928" s="440">
        <f t="shared" ref="J928:J930" si="400">SUM(G928:I928)</f>
        <v>1.7858050938930197</v>
      </c>
      <c r="K928" s="441"/>
      <c r="L928" s="440">
        <v>1.4845357777908257</v>
      </c>
      <c r="M928" s="440">
        <v>0.22438002602169499</v>
      </c>
      <c r="N928" s="440">
        <v>0.58426096009473161</v>
      </c>
      <c r="O928" s="440">
        <f t="shared" ref="O928:O935" si="401">SUM(L928:N928)</f>
        <v>2.2931767639072524</v>
      </c>
    </row>
    <row r="929" spans="1:15" s="351" customFormat="1" x14ac:dyDescent="0.2">
      <c r="A929" s="362" t="str">
        <f>name!E$6</f>
        <v>Associate professional and technical</v>
      </c>
      <c r="B929" s="440">
        <v>0.29250787187661098</v>
      </c>
      <c r="C929" s="440">
        <v>2.8637263710953771E-2</v>
      </c>
      <c r="D929" s="440">
        <v>8.3675484859724966E-2</v>
      </c>
      <c r="E929" s="440">
        <f t="shared" si="399"/>
        <v>0.40482062044728973</v>
      </c>
      <c r="F929" s="441"/>
      <c r="G929" s="440">
        <v>0.35734363640868605</v>
      </c>
      <c r="H929" s="440">
        <v>7.8955751315270772E-2</v>
      </c>
      <c r="I929" s="440">
        <v>9.6169789714332946E-2</v>
      </c>
      <c r="J929" s="440">
        <f t="shared" si="400"/>
        <v>0.53246917743828981</v>
      </c>
      <c r="K929" s="441"/>
      <c r="L929" s="440">
        <v>0.41820033763268166</v>
      </c>
      <c r="M929" s="440">
        <v>0.10061674140614543</v>
      </c>
      <c r="N929" s="440">
        <v>0.10785343453934722</v>
      </c>
      <c r="O929" s="440">
        <f t="shared" si="401"/>
        <v>0.62667051357817438</v>
      </c>
    </row>
    <row r="930" spans="1:15" s="351" customFormat="1" x14ac:dyDescent="0.2">
      <c r="A930" s="362" t="str">
        <f>name!E$7</f>
        <v>Administrative and secretarial</v>
      </c>
      <c r="B930" s="440">
        <v>0.2220005104142195</v>
      </c>
      <c r="C930" s="440">
        <v>7.9440176523840819E-2</v>
      </c>
      <c r="D930" s="440">
        <v>2.9070622269826079E-2</v>
      </c>
      <c r="E930" s="440">
        <f t="shared" si="399"/>
        <v>0.33051130920788641</v>
      </c>
      <c r="F930" s="441"/>
      <c r="G930" s="440">
        <v>0.29721888331548546</v>
      </c>
      <c r="H930" s="440">
        <v>0.20671114486936176</v>
      </c>
      <c r="I930" s="440">
        <v>6.2234274562561004E-2</v>
      </c>
      <c r="J930" s="440">
        <f t="shared" si="400"/>
        <v>0.56616430274740825</v>
      </c>
      <c r="K930" s="441"/>
      <c r="L930" s="440">
        <v>0.28364927435129222</v>
      </c>
      <c r="M930" s="440">
        <v>0.1892698513727413</v>
      </c>
      <c r="N930" s="440">
        <v>5.7401871147292206E-2</v>
      </c>
      <c r="O930" s="440">
        <f t="shared" si="401"/>
        <v>0.53032099687132572</v>
      </c>
    </row>
    <row r="931" spans="1:15" s="351" customFormat="1" x14ac:dyDescent="0.2">
      <c r="A931" s="362" t="str">
        <f>name!E$8</f>
        <v>Skilled trades occupations</v>
      </c>
      <c r="B931" s="440">
        <v>9.3784153349971408E-2</v>
      </c>
      <c r="C931" s="440">
        <v>7.5130257203138359E-3</v>
      </c>
      <c r="D931" s="440">
        <v>8.1886828801493894E-2</v>
      </c>
      <c r="E931" s="440">
        <f t="shared" si="399"/>
        <v>0.18318400787177913</v>
      </c>
      <c r="F931" s="441"/>
      <c r="G931" s="440">
        <v>7.4212061495759624E-2</v>
      </c>
      <c r="H931" s="440">
        <v>1.9050268841484325E-2</v>
      </c>
      <c r="I931" s="440">
        <v>5.8023051292154938E-2</v>
      </c>
      <c r="J931" s="440">
        <f>SUM(G931:I931)</f>
        <v>0.15128538162939889</v>
      </c>
      <c r="K931" s="441"/>
      <c r="L931" s="440">
        <v>6.3215304813223294E-2</v>
      </c>
      <c r="M931" s="440">
        <v>2.104676206348317E-2</v>
      </c>
      <c r="N931" s="440">
        <v>6.3353144270748979E-2</v>
      </c>
      <c r="O931" s="440">
        <f t="shared" si="401"/>
        <v>0.14761521114745546</v>
      </c>
    </row>
    <row r="932" spans="1:15" s="351" customFormat="1" x14ac:dyDescent="0.2">
      <c r="A932" s="362" t="str">
        <f>name!E$9</f>
        <v>Caring, leisure and other service</v>
      </c>
      <c r="B932" s="440">
        <v>4.558531845162641E-2</v>
      </c>
      <c r="C932" s="440">
        <v>5.8904566520706246E-3</v>
      </c>
      <c r="D932" s="440">
        <v>1.6465610753764761E-2</v>
      </c>
      <c r="E932" s="440">
        <f t="shared" si="399"/>
        <v>6.7941385857461789E-2</v>
      </c>
      <c r="F932" s="441"/>
      <c r="G932" s="440">
        <v>6.8198326255999683E-2</v>
      </c>
      <c r="H932" s="440">
        <v>2.5275826380239962E-2</v>
      </c>
      <c r="I932" s="440">
        <v>4.9997970245466532E-2</v>
      </c>
      <c r="J932" s="440">
        <f t="shared" ref="J932:J935" si="402">SUM(G932:I932)</f>
        <v>0.14347212288170619</v>
      </c>
      <c r="K932" s="441"/>
      <c r="L932" s="440">
        <v>8.1206635486232415E-2</v>
      </c>
      <c r="M932" s="440">
        <v>3.2752726242333989E-2</v>
      </c>
      <c r="N932" s="440">
        <v>5.2356135819334605E-2</v>
      </c>
      <c r="O932" s="440">
        <f t="shared" si="401"/>
        <v>0.16631549754790101</v>
      </c>
    </row>
    <row r="933" spans="1:15" s="351" customFormat="1" x14ac:dyDescent="0.2">
      <c r="A933" s="362" t="str">
        <f>name!E$10</f>
        <v>Sales and customer service</v>
      </c>
      <c r="B933" s="440">
        <v>3.7773801386287248E-2</v>
      </c>
      <c r="C933" s="440">
        <v>3.549913797372746E-2</v>
      </c>
      <c r="D933" s="440">
        <v>2.8097593986028301E-2</v>
      </c>
      <c r="E933" s="440">
        <f t="shared" si="399"/>
        <v>0.10137053334604301</v>
      </c>
      <c r="F933" s="441"/>
      <c r="G933" s="440">
        <v>6.6794265204077274E-2</v>
      </c>
      <c r="H933" s="440">
        <v>0.10892330062364605</v>
      </c>
      <c r="I933" s="440">
        <v>3.6364496231956957E-2</v>
      </c>
      <c r="J933" s="440">
        <f t="shared" si="402"/>
        <v>0.21208206205968028</v>
      </c>
      <c r="K933" s="441"/>
      <c r="L933" s="440">
        <v>8.8831523073190088E-2</v>
      </c>
      <c r="M933" s="440">
        <v>0.10817841054078021</v>
      </c>
      <c r="N933" s="440">
        <v>4.0417358021230525E-2</v>
      </c>
      <c r="O933" s="440">
        <f t="shared" si="401"/>
        <v>0.23742729163520082</v>
      </c>
    </row>
    <row r="934" spans="1:15" s="351" customFormat="1" x14ac:dyDescent="0.2">
      <c r="A934" s="362" t="str">
        <f>name!E$11</f>
        <v>Process, plant and machine operatives</v>
      </c>
      <c r="B934" s="440">
        <v>4.063783209341533E-2</v>
      </c>
      <c r="C934" s="440">
        <v>9.7958529023428435E-3</v>
      </c>
      <c r="D934" s="440">
        <v>4.7008605633049982E-2</v>
      </c>
      <c r="E934" s="440">
        <f t="shared" si="399"/>
        <v>9.7442290628808159E-2</v>
      </c>
      <c r="F934" s="441"/>
      <c r="G934" s="440">
        <v>4.3227769978736848E-2</v>
      </c>
      <c r="H934" s="440">
        <v>2.2157178145691042E-2</v>
      </c>
      <c r="I934" s="440">
        <v>3.7130475000015935E-2</v>
      </c>
      <c r="J934" s="440">
        <f t="shared" si="402"/>
        <v>0.10251542312444381</v>
      </c>
      <c r="K934" s="441"/>
      <c r="L934" s="440">
        <v>3.9579961923036894E-2</v>
      </c>
      <c r="M934" s="440">
        <v>1.6915118889468835E-2</v>
      </c>
      <c r="N934" s="440">
        <v>3.860742535410773E-2</v>
      </c>
      <c r="O934" s="440">
        <f t="shared" si="401"/>
        <v>9.5102506166613462E-2</v>
      </c>
    </row>
    <row r="935" spans="1:15" s="351" customFormat="1" x14ac:dyDescent="0.2">
      <c r="A935" s="362" t="str">
        <f>name!E$12</f>
        <v>Elementary occupations</v>
      </c>
      <c r="B935" s="440">
        <v>2.7012487973743532E-2</v>
      </c>
      <c r="C935" s="440">
        <v>4.030200395309204E-3</v>
      </c>
      <c r="D935" s="440">
        <v>7.8405945318720804E-2</v>
      </c>
      <c r="E935" s="440">
        <f t="shared" si="399"/>
        <v>0.10944863368777354</v>
      </c>
      <c r="F935" s="441"/>
      <c r="G935" s="440">
        <v>3.3067582547947692E-2</v>
      </c>
      <c r="H935" s="440">
        <v>6.5141997603330851E-2</v>
      </c>
      <c r="I935" s="440">
        <v>0.18436318975335816</v>
      </c>
      <c r="J935" s="440">
        <f t="shared" si="402"/>
        <v>0.2825727699046367</v>
      </c>
      <c r="K935" s="441"/>
      <c r="L935" s="440">
        <v>3.4929044871568962E-2</v>
      </c>
      <c r="M935" s="440">
        <v>0.11826888290994374</v>
      </c>
      <c r="N935" s="440">
        <v>0.17243665879853115</v>
      </c>
      <c r="O935" s="440">
        <f t="shared" si="401"/>
        <v>0.32563458658004385</v>
      </c>
    </row>
    <row r="936" spans="1:15" s="351" customFormat="1" x14ac:dyDescent="0.2">
      <c r="A936" s="362"/>
      <c r="B936" s="440"/>
      <c r="C936" s="440"/>
      <c r="D936" s="440"/>
      <c r="E936" s="440"/>
      <c r="F936" s="441"/>
      <c r="G936" s="440"/>
      <c r="H936" s="440"/>
      <c r="I936" s="440"/>
      <c r="J936" s="440"/>
      <c r="K936" s="441"/>
      <c r="L936" s="440"/>
      <c r="M936" s="440"/>
      <c r="N936" s="440"/>
      <c r="O936" s="440"/>
    </row>
    <row r="937" spans="1:15" s="351" customFormat="1" x14ac:dyDescent="0.2">
      <c r="A937" s="357" t="s">
        <v>32</v>
      </c>
      <c r="B937" s="450">
        <f>SUM(B927:B935)</f>
        <v>1.783000000009501</v>
      </c>
      <c r="C937" s="450">
        <f t="shared" ref="C937:E937" si="403">SUM(C927:C935)</f>
        <v>0.252000000000691</v>
      </c>
      <c r="D937" s="450">
        <f t="shared" si="403"/>
        <v>0.81599999998420103</v>
      </c>
      <c r="E937" s="450">
        <f t="shared" si="403"/>
        <v>2.8509999999943929</v>
      </c>
      <c r="F937" s="450"/>
      <c r="G937" s="450">
        <f t="shared" ref="G937:J937" si="404">SUM(G927:G935)</f>
        <v>2.2549999999941628</v>
      </c>
      <c r="H937" s="450">
        <f t="shared" si="404"/>
        <v>0.74499999999031408</v>
      </c>
      <c r="I937" s="450">
        <f t="shared" si="404"/>
        <v>1.1039999999847496</v>
      </c>
      <c r="J937" s="450">
        <f t="shared" si="404"/>
        <v>4.1039999999692265</v>
      </c>
      <c r="K937" s="450"/>
      <c r="L937" s="450">
        <f t="shared" ref="L937:O937" si="405">SUM(L927:L935)</f>
        <v>2.7140000000502496</v>
      </c>
      <c r="M937" s="450">
        <f t="shared" si="405"/>
        <v>0.86599999998649646</v>
      </c>
      <c r="N937" s="450">
        <f t="shared" si="405"/>
        <v>1.2500000000016782</v>
      </c>
      <c r="O937" s="450">
        <f t="shared" si="405"/>
        <v>4.8300000000384236</v>
      </c>
    </row>
    <row r="938" spans="1:15" s="351" customFormat="1" x14ac:dyDescent="0.2">
      <c r="A938" s="348"/>
      <c r="B938" s="348"/>
      <c r="C938" s="348"/>
      <c r="D938" s="348"/>
      <c r="E938" s="348"/>
      <c r="F938" s="348"/>
      <c r="G938" s="348"/>
      <c r="H938" s="348"/>
      <c r="I938" s="348"/>
      <c r="J938" s="348"/>
      <c r="K938" s="348"/>
      <c r="L938" s="348"/>
      <c r="M938" s="348"/>
      <c r="N938" s="353"/>
    </row>
    <row r="939" spans="1:15" s="351" customFormat="1" x14ac:dyDescent="0.2">
      <c r="A939" s="348"/>
      <c r="B939" s="348"/>
      <c r="C939" s="348"/>
      <c r="D939" s="348"/>
      <c r="E939" s="348"/>
      <c r="F939" s="348"/>
      <c r="G939" s="348"/>
      <c r="H939" s="348"/>
      <c r="I939" s="348"/>
      <c r="J939" s="348"/>
      <c r="K939" s="348"/>
      <c r="L939" s="348"/>
      <c r="M939" s="348"/>
      <c r="N939" s="353"/>
      <c r="O939" s="367" t="s">
        <v>35</v>
      </c>
    </row>
    <row r="940" spans="1:15" s="351" customFormat="1" x14ac:dyDescent="0.2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</row>
    <row r="941" spans="1:15" s="351" customFormat="1" x14ac:dyDescent="0.2">
      <c r="A941" s="354" t="str">
        <f>name!A58</f>
        <v>Advertising, etc</v>
      </c>
      <c r="B941" s="519">
        <f>$B$6</f>
        <v>2007</v>
      </c>
      <c r="C941" s="519"/>
      <c r="D941" s="519"/>
      <c r="E941" s="519"/>
      <c r="F941" s="380"/>
      <c r="G941" s="519">
        <f>$G$6</f>
        <v>2017</v>
      </c>
      <c r="H941" s="519"/>
      <c r="I941" s="519"/>
      <c r="J941" s="519"/>
      <c r="K941" s="380"/>
      <c r="L941" s="519">
        <f>$L$6</f>
        <v>2027</v>
      </c>
      <c r="M941" s="519"/>
      <c r="N941" s="519"/>
      <c r="O941" s="519"/>
    </row>
    <row r="942" spans="1:15" s="351" customFormat="1" x14ac:dyDescent="0.2">
      <c r="A942" s="370"/>
      <c r="B942" s="388" t="str">
        <f>$B$7</f>
        <v>FT</v>
      </c>
      <c r="C942" s="388" t="str">
        <f>$C$7</f>
        <v>PT</v>
      </c>
      <c r="D942" s="388" t="str">
        <f>$D$7</f>
        <v>SE</v>
      </c>
      <c r="E942" s="388" t="str">
        <f>$E$7</f>
        <v>Total</v>
      </c>
      <c r="F942" s="388"/>
      <c r="G942" s="388" t="str">
        <f>$G$7</f>
        <v>FT</v>
      </c>
      <c r="H942" s="388" t="str">
        <f>$H$7</f>
        <v>PT</v>
      </c>
      <c r="I942" s="388" t="str">
        <f>$I$7</f>
        <v>SE</v>
      </c>
      <c r="J942" s="388" t="str">
        <f>$J$7</f>
        <v>Total</v>
      </c>
      <c r="K942" s="388"/>
      <c r="L942" s="388" t="str">
        <f>$L$7</f>
        <v>FT</v>
      </c>
      <c r="M942" s="388" t="str">
        <f>$M$7</f>
        <v>PT</v>
      </c>
      <c r="N942" s="388" t="str">
        <f>$N$7</f>
        <v>SE</v>
      </c>
      <c r="O942" s="388" t="str">
        <f>$O$7</f>
        <v>Total</v>
      </c>
    </row>
    <row r="943" spans="1:15" s="351" customFormat="1" x14ac:dyDescent="0.2">
      <c r="A943" s="374"/>
      <c r="B943" s="350"/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</row>
    <row r="944" spans="1:15" s="351" customFormat="1" x14ac:dyDescent="0.2">
      <c r="A944" s="362" t="str">
        <f>name!E$4</f>
        <v>Managers, directors and senior officials</v>
      </c>
      <c r="B944" s="440">
        <v>0.1165340891024086</v>
      </c>
      <c r="C944" s="440">
        <v>4.1639102346039722E-2</v>
      </c>
      <c r="D944" s="440">
        <v>0.10873155341634644</v>
      </c>
      <c r="E944" s="440">
        <f>SUM(B944:D944)</f>
        <v>0.26690474486479476</v>
      </c>
      <c r="F944" s="441"/>
      <c r="G944" s="440">
        <v>5.8154769916110377E-2</v>
      </c>
      <c r="H944" s="440">
        <v>5.408475559892606E-2</v>
      </c>
      <c r="I944" s="440">
        <v>5.059589791238716E-2</v>
      </c>
      <c r="J944" s="440">
        <f>SUM(G944:I944)</f>
        <v>0.1628354234274236</v>
      </c>
      <c r="K944" s="441"/>
      <c r="L944" s="440">
        <v>8.1067771006593112E-2</v>
      </c>
      <c r="M944" s="440">
        <v>7.7056411905796679E-2</v>
      </c>
      <c r="N944" s="440">
        <v>6.3110048134789695E-2</v>
      </c>
      <c r="O944" s="440">
        <f>SUM(L944:N944)</f>
        <v>0.22123423104717949</v>
      </c>
    </row>
    <row r="945" spans="1:15" s="351" customFormat="1" x14ac:dyDescent="0.2">
      <c r="A945" s="362" t="str">
        <f>name!E$5</f>
        <v>Professional occupations</v>
      </c>
      <c r="B945" s="440">
        <v>0.38820412202636623</v>
      </c>
      <c r="C945" s="440">
        <v>0.10194738677065501</v>
      </c>
      <c r="D945" s="440">
        <v>0.19787492843393251</v>
      </c>
      <c r="E945" s="440">
        <f t="shared" ref="E945:E952" si="406">SUM(B945:D945)</f>
        <v>0.68802643723095369</v>
      </c>
      <c r="F945" s="441"/>
      <c r="G945" s="440">
        <v>0.17321713083497672</v>
      </c>
      <c r="H945" s="440">
        <v>0.10385356174388408</v>
      </c>
      <c r="I945" s="440">
        <v>8.7578657851214325E-2</v>
      </c>
      <c r="J945" s="440">
        <f t="shared" ref="J945:J947" si="407">SUM(G945:I945)</f>
        <v>0.36464935043007513</v>
      </c>
      <c r="K945" s="441"/>
      <c r="L945" s="440">
        <v>0.2359729168692192</v>
      </c>
      <c r="M945" s="440">
        <v>0.14130606601619042</v>
      </c>
      <c r="N945" s="440">
        <v>0.10284070138871462</v>
      </c>
      <c r="O945" s="440">
        <f t="shared" ref="O945:O952" si="408">SUM(L945:N945)</f>
        <v>0.48011968427412421</v>
      </c>
    </row>
    <row r="946" spans="1:15" s="351" customFormat="1" x14ac:dyDescent="0.2">
      <c r="A946" s="362" t="str">
        <f>name!E$6</f>
        <v>Associate professional and technical</v>
      </c>
      <c r="B946" s="440">
        <v>0.25791974191406025</v>
      </c>
      <c r="C946" s="440">
        <v>5.8876694391129823E-2</v>
      </c>
      <c r="D946" s="440">
        <v>0.16521111563941782</v>
      </c>
      <c r="E946" s="440">
        <f t="shared" si="406"/>
        <v>0.48200755194460787</v>
      </c>
      <c r="F946" s="441"/>
      <c r="G946" s="440">
        <v>0.13089799092920174</v>
      </c>
      <c r="H946" s="440">
        <v>8.7108415072504317E-2</v>
      </c>
      <c r="I946" s="440">
        <v>7.7791260870700943E-2</v>
      </c>
      <c r="J946" s="440">
        <f t="shared" si="407"/>
        <v>0.29579766687240699</v>
      </c>
      <c r="K946" s="441"/>
      <c r="L946" s="440">
        <v>0.17763197979018697</v>
      </c>
      <c r="M946" s="440">
        <v>0.12534221609929555</v>
      </c>
      <c r="N946" s="440">
        <v>9.1108697685534507E-2</v>
      </c>
      <c r="O946" s="440">
        <f t="shared" si="408"/>
        <v>0.39408289357501702</v>
      </c>
    </row>
    <row r="947" spans="1:15" s="351" customFormat="1" x14ac:dyDescent="0.2">
      <c r="A947" s="362" t="str">
        <f>name!E$7</f>
        <v>Administrative and secretarial</v>
      </c>
      <c r="B947" s="440">
        <v>0.521237908185891</v>
      </c>
      <c r="C947" s="440">
        <v>0.33785406159877018</v>
      </c>
      <c r="D947" s="440">
        <v>6.7750252890713861E-2</v>
      </c>
      <c r="E947" s="440">
        <f t="shared" si="406"/>
        <v>0.92684222267537508</v>
      </c>
      <c r="F947" s="441"/>
      <c r="G947" s="440">
        <v>0.2349924911802882</v>
      </c>
      <c r="H947" s="440">
        <v>0.41071521339432909</v>
      </c>
      <c r="I947" s="440">
        <v>4.539300304897944E-2</v>
      </c>
      <c r="J947" s="440">
        <f t="shared" si="407"/>
        <v>0.69110070762359677</v>
      </c>
      <c r="K947" s="441"/>
      <c r="L947" s="440">
        <v>0.21843403834002384</v>
      </c>
      <c r="M947" s="440">
        <v>0.42886976451444242</v>
      </c>
      <c r="N947" s="440">
        <v>4.011208911424221E-2</v>
      </c>
      <c r="O947" s="440">
        <f t="shared" si="408"/>
        <v>0.68741589196870845</v>
      </c>
    </row>
    <row r="948" spans="1:15" s="351" customFormat="1" x14ac:dyDescent="0.2">
      <c r="A948" s="362" t="str">
        <f>name!E$8</f>
        <v>Skilled trades occupations</v>
      </c>
      <c r="B948" s="440">
        <v>3.3231319448155189E-2</v>
      </c>
      <c r="C948" s="440">
        <v>1.0905632083960726E-2</v>
      </c>
      <c r="D948" s="440">
        <v>3.2132661084775624E-2</v>
      </c>
      <c r="E948" s="440">
        <f t="shared" si="406"/>
        <v>7.6269612616891538E-2</v>
      </c>
      <c r="F948" s="441"/>
      <c r="G948" s="440">
        <v>1.4381513070526278E-2</v>
      </c>
      <c r="H948" s="440">
        <v>8.4074630049253557E-3</v>
      </c>
      <c r="I948" s="440">
        <v>1.1828386945664595E-2</v>
      </c>
      <c r="J948" s="440">
        <f>SUM(G948:I948)</f>
        <v>3.4617363021116232E-2</v>
      </c>
      <c r="K948" s="441"/>
      <c r="L948" s="440">
        <v>1.4752893573739531E-2</v>
      </c>
      <c r="M948" s="440">
        <v>9.2402882632770574E-3</v>
      </c>
      <c r="N948" s="440">
        <v>1.4261458038956688E-2</v>
      </c>
      <c r="O948" s="440">
        <f t="shared" si="408"/>
        <v>3.825463987597328E-2</v>
      </c>
    </row>
    <row r="949" spans="1:15" s="351" customFormat="1" x14ac:dyDescent="0.2">
      <c r="A949" s="362" t="str">
        <f>name!E$9</f>
        <v>Caring, leisure and other service</v>
      </c>
      <c r="B949" s="440">
        <v>3.0346226349221056E-3</v>
      </c>
      <c r="C949" s="440">
        <v>1.747625445109831E-3</v>
      </c>
      <c r="D949" s="440">
        <v>1.3201913958058193E-2</v>
      </c>
      <c r="E949" s="440">
        <f t="shared" si="406"/>
        <v>1.798416203809013E-2</v>
      </c>
      <c r="F949" s="441"/>
      <c r="G949" s="440">
        <v>1.9900622075324785E-3</v>
      </c>
      <c r="H949" s="440">
        <v>2.3709024087089064E-3</v>
      </c>
      <c r="I949" s="440">
        <v>6.5418783525719049E-3</v>
      </c>
      <c r="J949" s="440">
        <f t="shared" ref="J949:J952" si="409">SUM(G949:I949)</f>
        <v>1.0902842968813289E-2</v>
      </c>
      <c r="K949" s="441"/>
      <c r="L949" s="440">
        <v>2.5876444138368034E-3</v>
      </c>
      <c r="M949" s="440">
        <v>3.0568839882809326E-3</v>
      </c>
      <c r="N949" s="440">
        <v>7.9499884500659583E-3</v>
      </c>
      <c r="O949" s="440">
        <f t="shared" si="408"/>
        <v>1.3594516852183694E-2</v>
      </c>
    </row>
    <row r="950" spans="1:15" s="351" customFormat="1" x14ac:dyDescent="0.2">
      <c r="A950" s="362" t="str">
        <f>name!E$10</f>
        <v>Sales and customer service</v>
      </c>
      <c r="B950" s="440">
        <v>3.4080832399117578E-2</v>
      </c>
      <c r="C950" s="440">
        <v>3.9716221845936865E-2</v>
      </c>
      <c r="D950" s="440">
        <v>1.0579722976899682E-2</v>
      </c>
      <c r="E950" s="440">
        <f t="shared" si="406"/>
        <v>8.4376777221954136E-2</v>
      </c>
      <c r="F950" s="441"/>
      <c r="G950" s="440">
        <v>4.0219296758842012E-2</v>
      </c>
      <c r="H950" s="440">
        <v>7.2433031462539363E-2</v>
      </c>
      <c r="I950" s="440">
        <v>1.1508775356613293E-2</v>
      </c>
      <c r="J950" s="440">
        <f t="shared" si="409"/>
        <v>0.12416110357799467</v>
      </c>
      <c r="K950" s="441"/>
      <c r="L950" s="440">
        <v>4.8354496973839929E-2</v>
      </c>
      <c r="M950" s="440">
        <v>8.9907401359663908E-2</v>
      </c>
      <c r="N950" s="440">
        <v>1.0281122951920376E-2</v>
      </c>
      <c r="O950" s="440">
        <f t="shared" si="408"/>
        <v>0.14854302128542421</v>
      </c>
    </row>
    <row r="951" spans="1:15" s="351" customFormat="1" x14ac:dyDescent="0.2">
      <c r="A951" s="362" t="str">
        <f>name!E$11</f>
        <v>Process, plant and machine operatives</v>
      </c>
      <c r="B951" s="440">
        <v>2.1080697830933765E-2</v>
      </c>
      <c r="C951" s="440">
        <v>6.6184080539630459E-3</v>
      </c>
      <c r="D951" s="440">
        <v>1.4606717938528515E-2</v>
      </c>
      <c r="E951" s="440">
        <f t="shared" si="406"/>
        <v>4.2305823823425327E-2</v>
      </c>
      <c r="F951" s="441"/>
      <c r="G951" s="440">
        <v>1.0007808511261018E-2</v>
      </c>
      <c r="H951" s="440">
        <v>5.7466550485803271E-3</v>
      </c>
      <c r="I951" s="440">
        <v>5.3604077114485522E-3</v>
      </c>
      <c r="J951" s="440">
        <f t="shared" si="409"/>
        <v>2.1114871271289894E-2</v>
      </c>
      <c r="K951" s="441"/>
      <c r="L951" s="440">
        <v>1.0284465292469484E-2</v>
      </c>
      <c r="M951" s="440">
        <v>5.6265834609433938E-3</v>
      </c>
      <c r="N951" s="440">
        <v>5.4014122822185501E-3</v>
      </c>
      <c r="O951" s="440">
        <f t="shared" si="408"/>
        <v>2.1312461035631426E-2</v>
      </c>
    </row>
    <row r="952" spans="1:15" s="351" customFormat="1" x14ac:dyDescent="0.2">
      <c r="A952" s="362" t="str">
        <f>name!E$12</f>
        <v>Elementary occupations</v>
      </c>
      <c r="B952" s="440">
        <v>1.9676666447830633E-2</v>
      </c>
      <c r="C952" s="440">
        <v>1.8694867462964195E-2</v>
      </c>
      <c r="D952" s="440">
        <v>1.3911133649607346E-2</v>
      </c>
      <c r="E952" s="440">
        <f t="shared" si="406"/>
        <v>5.2282667560402174E-2</v>
      </c>
      <c r="F952" s="441"/>
      <c r="G952" s="440">
        <v>1.1138936578798806E-2</v>
      </c>
      <c r="H952" s="440">
        <v>1.728000226509924E-2</v>
      </c>
      <c r="I952" s="440">
        <v>1.1401731945037956E-2</v>
      </c>
      <c r="J952" s="440">
        <f t="shared" si="409"/>
        <v>3.9820670788936002E-2</v>
      </c>
      <c r="K952" s="441"/>
      <c r="L952" s="440">
        <v>1.191379373446841E-2</v>
      </c>
      <c r="M952" s="440">
        <v>2.0594384391485678E-2</v>
      </c>
      <c r="N952" s="440">
        <v>1.193448195217588E-2</v>
      </c>
      <c r="O952" s="440">
        <f t="shared" si="408"/>
        <v>4.444266007812997E-2</v>
      </c>
    </row>
    <row r="953" spans="1:15" s="351" customFormat="1" x14ac:dyDescent="0.2">
      <c r="A953" s="362"/>
      <c r="B953" s="440"/>
      <c r="C953" s="440"/>
      <c r="D953" s="440"/>
      <c r="E953" s="440"/>
      <c r="F953" s="441"/>
      <c r="G953" s="440"/>
      <c r="H953" s="440"/>
      <c r="I953" s="440"/>
      <c r="J953" s="440"/>
      <c r="K953" s="441"/>
      <c r="L953" s="440"/>
      <c r="M953" s="440"/>
      <c r="N953" s="440"/>
      <c r="O953" s="440"/>
    </row>
    <row r="954" spans="1:15" s="351" customFormat="1" x14ac:dyDescent="0.2">
      <c r="A954" s="357" t="s">
        <v>32</v>
      </c>
      <c r="B954" s="450">
        <f>SUM(B944:B952)</f>
        <v>1.3949999999896852</v>
      </c>
      <c r="C954" s="450">
        <f t="shared" ref="C954:E954" si="410">SUM(C944:C952)</f>
        <v>0.61799999999852939</v>
      </c>
      <c r="D954" s="450">
        <f t="shared" si="410"/>
        <v>0.62399999998828004</v>
      </c>
      <c r="E954" s="450">
        <f t="shared" si="410"/>
        <v>2.6369999999764944</v>
      </c>
      <c r="F954" s="450"/>
      <c r="G954" s="450">
        <f t="shared" ref="G954:J954" si="411">SUM(G944:G952)</f>
        <v>0.67499999998753768</v>
      </c>
      <c r="H954" s="450">
        <f t="shared" si="411"/>
        <v>0.76199999999949664</v>
      </c>
      <c r="I954" s="450">
        <f t="shared" si="411"/>
        <v>0.30799999999461813</v>
      </c>
      <c r="J954" s="450">
        <f t="shared" si="411"/>
        <v>1.7449999999816523</v>
      </c>
      <c r="K954" s="450"/>
      <c r="L954" s="450">
        <f t="shared" ref="L954:O954" si="412">SUM(L944:L952)</f>
        <v>0.80099999999437743</v>
      </c>
      <c r="M954" s="450">
        <f t="shared" si="412"/>
        <v>0.90099999999937597</v>
      </c>
      <c r="N954" s="450">
        <f t="shared" si="412"/>
        <v>0.34699999999861847</v>
      </c>
      <c r="O954" s="450">
        <f t="shared" si="412"/>
        <v>2.0489999999923718</v>
      </c>
    </row>
    <row r="955" spans="1:15" s="351" customFormat="1" x14ac:dyDescent="0.2">
      <c r="A955" s="348"/>
      <c r="B955" s="348"/>
      <c r="C955" s="348"/>
      <c r="D955" s="348"/>
      <c r="E955" s="348"/>
      <c r="F955" s="348"/>
      <c r="G955" s="348"/>
      <c r="H955" s="348"/>
      <c r="I955" s="348"/>
      <c r="J955" s="348"/>
      <c r="K955" s="348"/>
      <c r="L955" s="348"/>
      <c r="M955" s="348"/>
      <c r="N955" s="353"/>
    </row>
    <row r="956" spans="1:15" s="351" customFormat="1" x14ac:dyDescent="0.2">
      <c r="A956" s="348"/>
      <c r="B956" s="348"/>
      <c r="C956" s="348"/>
      <c r="D956" s="348"/>
      <c r="E956" s="348"/>
      <c r="F956" s="348"/>
      <c r="G956" s="348"/>
      <c r="H956" s="348"/>
      <c r="I956" s="348"/>
      <c r="J956" s="348"/>
      <c r="K956" s="348"/>
      <c r="L956" s="348"/>
      <c r="M956" s="348"/>
      <c r="N956" s="353"/>
      <c r="O956" s="367" t="s">
        <v>35</v>
      </c>
    </row>
    <row r="957" spans="1:15" s="351" customFormat="1" x14ac:dyDescent="0.2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</row>
    <row r="958" spans="1:15" s="351" customFormat="1" x14ac:dyDescent="0.2">
      <c r="A958" s="354" t="str">
        <f>name!A59</f>
        <v>Other professional</v>
      </c>
      <c r="B958" s="519">
        <f>$B$6</f>
        <v>2007</v>
      </c>
      <c r="C958" s="519"/>
      <c r="D958" s="519"/>
      <c r="E958" s="519"/>
      <c r="F958" s="380"/>
      <c r="G958" s="519">
        <f>$G$6</f>
        <v>2017</v>
      </c>
      <c r="H958" s="519"/>
      <c r="I958" s="519"/>
      <c r="J958" s="519"/>
      <c r="K958" s="380"/>
      <c r="L958" s="519">
        <f>$L$6</f>
        <v>2027</v>
      </c>
      <c r="M958" s="519"/>
      <c r="N958" s="519"/>
      <c r="O958" s="519"/>
    </row>
    <row r="959" spans="1:15" s="351" customFormat="1" x14ac:dyDescent="0.2">
      <c r="A959" s="370"/>
      <c r="B959" s="388" t="str">
        <f>$B$7</f>
        <v>FT</v>
      </c>
      <c r="C959" s="388" t="str">
        <f>$C$7</f>
        <v>PT</v>
      </c>
      <c r="D959" s="388" t="str">
        <f>$D$7</f>
        <v>SE</v>
      </c>
      <c r="E959" s="388" t="str">
        <f>$E$7</f>
        <v>Total</v>
      </c>
      <c r="F959" s="388"/>
      <c r="G959" s="388" t="str">
        <f>$G$7</f>
        <v>FT</v>
      </c>
      <c r="H959" s="388" t="str">
        <f>$H$7</f>
        <v>PT</v>
      </c>
      <c r="I959" s="388" t="str">
        <f>$I$7</f>
        <v>SE</v>
      </c>
      <c r="J959" s="388" t="str">
        <f>$J$7</f>
        <v>Total</v>
      </c>
      <c r="K959" s="388"/>
      <c r="L959" s="388" t="str">
        <f>$L$7</f>
        <v>FT</v>
      </c>
      <c r="M959" s="388" t="str">
        <f>$M$7</f>
        <v>PT</v>
      </c>
      <c r="N959" s="388" t="str">
        <f>$N$7</f>
        <v>SE</v>
      </c>
      <c r="O959" s="388" t="str">
        <f>$O$7</f>
        <v>Total</v>
      </c>
    </row>
    <row r="960" spans="1:15" s="351" customFormat="1" x14ac:dyDescent="0.2">
      <c r="A960" s="374"/>
      <c r="B960" s="350"/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</row>
    <row r="961" spans="1:15" s="351" customFormat="1" x14ac:dyDescent="0.2">
      <c r="A961" s="362" t="str">
        <f>name!E$4</f>
        <v>Managers, directors and senior officials</v>
      </c>
      <c r="B961" s="440">
        <v>0.33955033630658721</v>
      </c>
      <c r="C961" s="440">
        <v>7.2494847187482545E-2</v>
      </c>
      <c r="D961" s="440">
        <v>0.43511623443187275</v>
      </c>
      <c r="E961" s="440">
        <f>SUM(B961:D961)</f>
        <v>0.84716141792594257</v>
      </c>
      <c r="F961" s="441"/>
      <c r="G961" s="440">
        <v>0.23593088069255436</v>
      </c>
      <c r="H961" s="440">
        <v>3.1738491555643171E-2</v>
      </c>
      <c r="I961" s="440">
        <v>0.18955651763830514</v>
      </c>
      <c r="J961" s="440">
        <f>SUM(G961:I961)</f>
        <v>0.4572258898865027</v>
      </c>
      <c r="K961" s="441"/>
      <c r="L961" s="440">
        <v>0.32411852136841646</v>
      </c>
      <c r="M961" s="440">
        <v>4.8345261530671681E-2</v>
      </c>
      <c r="N961" s="440">
        <v>0.2453531046855203</v>
      </c>
      <c r="O961" s="440">
        <f>SUM(L961:N961)</f>
        <v>0.6178168875846084</v>
      </c>
    </row>
    <row r="962" spans="1:15" s="351" customFormat="1" x14ac:dyDescent="0.2">
      <c r="A962" s="362" t="str">
        <f>name!E$5</f>
        <v>Professional occupations</v>
      </c>
      <c r="B962" s="440">
        <v>0.78883543754732277</v>
      </c>
      <c r="C962" s="440">
        <v>0.17148356806566414</v>
      </c>
      <c r="D962" s="440">
        <v>0.59173035394851092</v>
      </c>
      <c r="E962" s="440">
        <f t="shared" ref="E962:E969" si="413">SUM(B962:D962)</f>
        <v>1.5520493595614977</v>
      </c>
      <c r="F962" s="441"/>
      <c r="G962" s="440">
        <v>0.57115877858372421</v>
      </c>
      <c r="H962" s="440">
        <v>4.673096472058838E-2</v>
      </c>
      <c r="I962" s="440">
        <v>0.20453912057191395</v>
      </c>
      <c r="J962" s="440">
        <f t="shared" ref="J962:J964" si="414">SUM(G962:I962)</f>
        <v>0.82242886387622649</v>
      </c>
      <c r="K962" s="441"/>
      <c r="L962" s="440">
        <v>0.78800068679304991</v>
      </c>
      <c r="M962" s="440">
        <v>6.6012902977378954E-2</v>
      </c>
      <c r="N962" s="440">
        <v>0.22754381257650777</v>
      </c>
      <c r="O962" s="440">
        <f t="shared" ref="O962:O969" si="415">SUM(L962:N962)</f>
        <v>1.0815574023469365</v>
      </c>
    </row>
    <row r="963" spans="1:15" s="351" customFormat="1" x14ac:dyDescent="0.2">
      <c r="A963" s="362" t="str">
        <f>name!E$6</f>
        <v>Associate professional and technical</v>
      </c>
      <c r="B963" s="440">
        <v>0.77868457113517631</v>
      </c>
      <c r="C963" s="440">
        <v>0.14626342257287525</v>
      </c>
      <c r="D963" s="440">
        <v>0.59280853470638384</v>
      </c>
      <c r="E963" s="440">
        <f t="shared" si="413"/>
        <v>1.5177565284144354</v>
      </c>
      <c r="F963" s="441"/>
      <c r="G963" s="440">
        <v>0.53133340210825686</v>
      </c>
      <c r="H963" s="440">
        <v>4.0858010166195183E-2</v>
      </c>
      <c r="I963" s="440">
        <v>0.28469442481439727</v>
      </c>
      <c r="J963" s="440">
        <f t="shared" si="414"/>
        <v>0.85688583708884924</v>
      </c>
      <c r="K963" s="441"/>
      <c r="L963" s="440">
        <v>0.70426962292345485</v>
      </c>
      <c r="M963" s="440">
        <v>5.7321162655532686E-2</v>
      </c>
      <c r="N963" s="440">
        <v>0.33377493070055442</v>
      </c>
      <c r="O963" s="440">
        <f t="shared" si="415"/>
        <v>1.095365716279542</v>
      </c>
    </row>
    <row r="964" spans="1:15" s="351" customFormat="1" x14ac:dyDescent="0.2">
      <c r="A964" s="362" t="str">
        <f>name!E$7</f>
        <v>Administrative and secretarial</v>
      </c>
      <c r="B964" s="440">
        <v>1.3324511967494859</v>
      </c>
      <c r="C964" s="440">
        <v>0.7122923234769114</v>
      </c>
      <c r="D964" s="440">
        <v>0.15797216380141496</v>
      </c>
      <c r="E964" s="440">
        <f t="shared" si="413"/>
        <v>2.2027156840278126</v>
      </c>
      <c r="F964" s="441"/>
      <c r="G964" s="440">
        <v>0.99506143072619446</v>
      </c>
      <c r="H964" s="440">
        <v>0.14284705445279269</v>
      </c>
      <c r="I964" s="440">
        <v>8.3968918342631177E-2</v>
      </c>
      <c r="J964" s="440">
        <f t="shared" si="414"/>
        <v>1.2218774035216182</v>
      </c>
      <c r="K964" s="441"/>
      <c r="L964" s="440">
        <v>0.93907895114272355</v>
      </c>
      <c r="M964" s="440">
        <v>0.15308883649417254</v>
      </c>
      <c r="N964" s="440">
        <v>7.7677592082878055E-2</v>
      </c>
      <c r="O964" s="440">
        <f t="shared" si="415"/>
        <v>1.1698453797197741</v>
      </c>
    </row>
    <row r="965" spans="1:15" s="351" customFormat="1" x14ac:dyDescent="0.2">
      <c r="A965" s="362" t="str">
        <f>name!E$8</f>
        <v>Skilled trades occupations</v>
      </c>
      <c r="B965" s="440">
        <v>0.15342726844709997</v>
      </c>
      <c r="C965" s="440">
        <v>2.6754927530822072E-2</v>
      </c>
      <c r="D965" s="440">
        <v>0.1735594245818845</v>
      </c>
      <c r="E965" s="440">
        <f t="shared" si="413"/>
        <v>0.35374162055980651</v>
      </c>
      <c r="F965" s="441"/>
      <c r="G965" s="440">
        <v>6.1919758013021881E-2</v>
      </c>
      <c r="H965" s="440">
        <v>6.8330601734025815E-3</v>
      </c>
      <c r="I965" s="440">
        <v>8.5724965384138679E-2</v>
      </c>
      <c r="J965" s="440">
        <f>SUM(G965:I965)</f>
        <v>0.15447778357056313</v>
      </c>
      <c r="K965" s="441"/>
      <c r="L965" s="440">
        <v>6.2474277200092472E-2</v>
      </c>
      <c r="M965" s="440">
        <v>9.952120545614335E-3</v>
      </c>
      <c r="N965" s="440">
        <v>0.11156837195436249</v>
      </c>
      <c r="O965" s="440">
        <f t="shared" si="415"/>
        <v>0.18399476970006928</v>
      </c>
    </row>
    <row r="966" spans="1:15" s="351" customFormat="1" x14ac:dyDescent="0.2">
      <c r="A966" s="362" t="str">
        <f>name!E$9</f>
        <v>Caring, leisure and other service</v>
      </c>
      <c r="B966" s="440">
        <v>0.12058656601941743</v>
      </c>
      <c r="C966" s="440">
        <v>6.046249063563984E-2</v>
      </c>
      <c r="D966" s="440">
        <v>5.9091197178242169E-2</v>
      </c>
      <c r="E966" s="440">
        <f t="shared" si="413"/>
        <v>0.24014025383329946</v>
      </c>
      <c r="F966" s="441"/>
      <c r="G966" s="440">
        <v>0.15342432808614417</v>
      </c>
      <c r="H966" s="440">
        <v>3.5966528524837262E-2</v>
      </c>
      <c r="I966" s="440">
        <v>5.3913854367132585E-2</v>
      </c>
      <c r="J966" s="440">
        <f t="shared" ref="J966:J969" si="416">SUM(G966:I966)</f>
        <v>0.24330471097811401</v>
      </c>
      <c r="K966" s="441"/>
      <c r="L966" s="440">
        <v>0.22007835439133749</v>
      </c>
      <c r="M966" s="440">
        <v>4.8315129216535413E-2</v>
      </c>
      <c r="N966" s="440">
        <v>6.3523231709193426E-2</v>
      </c>
      <c r="O966" s="440">
        <f t="shared" si="415"/>
        <v>0.33191671531706635</v>
      </c>
    </row>
    <row r="967" spans="1:15" s="351" customFormat="1" x14ac:dyDescent="0.2">
      <c r="A967" s="362" t="str">
        <f>name!E$10</f>
        <v>Sales and customer service</v>
      </c>
      <c r="B967" s="440">
        <v>0.22704128336299165</v>
      </c>
      <c r="C967" s="440">
        <v>0.15503122435332503</v>
      </c>
      <c r="D967" s="440">
        <v>4.5590260956602909E-2</v>
      </c>
      <c r="E967" s="440">
        <f t="shared" si="413"/>
        <v>0.42766276867291958</v>
      </c>
      <c r="F967" s="441"/>
      <c r="G967" s="440">
        <v>0.35061959896643924</v>
      </c>
      <c r="H967" s="440">
        <v>3.986842514170675E-2</v>
      </c>
      <c r="I967" s="440">
        <v>2.3497258526721736E-2</v>
      </c>
      <c r="J967" s="440">
        <f t="shared" si="416"/>
        <v>0.41398528263486772</v>
      </c>
      <c r="K967" s="441"/>
      <c r="L967" s="440">
        <v>0.45028848899651625</v>
      </c>
      <c r="M967" s="440">
        <v>4.9349627594821456E-2</v>
      </c>
      <c r="N967" s="440">
        <v>2.3416665510298765E-2</v>
      </c>
      <c r="O967" s="440">
        <f t="shared" si="415"/>
        <v>0.52305478210163647</v>
      </c>
    </row>
    <row r="968" spans="1:15" s="351" customFormat="1" x14ac:dyDescent="0.2">
      <c r="A968" s="362" t="str">
        <f>name!E$11</f>
        <v>Process, plant and machine operatives</v>
      </c>
      <c r="B968" s="440">
        <v>0.19147993379182918</v>
      </c>
      <c r="C968" s="440">
        <v>3.456486863932634E-2</v>
      </c>
      <c r="D968" s="440">
        <v>6.2301877066866983E-2</v>
      </c>
      <c r="E968" s="440">
        <f t="shared" si="413"/>
        <v>0.28834667949802251</v>
      </c>
      <c r="F968" s="441"/>
      <c r="G968" s="440">
        <v>7.9026454949082905E-2</v>
      </c>
      <c r="H968" s="440">
        <v>5.1818236690656687E-3</v>
      </c>
      <c r="I968" s="440">
        <v>1.5790883523425423E-2</v>
      </c>
      <c r="J968" s="440">
        <f t="shared" si="416"/>
        <v>9.9999162141573991E-2</v>
      </c>
      <c r="K968" s="441"/>
      <c r="L968" s="440">
        <v>8.4708598999993071E-2</v>
      </c>
      <c r="M968" s="440">
        <v>4.3929097229157728E-3</v>
      </c>
      <c r="N968" s="440">
        <v>1.423080086412197E-2</v>
      </c>
      <c r="O968" s="440">
        <f t="shared" si="415"/>
        <v>0.10333230958703081</v>
      </c>
    </row>
    <row r="969" spans="1:15" s="351" customFormat="1" x14ac:dyDescent="0.2">
      <c r="A969" s="362" t="str">
        <f>name!E$12</f>
        <v>Elementary occupations</v>
      </c>
      <c r="B969" s="440">
        <v>1.0989434066058401</v>
      </c>
      <c r="C969" s="440">
        <v>0.44665232753283857</v>
      </c>
      <c r="D969" s="440">
        <v>0.25882995328231484</v>
      </c>
      <c r="E969" s="440">
        <f t="shared" si="413"/>
        <v>1.8044256874209936</v>
      </c>
      <c r="F969" s="441"/>
      <c r="G969" s="440">
        <v>0.61252536783454126</v>
      </c>
      <c r="H969" s="440">
        <v>9.4975641596769439E-2</v>
      </c>
      <c r="I969" s="440">
        <v>0.17231405681923934</v>
      </c>
      <c r="J969" s="440">
        <f t="shared" si="416"/>
        <v>0.87981506625054995</v>
      </c>
      <c r="K969" s="441"/>
      <c r="L969" s="440">
        <v>0.69698249815857594</v>
      </c>
      <c r="M969" s="440">
        <v>9.222204926145626E-2</v>
      </c>
      <c r="N969" s="440">
        <v>0.16591148991724322</v>
      </c>
      <c r="O969" s="440">
        <f t="shared" si="415"/>
        <v>0.95511603733727546</v>
      </c>
    </row>
    <row r="970" spans="1:15" s="351" customFormat="1" x14ac:dyDescent="0.2">
      <c r="A970" s="362"/>
      <c r="B970" s="440"/>
      <c r="C970" s="440"/>
      <c r="D970" s="440"/>
      <c r="E970" s="440"/>
      <c r="F970" s="441"/>
      <c r="G970" s="440"/>
      <c r="H970" s="440"/>
      <c r="I970" s="440"/>
      <c r="J970" s="440"/>
      <c r="K970" s="441"/>
      <c r="L970" s="440"/>
      <c r="M970" s="440"/>
      <c r="N970" s="440"/>
      <c r="O970" s="440"/>
    </row>
    <row r="971" spans="1:15" s="351" customFormat="1" x14ac:dyDescent="0.2">
      <c r="A971" s="357" t="s">
        <v>32</v>
      </c>
      <c r="B971" s="450">
        <f>SUM(B961:B969)</f>
        <v>5.0309999999657506</v>
      </c>
      <c r="C971" s="450">
        <f t="shared" ref="C971:E971" si="417">SUM(C961:C969)</f>
        <v>1.825999999994885</v>
      </c>
      <c r="D971" s="450">
        <f t="shared" si="417"/>
        <v>2.3769999999540934</v>
      </c>
      <c r="E971" s="450">
        <f t="shared" si="417"/>
        <v>9.2339999999147295</v>
      </c>
      <c r="F971" s="450"/>
      <c r="G971" s="450">
        <f t="shared" ref="G971:J971" si="418">SUM(G961:G969)</f>
        <v>3.5909999999599593</v>
      </c>
      <c r="H971" s="450">
        <f t="shared" si="418"/>
        <v>0.44500000000100115</v>
      </c>
      <c r="I971" s="450">
        <f t="shared" si="418"/>
        <v>1.1139999999879053</v>
      </c>
      <c r="J971" s="450">
        <f t="shared" si="418"/>
        <v>5.1499999999488653</v>
      </c>
      <c r="K971" s="450"/>
      <c r="L971" s="450">
        <f t="shared" ref="L971:O971" si="419">SUM(L961:L969)</f>
        <v>4.2699999999741607</v>
      </c>
      <c r="M971" s="450">
        <f t="shared" si="419"/>
        <v>0.52899999999909908</v>
      </c>
      <c r="N971" s="450">
        <f t="shared" si="419"/>
        <v>1.2630000000006802</v>
      </c>
      <c r="O971" s="450">
        <f t="shared" si="419"/>
        <v>6.0619999999739402</v>
      </c>
    </row>
    <row r="972" spans="1:15" s="351" customFormat="1" x14ac:dyDescent="0.2">
      <c r="A972" s="348"/>
      <c r="B972" s="348"/>
      <c r="C972" s="348"/>
      <c r="D972" s="348"/>
      <c r="E972" s="348"/>
      <c r="F972" s="348"/>
      <c r="G972" s="348"/>
      <c r="H972" s="348"/>
      <c r="I972" s="348"/>
      <c r="J972" s="348"/>
      <c r="K972" s="348"/>
      <c r="L972" s="348"/>
      <c r="M972" s="348"/>
      <c r="N972" s="353"/>
    </row>
    <row r="973" spans="1:15" s="351" customFormat="1" x14ac:dyDescent="0.2">
      <c r="A973" s="348"/>
      <c r="B973" s="348"/>
      <c r="C973" s="348"/>
      <c r="D973" s="348"/>
      <c r="E973" s="348"/>
      <c r="F973" s="348"/>
      <c r="G973" s="348"/>
      <c r="H973" s="348"/>
      <c r="I973" s="348"/>
      <c r="J973" s="348"/>
      <c r="K973" s="348"/>
      <c r="L973" s="348"/>
      <c r="M973" s="348"/>
      <c r="N973" s="353"/>
      <c r="O973" s="367" t="s">
        <v>35</v>
      </c>
    </row>
    <row r="974" spans="1:15" s="351" customFormat="1" x14ac:dyDescent="0.2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</row>
    <row r="975" spans="1:15" s="351" customFormat="1" x14ac:dyDescent="0.2">
      <c r="A975" s="354" t="str">
        <f>name!A60</f>
        <v>Veterinary</v>
      </c>
      <c r="B975" s="519">
        <f>$B$6</f>
        <v>2007</v>
      </c>
      <c r="C975" s="519"/>
      <c r="D975" s="519"/>
      <c r="E975" s="519"/>
      <c r="F975" s="380"/>
      <c r="G975" s="519">
        <f>$G$6</f>
        <v>2017</v>
      </c>
      <c r="H975" s="519"/>
      <c r="I975" s="519"/>
      <c r="J975" s="519"/>
      <c r="K975" s="380"/>
      <c r="L975" s="519">
        <f>$L$6</f>
        <v>2027</v>
      </c>
      <c r="M975" s="519"/>
      <c r="N975" s="519"/>
      <c r="O975" s="519"/>
    </row>
    <row r="976" spans="1:15" s="351" customFormat="1" x14ac:dyDescent="0.2">
      <c r="A976" s="370"/>
      <c r="B976" s="388" t="str">
        <f>$B$7</f>
        <v>FT</v>
      </c>
      <c r="C976" s="388" t="str">
        <f>$C$7</f>
        <v>PT</v>
      </c>
      <c r="D976" s="388" t="str">
        <f>$D$7</f>
        <v>SE</v>
      </c>
      <c r="E976" s="388" t="str">
        <f>$E$7</f>
        <v>Total</v>
      </c>
      <c r="F976" s="388"/>
      <c r="G976" s="388" t="str">
        <f>$G$7</f>
        <v>FT</v>
      </c>
      <c r="H976" s="388" t="str">
        <f>$H$7</f>
        <v>PT</v>
      </c>
      <c r="I976" s="388" t="str">
        <f>$I$7</f>
        <v>SE</v>
      </c>
      <c r="J976" s="388" t="str">
        <f>$J$7</f>
        <v>Total</v>
      </c>
      <c r="K976" s="388"/>
      <c r="L976" s="388" t="str">
        <f>$L$7</f>
        <v>FT</v>
      </c>
      <c r="M976" s="388" t="str">
        <f>$M$7</f>
        <v>PT</v>
      </c>
      <c r="N976" s="388" t="str">
        <f>$N$7</f>
        <v>SE</v>
      </c>
      <c r="O976" s="388" t="str">
        <f>$O$7</f>
        <v>Total</v>
      </c>
    </row>
    <row r="977" spans="1:15" s="351" customFormat="1" x14ac:dyDescent="0.2">
      <c r="A977" s="374"/>
      <c r="B977" s="350"/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</row>
    <row r="978" spans="1:15" s="351" customFormat="1" x14ac:dyDescent="0.2">
      <c r="A978" s="362" t="str">
        <f>name!E$4</f>
        <v>Managers, directors and senior officials</v>
      </c>
      <c r="B978" s="440">
        <v>5.8975748191634848E-2</v>
      </c>
      <c r="C978" s="440">
        <v>2.2086469203667049E-2</v>
      </c>
      <c r="D978" s="440">
        <v>4.5967830387375244E-2</v>
      </c>
      <c r="E978" s="440">
        <f>SUM(B978:D978)</f>
        <v>0.12703004778267712</v>
      </c>
      <c r="F978" s="441"/>
      <c r="G978" s="440">
        <v>3.3786994314752003E-2</v>
      </c>
      <c r="H978" s="440">
        <v>1.3272634640042079E-2</v>
      </c>
      <c r="I978" s="440">
        <v>2.4534095369681437E-2</v>
      </c>
      <c r="J978" s="440">
        <f>SUM(G978:I978)</f>
        <v>7.1593724324475527E-2</v>
      </c>
      <c r="K978" s="441"/>
      <c r="L978" s="440">
        <v>4.06286047390437E-2</v>
      </c>
      <c r="M978" s="440">
        <v>1.5143666740756396E-2</v>
      </c>
      <c r="N978" s="440">
        <v>2.3582961053843617E-2</v>
      </c>
      <c r="O978" s="440">
        <f>SUM(L978:N978)</f>
        <v>7.935523253364371E-2</v>
      </c>
    </row>
    <row r="979" spans="1:15" s="351" customFormat="1" x14ac:dyDescent="0.2">
      <c r="A979" s="362" t="str">
        <f>name!E$5</f>
        <v>Professional occupations</v>
      </c>
      <c r="B979" s="440">
        <v>0.63625717177628771</v>
      </c>
      <c r="C979" s="440">
        <v>0.22593521878986195</v>
      </c>
      <c r="D979" s="440">
        <v>0.22105166265044338</v>
      </c>
      <c r="E979" s="440">
        <f t="shared" ref="E979:E986" si="420">SUM(B979:D979)</f>
        <v>1.083244053216593</v>
      </c>
      <c r="F979" s="441"/>
      <c r="G979" s="440">
        <v>0.38914008283838891</v>
      </c>
      <c r="H979" s="440">
        <v>0.19490749256765172</v>
      </c>
      <c r="I979" s="440">
        <v>0.17844786281219119</v>
      </c>
      <c r="J979" s="440">
        <f t="shared" ref="J979:J981" si="421">SUM(G979:I979)</f>
        <v>0.76249543821823174</v>
      </c>
      <c r="K979" s="441"/>
      <c r="L979" s="440">
        <v>0.48735176135384106</v>
      </c>
      <c r="M979" s="440">
        <v>0.25656520797403443</v>
      </c>
      <c r="N979" s="440">
        <v>0.20395303648065277</v>
      </c>
      <c r="O979" s="440">
        <f t="shared" ref="O979:O986" si="422">SUM(L979:N979)</f>
        <v>0.94787000580852832</v>
      </c>
    </row>
    <row r="980" spans="1:15" s="351" customFormat="1" x14ac:dyDescent="0.2">
      <c r="A980" s="362" t="str">
        <f>name!E$6</f>
        <v>Associate professional and technical</v>
      </c>
      <c r="B980" s="440">
        <v>0.25324903319098618</v>
      </c>
      <c r="C980" s="440">
        <v>0.10280825902156382</v>
      </c>
      <c r="D980" s="440">
        <v>6.5005722873377164E-2</v>
      </c>
      <c r="E980" s="440">
        <f t="shared" si="420"/>
        <v>0.42106301508592714</v>
      </c>
      <c r="F980" s="441"/>
      <c r="G980" s="440">
        <v>0.15325753224776678</v>
      </c>
      <c r="H980" s="440">
        <v>7.3720600292305927E-2</v>
      </c>
      <c r="I980" s="440">
        <v>5.3591905923717528E-2</v>
      </c>
      <c r="J980" s="440">
        <f t="shared" si="421"/>
        <v>0.28057003846379025</v>
      </c>
      <c r="K980" s="441"/>
      <c r="L980" s="440">
        <v>0.19556399224388621</v>
      </c>
      <c r="M980" s="440">
        <v>9.2104966959562856E-2</v>
      </c>
      <c r="N980" s="440">
        <v>5.7027014165312563E-2</v>
      </c>
      <c r="O980" s="440">
        <f t="shared" si="422"/>
        <v>0.34469597336876162</v>
      </c>
    </row>
    <row r="981" spans="1:15" s="351" customFormat="1" x14ac:dyDescent="0.2">
      <c r="A981" s="362" t="str">
        <f>name!E$7</f>
        <v>Administrative and secretarial</v>
      </c>
      <c r="B981" s="440">
        <v>5.9061045254318642E-2</v>
      </c>
      <c r="C981" s="440">
        <v>0.13866732532628173</v>
      </c>
      <c r="D981" s="440">
        <v>6.519977113567106E-3</v>
      </c>
      <c r="E981" s="440">
        <f t="shared" si="420"/>
        <v>0.2042483476941675</v>
      </c>
      <c r="F981" s="441"/>
      <c r="G981" s="440">
        <v>3.6844738085475941E-2</v>
      </c>
      <c r="H981" s="440">
        <v>6.5283523291971166E-2</v>
      </c>
      <c r="I981" s="440">
        <v>7.1397975494637686E-3</v>
      </c>
      <c r="J981" s="440">
        <f t="shared" si="421"/>
        <v>0.10926805892691087</v>
      </c>
      <c r="K981" s="441"/>
      <c r="L981" s="440">
        <v>2.9531272001377125E-2</v>
      </c>
      <c r="M981" s="440">
        <v>3.3422705854266974E-2</v>
      </c>
      <c r="N981" s="440">
        <v>2.603979365473397E-3</v>
      </c>
      <c r="O981" s="440">
        <f t="shared" si="422"/>
        <v>6.5557957221117499E-2</v>
      </c>
    </row>
    <row r="982" spans="1:15" s="351" customFormat="1" x14ac:dyDescent="0.2">
      <c r="A982" s="362" t="str">
        <f>name!E$8</f>
        <v>Skilled trades occupations</v>
      </c>
      <c r="B982" s="440">
        <v>4.8261660983582061E-2</v>
      </c>
      <c r="C982" s="440">
        <v>2.9921111225670229E-2</v>
      </c>
      <c r="D982" s="440">
        <v>1.62465150906086E-2</v>
      </c>
      <c r="E982" s="440">
        <f t="shared" si="420"/>
        <v>9.4429287299860887E-2</v>
      </c>
      <c r="F982" s="441"/>
      <c r="G982" s="440">
        <v>1.0836930934842918E-2</v>
      </c>
      <c r="H982" s="440">
        <v>9.0992506670164383E-3</v>
      </c>
      <c r="I982" s="440">
        <v>4.5323722552081634E-3</v>
      </c>
      <c r="J982" s="440">
        <f>SUM(G982:I982)</f>
        <v>2.4468553857067522E-2</v>
      </c>
      <c r="K982" s="441"/>
      <c r="L982" s="440">
        <v>7.0698659068610184E-3</v>
      </c>
      <c r="M982" s="440">
        <v>5.6806363914040908E-3</v>
      </c>
      <c r="N982" s="440">
        <v>4.7895855639463764E-3</v>
      </c>
      <c r="O982" s="440">
        <f t="shared" si="422"/>
        <v>1.7540087862211486E-2</v>
      </c>
    </row>
    <row r="983" spans="1:15" s="351" customFormat="1" x14ac:dyDescent="0.2">
      <c r="A983" s="362" t="str">
        <f>name!E$9</f>
        <v>Caring, leisure and other service</v>
      </c>
      <c r="B983" s="440">
        <v>0.39379995732727979</v>
      </c>
      <c r="C983" s="440">
        <v>0.30683328385415215</v>
      </c>
      <c r="D983" s="440">
        <v>0.12716393602401538</v>
      </c>
      <c r="E983" s="440">
        <f t="shared" si="420"/>
        <v>0.82779717720544732</v>
      </c>
      <c r="F983" s="441"/>
      <c r="G983" s="440">
        <v>0.21286330296496189</v>
      </c>
      <c r="H983" s="440">
        <v>0.30556487128458248</v>
      </c>
      <c r="I983" s="440">
        <v>0.13358455219468887</v>
      </c>
      <c r="J983" s="440">
        <f t="shared" ref="J983:J986" si="423">SUM(G983:I983)</f>
        <v>0.65201272644423325</v>
      </c>
      <c r="K983" s="441"/>
      <c r="L983" s="440">
        <v>0.25262578574849592</v>
      </c>
      <c r="M983" s="440">
        <v>0.40556269492163433</v>
      </c>
      <c r="N983" s="440">
        <v>0.1517708983609761</v>
      </c>
      <c r="O983" s="440">
        <f t="shared" si="422"/>
        <v>0.80995937903110637</v>
      </c>
    </row>
    <row r="984" spans="1:15" s="351" customFormat="1" x14ac:dyDescent="0.2">
      <c r="A984" s="362" t="str">
        <f>name!E$10</f>
        <v>Sales and customer service</v>
      </c>
      <c r="B984" s="440">
        <v>1.4475483668905451E-2</v>
      </c>
      <c r="C984" s="440">
        <v>1.4414025510912691E-2</v>
      </c>
      <c r="D984" s="440">
        <v>3.3429416067757354E-3</v>
      </c>
      <c r="E984" s="440">
        <f t="shared" si="420"/>
        <v>3.2232450786593876E-2</v>
      </c>
      <c r="F984" s="441"/>
      <c r="G984" s="440">
        <v>8.4073763605333422E-3</v>
      </c>
      <c r="H984" s="440">
        <v>9.9229550011672146E-3</v>
      </c>
      <c r="I984" s="440">
        <v>3.1520218154700661E-3</v>
      </c>
      <c r="J984" s="440">
        <f t="shared" si="423"/>
        <v>2.1482353177170621E-2</v>
      </c>
      <c r="K984" s="441"/>
      <c r="L984" s="440">
        <v>9.1197728769125772E-3</v>
      </c>
      <c r="M984" s="440">
        <v>9.4414848139145E-3</v>
      </c>
      <c r="N984" s="440">
        <v>2.9923812706243035E-3</v>
      </c>
      <c r="O984" s="440">
        <f t="shared" si="422"/>
        <v>2.155363896145138E-2</v>
      </c>
    </row>
    <row r="985" spans="1:15" s="351" customFormat="1" x14ac:dyDescent="0.2">
      <c r="A985" s="362" t="str">
        <f>name!E$11</f>
        <v>Process, plant and machine operatives</v>
      </c>
      <c r="B985" s="440">
        <v>2.8581977240538372E-2</v>
      </c>
      <c r="C985" s="440">
        <v>2.5685501796141867E-2</v>
      </c>
      <c r="D985" s="440">
        <v>4.9653272990403865E-3</v>
      </c>
      <c r="E985" s="440">
        <f t="shared" si="420"/>
        <v>5.9232806335720624E-2</v>
      </c>
      <c r="F985" s="441"/>
      <c r="G985" s="440">
        <v>6.6014768568141511E-3</v>
      </c>
      <c r="H985" s="440">
        <v>1.081211536956358E-2</v>
      </c>
      <c r="I985" s="440">
        <v>1.271810226254725E-3</v>
      </c>
      <c r="J985" s="440">
        <f t="shared" si="423"/>
        <v>1.8685402452632456E-2</v>
      </c>
      <c r="K985" s="441"/>
      <c r="L985" s="440">
        <v>4.8916644196545242E-3</v>
      </c>
      <c r="M985" s="440">
        <v>7.8660553421631314E-3</v>
      </c>
      <c r="N985" s="440">
        <v>1.0795097057177394E-3</v>
      </c>
      <c r="O985" s="440">
        <f t="shared" si="422"/>
        <v>1.3837229467535394E-2</v>
      </c>
    </row>
    <row r="986" spans="1:15" s="351" customFormat="1" x14ac:dyDescent="0.2">
      <c r="A986" s="362" t="str">
        <f>name!E$12</f>
        <v>Elementary occupations</v>
      </c>
      <c r="B986" s="440">
        <v>6.4337922362321623E-2</v>
      </c>
      <c r="C986" s="440">
        <v>0.14764880526384117</v>
      </c>
      <c r="D986" s="440">
        <v>1.7360869274807898E-3</v>
      </c>
      <c r="E986" s="440">
        <f t="shared" si="420"/>
        <v>0.21372281455364356</v>
      </c>
      <c r="F986" s="441"/>
      <c r="G986" s="440">
        <v>1.7261565387871831E-2</v>
      </c>
      <c r="H986" s="440">
        <v>3.4416556873640938E-2</v>
      </c>
      <c r="I986" s="440">
        <v>7.7455818219070117E-3</v>
      </c>
      <c r="J986" s="440">
        <f t="shared" si="423"/>
        <v>5.9423704083419779E-2</v>
      </c>
      <c r="K986" s="441"/>
      <c r="L986" s="440">
        <v>1.4217280716765302E-2</v>
      </c>
      <c r="M986" s="440">
        <v>2.4212580995803853E-2</v>
      </c>
      <c r="N986" s="440">
        <v>7.2006340082053002E-3</v>
      </c>
      <c r="O986" s="440">
        <f t="shared" si="422"/>
        <v>4.5630495720774454E-2</v>
      </c>
    </row>
    <row r="987" spans="1:15" s="351" customFormat="1" x14ac:dyDescent="0.2">
      <c r="A987" s="362"/>
      <c r="B987" s="440"/>
      <c r="C987" s="440"/>
      <c r="D987" s="440"/>
      <c r="E987" s="440"/>
      <c r="F987" s="441"/>
      <c r="G987" s="440"/>
      <c r="H987" s="440"/>
      <c r="I987" s="440"/>
      <c r="J987" s="440"/>
      <c r="K987" s="441"/>
      <c r="L987" s="440"/>
      <c r="M987" s="440"/>
      <c r="N987" s="440"/>
      <c r="O987" s="440"/>
    </row>
    <row r="988" spans="1:15" s="351" customFormat="1" x14ac:dyDescent="0.2">
      <c r="A988" s="357" t="s">
        <v>32</v>
      </c>
      <c r="B988" s="450">
        <f>SUM(B978:B986)</f>
        <v>1.5569999999958546</v>
      </c>
      <c r="C988" s="450">
        <f t="shared" ref="C988:E988" si="424">SUM(C978:C986)</f>
        <v>1.0139999999920928</v>
      </c>
      <c r="D988" s="450">
        <f t="shared" si="424"/>
        <v>0.49199999997268379</v>
      </c>
      <c r="E988" s="450">
        <f t="shared" si="424"/>
        <v>3.0629999999606308</v>
      </c>
      <c r="F988" s="450"/>
      <c r="G988" s="450">
        <f t="shared" ref="G988:J988" si="425">SUM(G978:G986)</f>
        <v>0.86899999999140787</v>
      </c>
      <c r="H988" s="450">
        <f t="shared" si="425"/>
        <v>0.71699999998794162</v>
      </c>
      <c r="I988" s="450">
        <f t="shared" si="425"/>
        <v>0.41399999996858272</v>
      </c>
      <c r="J988" s="450">
        <f t="shared" si="425"/>
        <v>1.9999999999479319</v>
      </c>
      <c r="K988" s="450"/>
      <c r="L988" s="450">
        <f t="shared" ref="L988:O988" si="426">SUM(L978:L986)</f>
        <v>1.0410000000068376</v>
      </c>
      <c r="M988" s="450">
        <f t="shared" si="426"/>
        <v>0.84999999999354059</v>
      </c>
      <c r="N988" s="450">
        <f t="shared" si="426"/>
        <v>0.45499999997475216</v>
      </c>
      <c r="O988" s="450">
        <f t="shared" si="426"/>
        <v>2.3459999999751298</v>
      </c>
    </row>
    <row r="989" spans="1:15" s="351" customFormat="1" x14ac:dyDescent="0.2">
      <c r="A989" s="348"/>
      <c r="B989" s="348"/>
      <c r="C989" s="348"/>
      <c r="D989" s="348"/>
      <c r="E989" s="348"/>
      <c r="F989" s="348"/>
      <c r="G989" s="348"/>
      <c r="H989" s="348"/>
      <c r="I989" s="348"/>
      <c r="J989" s="348"/>
      <c r="K989" s="348"/>
      <c r="L989" s="348"/>
      <c r="M989" s="348"/>
      <c r="N989" s="353"/>
    </row>
    <row r="990" spans="1:15" s="351" customFormat="1" x14ac:dyDescent="0.2">
      <c r="A990" s="348"/>
      <c r="B990" s="348"/>
      <c r="C990" s="348"/>
      <c r="D990" s="348"/>
      <c r="E990" s="348"/>
      <c r="F990" s="348"/>
      <c r="G990" s="348"/>
      <c r="H990" s="348"/>
      <c r="I990" s="348"/>
      <c r="J990" s="348"/>
      <c r="K990" s="348"/>
      <c r="L990" s="348"/>
      <c r="M990" s="348"/>
      <c r="N990" s="353"/>
      <c r="O990" s="367" t="s">
        <v>35</v>
      </c>
    </row>
    <row r="991" spans="1:15" s="351" customFormat="1" x14ac:dyDescent="0.2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</row>
    <row r="992" spans="1:15" s="351" customFormat="1" x14ac:dyDescent="0.2">
      <c r="A992" s="354" t="str">
        <f>name!A61</f>
        <v>Rental and leasing</v>
      </c>
      <c r="B992" s="519">
        <f>$B$6</f>
        <v>2007</v>
      </c>
      <c r="C992" s="519"/>
      <c r="D992" s="519"/>
      <c r="E992" s="519"/>
      <c r="F992" s="380"/>
      <c r="G992" s="519">
        <f>$G$6</f>
        <v>2017</v>
      </c>
      <c r="H992" s="519"/>
      <c r="I992" s="519"/>
      <c r="J992" s="519"/>
      <c r="K992" s="380"/>
      <c r="L992" s="519">
        <f>$L$6</f>
        <v>2027</v>
      </c>
      <c r="M992" s="519"/>
      <c r="N992" s="519"/>
      <c r="O992" s="519"/>
    </row>
    <row r="993" spans="1:15" s="351" customFormat="1" x14ac:dyDescent="0.2">
      <c r="A993" s="370"/>
      <c r="B993" s="388" t="str">
        <f>$B$7</f>
        <v>FT</v>
      </c>
      <c r="C993" s="388" t="str">
        <f>$C$7</f>
        <v>PT</v>
      </c>
      <c r="D993" s="388" t="str">
        <f>$D$7</f>
        <v>SE</v>
      </c>
      <c r="E993" s="388" t="str">
        <f>$E$7</f>
        <v>Total</v>
      </c>
      <c r="F993" s="388"/>
      <c r="G993" s="388" t="str">
        <f>$G$7</f>
        <v>FT</v>
      </c>
      <c r="H993" s="388" t="str">
        <f>$H$7</f>
        <v>PT</v>
      </c>
      <c r="I993" s="388" t="str">
        <f>$I$7</f>
        <v>SE</v>
      </c>
      <c r="J993" s="388" t="str">
        <f>$J$7</f>
        <v>Total</v>
      </c>
      <c r="K993" s="388"/>
      <c r="L993" s="388" t="str">
        <f>$L$7</f>
        <v>FT</v>
      </c>
      <c r="M993" s="388" t="str">
        <f>$M$7</f>
        <v>PT</v>
      </c>
      <c r="N993" s="388" t="str">
        <f>$N$7</f>
        <v>SE</v>
      </c>
      <c r="O993" s="388" t="str">
        <f>$O$7</f>
        <v>Total</v>
      </c>
    </row>
    <row r="994" spans="1:15" s="351" customFormat="1" x14ac:dyDescent="0.2">
      <c r="A994" s="374"/>
      <c r="B994" s="350"/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</row>
    <row r="995" spans="1:15" s="351" customFormat="1" x14ac:dyDescent="0.2">
      <c r="A995" s="362" t="str">
        <f>name!E$4</f>
        <v>Managers, directors and senior officials</v>
      </c>
      <c r="B995" s="440">
        <v>0.47997633633712461</v>
      </c>
      <c r="C995" s="440">
        <v>3.4455863453591876E-2</v>
      </c>
      <c r="D995" s="440">
        <v>0.12940156094284899</v>
      </c>
      <c r="E995" s="440">
        <f>SUM(B995:D995)</f>
        <v>0.64383376073356557</v>
      </c>
      <c r="F995" s="441"/>
      <c r="G995" s="440">
        <v>0.84158876824090101</v>
      </c>
      <c r="H995" s="440">
        <v>3.8444766065341807E-2</v>
      </c>
      <c r="I995" s="440">
        <v>0.57629001724326667</v>
      </c>
      <c r="J995" s="440">
        <f>SUM(G995:I995)</f>
        <v>1.4563235515495094</v>
      </c>
      <c r="K995" s="441"/>
      <c r="L995" s="440">
        <v>1.0013710395930127</v>
      </c>
      <c r="M995" s="440">
        <v>5.0502541480016434E-2</v>
      </c>
      <c r="N995" s="440">
        <v>0.60659152026781304</v>
      </c>
      <c r="O995" s="440">
        <f>SUM(L995:N995)</f>
        <v>1.658465101340842</v>
      </c>
    </row>
    <row r="996" spans="1:15" s="351" customFormat="1" x14ac:dyDescent="0.2">
      <c r="A996" s="362" t="str">
        <f>name!E$5</f>
        <v>Professional occupations</v>
      </c>
      <c r="B996" s="440">
        <v>0.50993770957948226</v>
      </c>
      <c r="C996" s="440">
        <v>3.473954836273839E-2</v>
      </c>
      <c r="D996" s="440">
        <v>2.0255043460272029E-2</v>
      </c>
      <c r="E996" s="440">
        <f t="shared" ref="E996:E1003" si="427">SUM(B996:D996)</f>
        <v>0.56493230140249273</v>
      </c>
      <c r="F996" s="441"/>
      <c r="G996" s="440">
        <v>0.9710016649010117</v>
      </c>
      <c r="H996" s="440">
        <v>2.6059337747755852E-2</v>
      </c>
      <c r="I996" s="440">
        <v>0.10530450958500132</v>
      </c>
      <c r="J996" s="440">
        <f t="shared" ref="J996:J998" si="428">SUM(G996:I996)</f>
        <v>1.1023655122337688</v>
      </c>
      <c r="K996" s="441"/>
      <c r="L996" s="440">
        <v>1.1999455544570565</v>
      </c>
      <c r="M996" s="440">
        <v>3.161790739376432E-2</v>
      </c>
      <c r="N996" s="440">
        <v>0.10729953827225699</v>
      </c>
      <c r="O996" s="440">
        <f t="shared" ref="O996:O1003" si="429">SUM(L996:N996)</f>
        <v>1.3388630001230779</v>
      </c>
    </row>
    <row r="997" spans="1:15" s="351" customFormat="1" x14ac:dyDescent="0.2">
      <c r="A997" s="362" t="str">
        <f>name!E$6</f>
        <v>Associate professional and technical</v>
      </c>
      <c r="B997" s="440">
        <v>0.56848771348670857</v>
      </c>
      <c r="C997" s="440">
        <v>6.4267548161838509E-2</v>
      </c>
      <c r="D997" s="440">
        <v>2.7591435163908631E-2</v>
      </c>
      <c r="E997" s="440">
        <f t="shared" si="427"/>
        <v>0.66034669681245572</v>
      </c>
      <c r="F997" s="441"/>
      <c r="G997" s="440">
        <v>0.94338335973951803</v>
      </c>
      <c r="H997" s="440">
        <v>5.6242817938003037E-2</v>
      </c>
      <c r="I997" s="440">
        <v>0.15643820014821785</v>
      </c>
      <c r="J997" s="440">
        <f t="shared" si="428"/>
        <v>1.1560643778257389</v>
      </c>
      <c r="K997" s="441"/>
      <c r="L997" s="440">
        <v>1.0394253079635218</v>
      </c>
      <c r="M997" s="440">
        <v>7.2374560574033436E-2</v>
      </c>
      <c r="N997" s="440">
        <v>0.14987525625504963</v>
      </c>
      <c r="O997" s="440">
        <f t="shared" si="429"/>
        <v>1.2616751247926048</v>
      </c>
    </row>
    <row r="998" spans="1:15" s="351" customFormat="1" x14ac:dyDescent="0.2">
      <c r="A998" s="362" t="str">
        <f>name!E$7</f>
        <v>Administrative and secretarial</v>
      </c>
      <c r="B998" s="440">
        <v>0.80504607721826305</v>
      </c>
      <c r="C998" s="440">
        <v>0.29006127967591494</v>
      </c>
      <c r="D998" s="440">
        <v>9.1379303072401524E-3</v>
      </c>
      <c r="E998" s="440">
        <f t="shared" si="427"/>
        <v>1.1042452872014181</v>
      </c>
      <c r="F998" s="441"/>
      <c r="G998" s="440">
        <v>1.7197500813869966</v>
      </c>
      <c r="H998" s="440">
        <v>0.14741534630355638</v>
      </c>
      <c r="I998" s="440">
        <v>5.7323843123839965E-2</v>
      </c>
      <c r="J998" s="440">
        <f t="shared" si="428"/>
        <v>1.9244892708143928</v>
      </c>
      <c r="K998" s="441"/>
      <c r="L998" s="440">
        <v>1.7651918325963512</v>
      </c>
      <c r="M998" s="440">
        <v>0.13193712833963456</v>
      </c>
      <c r="N998" s="440">
        <v>4.451031150472471E-2</v>
      </c>
      <c r="O998" s="440">
        <f t="shared" si="429"/>
        <v>1.9416392724407106</v>
      </c>
    </row>
    <row r="999" spans="1:15" s="351" customFormat="1" x14ac:dyDescent="0.2">
      <c r="A999" s="362" t="str">
        <f>name!E$8</f>
        <v>Skilled trades occupations</v>
      </c>
      <c r="B999" s="440">
        <v>0.66448886377891658</v>
      </c>
      <c r="C999" s="440">
        <v>2.6210807472533182E-2</v>
      </c>
      <c r="D999" s="440">
        <v>4.6553493177809477E-2</v>
      </c>
      <c r="E999" s="440">
        <f t="shared" si="427"/>
        <v>0.73725316442925914</v>
      </c>
      <c r="F999" s="441"/>
      <c r="G999" s="440">
        <v>0.79069241949255453</v>
      </c>
      <c r="H999" s="440">
        <v>2.4326558612916792E-2</v>
      </c>
      <c r="I999" s="440">
        <v>0.18680309080483828</v>
      </c>
      <c r="J999" s="440">
        <f>SUM(G999:I999)</f>
        <v>1.0018220689103097</v>
      </c>
      <c r="K999" s="441"/>
      <c r="L999" s="440">
        <v>0.7302339802045148</v>
      </c>
      <c r="M999" s="440">
        <v>2.8899530794396042E-2</v>
      </c>
      <c r="N999" s="440">
        <v>0.17997920411832299</v>
      </c>
      <c r="O999" s="440">
        <f t="shared" si="429"/>
        <v>0.93911271511723382</v>
      </c>
    </row>
    <row r="1000" spans="1:15" s="351" customFormat="1" x14ac:dyDescent="0.2">
      <c r="A1000" s="362" t="str">
        <f>name!E$9</f>
        <v>Caring, leisure and other service</v>
      </c>
      <c r="B1000" s="440">
        <v>7.8523603975129364E-2</v>
      </c>
      <c r="C1000" s="440">
        <v>2.8115434849400395E-2</v>
      </c>
      <c r="D1000" s="440">
        <v>1.0725391148327264E-2</v>
      </c>
      <c r="E1000" s="440">
        <f t="shared" si="427"/>
        <v>0.11736442997285702</v>
      </c>
      <c r="F1000" s="441"/>
      <c r="G1000" s="440">
        <v>0.20447721635931135</v>
      </c>
      <c r="H1000" s="440">
        <v>2.1916845009965536E-2</v>
      </c>
      <c r="I1000" s="440">
        <v>7.5546931229308778E-2</v>
      </c>
      <c r="J1000" s="440">
        <f t="shared" ref="J1000:J1003" si="430">SUM(G1000:I1000)</f>
        <v>0.30194099259858564</v>
      </c>
      <c r="K1000" s="441"/>
      <c r="L1000" s="440">
        <v>0.27558864409357603</v>
      </c>
      <c r="M1000" s="440">
        <v>2.7836938105958289E-2</v>
      </c>
      <c r="N1000" s="440">
        <v>8.9204484567756634E-2</v>
      </c>
      <c r="O1000" s="440">
        <f t="shared" si="429"/>
        <v>0.39263006676729095</v>
      </c>
    </row>
    <row r="1001" spans="1:15" s="351" customFormat="1" x14ac:dyDescent="0.2">
      <c r="A1001" s="362" t="str">
        <f>name!E$10</f>
        <v>Sales and customer service</v>
      </c>
      <c r="B1001" s="440">
        <v>0.47518386001880919</v>
      </c>
      <c r="C1001" s="440">
        <v>0.40602678871336401</v>
      </c>
      <c r="D1001" s="440">
        <v>2.9780438728433486E-2</v>
      </c>
      <c r="E1001" s="440">
        <f t="shared" si="427"/>
        <v>0.91099108746060664</v>
      </c>
      <c r="F1001" s="441"/>
      <c r="G1001" s="440">
        <v>0.77418978456607979</v>
      </c>
      <c r="H1001" s="440">
        <v>0.23182572005550484</v>
      </c>
      <c r="I1001" s="440">
        <v>0.10453096609457134</v>
      </c>
      <c r="J1001" s="440">
        <f t="shared" si="430"/>
        <v>1.1105464707161559</v>
      </c>
      <c r="K1001" s="441"/>
      <c r="L1001" s="440">
        <v>0.81273409905034799</v>
      </c>
      <c r="M1001" s="440">
        <v>0.24045473304062426</v>
      </c>
      <c r="N1001" s="440">
        <v>7.3463220458533651E-2</v>
      </c>
      <c r="O1001" s="440">
        <f t="shared" si="429"/>
        <v>1.1266520525495058</v>
      </c>
    </row>
    <row r="1002" spans="1:15" s="351" customFormat="1" x14ac:dyDescent="0.2">
      <c r="A1002" s="362" t="str">
        <f>name!E$11</f>
        <v>Process, plant and machine operatives</v>
      </c>
      <c r="B1002" s="440">
        <v>0.60920551306390691</v>
      </c>
      <c r="C1002" s="440">
        <v>0.15026914373872466</v>
      </c>
      <c r="D1002" s="440">
        <v>4.1616275613178925E-2</v>
      </c>
      <c r="E1002" s="440">
        <f t="shared" si="427"/>
        <v>0.80109093241581053</v>
      </c>
      <c r="F1002" s="441"/>
      <c r="G1002" s="440">
        <v>0.85122817642969539</v>
      </c>
      <c r="H1002" s="440">
        <v>0.14174949326876868</v>
      </c>
      <c r="I1002" s="440">
        <v>7.2250911661761882E-2</v>
      </c>
      <c r="J1002" s="440">
        <f t="shared" si="430"/>
        <v>1.0652285813602258</v>
      </c>
      <c r="K1002" s="441"/>
      <c r="L1002" s="440">
        <v>0.96572686887059978</v>
      </c>
      <c r="M1002" s="440">
        <v>0.15546420713958209</v>
      </c>
      <c r="N1002" s="440">
        <v>3.3160295132997404E-2</v>
      </c>
      <c r="O1002" s="440">
        <f t="shared" si="429"/>
        <v>1.1543513711431792</v>
      </c>
    </row>
    <row r="1003" spans="1:15" s="351" customFormat="1" x14ac:dyDescent="0.2">
      <c r="A1003" s="362" t="str">
        <f>name!E$12</f>
        <v>Elementary occupations</v>
      </c>
      <c r="B1003" s="440">
        <v>0.25115032253367009</v>
      </c>
      <c r="C1003" s="440">
        <v>4.6853585575876315E-2</v>
      </c>
      <c r="D1003" s="440">
        <v>1.4938431457203779E-2</v>
      </c>
      <c r="E1003" s="440">
        <f t="shared" si="427"/>
        <v>0.31294233956675022</v>
      </c>
      <c r="F1003" s="441"/>
      <c r="G1003" s="440">
        <v>0.28368852888062507</v>
      </c>
      <c r="H1003" s="440">
        <v>2.7019115006428854E-2</v>
      </c>
      <c r="I1003" s="440">
        <v>8.3511530103025727E-2</v>
      </c>
      <c r="J1003" s="440">
        <f t="shared" si="430"/>
        <v>0.39421917399007966</v>
      </c>
      <c r="K1003" s="441"/>
      <c r="L1003" s="440">
        <v>0.29278267315056178</v>
      </c>
      <c r="M1003" s="440">
        <v>2.8912453135022626E-2</v>
      </c>
      <c r="N1003" s="440">
        <v>7.1916169413199157E-2</v>
      </c>
      <c r="O1003" s="440">
        <f t="shared" si="429"/>
        <v>0.39361129569878356</v>
      </c>
    </row>
    <row r="1004" spans="1:15" s="351" customFormat="1" x14ac:dyDescent="0.2">
      <c r="A1004" s="362"/>
      <c r="B1004" s="440"/>
      <c r="C1004" s="440"/>
      <c r="D1004" s="440"/>
      <c r="E1004" s="440"/>
      <c r="F1004" s="441"/>
      <c r="G1004" s="440"/>
      <c r="H1004" s="440"/>
      <c r="I1004" s="440"/>
      <c r="J1004" s="440"/>
      <c r="K1004" s="441"/>
      <c r="L1004" s="440"/>
      <c r="M1004" s="440"/>
      <c r="N1004" s="440"/>
      <c r="O1004" s="440"/>
    </row>
    <row r="1005" spans="1:15" s="351" customFormat="1" x14ac:dyDescent="0.2">
      <c r="A1005" s="357" t="s">
        <v>32</v>
      </c>
      <c r="B1005" s="450">
        <f>SUM(B995:B1003)</f>
        <v>4.441999999992011</v>
      </c>
      <c r="C1005" s="450">
        <f t="shared" ref="C1005:E1005" si="431">SUM(C995:C1003)</f>
        <v>1.0810000000039821</v>
      </c>
      <c r="D1005" s="450">
        <f t="shared" si="431"/>
        <v>0.3299999999992228</v>
      </c>
      <c r="E1005" s="450">
        <f t="shared" si="431"/>
        <v>5.852999999995216</v>
      </c>
      <c r="F1005" s="450"/>
      <c r="G1005" s="450">
        <f t="shared" ref="G1005:J1005" si="432">SUM(G995:G1003)</f>
        <v>7.3799999999966932</v>
      </c>
      <c r="H1005" s="450">
        <f t="shared" si="432"/>
        <v>0.7150000000082416</v>
      </c>
      <c r="I1005" s="450">
        <f t="shared" si="432"/>
        <v>1.4179999999938315</v>
      </c>
      <c r="J1005" s="450">
        <f t="shared" si="432"/>
        <v>9.5129999999987653</v>
      </c>
      <c r="K1005" s="450"/>
      <c r="L1005" s="450">
        <f t="shared" ref="L1005:O1005" si="433">SUM(L995:L1003)</f>
        <v>8.0829999999795419</v>
      </c>
      <c r="M1005" s="450">
        <f t="shared" si="433"/>
        <v>0.76800000000303215</v>
      </c>
      <c r="N1005" s="450">
        <f t="shared" si="433"/>
        <v>1.3559999999906542</v>
      </c>
      <c r="O1005" s="450">
        <f t="shared" si="433"/>
        <v>10.206999999973226</v>
      </c>
    </row>
    <row r="1006" spans="1:15" s="351" customFormat="1" x14ac:dyDescent="0.2">
      <c r="A1006" s="348"/>
      <c r="B1006" s="348"/>
      <c r="C1006" s="348"/>
      <c r="D1006" s="348"/>
      <c r="E1006" s="348"/>
      <c r="F1006" s="348"/>
      <c r="G1006" s="348"/>
      <c r="H1006" s="348"/>
      <c r="I1006" s="348"/>
      <c r="J1006" s="348"/>
      <c r="K1006" s="348"/>
      <c r="L1006" s="348"/>
      <c r="M1006" s="348"/>
      <c r="N1006" s="353"/>
    </row>
    <row r="1007" spans="1:15" s="351" customFormat="1" x14ac:dyDescent="0.2">
      <c r="A1007" s="348"/>
      <c r="B1007" s="348"/>
      <c r="C1007" s="348"/>
      <c r="D1007" s="348"/>
      <c r="E1007" s="348"/>
      <c r="F1007" s="348"/>
      <c r="G1007" s="348"/>
      <c r="H1007" s="348"/>
      <c r="I1007" s="348"/>
      <c r="J1007" s="348"/>
      <c r="K1007" s="348"/>
      <c r="L1007" s="348"/>
      <c r="M1007" s="348"/>
      <c r="N1007" s="353"/>
      <c r="O1007" s="367" t="s">
        <v>35</v>
      </c>
    </row>
    <row r="1008" spans="1:15" s="351" customFormat="1" x14ac:dyDescent="0.2">
      <c r="A1008" s="355"/>
      <c r="B1008" s="355"/>
      <c r="C1008" s="355"/>
      <c r="D1008" s="355"/>
      <c r="E1008" s="355"/>
      <c r="F1008" s="355"/>
      <c r="G1008" s="355"/>
      <c r="H1008" s="355"/>
      <c r="I1008" s="355"/>
      <c r="J1008" s="355"/>
      <c r="K1008" s="355"/>
      <c r="L1008" s="355"/>
      <c r="M1008" s="355"/>
      <c r="N1008" s="355"/>
      <c r="O1008" s="355"/>
    </row>
    <row r="1009" spans="1:15" s="351" customFormat="1" x14ac:dyDescent="0.2">
      <c r="A1009" s="354" t="str">
        <f>name!A62</f>
        <v>Employment activities</v>
      </c>
      <c r="B1009" s="519">
        <f>$B$6</f>
        <v>2007</v>
      </c>
      <c r="C1009" s="519"/>
      <c r="D1009" s="519"/>
      <c r="E1009" s="519"/>
      <c r="F1009" s="380"/>
      <c r="G1009" s="519">
        <f>$G$6</f>
        <v>2017</v>
      </c>
      <c r="H1009" s="519"/>
      <c r="I1009" s="519"/>
      <c r="J1009" s="519"/>
      <c r="K1009" s="380"/>
      <c r="L1009" s="519">
        <f>$L$6</f>
        <v>2027</v>
      </c>
      <c r="M1009" s="519"/>
      <c r="N1009" s="519"/>
      <c r="O1009" s="519"/>
    </row>
    <row r="1010" spans="1:15" s="351" customFormat="1" x14ac:dyDescent="0.2">
      <c r="A1010" s="370"/>
      <c r="B1010" s="388" t="str">
        <f>$B$7</f>
        <v>FT</v>
      </c>
      <c r="C1010" s="388" t="str">
        <f>$C$7</f>
        <v>PT</v>
      </c>
      <c r="D1010" s="388" t="str">
        <f>$D$7</f>
        <v>SE</v>
      </c>
      <c r="E1010" s="388" t="str">
        <f>$E$7</f>
        <v>Total</v>
      </c>
      <c r="F1010" s="388"/>
      <c r="G1010" s="388" t="str">
        <f>$G$7</f>
        <v>FT</v>
      </c>
      <c r="H1010" s="388" t="str">
        <f>$H$7</f>
        <v>PT</v>
      </c>
      <c r="I1010" s="388" t="str">
        <f>$I$7</f>
        <v>SE</v>
      </c>
      <c r="J1010" s="388" t="str">
        <f>$J$7</f>
        <v>Total</v>
      </c>
      <c r="K1010" s="388"/>
      <c r="L1010" s="388" t="str">
        <f>$L$7</f>
        <v>FT</v>
      </c>
      <c r="M1010" s="388" t="str">
        <f>$M$7</f>
        <v>PT</v>
      </c>
      <c r="N1010" s="388" t="str">
        <f>$N$7</f>
        <v>SE</v>
      </c>
      <c r="O1010" s="388" t="str">
        <f>$O$7</f>
        <v>Total</v>
      </c>
    </row>
    <row r="1011" spans="1:15" s="351" customFormat="1" x14ac:dyDescent="0.2">
      <c r="A1011" s="374"/>
      <c r="B1011" s="350"/>
      <c r="C1011" s="350"/>
      <c r="D1011" s="350"/>
      <c r="E1011" s="350"/>
      <c r="F1011" s="350"/>
      <c r="G1011" s="350"/>
      <c r="H1011" s="350"/>
      <c r="I1011" s="350"/>
      <c r="J1011" s="350"/>
      <c r="K1011" s="350"/>
      <c r="L1011" s="350"/>
      <c r="M1011" s="350"/>
      <c r="N1011" s="350"/>
      <c r="O1011" s="350"/>
    </row>
    <row r="1012" spans="1:15" s="351" customFormat="1" x14ac:dyDescent="0.2">
      <c r="A1012" s="362" t="str">
        <f>name!E$4</f>
        <v>Managers, directors and senior officials</v>
      </c>
      <c r="B1012" s="440">
        <v>1.3813842404608476</v>
      </c>
      <c r="C1012" s="440">
        <v>0.15804994192399827</v>
      </c>
      <c r="D1012" s="440">
        <v>0.26453887090820072</v>
      </c>
      <c r="E1012" s="440">
        <f>SUM(B1012:D1012)</f>
        <v>1.8039730532930465</v>
      </c>
      <c r="F1012" s="441"/>
      <c r="G1012" s="440">
        <v>1.0857910566842928</v>
      </c>
      <c r="H1012" s="440">
        <v>0.32320638018219938</v>
      </c>
      <c r="I1012" s="440">
        <v>0.74082977716827392</v>
      </c>
      <c r="J1012" s="440">
        <f>SUM(G1012:I1012)</f>
        <v>2.1498272140347661</v>
      </c>
      <c r="K1012" s="441"/>
      <c r="L1012" s="440">
        <v>1.2980139333632779</v>
      </c>
      <c r="M1012" s="440">
        <v>0.38990549589315376</v>
      </c>
      <c r="N1012" s="440">
        <v>0.75925137104285634</v>
      </c>
      <c r="O1012" s="440">
        <f>SUM(L1012:N1012)</f>
        <v>2.447170800299288</v>
      </c>
    </row>
    <row r="1013" spans="1:15" s="351" customFormat="1" x14ac:dyDescent="0.2">
      <c r="A1013" s="362" t="str">
        <f>name!E$5</f>
        <v>Professional occupations</v>
      </c>
      <c r="B1013" s="440">
        <v>1.4173807809948673</v>
      </c>
      <c r="C1013" s="440">
        <v>0.34977013738875051</v>
      </c>
      <c r="D1013" s="440">
        <v>0.10238103386889537</v>
      </c>
      <c r="E1013" s="440">
        <f t="shared" ref="E1013:E1020" si="434">SUM(B1013:D1013)</f>
        <v>1.8695319522525131</v>
      </c>
      <c r="F1013" s="441"/>
      <c r="G1013" s="440">
        <v>1.5712008962042454</v>
      </c>
      <c r="H1013" s="440">
        <v>0.407114819494244</v>
      </c>
      <c r="I1013" s="440">
        <v>0.32159908371033868</v>
      </c>
      <c r="J1013" s="440">
        <f t="shared" ref="J1013:J1015" si="435">SUM(G1013:I1013)</f>
        <v>2.2999147994088283</v>
      </c>
      <c r="K1013" s="441"/>
      <c r="L1013" s="440">
        <v>1.9820539202264766</v>
      </c>
      <c r="M1013" s="440">
        <v>0.48935639954594623</v>
      </c>
      <c r="N1013" s="440">
        <v>0.35962450536484836</v>
      </c>
      <c r="O1013" s="440">
        <f t="shared" ref="O1013:O1020" si="436">SUM(L1013:N1013)</f>
        <v>2.8310348251372712</v>
      </c>
    </row>
    <row r="1014" spans="1:15" s="351" customFormat="1" x14ac:dyDescent="0.2">
      <c r="A1014" s="362" t="str">
        <f>name!E$6</f>
        <v>Associate professional and technical</v>
      </c>
      <c r="B1014" s="440">
        <v>3.0769487412434038</v>
      </c>
      <c r="C1014" s="440">
        <v>0.46598027492011657</v>
      </c>
      <c r="D1014" s="440">
        <v>0.51239449759541222</v>
      </c>
      <c r="E1014" s="440">
        <f t="shared" si="434"/>
        <v>4.0553235137589327</v>
      </c>
      <c r="F1014" s="441"/>
      <c r="G1014" s="440">
        <v>2.2037343611407345</v>
      </c>
      <c r="H1014" s="440">
        <v>0.50260359434490098</v>
      </c>
      <c r="I1014" s="440">
        <v>1.5491815705595602</v>
      </c>
      <c r="J1014" s="440">
        <f t="shared" si="435"/>
        <v>4.2555195260451955</v>
      </c>
      <c r="K1014" s="441"/>
      <c r="L1014" s="440">
        <v>2.4379337392732139</v>
      </c>
      <c r="M1014" s="440">
        <v>0.62906232944897233</v>
      </c>
      <c r="N1014" s="440">
        <v>1.6070245213027246</v>
      </c>
      <c r="O1014" s="440">
        <f t="shared" si="436"/>
        <v>4.6740205900249112</v>
      </c>
    </row>
    <row r="1015" spans="1:15" s="351" customFormat="1" x14ac:dyDescent="0.2">
      <c r="A1015" s="362" t="str">
        <f>name!E$7</f>
        <v>Administrative and secretarial</v>
      </c>
      <c r="B1015" s="440">
        <v>3.8382129497071937</v>
      </c>
      <c r="C1015" s="440">
        <v>1.308451915053914</v>
      </c>
      <c r="D1015" s="440">
        <v>2.7657345128389181E-2</v>
      </c>
      <c r="E1015" s="440">
        <f t="shared" si="434"/>
        <v>5.174322209889497</v>
      </c>
      <c r="F1015" s="441"/>
      <c r="G1015" s="440">
        <v>3.5371817677979838</v>
      </c>
      <c r="H1015" s="440">
        <v>0.87201843094043219</v>
      </c>
      <c r="I1015" s="440">
        <v>7.0187737447259216E-2</v>
      </c>
      <c r="J1015" s="440">
        <f t="shared" si="435"/>
        <v>4.4793879361856757</v>
      </c>
      <c r="K1015" s="441"/>
      <c r="L1015" s="440">
        <v>3.3172219536384935</v>
      </c>
      <c r="M1015" s="440">
        <v>0.82469427505318882</v>
      </c>
      <c r="N1015" s="440">
        <v>5.8758168403729459E-2</v>
      </c>
      <c r="O1015" s="440">
        <f t="shared" si="436"/>
        <v>4.2006743970954119</v>
      </c>
    </row>
    <row r="1016" spans="1:15" s="351" customFormat="1" x14ac:dyDescent="0.2">
      <c r="A1016" s="362" t="str">
        <f>name!E$8</f>
        <v>Skilled trades occupations</v>
      </c>
      <c r="B1016" s="440">
        <v>0.99231313386303588</v>
      </c>
      <c r="C1016" s="440">
        <v>0.15927339526929349</v>
      </c>
      <c r="D1016" s="440">
        <v>0.20550699413068382</v>
      </c>
      <c r="E1016" s="440">
        <f t="shared" si="434"/>
        <v>1.357093523263013</v>
      </c>
      <c r="F1016" s="441"/>
      <c r="G1016" s="440">
        <v>0.41728742900101218</v>
      </c>
      <c r="H1016" s="440">
        <v>0.20200732794772297</v>
      </c>
      <c r="I1016" s="440">
        <v>0.5927897133653609</v>
      </c>
      <c r="J1016" s="440">
        <f>SUM(G1016:I1016)</f>
        <v>1.2120844703140961</v>
      </c>
      <c r="K1016" s="441"/>
      <c r="L1016" s="440">
        <v>0.38747545557788188</v>
      </c>
      <c r="M1016" s="440">
        <v>0.22564467264194435</v>
      </c>
      <c r="N1016" s="440">
        <v>0.53101542189721895</v>
      </c>
      <c r="O1016" s="440">
        <f t="shared" si="436"/>
        <v>1.1441355501170452</v>
      </c>
    </row>
    <row r="1017" spans="1:15" s="351" customFormat="1" x14ac:dyDescent="0.2">
      <c r="A1017" s="362" t="str">
        <f>name!E$9</f>
        <v>Caring, leisure and other service</v>
      </c>
      <c r="B1017" s="440">
        <v>1.0638370770387187</v>
      </c>
      <c r="C1017" s="440">
        <v>0.57437754778186501</v>
      </c>
      <c r="D1017" s="440">
        <v>4.7949658711641474E-2</v>
      </c>
      <c r="E1017" s="440">
        <f t="shared" si="434"/>
        <v>1.6861642835322252</v>
      </c>
      <c r="F1017" s="441"/>
      <c r="G1017" s="440">
        <v>1.2914303446389417</v>
      </c>
      <c r="H1017" s="440">
        <v>0.65743036032693158</v>
      </c>
      <c r="I1017" s="440">
        <v>0.23850473882675408</v>
      </c>
      <c r="J1017" s="440">
        <f t="shared" ref="J1017:J1020" si="437">SUM(G1017:I1017)</f>
        <v>2.1873654437926273</v>
      </c>
      <c r="K1017" s="441"/>
      <c r="L1017" s="440">
        <v>1.5856192200539645</v>
      </c>
      <c r="M1017" s="440">
        <v>0.78518463377529213</v>
      </c>
      <c r="N1017" s="440">
        <v>0.21065147013218741</v>
      </c>
      <c r="O1017" s="440">
        <f t="shared" si="436"/>
        <v>2.5814553239614439</v>
      </c>
    </row>
    <row r="1018" spans="1:15" s="351" customFormat="1" x14ac:dyDescent="0.2">
      <c r="A1018" s="362" t="str">
        <f>name!E$10</f>
        <v>Sales and customer service</v>
      </c>
      <c r="B1018" s="440">
        <v>1.5119666359329791</v>
      </c>
      <c r="C1018" s="440">
        <v>0.69446309144412433</v>
      </c>
      <c r="D1018" s="440">
        <v>3.8589135721184491E-2</v>
      </c>
      <c r="E1018" s="440">
        <f t="shared" si="434"/>
        <v>2.2450188630982879</v>
      </c>
      <c r="F1018" s="441"/>
      <c r="G1018" s="440">
        <v>2.4615264956431457</v>
      </c>
      <c r="H1018" s="440">
        <v>0.72052428205953767</v>
      </c>
      <c r="I1018" s="440">
        <v>3.7306564119144375E-2</v>
      </c>
      <c r="J1018" s="440">
        <f t="shared" si="437"/>
        <v>3.2193573418218278</v>
      </c>
      <c r="K1018" s="441"/>
      <c r="L1018" s="440">
        <v>2.7840368094288568</v>
      </c>
      <c r="M1018" s="440">
        <v>0.76771790878262103</v>
      </c>
      <c r="N1018" s="440">
        <v>2.6671182716892585E-2</v>
      </c>
      <c r="O1018" s="440">
        <f t="shared" si="436"/>
        <v>3.5784259009283703</v>
      </c>
    </row>
    <row r="1019" spans="1:15" s="351" customFormat="1" x14ac:dyDescent="0.2">
      <c r="A1019" s="362" t="str">
        <f>name!E$11</f>
        <v>Process, plant and machine operatives</v>
      </c>
      <c r="B1019" s="440">
        <v>1.400191291066214</v>
      </c>
      <c r="C1019" s="440">
        <v>0.28750065125096091</v>
      </c>
      <c r="D1019" s="440">
        <v>4.0132838787023971E-2</v>
      </c>
      <c r="E1019" s="440">
        <f t="shared" si="434"/>
        <v>1.7278247811041989</v>
      </c>
      <c r="F1019" s="441"/>
      <c r="G1019" s="440">
        <v>0.61748234885470654</v>
      </c>
      <c r="H1019" s="440">
        <v>0.34441902018905013</v>
      </c>
      <c r="I1019" s="440">
        <v>4.2587240048404397E-2</v>
      </c>
      <c r="J1019" s="440">
        <f t="shared" si="437"/>
        <v>1.004488609092161</v>
      </c>
      <c r="K1019" s="441"/>
      <c r="L1019" s="440">
        <v>0.59332810934271307</v>
      </c>
      <c r="M1019" s="440">
        <v>0.3307505811304195</v>
      </c>
      <c r="N1019" s="440">
        <v>2.2028258634803854E-2</v>
      </c>
      <c r="O1019" s="440">
        <f t="shared" si="436"/>
        <v>0.94610694910793647</v>
      </c>
    </row>
    <row r="1020" spans="1:15" s="351" customFormat="1" x14ac:dyDescent="0.2">
      <c r="A1020" s="362" t="str">
        <f>name!E$12</f>
        <v>Elementary occupations</v>
      </c>
      <c r="B1020" s="440">
        <v>9.0427651495958763</v>
      </c>
      <c r="C1020" s="440">
        <v>2.9931330449595626</v>
      </c>
      <c r="D1020" s="440">
        <v>0.47984962513695467</v>
      </c>
      <c r="E1020" s="440">
        <f t="shared" si="434"/>
        <v>12.515747819692395</v>
      </c>
      <c r="F1020" s="441"/>
      <c r="G1020" s="440">
        <v>5.7613653000926508</v>
      </c>
      <c r="H1020" s="440">
        <v>2.6706757845428912</v>
      </c>
      <c r="I1020" s="440">
        <v>0.7020135747215478</v>
      </c>
      <c r="J1020" s="440">
        <f t="shared" si="437"/>
        <v>9.1340546593570906</v>
      </c>
      <c r="K1020" s="441"/>
      <c r="L1020" s="440">
        <v>6.0813168590112596</v>
      </c>
      <c r="M1020" s="440">
        <v>2.7616837036899047</v>
      </c>
      <c r="N1020" s="440">
        <v>0.55697510050315358</v>
      </c>
      <c r="O1020" s="440">
        <f t="shared" si="436"/>
        <v>9.3999756632043177</v>
      </c>
    </row>
    <row r="1021" spans="1:15" s="351" customFormat="1" x14ac:dyDescent="0.2">
      <c r="A1021" s="362"/>
      <c r="B1021" s="440"/>
      <c r="C1021" s="440"/>
      <c r="D1021" s="440"/>
      <c r="E1021" s="440"/>
      <c r="F1021" s="441"/>
      <c r="G1021" s="440"/>
      <c r="H1021" s="440"/>
      <c r="I1021" s="440"/>
      <c r="J1021" s="440"/>
      <c r="K1021" s="441"/>
      <c r="L1021" s="440"/>
      <c r="M1021" s="440"/>
      <c r="N1021" s="440"/>
      <c r="O1021" s="440"/>
    </row>
    <row r="1022" spans="1:15" s="351" customFormat="1" x14ac:dyDescent="0.2">
      <c r="A1022" s="357" t="s">
        <v>32</v>
      </c>
      <c r="B1022" s="450">
        <f>SUM(B1012:B1020)</f>
        <v>23.724999999903133</v>
      </c>
      <c r="C1022" s="450">
        <f t="shared" ref="C1022:E1022" si="438">SUM(C1012:C1020)</f>
        <v>6.9909999999925851</v>
      </c>
      <c r="D1022" s="450">
        <f t="shared" si="438"/>
        <v>1.7189999999883858</v>
      </c>
      <c r="E1022" s="450">
        <f t="shared" si="438"/>
        <v>32.434999999884113</v>
      </c>
      <c r="F1022" s="450"/>
      <c r="G1022" s="450">
        <f t="shared" ref="G1022:J1022" si="439">SUM(G1012:G1020)</f>
        <v>18.947000000057713</v>
      </c>
      <c r="H1022" s="450">
        <f t="shared" si="439"/>
        <v>6.7000000000279103</v>
      </c>
      <c r="I1022" s="450">
        <f t="shared" si="439"/>
        <v>4.2949999999666435</v>
      </c>
      <c r="J1022" s="450">
        <f t="shared" si="439"/>
        <v>29.942000000052264</v>
      </c>
      <c r="K1022" s="450"/>
      <c r="L1022" s="450">
        <f t="shared" ref="L1022:O1022" si="440">SUM(L1012:L1020)</f>
        <v>20.466999999916137</v>
      </c>
      <c r="M1022" s="450">
        <f t="shared" si="440"/>
        <v>7.203999999961443</v>
      </c>
      <c r="N1022" s="450">
        <f t="shared" si="440"/>
        <v>4.1319999999984152</v>
      </c>
      <c r="O1022" s="450">
        <f t="shared" si="440"/>
        <v>31.802999999875993</v>
      </c>
    </row>
    <row r="1023" spans="1:15" s="351" customFormat="1" x14ac:dyDescent="0.2">
      <c r="A1023" s="348"/>
      <c r="B1023" s="348"/>
      <c r="C1023" s="348"/>
      <c r="D1023" s="348"/>
      <c r="E1023" s="348"/>
      <c r="F1023" s="348"/>
      <c r="G1023" s="348"/>
      <c r="H1023" s="348"/>
      <c r="I1023" s="348"/>
      <c r="J1023" s="348"/>
      <c r="K1023" s="348"/>
      <c r="L1023" s="348"/>
      <c r="M1023" s="348"/>
      <c r="N1023" s="353"/>
    </row>
    <row r="1024" spans="1:15" s="351" customFormat="1" x14ac:dyDescent="0.2">
      <c r="A1024" s="348"/>
      <c r="B1024" s="348"/>
      <c r="C1024" s="348"/>
      <c r="D1024" s="348"/>
      <c r="E1024" s="348"/>
      <c r="F1024" s="348"/>
      <c r="G1024" s="348"/>
      <c r="H1024" s="348"/>
      <c r="I1024" s="348"/>
      <c r="J1024" s="348"/>
      <c r="K1024" s="348"/>
      <c r="L1024" s="348"/>
      <c r="M1024" s="348"/>
      <c r="N1024" s="353"/>
      <c r="O1024" s="367" t="s">
        <v>35</v>
      </c>
    </row>
    <row r="1025" spans="1:15" s="351" customFormat="1" x14ac:dyDescent="0.2">
      <c r="A1025" s="355"/>
      <c r="B1025" s="355"/>
      <c r="C1025" s="355"/>
      <c r="D1025" s="355"/>
      <c r="E1025" s="355"/>
      <c r="F1025" s="355"/>
      <c r="G1025" s="355"/>
      <c r="H1025" s="355"/>
      <c r="I1025" s="355"/>
      <c r="J1025" s="355"/>
      <c r="K1025" s="355"/>
      <c r="L1025" s="355"/>
      <c r="M1025" s="355"/>
      <c r="N1025" s="355"/>
      <c r="O1025" s="355"/>
    </row>
    <row r="1026" spans="1:15" s="351" customFormat="1" x14ac:dyDescent="0.2">
      <c r="A1026" s="354" t="str">
        <f>name!A63</f>
        <v>Travel, etc</v>
      </c>
      <c r="B1026" s="519">
        <f>$B$6</f>
        <v>2007</v>
      </c>
      <c r="C1026" s="519"/>
      <c r="D1026" s="519"/>
      <c r="E1026" s="519"/>
      <c r="F1026" s="380"/>
      <c r="G1026" s="519">
        <f>$G$6</f>
        <v>2017</v>
      </c>
      <c r="H1026" s="519"/>
      <c r="I1026" s="519"/>
      <c r="J1026" s="519"/>
      <c r="K1026" s="380"/>
      <c r="L1026" s="519">
        <f>$L$6</f>
        <v>2027</v>
      </c>
      <c r="M1026" s="519"/>
      <c r="N1026" s="519"/>
      <c r="O1026" s="519"/>
    </row>
    <row r="1027" spans="1:15" s="351" customFormat="1" x14ac:dyDescent="0.2">
      <c r="A1027" s="370"/>
      <c r="B1027" s="388" t="str">
        <f>$B$7</f>
        <v>FT</v>
      </c>
      <c r="C1027" s="388" t="str">
        <f>$C$7</f>
        <v>PT</v>
      </c>
      <c r="D1027" s="388" t="str">
        <f>$D$7</f>
        <v>SE</v>
      </c>
      <c r="E1027" s="388" t="str">
        <f>$E$7</f>
        <v>Total</v>
      </c>
      <c r="F1027" s="388"/>
      <c r="G1027" s="388" t="str">
        <f>$G$7</f>
        <v>FT</v>
      </c>
      <c r="H1027" s="388" t="str">
        <f>$H$7</f>
        <v>PT</v>
      </c>
      <c r="I1027" s="388" t="str">
        <f>$I$7</f>
        <v>SE</v>
      </c>
      <c r="J1027" s="388" t="str">
        <f>$J$7</f>
        <v>Total</v>
      </c>
      <c r="K1027" s="388"/>
      <c r="L1027" s="388" t="str">
        <f>$L$7</f>
        <v>FT</v>
      </c>
      <c r="M1027" s="388" t="str">
        <f>$M$7</f>
        <v>PT</v>
      </c>
      <c r="N1027" s="388" t="str">
        <f>$N$7</f>
        <v>SE</v>
      </c>
      <c r="O1027" s="388" t="str">
        <f>$O$7</f>
        <v>Total</v>
      </c>
    </row>
    <row r="1028" spans="1:15" s="351" customFormat="1" x14ac:dyDescent="0.2">
      <c r="A1028" s="374"/>
      <c r="B1028" s="350"/>
      <c r="C1028" s="350"/>
      <c r="D1028" s="350"/>
      <c r="E1028" s="350"/>
      <c r="F1028" s="350"/>
      <c r="G1028" s="350"/>
      <c r="H1028" s="350"/>
      <c r="I1028" s="350"/>
      <c r="J1028" s="350"/>
      <c r="K1028" s="350"/>
      <c r="L1028" s="350"/>
      <c r="M1028" s="350"/>
      <c r="N1028" s="350"/>
      <c r="O1028" s="350"/>
    </row>
    <row r="1029" spans="1:15" s="351" customFormat="1" x14ac:dyDescent="0.2">
      <c r="A1029" s="362" t="str">
        <f>name!E$4</f>
        <v>Managers, directors and senior officials</v>
      </c>
      <c r="B1029" s="440">
        <v>0.22751473371738823</v>
      </c>
      <c r="C1029" s="440">
        <v>3.0419818534750107E-2</v>
      </c>
      <c r="D1029" s="440">
        <v>3.0553567921255277E-2</v>
      </c>
      <c r="E1029" s="440">
        <f>SUM(B1029:D1029)</f>
        <v>0.28848812017339365</v>
      </c>
      <c r="F1029" s="441"/>
      <c r="G1029" s="440">
        <v>0.17708983120693364</v>
      </c>
      <c r="H1029" s="440">
        <v>2.9590933523428026E-2</v>
      </c>
      <c r="I1029" s="440">
        <v>7.9160154926173773E-2</v>
      </c>
      <c r="J1029" s="440">
        <f>SUM(G1029:I1029)</f>
        <v>0.28584091965653546</v>
      </c>
      <c r="K1029" s="441"/>
      <c r="L1029" s="440">
        <v>0.22328902255903194</v>
      </c>
      <c r="M1029" s="440">
        <v>3.647258605959855E-2</v>
      </c>
      <c r="N1029" s="440">
        <v>8.8768075271117533E-2</v>
      </c>
      <c r="O1029" s="440">
        <f>SUM(L1029:N1029)</f>
        <v>0.34852968388974803</v>
      </c>
    </row>
    <row r="1030" spans="1:15" s="351" customFormat="1" x14ac:dyDescent="0.2">
      <c r="A1030" s="362" t="str">
        <f>name!E$5</f>
        <v>Professional occupations</v>
      </c>
      <c r="B1030" s="440">
        <v>0.14082672057370799</v>
      </c>
      <c r="C1030" s="440">
        <v>1.6626454670885572E-2</v>
      </c>
      <c r="D1030" s="440">
        <v>4.4362549460806797E-3</v>
      </c>
      <c r="E1030" s="440">
        <f t="shared" ref="E1030:E1037" si="441">SUM(B1030:D1030)</f>
        <v>0.16188943019067425</v>
      </c>
      <c r="F1030" s="441"/>
      <c r="G1030" s="440">
        <v>9.8379649624961221E-2</v>
      </c>
      <c r="H1030" s="440">
        <v>1.5714859493592245E-2</v>
      </c>
      <c r="I1030" s="440">
        <v>1.2622192787371833E-2</v>
      </c>
      <c r="J1030" s="440">
        <f t="shared" ref="J1030:J1032" si="442">SUM(G1030:I1030)</f>
        <v>0.12671670190592529</v>
      </c>
      <c r="K1030" s="441"/>
      <c r="L1030" s="440">
        <v>0.12312900743440329</v>
      </c>
      <c r="M1030" s="440">
        <v>1.9473264493646107E-2</v>
      </c>
      <c r="N1030" s="440">
        <v>1.303275849809598E-2</v>
      </c>
      <c r="O1030" s="440">
        <f t="shared" ref="O1030:O1037" si="443">SUM(L1030:N1030)</f>
        <v>0.15563503042614538</v>
      </c>
    </row>
    <row r="1031" spans="1:15" s="351" customFormat="1" x14ac:dyDescent="0.2">
      <c r="A1031" s="362" t="str">
        <f>name!E$6</f>
        <v>Associate professional and technical</v>
      </c>
      <c r="B1031" s="440">
        <v>0.24353717843678613</v>
      </c>
      <c r="C1031" s="440">
        <v>2.7220496143102162E-2</v>
      </c>
      <c r="D1031" s="440">
        <v>7.0477754781942074E-3</v>
      </c>
      <c r="E1031" s="440">
        <f t="shared" si="441"/>
        <v>0.27780545005808249</v>
      </c>
      <c r="F1031" s="441"/>
      <c r="G1031" s="440">
        <v>0.11805183919382929</v>
      </c>
      <c r="H1031" s="440">
        <v>2.3041482323221292E-2</v>
      </c>
      <c r="I1031" s="440">
        <v>1.7628953155347789E-2</v>
      </c>
      <c r="J1031" s="440">
        <f t="shared" si="442"/>
        <v>0.15872227467239838</v>
      </c>
      <c r="K1031" s="441"/>
      <c r="L1031" s="440">
        <v>0.13886391536879228</v>
      </c>
      <c r="M1031" s="440">
        <v>2.7069380258906997E-2</v>
      </c>
      <c r="N1031" s="440">
        <v>1.7862364604670115E-2</v>
      </c>
      <c r="O1031" s="440">
        <f t="shared" si="443"/>
        <v>0.18379566023236937</v>
      </c>
    </row>
    <row r="1032" spans="1:15" s="351" customFormat="1" x14ac:dyDescent="0.2">
      <c r="A1032" s="362" t="str">
        <f>name!E$7</f>
        <v>Administrative and secretarial</v>
      </c>
      <c r="B1032" s="440">
        <v>0.39640580202742709</v>
      </c>
      <c r="C1032" s="440">
        <v>0.13435972864793089</v>
      </c>
      <c r="D1032" s="440">
        <v>6.0238078979836006E-3</v>
      </c>
      <c r="E1032" s="440">
        <f t="shared" si="441"/>
        <v>0.53678933857334166</v>
      </c>
      <c r="F1032" s="441"/>
      <c r="G1032" s="440">
        <v>0.28688628389786125</v>
      </c>
      <c r="H1032" s="440">
        <v>0.10635238889443061</v>
      </c>
      <c r="I1032" s="440">
        <v>1.6125488835096308E-2</v>
      </c>
      <c r="J1032" s="440">
        <f t="shared" si="442"/>
        <v>0.40936416162738815</v>
      </c>
      <c r="K1032" s="441"/>
      <c r="L1032" s="440">
        <v>0.27636055103469248</v>
      </c>
      <c r="M1032" s="440">
        <v>0.10307545835131121</v>
      </c>
      <c r="N1032" s="440">
        <v>1.490691019144722E-2</v>
      </c>
      <c r="O1032" s="440">
        <f t="shared" si="443"/>
        <v>0.39434291957745093</v>
      </c>
    </row>
    <row r="1033" spans="1:15" s="351" customFormat="1" x14ac:dyDescent="0.2">
      <c r="A1033" s="362" t="str">
        <f>name!E$8</f>
        <v>Skilled trades occupations</v>
      </c>
      <c r="B1033" s="440">
        <v>9.3290853802205961E-2</v>
      </c>
      <c r="C1033" s="440">
        <v>1.6423555730909398E-2</v>
      </c>
      <c r="D1033" s="440">
        <v>5.7052356806068742E-3</v>
      </c>
      <c r="E1033" s="440">
        <f t="shared" si="441"/>
        <v>0.11541964521372224</v>
      </c>
      <c r="F1033" s="441"/>
      <c r="G1033" s="440">
        <v>3.7144334786034051E-2</v>
      </c>
      <c r="H1033" s="440">
        <v>1.3221040384372933E-2</v>
      </c>
      <c r="I1033" s="440">
        <v>9.5976653005492314E-3</v>
      </c>
      <c r="J1033" s="440">
        <f>SUM(G1033:I1033)</f>
        <v>5.9963040470956214E-2</v>
      </c>
      <c r="K1033" s="441"/>
      <c r="L1033" s="440">
        <v>3.9363675346770544E-2</v>
      </c>
      <c r="M1033" s="440">
        <v>1.4336869857872627E-2</v>
      </c>
      <c r="N1033" s="440">
        <v>1.0211877953297303E-2</v>
      </c>
      <c r="O1033" s="440">
        <f t="shared" si="443"/>
        <v>6.3912423157940476E-2</v>
      </c>
    </row>
    <row r="1034" spans="1:15" s="351" customFormat="1" x14ac:dyDescent="0.2">
      <c r="A1034" s="362" t="str">
        <f>name!E$9</f>
        <v>Caring, leisure and other service</v>
      </c>
      <c r="B1034" s="440">
        <v>0.28031548099981307</v>
      </c>
      <c r="C1034" s="440">
        <v>0.14294640982824261</v>
      </c>
      <c r="D1034" s="440">
        <v>7.2021693579329554E-2</v>
      </c>
      <c r="E1034" s="440">
        <f t="shared" si="441"/>
        <v>0.49528358440738518</v>
      </c>
      <c r="F1034" s="441"/>
      <c r="G1034" s="440">
        <v>0.19071965823845644</v>
      </c>
      <c r="H1034" s="440">
        <v>0.12340861947729845</v>
      </c>
      <c r="I1034" s="440">
        <v>0.16309470043122026</v>
      </c>
      <c r="J1034" s="440">
        <f t="shared" ref="J1034:J1037" si="444">SUM(G1034:I1034)</f>
        <v>0.47722297814697517</v>
      </c>
      <c r="K1034" s="441"/>
      <c r="L1034" s="440">
        <v>0.18617064915396658</v>
      </c>
      <c r="M1034" s="440">
        <v>0.13418477278269991</v>
      </c>
      <c r="N1034" s="440">
        <v>0.1568685223901489</v>
      </c>
      <c r="O1034" s="440">
        <f t="shared" si="443"/>
        <v>0.47722394432681536</v>
      </c>
    </row>
    <row r="1035" spans="1:15" s="351" customFormat="1" x14ac:dyDescent="0.2">
      <c r="A1035" s="362" t="str">
        <f>name!E$10</f>
        <v>Sales and customer service</v>
      </c>
      <c r="B1035" s="440">
        <v>0.13837999180431135</v>
      </c>
      <c r="C1035" s="440">
        <v>4.5194960956164591E-2</v>
      </c>
      <c r="D1035" s="440">
        <v>3.9180444092568253E-3</v>
      </c>
      <c r="E1035" s="440">
        <f t="shared" si="441"/>
        <v>0.18749299716973278</v>
      </c>
      <c r="F1035" s="441"/>
      <c r="G1035" s="440">
        <v>0.14729412696525337</v>
      </c>
      <c r="H1035" s="440">
        <v>3.2468844897190124E-2</v>
      </c>
      <c r="I1035" s="440">
        <v>9.4987877474803292E-3</v>
      </c>
      <c r="J1035" s="440">
        <f t="shared" si="444"/>
        <v>0.18926175960992384</v>
      </c>
      <c r="K1035" s="441"/>
      <c r="L1035" s="440">
        <v>0.15655248834725005</v>
      </c>
      <c r="M1035" s="440">
        <v>3.5437136228122078E-2</v>
      </c>
      <c r="N1035" s="440">
        <v>9.4804487848156472E-3</v>
      </c>
      <c r="O1035" s="440">
        <f t="shared" si="443"/>
        <v>0.2014700733601878</v>
      </c>
    </row>
    <row r="1036" spans="1:15" s="351" customFormat="1" x14ac:dyDescent="0.2">
      <c r="A1036" s="362" t="str">
        <f>name!E$11</f>
        <v>Process, plant and machine operatives</v>
      </c>
      <c r="B1036" s="440">
        <v>0.42232145818829608</v>
      </c>
      <c r="C1036" s="440">
        <v>0.10103830778172786</v>
      </c>
      <c r="D1036" s="440">
        <v>1.955381932842086E-2</v>
      </c>
      <c r="E1036" s="440">
        <f t="shared" si="441"/>
        <v>0.5429135852984448</v>
      </c>
      <c r="F1036" s="441"/>
      <c r="G1036" s="440">
        <v>0.20312501616064094</v>
      </c>
      <c r="H1036" s="440">
        <v>9.1010760694516232E-2</v>
      </c>
      <c r="I1036" s="440">
        <v>2.2359423830262841E-2</v>
      </c>
      <c r="J1036" s="440">
        <f t="shared" si="444"/>
        <v>0.31649520068542003</v>
      </c>
      <c r="K1036" s="441"/>
      <c r="L1036" s="440">
        <v>0.2117369914822185</v>
      </c>
      <c r="M1036" s="440">
        <v>9.368858987064109E-2</v>
      </c>
      <c r="N1036" s="440">
        <v>1.7394749802713039E-2</v>
      </c>
      <c r="O1036" s="440">
        <f t="shared" si="443"/>
        <v>0.32282033115557263</v>
      </c>
    </row>
    <row r="1037" spans="1:15" s="351" customFormat="1" x14ac:dyDescent="0.2">
      <c r="A1037" s="362" t="str">
        <f>name!E$12</f>
        <v>Elementary occupations</v>
      </c>
      <c r="B1037" s="440">
        <v>0.70640778043568797</v>
      </c>
      <c r="C1037" s="440">
        <v>0.16977026770538758</v>
      </c>
      <c r="D1037" s="440">
        <v>4.7398007599964856E-3</v>
      </c>
      <c r="E1037" s="440">
        <f t="shared" si="441"/>
        <v>0.88091784890107205</v>
      </c>
      <c r="F1037" s="441"/>
      <c r="G1037" s="440">
        <v>0.60130925992835516</v>
      </c>
      <c r="H1037" s="440">
        <v>0.1291910703180737</v>
      </c>
      <c r="I1037" s="440">
        <v>1.0912632990903141E-2</v>
      </c>
      <c r="J1037" s="440">
        <f t="shared" si="444"/>
        <v>0.74141296323733197</v>
      </c>
      <c r="K1037" s="441"/>
      <c r="L1037" s="440">
        <v>0.6545336992593157</v>
      </c>
      <c r="M1037" s="440">
        <v>0.14326194209524221</v>
      </c>
      <c r="N1037" s="440">
        <v>9.4742925061075834E-3</v>
      </c>
      <c r="O1037" s="440">
        <f t="shared" si="443"/>
        <v>0.80726993386066548</v>
      </c>
    </row>
    <row r="1038" spans="1:15" s="351" customFormat="1" x14ac:dyDescent="0.2">
      <c r="A1038" s="362"/>
      <c r="B1038" s="440"/>
      <c r="C1038" s="440"/>
      <c r="D1038" s="440"/>
      <c r="E1038" s="440"/>
      <c r="F1038" s="441"/>
      <c r="G1038" s="440"/>
      <c r="H1038" s="440"/>
      <c r="I1038" s="440"/>
      <c r="J1038" s="440"/>
      <c r="K1038" s="441"/>
      <c r="L1038" s="440"/>
      <c r="M1038" s="440"/>
      <c r="N1038" s="440"/>
      <c r="O1038" s="440"/>
    </row>
    <row r="1039" spans="1:15" s="351" customFormat="1" x14ac:dyDescent="0.2">
      <c r="A1039" s="357" t="s">
        <v>32</v>
      </c>
      <c r="B1039" s="450">
        <f>SUM(B1029:B1037)</f>
        <v>2.648999999985624</v>
      </c>
      <c r="C1039" s="450">
        <f t="shared" ref="C1039:E1039" si="445">SUM(C1029:C1037)</f>
        <v>0.68399999999910077</v>
      </c>
      <c r="D1039" s="450">
        <f t="shared" si="445"/>
        <v>0.15400000000112438</v>
      </c>
      <c r="E1039" s="450">
        <f t="shared" si="445"/>
        <v>3.4869999999858488</v>
      </c>
      <c r="F1039" s="450"/>
      <c r="G1039" s="450">
        <f t="shared" ref="G1039:J1039" si="446">SUM(G1029:G1037)</f>
        <v>1.8600000000023253</v>
      </c>
      <c r="H1039" s="450">
        <f t="shared" si="446"/>
        <v>0.5640000000061236</v>
      </c>
      <c r="I1039" s="450">
        <f t="shared" si="446"/>
        <v>0.3410000000044055</v>
      </c>
      <c r="J1039" s="450">
        <f t="shared" si="446"/>
        <v>2.7650000000128543</v>
      </c>
      <c r="K1039" s="450"/>
      <c r="L1039" s="450">
        <f t="shared" ref="L1039:O1039" si="447">SUM(L1029:L1037)</f>
        <v>2.0099999999864413</v>
      </c>
      <c r="M1039" s="450">
        <f t="shared" si="447"/>
        <v>0.60699999999804077</v>
      </c>
      <c r="N1039" s="450">
        <f t="shared" si="447"/>
        <v>0.33800000000241331</v>
      </c>
      <c r="O1039" s="450">
        <f t="shared" si="447"/>
        <v>2.9549999999868954</v>
      </c>
    </row>
    <row r="1040" spans="1:15" s="351" customFormat="1" x14ac:dyDescent="0.2">
      <c r="A1040" s="348"/>
      <c r="B1040" s="348"/>
      <c r="C1040" s="348"/>
      <c r="D1040" s="348"/>
      <c r="E1040" s="348"/>
      <c r="F1040" s="348"/>
      <c r="G1040" s="348"/>
      <c r="H1040" s="348"/>
      <c r="I1040" s="348"/>
      <c r="J1040" s="348"/>
      <c r="K1040" s="348"/>
      <c r="L1040" s="348"/>
      <c r="M1040" s="348"/>
      <c r="N1040" s="353"/>
    </row>
    <row r="1041" spans="1:15" s="351" customFormat="1" x14ac:dyDescent="0.2">
      <c r="A1041" s="348"/>
      <c r="B1041" s="348"/>
      <c r="C1041" s="348"/>
      <c r="D1041" s="348"/>
      <c r="E1041" s="348"/>
      <c r="F1041" s="348"/>
      <c r="G1041" s="348"/>
      <c r="H1041" s="348"/>
      <c r="I1041" s="348"/>
      <c r="J1041" s="348"/>
      <c r="K1041" s="348"/>
      <c r="L1041" s="348"/>
      <c r="M1041" s="348"/>
      <c r="N1041" s="353"/>
      <c r="O1041" s="367" t="s">
        <v>35</v>
      </c>
    </row>
    <row r="1042" spans="1:15" s="351" customFormat="1" x14ac:dyDescent="0.2">
      <c r="A1042" s="355"/>
      <c r="B1042" s="355"/>
      <c r="C1042" s="355"/>
      <c r="D1042" s="355"/>
      <c r="E1042" s="355"/>
      <c r="F1042" s="355"/>
      <c r="G1042" s="355"/>
      <c r="H1042" s="355"/>
      <c r="I1042" s="355"/>
      <c r="J1042" s="355"/>
      <c r="K1042" s="355"/>
      <c r="L1042" s="355"/>
      <c r="M1042" s="355"/>
      <c r="N1042" s="355"/>
      <c r="O1042" s="355"/>
    </row>
    <row r="1043" spans="1:15" s="351" customFormat="1" x14ac:dyDescent="0.2">
      <c r="A1043" s="354" t="str">
        <f>name!A64</f>
        <v>Security, etc</v>
      </c>
      <c r="B1043" s="519">
        <f>$B$6</f>
        <v>2007</v>
      </c>
      <c r="C1043" s="519"/>
      <c r="D1043" s="519"/>
      <c r="E1043" s="519"/>
      <c r="F1043" s="380"/>
      <c r="G1043" s="519">
        <f>$G$6</f>
        <v>2017</v>
      </c>
      <c r="H1043" s="519"/>
      <c r="I1043" s="519"/>
      <c r="J1043" s="519"/>
      <c r="K1043" s="380"/>
      <c r="L1043" s="519">
        <f>$L$6</f>
        <v>2027</v>
      </c>
      <c r="M1043" s="519"/>
      <c r="N1043" s="519"/>
      <c r="O1043" s="519"/>
    </row>
    <row r="1044" spans="1:15" s="351" customFormat="1" x14ac:dyDescent="0.2">
      <c r="A1044" s="370"/>
      <c r="B1044" s="388" t="str">
        <f>$B$7</f>
        <v>FT</v>
      </c>
      <c r="C1044" s="388" t="str">
        <f>$C$7</f>
        <v>PT</v>
      </c>
      <c r="D1044" s="388" t="str">
        <f>$D$7</f>
        <v>SE</v>
      </c>
      <c r="E1044" s="388" t="str">
        <f>$E$7</f>
        <v>Total</v>
      </c>
      <c r="F1044" s="388"/>
      <c r="G1044" s="388" t="str">
        <f>$G$7</f>
        <v>FT</v>
      </c>
      <c r="H1044" s="388" t="str">
        <f>$H$7</f>
        <v>PT</v>
      </c>
      <c r="I1044" s="388" t="str">
        <f>$I$7</f>
        <v>SE</v>
      </c>
      <c r="J1044" s="388" t="str">
        <f>$J$7</f>
        <v>Total</v>
      </c>
      <c r="K1044" s="388"/>
      <c r="L1044" s="388" t="str">
        <f>$L$7</f>
        <v>FT</v>
      </c>
      <c r="M1044" s="388" t="str">
        <f>$M$7</f>
        <v>PT</v>
      </c>
      <c r="N1044" s="388" t="str">
        <f>$N$7</f>
        <v>SE</v>
      </c>
      <c r="O1044" s="388" t="str">
        <f>$O$7</f>
        <v>Total</v>
      </c>
    </row>
    <row r="1045" spans="1:15" s="351" customFormat="1" x14ac:dyDescent="0.2">
      <c r="A1045" s="374"/>
      <c r="B1045" s="350"/>
      <c r="C1045" s="350"/>
      <c r="D1045" s="350"/>
      <c r="E1045" s="350"/>
      <c r="F1045" s="350"/>
      <c r="G1045" s="350"/>
      <c r="H1045" s="350"/>
      <c r="I1045" s="350"/>
      <c r="J1045" s="350"/>
      <c r="K1045" s="350"/>
      <c r="L1045" s="350"/>
      <c r="M1045" s="350"/>
      <c r="N1045" s="350"/>
      <c r="O1045" s="350"/>
    </row>
    <row r="1046" spans="1:15" s="351" customFormat="1" x14ac:dyDescent="0.2">
      <c r="A1046" s="362" t="str">
        <f>name!E$4</f>
        <v>Managers, directors and senior officials</v>
      </c>
      <c r="B1046" s="440">
        <v>0.24704879420444831</v>
      </c>
      <c r="C1046" s="440">
        <v>1.6135248777329459E-2</v>
      </c>
      <c r="D1046" s="440">
        <v>6.4336660725034592E-2</v>
      </c>
      <c r="E1046" s="440">
        <f>SUM(B1046:D1046)</f>
        <v>0.32752070370681236</v>
      </c>
      <c r="F1046" s="441"/>
      <c r="G1046" s="440">
        <v>0.21805432223475679</v>
      </c>
      <c r="H1046" s="440">
        <v>4.3433897817352317E-2</v>
      </c>
      <c r="I1046" s="440">
        <v>0.21075937736496195</v>
      </c>
      <c r="J1046" s="440">
        <f>SUM(G1046:I1046)</f>
        <v>0.47224759741707101</v>
      </c>
      <c r="K1046" s="441"/>
      <c r="L1046" s="440">
        <v>0.26003143852104926</v>
      </c>
      <c r="M1046" s="440">
        <v>5.503929361671598E-2</v>
      </c>
      <c r="N1046" s="440">
        <v>0.22614234141945752</v>
      </c>
      <c r="O1046" s="440">
        <f>SUM(L1046:N1046)</f>
        <v>0.54121307355722281</v>
      </c>
    </row>
    <row r="1047" spans="1:15" s="351" customFormat="1" x14ac:dyDescent="0.2">
      <c r="A1047" s="362" t="str">
        <f>name!E$5</f>
        <v>Professional occupations</v>
      </c>
      <c r="B1047" s="440">
        <v>0.23400425830087371</v>
      </c>
      <c r="C1047" s="440">
        <v>3.8441131076964362E-2</v>
      </c>
      <c r="D1047" s="440">
        <v>1.4256378750938232E-2</v>
      </c>
      <c r="E1047" s="440">
        <f t="shared" ref="E1047:E1054" si="448">SUM(B1047:D1047)</f>
        <v>0.28670176812877629</v>
      </c>
      <c r="F1047" s="441"/>
      <c r="G1047" s="440">
        <v>0.30989014286195493</v>
      </c>
      <c r="H1047" s="440">
        <v>5.36497771776593E-2</v>
      </c>
      <c r="I1047" s="440">
        <v>5.4369504682113684E-2</v>
      </c>
      <c r="J1047" s="440">
        <f t="shared" ref="J1047:J1049" si="449">SUM(G1047:I1047)</f>
        <v>0.41790942472172787</v>
      </c>
      <c r="K1047" s="441"/>
      <c r="L1047" s="440">
        <v>0.38799789166626386</v>
      </c>
      <c r="M1047" s="440">
        <v>6.6417511966143081E-2</v>
      </c>
      <c r="N1047" s="440">
        <v>5.3229408233312882E-2</v>
      </c>
      <c r="O1047" s="440">
        <f t="shared" ref="O1047:O1054" si="450">SUM(L1047:N1047)</f>
        <v>0.50764481186571986</v>
      </c>
    </row>
    <row r="1048" spans="1:15" s="351" customFormat="1" x14ac:dyDescent="0.2">
      <c r="A1048" s="362" t="str">
        <f>name!E$6</f>
        <v>Associate professional and technical</v>
      </c>
      <c r="B1048" s="440">
        <v>0.54595727051327414</v>
      </c>
      <c r="C1048" s="440">
        <v>4.7989342881569141E-2</v>
      </c>
      <c r="D1048" s="440">
        <v>6.5644823854220241E-2</v>
      </c>
      <c r="E1048" s="440">
        <f t="shared" si="448"/>
        <v>0.65959143724906344</v>
      </c>
      <c r="F1048" s="441"/>
      <c r="G1048" s="440">
        <v>0.44054752857645668</v>
      </c>
      <c r="H1048" s="440">
        <v>6.0109851383357775E-2</v>
      </c>
      <c r="I1048" s="440">
        <v>0.25827989973797888</v>
      </c>
      <c r="J1048" s="440">
        <f t="shared" si="449"/>
        <v>0.75893727969779334</v>
      </c>
      <c r="K1048" s="441"/>
      <c r="L1048" s="440">
        <v>0.4847502663285258</v>
      </c>
      <c r="M1048" s="440">
        <v>7.4250089032195515E-2</v>
      </c>
      <c r="N1048" s="440">
        <v>0.25339010288133873</v>
      </c>
      <c r="O1048" s="440">
        <f t="shared" si="450"/>
        <v>0.81239045824206002</v>
      </c>
    </row>
    <row r="1049" spans="1:15" s="351" customFormat="1" x14ac:dyDescent="0.2">
      <c r="A1049" s="362" t="str">
        <f>name!E$7</f>
        <v>Administrative and secretarial</v>
      </c>
      <c r="B1049" s="440">
        <v>0.66726593340095974</v>
      </c>
      <c r="C1049" s="440">
        <v>0.1575930888154598</v>
      </c>
      <c r="D1049" s="440">
        <v>4.3303265062714074E-3</v>
      </c>
      <c r="E1049" s="440">
        <f t="shared" si="448"/>
        <v>0.82918934872269101</v>
      </c>
      <c r="F1049" s="441"/>
      <c r="G1049" s="440">
        <v>0.72713612451615406</v>
      </c>
      <c r="H1049" s="440">
        <v>9.9050442787470161E-2</v>
      </c>
      <c r="I1049" s="440">
        <v>9.6875785145637185E-3</v>
      </c>
      <c r="J1049" s="440">
        <f t="shared" si="449"/>
        <v>0.83587414581818786</v>
      </c>
      <c r="K1049" s="441"/>
      <c r="L1049" s="440">
        <v>0.68802240886974009</v>
      </c>
      <c r="M1049" s="440">
        <v>8.6714134735953033E-2</v>
      </c>
      <c r="N1049" s="440">
        <v>7.5831012623468726E-3</v>
      </c>
      <c r="O1049" s="440">
        <f t="shared" si="450"/>
        <v>0.78231964486803995</v>
      </c>
    </row>
    <row r="1050" spans="1:15" s="351" customFormat="1" x14ac:dyDescent="0.2">
      <c r="A1050" s="362" t="str">
        <f>name!E$8</f>
        <v>Skilled trades occupations</v>
      </c>
      <c r="B1050" s="440">
        <v>0.17317512412690847</v>
      </c>
      <c r="C1050" s="440">
        <v>1.2748674404084191E-2</v>
      </c>
      <c r="D1050" s="440">
        <v>4.4316978801630921E-2</v>
      </c>
      <c r="E1050" s="440">
        <f t="shared" si="448"/>
        <v>0.2302407773326236</v>
      </c>
      <c r="F1050" s="441"/>
      <c r="G1050" s="440">
        <v>7.6783904019917082E-2</v>
      </c>
      <c r="H1050" s="440">
        <v>2.0020109035012251E-2</v>
      </c>
      <c r="I1050" s="440">
        <v>0.15173468335335591</v>
      </c>
      <c r="J1050" s="440">
        <f>SUM(G1050:I1050)</f>
        <v>0.24853869640828524</v>
      </c>
      <c r="K1050" s="441"/>
      <c r="L1050" s="440">
        <v>7.0322105498676415E-2</v>
      </c>
      <c r="M1050" s="440">
        <v>2.3590643646544798E-2</v>
      </c>
      <c r="N1050" s="440">
        <v>0.13964211775545748</v>
      </c>
      <c r="O1050" s="440">
        <f t="shared" si="450"/>
        <v>0.2335548669006787</v>
      </c>
    </row>
    <row r="1051" spans="1:15" s="351" customFormat="1" x14ac:dyDescent="0.2">
      <c r="A1051" s="362" t="str">
        <f>name!E$9</f>
        <v>Caring, leisure and other service</v>
      </c>
      <c r="B1051" s="440">
        <v>0.17053058328675216</v>
      </c>
      <c r="C1051" s="440">
        <v>4.0659961902668275E-2</v>
      </c>
      <c r="D1051" s="440">
        <v>9.2625142923127742E-3</v>
      </c>
      <c r="E1051" s="440">
        <f t="shared" si="448"/>
        <v>0.22045305948173322</v>
      </c>
      <c r="F1051" s="441"/>
      <c r="G1051" s="440">
        <v>0.24547801983219464</v>
      </c>
      <c r="H1051" s="440">
        <v>7.5524583884069865E-2</v>
      </c>
      <c r="I1051" s="440">
        <v>5.3964679038325955E-2</v>
      </c>
      <c r="J1051" s="440">
        <f t="shared" ref="J1051:J1054" si="451">SUM(G1051:I1051)</f>
        <v>0.37496728275459046</v>
      </c>
      <c r="K1051" s="441"/>
      <c r="L1051" s="440">
        <v>0.30559209297694495</v>
      </c>
      <c r="M1051" s="440">
        <v>9.3321951948504053E-2</v>
      </c>
      <c r="N1051" s="440">
        <v>4.672008679431032E-2</v>
      </c>
      <c r="O1051" s="440">
        <f t="shared" si="450"/>
        <v>0.44563413171975935</v>
      </c>
    </row>
    <row r="1052" spans="1:15" s="351" customFormat="1" x14ac:dyDescent="0.2">
      <c r="A1052" s="362" t="str">
        <f>name!E$10</f>
        <v>Sales and customer service</v>
      </c>
      <c r="B1052" s="440">
        <v>0.27517167791672953</v>
      </c>
      <c r="C1052" s="440">
        <v>7.834898623250873E-2</v>
      </c>
      <c r="D1052" s="440">
        <v>1.069309069809184E-2</v>
      </c>
      <c r="E1052" s="440">
        <f t="shared" si="448"/>
        <v>0.3642137548473301</v>
      </c>
      <c r="F1052" s="441"/>
      <c r="G1052" s="440">
        <v>0.52302979261374039</v>
      </c>
      <c r="H1052" s="440">
        <v>8.0862186816947401E-2</v>
      </c>
      <c r="I1052" s="440">
        <v>8.3727478850819381E-3</v>
      </c>
      <c r="J1052" s="440">
        <f t="shared" si="451"/>
        <v>0.61226472731576975</v>
      </c>
      <c r="K1052" s="441"/>
      <c r="L1052" s="440">
        <v>0.59544275766910326</v>
      </c>
      <c r="M1052" s="440">
        <v>8.6807505831855827E-2</v>
      </c>
      <c r="N1052" s="440">
        <v>5.9822945700561013E-3</v>
      </c>
      <c r="O1052" s="440">
        <f t="shared" si="450"/>
        <v>0.68823255807101513</v>
      </c>
    </row>
    <row r="1053" spans="1:15" s="351" customFormat="1" x14ac:dyDescent="0.2">
      <c r="A1053" s="362" t="str">
        <f>name!E$11</f>
        <v>Process, plant and machine operatives</v>
      </c>
      <c r="B1053" s="440">
        <v>0.26943168427070591</v>
      </c>
      <c r="C1053" s="440">
        <v>3.122499836091416E-2</v>
      </c>
      <c r="D1053" s="440">
        <v>1.1240523719226693E-2</v>
      </c>
      <c r="E1053" s="440">
        <f t="shared" si="448"/>
        <v>0.31189720635084672</v>
      </c>
      <c r="F1053" s="441"/>
      <c r="G1053" s="440">
        <v>0.13427248370502484</v>
      </c>
      <c r="H1053" s="440">
        <v>3.9453748935434907E-2</v>
      </c>
      <c r="I1053" s="440">
        <v>1.206100862928638E-2</v>
      </c>
      <c r="J1053" s="440">
        <f t="shared" si="451"/>
        <v>0.18578724126974613</v>
      </c>
      <c r="K1053" s="441"/>
      <c r="L1053" s="440">
        <v>0.13014080824873805</v>
      </c>
      <c r="M1053" s="440">
        <v>3.7352533077016276E-2</v>
      </c>
      <c r="N1053" s="440">
        <v>6.1097283129305131E-3</v>
      </c>
      <c r="O1053" s="440">
        <f t="shared" si="450"/>
        <v>0.17360306963868485</v>
      </c>
    </row>
    <row r="1054" spans="1:15" s="351" customFormat="1" x14ac:dyDescent="0.2">
      <c r="A1054" s="362" t="str">
        <f>name!E$12</f>
        <v>Elementary occupations</v>
      </c>
      <c r="B1054" s="440">
        <v>1.7394146739607719</v>
      </c>
      <c r="C1054" s="440">
        <v>0.34885856754692024</v>
      </c>
      <c r="D1054" s="440">
        <v>9.1918702650481729E-2</v>
      </c>
      <c r="E1054" s="440">
        <f t="shared" si="448"/>
        <v>2.1801919441581736</v>
      </c>
      <c r="F1054" s="441"/>
      <c r="G1054" s="440">
        <v>1.2698076816532016</v>
      </c>
      <c r="H1054" s="440">
        <v>0.32789540216603252</v>
      </c>
      <c r="I1054" s="440">
        <v>0.10477052078529286</v>
      </c>
      <c r="J1054" s="440">
        <f t="shared" si="451"/>
        <v>1.702473604604527</v>
      </c>
      <c r="K1054" s="441"/>
      <c r="L1054" s="440">
        <v>1.3467002302035476</v>
      </c>
      <c r="M1054" s="440">
        <v>0.334506336140588</v>
      </c>
      <c r="N1054" s="440">
        <v>7.8200818769316241E-2</v>
      </c>
      <c r="O1054" s="440">
        <f t="shared" si="450"/>
        <v>1.7594073851134517</v>
      </c>
    </row>
    <row r="1055" spans="1:15" s="351" customFormat="1" x14ac:dyDescent="0.2">
      <c r="A1055" s="362"/>
      <c r="B1055" s="440"/>
      <c r="C1055" s="440"/>
      <c r="D1055" s="440"/>
      <c r="E1055" s="440"/>
      <c r="F1055" s="441"/>
      <c r="G1055" s="440"/>
      <c r="H1055" s="440"/>
      <c r="I1055" s="440"/>
      <c r="J1055" s="440"/>
      <c r="K1055" s="441"/>
      <c r="L1055" s="440"/>
      <c r="M1055" s="440"/>
      <c r="N1055" s="440"/>
      <c r="O1055" s="440"/>
    </row>
    <row r="1056" spans="1:15" s="351" customFormat="1" x14ac:dyDescent="0.2">
      <c r="A1056" s="357" t="s">
        <v>32</v>
      </c>
      <c r="B1056" s="450">
        <f>SUM(B1046:B1054)</f>
        <v>4.3219999999814238</v>
      </c>
      <c r="C1056" s="450">
        <f t="shared" ref="C1056:E1056" si="452">SUM(C1046:C1054)</f>
        <v>0.7719999999984184</v>
      </c>
      <c r="D1056" s="450">
        <f t="shared" si="452"/>
        <v>0.31599999999820844</v>
      </c>
      <c r="E1056" s="450">
        <f t="shared" si="452"/>
        <v>5.4099999999780506</v>
      </c>
      <c r="F1056" s="450"/>
      <c r="G1056" s="450">
        <f t="shared" ref="G1056:J1056" si="453">SUM(G1046:G1054)</f>
        <v>3.9450000000134002</v>
      </c>
      <c r="H1056" s="450">
        <f t="shared" si="453"/>
        <v>0.80000000000333649</v>
      </c>
      <c r="I1056" s="450">
        <f t="shared" si="453"/>
        <v>0.86399999999096133</v>
      </c>
      <c r="J1056" s="450">
        <f t="shared" si="453"/>
        <v>5.6090000000076996</v>
      </c>
      <c r="K1056" s="450"/>
      <c r="L1056" s="450">
        <f t="shared" ref="L1056:O1056" si="454">SUM(L1046:L1054)</f>
        <v>4.2689999999825901</v>
      </c>
      <c r="M1056" s="450">
        <f t="shared" si="454"/>
        <v>0.85799999999551657</v>
      </c>
      <c r="N1056" s="450">
        <f t="shared" si="454"/>
        <v>0.81699999999852657</v>
      </c>
      <c r="O1056" s="450">
        <f t="shared" si="454"/>
        <v>5.943999999976632</v>
      </c>
    </row>
    <row r="1057" spans="1:15" s="351" customFormat="1" x14ac:dyDescent="0.2">
      <c r="A1057" s="348"/>
      <c r="B1057" s="348"/>
      <c r="C1057" s="348"/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348"/>
      <c r="N1057" s="353"/>
    </row>
    <row r="1058" spans="1:15" s="351" customFormat="1" x14ac:dyDescent="0.2">
      <c r="A1058" s="348"/>
      <c r="B1058" s="348"/>
      <c r="C1058" s="348"/>
      <c r="D1058" s="348"/>
      <c r="E1058" s="348"/>
      <c r="F1058" s="348"/>
      <c r="G1058" s="348"/>
      <c r="H1058" s="348"/>
      <c r="I1058" s="348"/>
      <c r="J1058" s="348"/>
      <c r="K1058" s="348"/>
      <c r="L1058" s="348"/>
      <c r="M1058" s="348"/>
      <c r="N1058" s="353"/>
      <c r="O1058" s="367" t="s">
        <v>35</v>
      </c>
    </row>
    <row r="1059" spans="1:15" s="351" customFormat="1" x14ac:dyDescent="0.2">
      <c r="A1059" s="355"/>
      <c r="B1059" s="355"/>
      <c r="C1059" s="355"/>
      <c r="D1059" s="355"/>
      <c r="E1059" s="355"/>
      <c r="F1059" s="355"/>
      <c r="G1059" s="355"/>
      <c r="H1059" s="355"/>
      <c r="I1059" s="355"/>
      <c r="J1059" s="355"/>
      <c r="K1059" s="355"/>
      <c r="L1059" s="355"/>
      <c r="M1059" s="355"/>
      <c r="N1059" s="355"/>
      <c r="O1059" s="355"/>
    </row>
    <row r="1060" spans="1:15" s="351" customFormat="1" x14ac:dyDescent="0.2">
      <c r="A1060" s="354" t="str">
        <f>name!A65</f>
        <v>Services to buildings</v>
      </c>
      <c r="B1060" s="519">
        <f>$B$6</f>
        <v>2007</v>
      </c>
      <c r="C1060" s="519"/>
      <c r="D1060" s="519"/>
      <c r="E1060" s="519"/>
      <c r="F1060" s="380"/>
      <c r="G1060" s="519">
        <f>$G$6</f>
        <v>2017</v>
      </c>
      <c r="H1060" s="519"/>
      <c r="I1060" s="519"/>
      <c r="J1060" s="519"/>
      <c r="K1060" s="380"/>
      <c r="L1060" s="519">
        <f>$L$6</f>
        <v>2027</v>
      </c>
      <c r="M1060" s="519"/>
      <c r="N1060" s="519"/>
      <c r="O1060" s="519"/>
    </row>
    <row r="1061" spans="1:15" s="351" customFormat="1" x14ac:dyDescent="0.2">
      <c r="A1061" s="370"/>
      <c r="B1061" s="388" t="str">
        <f>$B$7</f>
        <v>FT</v>
      </c>
      <c r="C1061" s="388" t="str">
        <f>$C$7</f>
        <v>PT</v>
      </c>
      <c r="D1061" s="388" t="str">
        <f>$D$7</f>
        <v>SE</v>
      </c>
      <c r="E1061" s="388" t="str">
        <f>$E$7</f>
        <v>Total</v>
      </c>
      <c r="F1061" s="388"/>
      <c r="G1061" s="388" t="str">
        <f>$G$7</f>
        <v>FT</v>
      </c>
      <c r="H1061" s="388" t="str">
        <f>$H$7</f>
        <v>PT</v>
      </c>
      <c r="I1061" s="388" t="str">
        <f>$I$7</f>
        <v>SE</v>
      </c>
      <c r="J1061" s="388" t="str">
        <f>$J$7</f>
        <v>Total</v>
      </c>
      <c r="K1061" s="388"/>
      <c r="L1061" s="388" t="str">
        <f>$L$7</f>
        <v>FT</v>
      </c>
      <c r="M1061" s="388" t="str">
        <f>$M$7</f>
        <v>PT</v>
      </c>
      <c r="N1061" s="388" t="str">
        <f>$N$7</f>
        <v>SE</v>
      </c>
      <c r="O1061" s="388" t="str">
        <f>$O$7</f>
        <v>Total</v>
      </c>
    </row>
    <row r="1062" spans="1:15" s="351" customFormat="1" x14ac:dyDescent="0.2">
      <c r="A1062" s="374"/>
      <c r="B1062" s="350"/>
      <c r="C1062" s="350"/>
      <c r="D1062" s="350"/>
      <c r="E1062" s="350"/>
      <c r="F1062" s="350"/>
      <c r="G1062" s="350"/>
      <c r="H1062" s="350"/>
      <c r="I1062" s="350"/>
      <c r="J1062" s="350"/>
      <c r="K1062" s="350"/>
      <c r="L1062" s="350"/>
      <c r="M1062" s="350"/>
      <c r="N1062" s="350"/>
      <c r="O1062" s="350"/>
    </row>
    <row r="1063" spans="1:15" s="351" customFormat="1" x14ac:dyDescent="0.2">
      <c r="A1063" s="362" t="str">
        <f>name!E$4</f>
        <v>Managers, directors and senior officials</v>
      </c>
      <c r="B1063" s="440">
        <v>0.50440660202096255</v>
      </c>
      <c r="C1063" s="440">
        <v>0.24394951629619624</v>
      </c>
      <c r="D1063" s="440">
        <v>0.26682365252672169</v>
      </c>
      <c r="E1063" s="440">
        <f>SUM(B1063:D1063)</f>
        <v>1.0151797708438806</v>
      </c>
      <c r="F1063" s="441"/>
      <c r="G1063" s="440">
        <v>0.51545774327410476</v>
      </c>
      <c r="H1063" s="440">
        <v>0.87542364934778971</v>
      </c>
      <c r="I1063" s="440">
        <v>0.60200013884556147</v>
      </c>
      <c r="J1063" s="440">
        <f>SUM(G1063:I1063)</f>
        <v>1.9928815314674559</v>
      </c>
      <c r="K1063" s="441"/>
      <c r="L1063" s="440">
        <v>0.63376790957609963</v>
      </c>
      <c r="M1063" s="440">
        <v>1.3438413346512834</v>
      </c>
      <c r="N1063" s="440">
        <v>0.63025243808012876</v>
      </c>
      <c r="O1063" s="440">
        <f>SUM(L1063:N1063)</f>
        <v>2.6078616823075116</v>
      </c>
    </row>
    <row r="1064" spans="1:15" s="351" customFormat="1" x14ac:dyDescent="0.2">
      <c r="A1064" s="362" t="str">
        <f>name!E$5</f>
        <v>Professional occupations</v>
      </c>
      <c r="B1064" s="440">
        <v>0.77031759858423487</v>
      </c>
      <c r="C1064" s="440">
        <v>0.73968846847476999</v>
      </c>
      <c r="D1064" s="440">
        <v>4.5433565879929569E-2</v>
      </c>
      <c r="E1064" s="440">
        <f t="shared" ref="E1064:E1071" si="455">SUM(B1064:D1064)</f>
        <v>1.5554396329389344</v>
      </c>
      <c r="F1064" s="441"/>
      <c r="G1064" s="440">
        <v>0.85375598220072069</v>
      </c>
      <c r="H1064" s="440">
        <v>0.92843955913585319</v>
      </c>
      <c r="I1064" s="440">
        <v>0.16775148964126435</v>
      </c>
      <c r="J1064" s="440">
        <f t="shared" ref="J1064:J1066" si="456">SUM(G1064:I1064)</f>
        <v>1.9499470309778384</v>
      </c>
      <c r="K1064" s="441"/>
      <c r="L1064" s="440">
        <v>1.0385521307883665</v>
      </c>
      <c r="M1064" s="440">
        <v>1.1428736596371836</v>
      </c>
      <c r="N1064" s="440">
        <v>0.18453031710459183</v>
      </c>
      <c r="O1064" s="440">
        <f t="shared" ref="O1064:O1071" si="457">SUM(L1064:N1064)</f>
        <v>2.3659561075301418</v>
      </c>
    </row>
    <row r="1065" spans="1:15" s="351" customFormat="1" x14ac:dyDescent="0.2">
      <c r="A1065" s="362" t="str">
        <f>name!E$6</f>
        <v>Associate professional and technical</v>
      </c>
      <c r="B1065" s="440">
        <v>1.1751168041090132</v>
      </c>
      <c r="C1065" s="440">
        <v>0.743952424287457</v>
      </c>
      <c r="D1065" s="440">
        <v>0.12787636454943738</v>
      </c>
      <c r="E1065" s="440">
        <f t="shared" si="455"/>
        <v>2.0469455929459075</v>
      </c>
      <c r="F1065" s="441"/>
      <c r="G1065" s="440">
        <v>0.97360484341980413</v>
      </c>
      <c r="H1065" s="440">
        <v>0.81712095860501344</v>
      </c>
      <c r="I1065" s="440">
        <v>0.5702768033567247</v>
      </c>
      <c r="J1065" s="440">
        <f t="shared" si="456"/>
        <v>2.3610026053815423</v>
      </c>
      <c r="K1065" s="441"/>
      <c r="L1065" s="440">
        <v>1.1080198378717325</v>
      </c>
      <c r="M1065" s="440">
        <v>0.98540321813844023</v>
      </c>
      <c r="N1065" s="440">
        <v>0.56550373482567451</v>
      </c>
      <c r="O1065" s="440">
        <f t="shared" si="457"/>
        <v>2.6589267908358476</v>
      </c>
    </row>
    <row r="1066" spans="1:15" s="351" customFormat="1" x14ac:dyDescent="0.2">
      <c r="A1066" s="362" t="str">
        <f>name!E$7</f>
        <v>Administrative and secretarial</v>
      </c>
      <c r="B1066" s="440">
        <v>1.6427128793495596</v>
      </c>
      <c r="C1066" s="440">
        <v>2.8685378116784053</v>
      </c>
      <c r="D1066" s="440">
        <v>2.4014142564268277E-2</v>
      </c>
      <c r="E1066" s="440">
        <f t="shared" si="455"/>
        <v>4.5352648335922332</v>
      </c>
      <c r="F1066" s="441"/>
      <c r="G1066" s="440">
        <v>1.6183281929345923</v>
      </c>
      <c r="H1066" s="440">
        <v>2.0951489885980714</v>
      </c>
      <c r="I1066" s="440">
        <v>0.1023356494337844</v>
      </c>
      <c r="J1066" s="440">
        <f t="shared" si="456"/>
        <v>3.8158128309664483</v>
      </c>
      <c r="K1066" s="441"/>
      <c r="L1066" s="440">
        <v>1.4827473432549256</v>
      </c>
      <c r="M1066" s="440">
        <v>2.0773515883294214</v>
      </c>
      <c r="N1066" s="440">
        <v>9.2402711578979099E-2</v>
      </c>
      <c r="O1066" s="440">
        <f t="shared" si="457"/>
        <v>3.6525016431633262</v>
      </c>
    </row>
    <row r="1067" spans="1:15" s="351" customFormat="1" x14ac:dyDescent="0.2">
      <c r="A1067" s="362" t="str">
        <f>name!E$8</f>
        <v>Skilled trades occupations</v>
      </c>
      <c r="B1067" s="440">
        <v>0.29745578521404575</v>
      </c>
      <c r="C1067" s="440">
        <v>0.12873172862344268</v>
      </c>
      <c r="D1067" s="440">
        <v>0.14724983914423059</v>
      </c>
      <c r="E1067" s="440">
        <f t="shared" si="455"/>
        <v>0.57343735298171905</v>
      </c>
      <c r="F1067" s="441"/>
      <c r="G1067" s="440">
        <v>0.16410004059711553</v>
      </c>
      <c r="H1067" s="440">
        <v>0.22676266827550737</v>
      </c>
      <c r="I1067" s="440">
        <v>0.47124980071182165</v>
      </c>
      <c r="J1067" s="440">
        <f>SUM(G1067:I1067)</f>
        <v>0.86211250958444452</v>
      </c>
      <c r="K1067" s="441"/>
      <c r="L1067" s="440">
        <v>0.16120563682599362</v>
      </c>
      <c r="M1067" s="440">
        <v>0.37698491164092102</v>
      </c>
      <c r="N1067" s="440">
        <v>0.47427969266538939</v>
      </c>
      <c r="O1067" s="440">
        <f t="shared" si="457"/>
        <v>1.0124702411323039</v>
      </c>
    </row>
    <row r="1068" spans="1:15" s="351" customFormat="1" x14ac:dyDescent="0.2">
      <c r="A1068" s="362" t="str">
        <f>name!E$9</f>
        <v>Caring, leisure and other service</v>
      </c>
      <c r="B1068" s="440">
        <v>0.63197661227662116</v>
      </c>
      <c r="C1068" s="440">
        <v>0.85093628370580354</v>
      </c>
      <c r="D1068" s="440">
        <v>3.0587071639703801E-2</v>
      </c>
      <c r="E1068" s="440">
        <f t="shared" si="455"/>
        <v>1.5134999676221286</v>
      </c>
      <c r="F1068" s="441"/>
      <c r="G1068" s="440">
        <v>0.68690410647855382</v>
      </c>
      <c r="H1068" s="440">
        <v>1.1605650911955461</v>
      </c>
      <c r="I1068" s="440">
        <v>0.16376070562118256</v>
      </c>
      <c r="J1068" s="440">
        <f t="shared" ref="J1068:J1071" si="458">SUM(G1068:I1068)</f>
        <v>2.0112299032952827</v>
      </c>
      <c r="K1068" s="441"/>
      <c r="L1068" s="440">
        <v>0.80911791732546678</v>
      </c>
      <c r="M1068" s="440">
        <v>1.2631078461814156</v>
      </c>
      <c r="N1068" s="440">
        <v>0.15442830555595058</v>
      </c>
      <c r="O1068" s="440">
        <f t="shared" si="457"/>
        <v>2.2266540690628327</v>
      </c>
    </row>
    <row r="1069" spans="1:15" s="351" customFormat="1" x14ac:dyDescent="0.2">
      <c r="A1069" s="362" t="str">
        <f>name!E$10</f>
        <v>Sales and customer service</v>
      </c>
      <c r="B1069" s="440">
        <v>0.57957108420225245</v>
      </c>
      <c r="C1069" s="440">
        <v>1.0593032365034385</v>
      </c>
      <c r="D1069" s="440">
        <v>2.1766351276806407E-2</v>
      </c>
      <c r="E1069" s="440">
        <f t="shared" si="455"/>
        <v>1.6606406719824973</v>
      </c>
      <c r="F1069" s="441"/>
      <c r="G1069" s="440">
        <v>1.0194183817396161</v>
      </c>
      <c r="H1069" s="440">
        <v>0.96014003040284579</v>
      </c>
      <c r="I1069" s="440">
        <v>3.8331681491802855E-2</v>
      </c>
      <c r="J1069" s="440">
        <f t="shared" si="458"/>
        <v>2.0178900936342647</v>
      </c>
      <c r="K1069" s="441"/>
      <c r="L1069" s="440">
        <v>1.1267793781969462</v>
      </c>
      <c r="M1069" s="440">
        <v>1.2273248687312139</v>
      </c>
      <c r="N1069" s="440">
        <v>3.1676550888135285E-2</v>
      </c>
      <c r="O1069" s="440">
        <f t="shared" si="457"/>
        <v>2.3857807978162953</v>
      </c>
    </row>
    <row r="1070" spans="1:15" s="351" customFormat="1" x14ac:dyDescent="0.2">
      <c r="A1070" s="362" t="str">
        <f>name!E$11</f>
        <v>Process, plant and machine operatives</v>
      </c>
      <c r="B1070" s="440">
        <v>0.39770703354596698</v>
      </c>
      <c r="C1070" s="440">
        <v>0.15693473903309257</v>
      </c>
      <c r="D1070" s="440">
        <v>1.6957196098852937E-2</v>
      </c>
      <c r="E1070" s="440">
        <f t="shared" si="455"/>
        <v>0.57159896867791249</v>
      </c>
      <c r="F1070" s="441"/>
      <c r="G1070" s="440">
        <v>0.22776460123709633</v>
      </c>
      <c r="H1070" s="440">
        <v>0.17515776729234478</v>
      </c>
      <c r="I1070" s="440">
        <v>2.3822490398350507E-2</v>
      </c>
      <c r="J1070" s="440">
        <f t="shared" si="458"/>
        <v>0.42674485892779157</v>
      </c>
      <c r="K1070" s="441"/>
      <c r="L1070" s="440">
        <v>0.21621144824678229</v>
      </c>
      <c r="M1070" s="440">
        <v>0.15460520526620447</v>
      </c>
      <c r="N1070" s="440">
        <v>1.3685544602960814E-2</v>
      </c>
      <c r="O1070" s="440">
        <f t="shared" si="457"/>
        <v>0.38450219811594755</v>
      </c>
    </row>
    <row r="1071" spans="1:15" s="351" customFormat="1" x14ac:dyDescent="0.2">
      <c r="A1071" s="362" t="str">
        <f>name!E$12</f>
        <v>Elementary occupations</v>
      </c>
      <c r="B1071" s="440">
        <v>2.7337356006510682</v>
      </c>
      <c r="C1071" s="440">
        <v>2.9119657913607497</v>
      </c>
      <c r="D1071" s="440">
        <v>0.24829181631924624</v>
      </c>
      <c r="E1071" s="440">
        <f t="shared" si="455"/>
        <v>5.8939932083310635</v>
      </c>
      <c r="F1071" s="441"/>
      <c r="G1071" s="440">
        <v>1.8986661081419436</v>
      </c>
      <c r="H1071" s="440">
        <v>2.3402412871909379</v>
      </c>
      <c r="I1071" s="440">
        <v>0.62547124050342362</v>
      </c>
      <c r="J1071" s="440">
        <f t="shared" si="458"/>
        <v>4.8643786358363048</v>
      </c>
      <c r="K1071" s="441"/>
      <c r="L1071" s="440">
        <v>1.9315983978979137</v>
      </c>
      <c r="M1071" s="440">
        <v>1.6405073674303243</v>
      </c>
      <c r="N1071" s="440">
        <v>0.54624070471407893</v>
      </c>
      <c r="O1071" s="440">
        <f t="shared" si="457"/>
        <v>4.1183464700423169</v>
      </c>
    </row>
    <row r="1072" spans="1:15" s="351" customFormat="1" x14ac:dyDescent="0.2">
      <c r="A1072" s="362"/>
      <c r="B1072" s="440"/>
      <c r="C1072" s="440"/>
      <c r="D1072" s="440"/>
      <c r="E1072" s="440"/>
      <c r="F1072" s="441"/>
      <c r="G1072" s="440"/>
      <c r="H1072" s="440"/>
      <c r="I1072" s="440"/>
      <c r="J1072" s="440"/>
      <c r="K1072" s="441"/>
      <c r="L1072" s="440"/>
      <c r="M1072" s="440"/>
      <c r="N1072" s="440"/>
      <c r="O1072" s="440"/>
    </row>
    <row r="1073" spans="1:15" s="351" customFormat="1" x14ac:dyDescent="0.2">
      <c r="A1073" s="357" t="s">
        <v>32</v>
      </c>
      <c r="B1073" s="450">
        <f>SUM(B1063:B1071)</f>
        <v>8.7329999999537264</v>
      </c>
      <c r="C1073" s="450">
        <f t="shared" ref="C1073:E1073" si="459">SUM(C1063:C1071)</f>
        <v>9.7039999999633544</v>
      </c>
      <c r="D1073" s="450">
        <f t="shared" si="459"/>
        <v>0.9289999999991968</v>
      </c>
      <c r="E1073" s="450">
        <f t="shared" si="459"/>
        <v>19.365999999916276</v>
      </c>
      <c r="F1073" s="450"/>
      <c r="G1073" s="450">
        <f t="shared" ref="G1073:J1073" si="460">SUM(G1063:G1071)</f>
        <v>7.9580000000235476</v>
      </c>
      <c r="H1073" s="450">
        <f t="shared" si="460"/>
        <v>9.5790000000439104</v>
      </c>
      <c r="I1073" s="450">
        <f t="shared" si="460"/>
        <v>2.7650000000039161</v>
      </c>
      <c r="J1073" s="450">
        <f t="shared" si="460"/>
        <v>20.302000000071374</v>
      </c>
      <c r="K1073" s="450"/>
      <c r="L1073" s="450">
        <f t="shared" ref="L1073:O1073" si="461">SUM(L1063:L1071)</f>
        <v>8.5079999999842268</v>
      </c>
      <c r="M1073" s="450">
        <f t="shared" si="461"/>
        <v>10.212000000006407</v>
      </c>
      <c r="N1073" s="450">
        <f t="shared" si="461"/>
        <v>2.6930000000158891</v>
      </c>
      <c r="O1073" s="450">
        <f t="shared" si="461"/>
        <v>21.413000000006519</v>
      </c>
    </row>
    <row r="1074" spans="1:15" s="351" customFormat="1" x14ac:dyDescent="0.2">
      <c r="A1074" s="348"/>
      <c r="B1074" s="348"/>
      <c r="C1074" s="348"/>
      <c r="D1074" s="348"/>
      <c r="E1074" s="348"/>
      <c r="F1074" s="348"/>
      <c r="G1074" s="348"/>
      <c r="H1074" s="348"/>
      <c r="I1074" s="348"/>
      <c r="J1074" s="348"/>
      <c r="K1074" s="348"/>
      <c r="L1074" s="348"/>
      <c r="M1074" s="348"/>
      <c r="N1074" s="353"/>
    </row>
    <row r="1075" spans="1:15" s="351" customFormat="1" x14ac:dyDescent="0.2">
      <c r="A1075" s="348"/>
      <c r="B1075" s="348"/>
      <c r="C1075" s="348"/>
      <c r="D1075" s="348"/>
      <c r="E1075" s="348"/>
      <c r="F1075" s="348"/>
      <c r="G1075" s="348"/>
      <c r="H1075" s="348"/>
      <c r="I1075" s="348"/>
      <c r="J1075" s="348"/>
      <c r="K1075" s="348"/>
      <c r="L1075" s="348"/>
      <c r="M1075" s="348"/>
      <c r="N1075" s="353"/>
      <c r="O1075" s="367" t="s">
        <v>35</v>
      </c>
    </row>
    <row r="1076" spans="1:15" s="351" customFormat="1" x14ac:dyDescent="0.2">
      <c r="A1076" s="355"/>
      <c r="B1076" s="355"/>
      <c r="C1076" s="355"/>
      <c r="D1076" s="355"/>
      <c r="E1076" s="355"/>
      <c r="F1076" s="355"/>
      <c r="G1076" s="355"/>
      <c r="H1076" s="355"/>
      <c r="I1076" s="355"/>
      <c r="J1076" s="355"/>
      <c r="K1076" s="355"/>
      <c r="L1076" s="355"/>
      <c r="M1076" s="355"/>
      <c r="N1076" s="355"/>
      <c r="O1076" s="355"/>
    </row>
    <row r="1077" spans="1:15" s="351" customFormat="1" x14ac:dyDescent="0.2">
      <c r="A1077" s="354" t="str">
        <f>name!A66</f>
        <v>Office administrative</v>
      </c>
      <c r="B1077" s="519">
        <f>$B$6</f>
        <v>2007</v>
      </c>
      <c r="C1077" s="519"/>
      <c r="D1077" s="519"/>
      <c r="E1077" s="519"/>
      <c r="F1077" s="380"/>
      <c r="G1077" s="519">
        <f>$G$6</f>
        <v>2017</v>
      </c>
      <c r="H1077" s="519"/>
      <c r="I1077" s="519"/>
      <c r="J1077" s="519"/>
      <c r="K1077" s="380"/>
      <c r="L1077" s="519">
        <f>$L$6</f>
        <v>2027</v>
      </c>
      <c r="M1077" s="519"/>
      <c r="N1077" s="519"/>
      <c r="O1077" s="519"/>
    </row>
    <row r="1078" spans="1:15" s="351" customFormat="1" x14ac:dyDescent="0.2">
      <c r="A1078" s="370"/>
      <c r="B1078" s="388" t="str">
        <f>$B$7</f>
        <v>FT</v>
      </c>
      <c r="C1078" s="388" t="str">
        <f>$C$7</f>
        <v>PT</v>
      </c>
      <c r="D1078" s="388" t="str">
        <f>$D$7</f>
        <v>SE</v>
      </c>
      <c r="E1078" s="388" t="str">
        <f>$E$7</f>
        <v>Total</v>
      </c>
      <c r="F1078" s="388"/>
      <c r="G1078" s="388" t="str">
        <f>$G$7</f>
        <v>FT</v>
      </c>
      <c r="H1078" s="388" t="str">
        <f>$H$7</f>
        <v>PT</v>
      </c>
      <c r="I1078" s="388" t="str">
        <f>$I$7</f>
        <v>SE</v>
      </c>
      <c r="J1078" s="388" t="str">
        <f>$J$7</f>
        <v>Total</v>
      </c>
      <c r="K1078" s="388"/>
      <c r="L1078" s="388" t="str">
        <f>$L$7</f>
        <v>FT</v>
      </c>
      <c r="M1078" s="388" t="str">
        <f>$M$7</f>
        <v>PT</v>
      </c>
      <c r="N1078" s="388" t="str">
        <f>$N$7</f>
        <v>SE</v>
      </c>
      <c r="O1078" s="388" t="str">
        <f>$O$7</f>
        <v>Total</v>
      </c>
    </row>
    <row r="1079" spans="1:15" s="351" customFormat="1" x14ac:dyDescent="0.2">
      <c r="A1079" s="374"/>
      <c r="B1079" s="350"/>
      <c r="C1079" s="350"/>
      <c r="D1079" s="350"/>
      <c r="E1079" s="350"/>
      <c r="F1079" s="350"/>
      <c r="G1079" s="350"/>
      <c r="H1079" s="350"/>
      <c r="I1079" s="350"/>
      <c r="J1079" s="350"/>
      <c r="K1079" s="350"/>
      <c r="L1079" s="350"/>
      <c r="M1079" s="350"/>
      <c r="N1079" s="350"/>
      <c r="O1079" s="350"/>
    </row>
    <row r="1080" spans="1:15" s="351" customFormat="1" x14ac:dyDescent="0.2">
      <c r="A1080" s="362" t="str">
        <f>name!E$4</f>
        <v>Managers, directors and senior officials</v>
      </c>
      <c r="B1080" s="440">
        <v>0.56582239450626726</v>
      </c>
      <c r="C1080" s="440">
        <v>7.0491422297763881E-2</v>
      </c>
      <c r="D1080" s="440">
        <v>0.11049366087486641</v>
      </c>
      <c r="E1080" s="440">
        <f>SUM(B1080:D1080)</f>
        <v>0.74680747767889755</v>
      </c>
      <c r="F1080" s="441"/>
      <c r="G1080" s="440">
        <v>0.75832263133851108</v>
      </c>
      <c r="H1080" s="440">
        <v>0.12916612084021256</v>
      </c>
      <c r="I1080" s="440">
        <v>0.46308881516257461</v>
      </c>
      <c r="J1080" s="440">
        <f>SUM(G1080:I1080)</f>
        <v>1.3505775673412983</v>
      </c>
      <c r="K1080" s="441"/>
      <c r="L1080" s="440">
        <v>0.8903480953949886</v>
      </c>
      <c r="M1080" s="440">
        <v>0.16516214502803739</v>
      </c>
      <c r="N1080" s="440">
        <v>0.49522957743430279</v>
      </c>
      <c r="O1080" s="440">
        <f>SUM(L1080:N1080)</f>
        <v>1.5507398178573286</v>
      </c>
    </row>
    <row r="1081" spans="1:15" s="351" customFormat="1" x14ac:dyDescent="0.2">
      <c r="A1081" s="362" t="str">
        <f>name!E$5</f>
        <v>Professional occupations</v>
      </c>
      <c r="B1081" s="440">
        <v>0.50398414568432459</v>
      </c>
      <c r="C1081" s="440">
        <v>0.1742103215785345</v>
      </c>
      <c r="D1081" s="440">
        <v>2.5901920702895029E-2</v>
      </c>
      <c r="E1081" s="440">
        <f t="shared" ref="E1081:E1088" si="462">SUM(B1081:D1081)</f>
        <v>0.70409638796575402</v>
      </c>
      <c r="F1081" s="441"/>
      <c r="G1081" s="440">
        <v>1.0446682390616844</v>
      </c>
      <c r="H1081" s="440">
        <v>0.15999479919797449</v>
      </c>
      <c r="I1081" s="440">
        <v>0.13821159008304448</v>
      </c>
      <c r="J1081" s="440">
        <f t="shared" ref="J1081:J1083" si="463">SUM(G1081:I1081)</f>
        <v>1.3428746283427033</v>
      </c>
      <c r="K1081" s="441"/>
      <c r="L1081" s="440">
        <v>1.303357405448804</v>
      </c>
      <c r="M1081" s="440">
        <v>0.19890094696710611</v>
      </c>
      <c r="N1081" s="440">
        <v>0.14525758875352046</v>
      </c>
      <c r="O1081" s="440">
        <f t="shared" ref="O1081:O1088" si="464">SUM(L1081:N1081)</f>
        <v>1.6475159411694307</v>
      </c>
    </row>
    <row r="1082" spans="1:15" s="351" customFormat="1" x14ac:dyDescent="0.2">
      <c r="A1082" s="362" t="str">
        <f>name!E$6</f>
        <v>Associate professional and technical</v>
      </c>
      <c r="B1082" s="440">
        <v>1.1507541501985297</v>
      </c>
      <c r="C1082" s="440">
        <v>0.22127040439115561</v>
      </c>
      <c r="D1082" s="440">
        <v>0.12445894072198396</v>
      </c>
      <c r="E1082" s="440">
        <f t="shared" si="462"/>
        <v>1.4964834953116692</v>
      </c>
      <c r="F1082" s="441"/>
      <c r="G1082" s="440">
        <v>1.5114960254547249</v>
      </c>
      <c r="H1082" s="440">
        <v>0.17501893122057427</v>
      </c>
      <c r="I1082" s="440">
        <v>0.6742095719490292</v>
      </c>
      <c r="J1082" s="440">
        <f t="shared" si="463"/>
        <v>2.3607245286243286</v>
      </c>
      <c r="K1082" s="441"/>
      <c r="L1082" s="440">
        <v>1.6377682008567267</v>
      </c>
      <c r="M1082" s="440">
        <v>0.21598292409889536</v>
      </c>
      <c r="N1082" s="440">
        <v>0.6842895053868201</v>
      </c>
      <c r="O1082" s="440">
        <f t="shared" si="464"/>
        <v>2.5380406303424419</v>
      </c>
    </row>
    <row r="1083" spans="1:15" s="351" customFormat="1" x14ac:dyDescent="0.2">
      <c r="A1083" s="362" t="str">
        <f>name!E$7</f>
        <v>Administrative and secretarial</v>
      </c>
      <c r="B1083" s="440">
        <v>1.2987651475578348</v>
      </c>
      <c r="C1083" s="440">
        <v>0.74466494430285068</v>
      </c>
      <c r="D1083" s="440">
        <v>1.4935831606246026E-2</v>
      </c>
      <c r="E1083" s="440">
        <f t="shared" si="462"/>
        <v>2.0583659234669316</v>
      </c>
      <c r="F1083" s="441"/>
      <c r="G1083" s="440">
        <v>2.3732065352997411</v>
      </c>
      <c r="H1083" s="440">
        <v>0.30209573540345802</v>
      </c>
      <c r="I1083" s="440">
        <v>5.5384179933640573E-2</v>
      </c>
      <c r="J1083" s="440">
        <f t="shared" si="463"/>
        <v>2.7306864506368398</v>
      </c>
      <c r="K1083" s="441"/>
      <c r="L1083" s="440">
        <v>2.3043965509653441</v>
      </c>
      <c r="M1083" s="440">
        <v>0.26428613925740752</v>
      </c>
      <c r="N1083" s="440">
        <v>4.6659026266169426E-2</v>
      </c>
      <c r="O1083" s="440">
        <f t="shared" si="464"/>
        <v>2.615341716488921</v>
      </c>
    </row>
    <row r="1084" spans="1:15" s="351" customFormat="1" x14ac:dyDescent="0.2">
      <c r="A1084" s="362" t="str">
        <f>name!E$8</f>
        <v>Skilled trades occupations</v>
      </c>
      <c r="B1084" s="440">
        <v>0.40966350227353571</v>
      </c>
      <c r="C1084" s="440">
        <v>5.4908352014811118E-2</v>
      </c>
      <c r="D1084" s="440">
        <v>7.2392191321245677E-2</v>
      </c>
      <c r="E1084" s="440">
        <f t="shared" si="462"/>
        <v>0.53696404560959243</v>
      </c>
      <c r="F1084" s="441"/>
      <c r="G1084" s="440">
        <v>0.28819456965813955</v>
      </c>
      <c r="H1084" s="440">
        <v>5.6384773198296864E-2</v>
      </c>
      <c r="I1084" s="440">
        <v>0.33010530791678711</v>
      </c>
      <c r="J1084" s="440">
        <f>SUM(G1084:I1084)</f>
        <v>0.67468465077322359</v>
      </c>
      <c r="K1084" s="441"/>
      <c r="L1084" s="440">
        <v>0.25927918016496276</v>
      </c>
      <c r="M1084" s="440">
        <v>6.7699891433570053E-2</v>
      </c>
      <c r="N1084" s="440">
        <v>0.30376987490258273</v>
      </c>
      <c r="O1084" s="440">
        <f t="shared" si="464"/>
        <v>0.63074894650111557</v>
      </c>
    </row>
    <row r="1085" spans="1:15" s="351" customFormat="1" x14ac:dyDescent="0.2">
      <c r="A1085" s="362" t="str">
        <f>name!E$9</f>
        <v>Caring, leisure and other service</v>
      </c>
      <c r="B1085" s="440">
        <v>0.32619828477310753</v>
      </c>
      <c r="C1085" s="440">
        <v>0.18683771935879392</v>
      </c>
      <c r="D1085" s="440">
        <v>2.2125379886406494E-2</v>
      </c>
      <c r="E1085" s="440">
        <f t="shared" si="462"/>
        <v>0.53516138401830793</v>
      </c>
      <c r="F1085" s="441"/>
      <c r="G1085" s="440">
        <v>0.74949725024580838</v>
      </c>
      <c r="H1085" s="440">
        <v>0.22592834684579072</v>
      </c>
      <c r="I1085" s="440">
        <v>0.17495521155412216</v>
      </c>
      <c r="J1085" s="440">
        <f t="shared" ref="J1085:J1088" si="465">SUM(G1085:I1085)</f>
        <v>1.1503808086457212</v>
      </c>
      <c r="K1085" s="441"/>
      <c r="L1085" s="440">
        <v>0.92569881815795552</v>
      </c>
      <c r="M1085" s="440">
        <v>0.27957289145570191</v>
      </c>
      <c r="N1085" s="440">
        <v>0.1672374968105268</v>
      </c>
      <c r="O1085" s="440">
        <f t="shared" si="464"/>
        <v>1.3725092064241842</v>
      </c>
    </row>
    <row r="1086" spans="1:15" s="351" customFormat="1" x14ac:dyDescent="0.2">
      <c r="A1086" s="362" t="str">
        <f>name!E$10</f>
        <v>Sales and customer service</v>
      </c>
      <c r="B1086" s="440">
        <v>0.59475025881072019</v>
      </c>
      <c r="C1086" s="440">
        <v>0.35401689017575644</v>
      </c>
      <c r="D1086" s="440">
        <v>1.8971961297318055E-2</v>
      </c>
      <c r="E1086" s="440">
        <f t="shared" si="462"/>
        <v>0.96773911028379467</v>
      </c>
      <c r="F1086" s="441"/>
      <c r="G1086" s="440">
        <v>1.8515016031903984</v>
      </c>
      <c r="H1086" s="440">
        <v>0.23039693556845198</v>
      </c>
      <c r="I1086" s="440">
        <v>2.7636684488947436E-2</v>
      </c>
      <c r="J1086" s="440">
        <f t="shared" si="465"/>
        <v>2.1095352232477977</v>
      </c>
      <c r="K1086" s="441"/>
      <c r="L1086" s="440">
        <v>2.1172738787638461</v>
      </c>
      <c r="M1086" s="440">
        <v>0.24939124640139251</v>
      </c>
      <c r="N1086" s="440">
        <v>2.1636486505832948E-2</v>
      </c>
      <c r="O1086" s="440">
        <f t="shared" si="464"/>
        <v>2.3883016116710714</v>
      </c>
    </row>
    <row r="1087" spans="1:15" s="351" customFormat="1" x14ac:dyDescent="0.2">
      <c r="A1087" s="362" t="str">
        <f>name!E$11</f>
        <v>Process, plant and machine operatives</v>
      </c>
      <c r="B1087" s="440">
        <v>0.62458697302922783</v>
      </c>
      <c r="C1087" s="440">
        <v>0.13099255816560784</v>
      </c>
      <c r="D1087" s="440">
        <v>1.788106808377575E-2</v>
      </c>
      <c r="E1087" s="440">
        <f t="shared" si="462"/>
        <v>0.77346059927861144</v>
      </c>
      <c r="F1087" s="441"/>
      <c r="G1087" s="440">
        <v>0.50037492183993693</v>
      </c>
      <c r="H1087" s="440">
        <v>0.10695635541136028</v>
      </c>
      <c r="I1087" s="440">
        <v>2.7172161013395334E-2</v>
      </c>
      <c r="J1087" s="440">
        <f t="shared" si="465"/>
        <v>0.63450343826469258</v>
      </c>
      <c r="K1087" s="441"/>
      <c r="L1087" s="440">
        <v>0.49210359625688804</v>
      </c>
      <c r="M1087" s="440">
        <v>0.10128287713358608</v>
      </c>
      <c r="N1087" s="440">
        <v>1.4829227111959562E-2</v>
      </c>
      <c r="O1087" s="440">
        <f t="shared" si="464"/>
        <v>0.60821570050243368</v>
      </c>
    </row>
    <row r="1088" spans="1:15" s="351" customFormat="1" x14ac:dyDescent="0.2">
      <c r="A1088" s="362" t="str">
        <f>name!E$12</f>
        <v>Elementary occupations</v>
      </c>
      <c r="B1088" s="440">
        <v>3.8574751431376852</v>
      </c>
      <c r="C1088" s="440">
        <v>1.5406073877066591</v>
      </c>
      <c r="D1088" s="440">
        <v>0.28383904550257033</v>
      </c>
      <c r="E1088" s="440">
        <f t="shared" si="462"/>
        <v>5.6819215763469142</v>
      </c>
      <c r="F1088" s="441"/>
      <c r="G1088" s="440">
        <v>4.7107382239554854</v>
      </c>
      <c r="H1088" s="440">
        <v>0.93305800232401703</v>
      </c>
      <c r="I1088" s="440">
        <v>0.6732364779019121</v>
      </c>
      <c r="J1088" s="440">
        <f t="shared" si="465"/>
        <v>6.3170327041814147</v>
      </c>
      <c r="K1088" s="441"/>
      <c r="L1088" s="440">
        <v>5.0887742739173252</v>
      </c>
      <c r="M1088" s="440">
        <v>0.94572093821237946</v>
      </c>
      <c r="N1088" s="440">
        <v>0.60809121684207967</v>
      </c>
      <c r="O1088" s="440">
        <f t="shared" si="464"/>
        <v>6.642586428971784</v>
      </c>
    </row>
    <row r="1089" spans="1:15" s="351" customFormat="1" x14ac:dyDescent="0.2">
      <c r="A1089" s="362"/>
      <c r="B1089" s="440"/>
      <c r="C1089" s="440"/>
      <c r="D1089" s="440"/>
      <c r="E1089" s="440"/>
      <c r="F1089" s="441"/>
      <c r="G1089" s="440"/>
      <c r="H1089" s="440"/>
      <c r="I1089" s="440"/>
      <c r="J1089" s="440"/>
      <c r="K1089" s="441"/>
      <c r="L1089" s="440"/>
      <c r="M1089" s="440"/>
      <c r="N1089" s="440"/>
      <c r="O1089" s="440"/>
    </row>
    <row r="1090" spans="1:15" s="351" customFormat="1" x14ac:dyDescent="0.2">
      <c r="A1090" s="357" t="s">
        <v>32</v>
      </c>
      <c r="B1090" s="450">
        <f>SUM(B1080:B1088)</f>
        <v>9.3319999999712326</v>
      </c>
      <c r="C1090" s="450">
        <f t="shared" ref="C1090:E1090" si="466">SUM(C1080:C1088)</f>
        <v>3.4779999999919333</v>
      </c>
      <c r="D1090" s="450">
        <f t="shared" si="466"/>
        <v>0.69099999999730777</v>
      </c>
      <c r="E1090" s="450">
        <f t="shared" si="466"/>
        <v>13.500999999960474</v>
      </c>
      <c r="F1090" s="450"/>
      <c r="G1090" s="450">
        <f t="shared" ref="G1090:J1090" si="467">SUM(G1080:G1088)</f>
        <v>13.78800000004443</v>
      </c>
      <c r="H1090" s="450">
        <f t="shared" si="467"/>
        <v>2.3190000000101358</v>
      </c>
      <c r="I1090" s="450">
        <f t="shared" si="467"/>
        <v>2.5640000000034529</v>
      </c>
      <c r="J1090" s="450">
        <f t="shared" si="467"/>
        <v>18.671000000058022</v>
      </c>
      <c r="K1090" s="450"/>
      <c r="L1090" s="450">
        <f t="shared" ref="L1090:O1090" si="468">SUM(L1080:L1088)</f>
        <v>15.018999999926841</v>
      </c>
      <c r="M1090" s="450">
        <f t="shared" si="468"/>
        <v>2.4879999999880766</v>
      </c>
      <c r="N1090" s="450">
        <f t="shared" si="468"/>
        <v>2.4870000000137948</v>
      </c>
      <c r="O1090" s="450">
        <f t="shared" si="468"/>
        <v>19.993999999928711</v>
      </c>
    </row>
    <row r="1091" spans="1:15" s="351" customFormat="1" x14ac:dyDescent="0.2">
      <c r="A1091" s="348"/>
      <c r="B1091" s="348"/>
      <c r="C1091" s="348"/>
      <c r="D1091" s="348"/>
      <c r="E1091" s="348"/>
      <c r="F1091" s="348"/>
      <c r="G1091" s="348"/>
      <c r="H1091" s="348"/>
      <c r="I1091" s="348"/>
      <c r="J1091" s="348"/>
      <c r="K1091" s="348"/>
      <c r="L1091" s="348"/>
      <c r="M1091" s="348"/>
      <c r="N1091" s="353"/>
    </row>
    <row r="1092" spans="1:15" s="351" customFormat="1" x14ac:dyDescent="0.2">
      <c r="A1092" s="348"/>
      <c r="B1092" s="348"/>
      <c r="C1092" s="348"/>
      <c r="D1092" s="348"/>
      <c r="E1092" s="348"/>
      <c r="F1092" s="348"/>
      <c r="G1092" s="348"/>
      <c r="H1092" s="348"/>
      <c r="I1092" s="348"/>
      <c r="J1092" s="348"/>
      <c r="K1092" s="348"/>
      <c r="L1092" s="348"/>
      <c r="M1092" s="348"/>
      <c r="N1092" s="353"/>
      <c r="O1092" s="367" t="s">
        <v>35</v>
      </c>
    </row>
    <row r="1093" spans="1:15" s="351" customFormat="1" x14ac:dyDescent="0.2">
      <c r="A1093" s="355"/>
      <c r="B1093" s="355"/>
      <c r="C1093" s="355"/>
      <c r="D1093" s="355"/>
      <c r="E1093" s="355"/>
      <c r="F1093" s="355"/>
      <c r="G1093" s="355"/>
      <c r="H1093" s="355"/>
      <c r="I1093" s="355"/>
      <c r="J1093" s="355"/>
      <c r="K1093" s="355"/>
      <c r="L1093" s="355"/>
      <c r="M1093" s="355"/>
      <c r="N1093" s="355"/>
      <c r="O1093" s="355"/>
    </row>
    <row r="1094" spans="1:15" s="351" customFormat="1" x14ac:dyDescent="0.2">
      <c r="A1094" s="354" t="str">
        <f>name!A67</f>
        <v>Public administration and defence</v>
      </c>
      <c r="B1094" s="519">
        <f>$B$6</f>
        <v>2007</v>
      </c>
      <c r="C1094" s="519"/>
      <c r="D1094" s="519"/>
      <c r="E1094" s="519"/>
      <c r="F1094" s="380"/>
      <c r="G1094" s="519">
        <f>$G$6</f>
        <v>2017</v>
      </c>
      <c r="H1094" s="519"/>
      <c r="I1094" s="519"/>
      <c r="J1094" s="519"/>
      <c r="K1094" s="380"/>
      <c r="L1094" s="519">
        <f>$L$6</f>
        <v>2027</v>
      </c>
      <c r="M1094" s="519"/>
      <c r="N1094" s="519"/>
      <c r="O1094" s="519"/>
    </row>
    <row r="1095" spans="1:15" s="351" customFormat="1" x14ac:dyDescent="0.2">
      <c r="A1095" s="370"/>
      <c r="B1095" s="388" t="str">
        <f>$B$7</f>
        <v>FT</v>
      </c>
      <c r="C1095" s="388" t="str">
        <f>$C$7</f>
        <v>PT</v>
      </c>
      <c r="D1095" s="388" t="str">
        <f>$D$7</f>
        <v>SE</v>
      </c>
      <c r="E1095" s="388" t="str">
        <f>$E$7</f>
        <v>Total</v>
      </c>
      <c r="F1095" s="388"/>
      <c r="G1095" s="388" t="str">
        <f>$G$7</f>
        <v>FT</v>
      </c>
      <c r="H1095" s="388" t="str">
        <f>$H$7</f>
        <v>PT</v>
      </c>
      <c r="I1095" s="388" t="str">
        <f>$I$7</f>
        <v>SE</v>
      </c>
      <c r="J1095" s="388" t="str">
        <f>$J$7</f>
        <v>Total</v>
      </c>
      <c r="K1095" s="388"/>
      <c r="L1095" s="388" t="str">
        <f>$L$7</f>
        <v>FT</v>
      </c>
      <c r="M1095" s="388" t="str">
        <f>$M$7</f>
        <v>PT</v>
      </c>
      <c r="N1095" s="388" t="str">
        <f>$N$7</f>
        <v>SE</v>
      </c>
      <c r="O1095" s="388" t="str">
        <f>$O$7</f>
        <v>Total</v>
      </c>
    </row>
    <row r="1096" spans="1:15" s="351" customFormat="1" x14ac:dyDescent="0.2">
      <c r="A1096" s="374"/>
      <c r="B1096" s="350"/>
      <c r="C1096" s="350"/>
      <c r="D1096" s="350"/>
      <c r="E1096" s="350"/>
      <c r="F1096" s="350"/>
      <c r="G1096" s="350"/>
      <c r="H1096" s="350"/>
      <c r="I1096" s="350"/>
      <c r="J1096" s="350"/>
      <c r="K1096" s="350"/>
      <c r="L1096" s="350"/>
      <c r="M1096" s="350"/>
      <c r="N1096" s="350"/>
      <c r="O1096" s="350"/>
    </row>
    <row r="1097" spans="1:15" s="351" customFormat="1" x14ac:dyDescent="0.2">
      <c r="A1097" s="362" t="str">
        <f>name!E$4</f>
        <v>Managers, directors and senior officials</v>
      </c>
      <c r="B1097" s="440">
        <v>3.6520123838571972</v>
      </c>
      <c r="C1097" s="440">
        <v>0.74230177739516257</v>
      </c>
      <c r="D1097" s="440">
        <v>0.23854804716941952</v>
      </c>
      <c r="E1097" s="440">
        <f>SUM(B1097:D1097)</f>
        <v>4.6328622084217788</v>
      </c>
      <c r="F1097" s="441"/>
      <c r="G1097" s="440">
        <v>3.7493014777712239</v>
      </c>
      <c r="H1097" s="440">
        <v>1.3733823741546463</v>
      </c>
      <c r="I1097" s="440">
        <v>0.22233561828544834</v>
      </c>
      <c r="J1097" s="440">
        <f>SUM(G1097:I1097)</f>
        <v>5.3450194702113194</v>
      </c>
      <c r="K1097" s="441"/>
      <c r="L1097" s="440">
        <v>3.8375148483044876</v>
      </c>
      <c r="M1097" s="440">
        <v>1.7371578667860827</v>
      </c>
      <c r="N1097" s="440">
        <v>0.25208885838148809</v>
      </c>
      <c r="O1097" s="440">
        <f>SUM(L1097:N1097)</f>
        <v>5.8267615734720586</v>
      </c>
    </row>
    <row r="1098" spans="1:15" s="351" customFormat="1" x14ac:dyDescent="0.2">
      <c r="A1098" s="362" t="str">
        <f>name!E$5</f>
        <v>Professional occupations</v>
      </c>
      <c r="B1098" s="440">
        <v>16.638485048895799</v>
      </c>
      <c r="C1098" s="440">
        <v>3.0317443176483412</v>
      </c>
      <c r="D1098" s="440">
        <v>0.6232308037107025</v>
      </c>
      <c r="E1098" s="440">
        <f t="shared" ref="E1098:E1105" si="469">SUM(B1098:D1098)</f>
        <v>20.293460170254843</v>
      </c>
      <c r="F1098" s="441"/>
      <c r="G1098" s="440">
        <v>13.302189475572316</v>
      </c>
      <c r="H1098" s="440">
        <v>5.2529804269070794</v>
      </c>
      <c r="I1098" s="440">
        <v>0.40167606705388725</v>
      </c>
      <c r="J1098" s="440">
        <f t="shared" ref="J1098:J1100" si="470">SUM(G1098:I1098)</f>
        <v>18.956845969533283</v>
      </c>
      <c r="K1098" s="441"/>
      <c r="L1098" s="440">
        <v>14.299204766571266</v>
      </c>
      <c r="M1098" s="440">
        <v>7.1196560601162231</v>
      </c>
      <c r="N1098" s="440">
        <v>0.4032208426106223</v>
      </c>
      <c r="O1098" s="440">
        <f t="shared" ref="O1098:O1105" si="471">SUM(L1098:N1098)</f>
        <v>21.822081669298111</v>
      </c>
    </row>
    <row r="1099" spans="1:15" s="351" customFormat="1" x14ac:dyDescent="0.2">
      <c r="A1099" s="362" t="str">
        <f>name!E$6</f>
        <v>Associate professional and technical</v>
      </c>
      <c r="B1099" s="440">
        <v>25.272924229944397</v>
      </c>
      <c r="C1099" s="440">
        <v>2.6230632977833968</v>
      </c>
      <c r="D1099" s="440">
        <v>0.45447386583385035</v>
      </c>
      <c r="E1099" s="440">
        <f t="shared" si="469"/>
        <v>28.350461393561645</v>
      </c>
      <c r="F1099" s="441"/>
      <c r="G1099" s="440">
        <v>19.934257926838182</v>
      </c>
      <c r="H1099" s="440">
        <v>5.0204712955404833</v>
      </c>
      <c r="I1099" s="440">
        <v>0.41880838763140504</v>
      </c>
      <c r="J1099" s="440">
        <f t="shared" si="470"/>
        <v>25.373537610010072</v>
      </c>
      <c r="K1099" s="441"/>
      <c r="L1099" s="440">
        <v>18.371732722315659</v>
      </c>
      <c r="M1099" s="440">
        <v>6.5700631303893093</v>
      </c>
      <c r="N1099" s="440">
        <v>0.45954356483006736</v>
      </c>
      <c r="O1099" s="440">
        <f t="shared" si="471"/>
        <v>25.401339417535038</v>
      </c>
    </row>
    <row r="1100" spans="1:15" s="351" customFormat="1" x14ac:dyDescent="0.2">
      <c r="A1100" s="362" t="str">
        <f>name!E$7</f>
        <v>Administrative and secretarial</v>
      </c>
      <c r="B1100" s="440">
        <v>17.603655885424278</v>
      </c>
      <c r="C1100" s="440">
        <v>8.0506527283151517</v>
      </c>
      <c r="D1100" s="440">
        <v>0.1268639998699897</v>
      </c>
      <c r="E1100" s="440">
        <f t="shared" si="469"/>
        <v>25.781172613609421</v>
      </c>
      <c r="F1100" s="441"/>
      <c r="G1100" s="440">
        <v>9.7425405518830637</v>
      </c>
      <c r="H1100" s="440">
        <v>12.008573284288374</v>
      </c>
      <c r="I1100" s="440">
        <v>5.8702083762010783E-2</v>
      </c>
      <c r="J1100" s="440">
        <f t="shared" si="470"/>
        <v>21.809815919933449</v>
      </c>
      <c r="K1100" s="441"/>
      <c r="L1100" s="440">
        <v>6.3608175542027041</v>
      </c>
      <c r="M1100" s="440">
        <v>10.342561478861642</v>
      </c>
      <c r="N1100" s="440">
        <v>5.7189381152566603E-2</v>
      </c>
      <c r="O1100" s="440">
        <f t="shared" si="471"/>
        <v>16.760568414216912</v>
      </c>
    </row>
    <row r="1101" spans="1:15" s="351" customFormat="1" x14ac:dyDescent="0.2">
      <c r="A1101" s="362" t="str">
        <f>name!E$8</f>
        <v>Skilled trades occupations</v>
      </c>
      <c r="B1101" s="440">
        <v>1.8427763918207021</v>
      </c>
      <c r="C1101" s="440">
        <v>0.30353840092223366</v>
      </c>
      <c r="D1101" s="440">
        <v>0.16660012036773744</v>
      </c>
      <c r="E1101" s="440">
        <f t="shared" si="469"/>
        <v>2.312914913110673</v>
      </c>
      <c r="F1101" s="441"/>
      <c r="G1101" s="440">
        <v>0.95977941336061001</v>
      </c>
      <c r="H1101" s="440">
        <v>0.13640123530033918</v>
      </c>
      <c r="I1101" s="440">
        <v>0.1631168049533355</v>
      </c>
      <c r="J1101" s="440">
        <f>SUM(G1101:I1101)</f>
        <v>1.2592974536142847</v>
      </c>
      <c r="K1101" s="441"/>
      <c r="L1101" s="440">
        <v>0.78424249874093133</v>
      </c>
      <c r="M1101" s="440">
        <v>0.2128155823114079</v>
      </c>
      <c r="N1101" s="440">
        <v>0.17599844843605936</v>
      </c>
      <c r="O1101" s="440">
        <f t="shared" si="471"/>
        <v>1.1730565294883986</v>
      </c>
    </row>
    <row r="1102" spans="1:15" s="351" customFormat="1" x14ac:dyDescent="0.2">
      <c r="A1102" s="362" t="str">
        <f>name!E$9</f>
        <v>Caring, leisure and other service</v>
      </c>
      <c r="B1102" s="440">
        <v>3.4992251662671467</v>
      </c>
      <c r="C1102" s="440">
        <v>1.9563394097593225</v>
      </c>
      <c r="D1102" s="440">
        <v>0.13370012578488058</v>
      </c>
      <c r="E1102" s="440">
        <f t="shared" si="469"/>
        <v>5.5892647018113495</v>
      </c>
      <c r="F1102" s="441"/>
      <c r="G1102" s="440">
        <v>1.9474401280723819</v>
      </c>
      <c r="H1102" s="440">
        <v>2.7082583051335889</v>
      </c>
      <c r="I1102" s="440">
        <v>3.9267080802351778E-2</v>
      </c>
      <c r="J1102" s="440">
        <f t="shared" ref="J1102:J1105" si="472">SUM(G1102:I1102)</f>
        <v>4.6949655140083228</v>
      </c>
      <c r="K1102" s="441"/>
      <c r="L1102" s="440">
        <v>2.1310915135067798</v>
      </c>
      <c r="M1102" s="440">
        <v>3.6858827231058098</v>
      </c>
      <c r="N1102" s="440">
        <v>5.1574505501208401E-2</v>
      </c>
      <c r="O1102" s="440">
        <f t="shared" si="471"/>
        <v>5.8685487421137976</v>
      </c>
    </row>
    <row r="1103" spans="1:15" s="351" customFormat="1" x14ac:dyDescent="0.2">
      <c r="A1103" s="362" t="str">
        <f>name!E$10</f>
        <v>Sales and customer service</v>
      </c>
      <c r="B1103" s="440">
        <v>1.494447185599671</v>
      </c>
      <c r="C1103" s="440">
        <v>0.70545258741366434</v>
      </c>
      <c r="D1103" s="440">
        <v>2.6793953599394179E-2</v>
      </c>
      <c r="E1103" s="440">
        <f t="shared" si="469"/>
        <v>2.2266937266127296</v>
      </c>
      <c r="F1103" s="441"/>
      <c r="G1103" s="440">
        <v>1.0236438001531505</v>
      </c>
      <c r="H1103" s="440">
        <v>1.1654365928907218</v>
      </c>
      <c r="I1103" s="440">
        <v>1.1119448537518657E-2</v>
      </c>
      <c r="J1103" s="440">
        <f t="shared" si="472"/>
        <v>2.2001998415813908</v>
      </c>
      <c r="K1103" s="441"/>
      <c r="L1103" s="440">
        <v>0.90462755815900286</v>
      </c>
      <c r="M1103" s="440">
        <v>1.3310140141130828</v>
      </c>
      <c r="N1103" s="440">
        <v>1.2069934785374528E-2</v>
      </c>
      <c r="O1103" s="440">
        <f t="shared" si="471"/>
        <v>2.2477115070574603</v>
      </c>
    </row>
    <row r="1104" spans="1:15" s="351" customFormat="1" x14ac:dyDescent="0.2">
      <c r="A1104" s="362" t="str">
        <f>name!E$11</f>
        <v>Process, plant and machine operatives</v>
      </c>
      <c r="B1104" s="440">
        <v>1.1686914351921263</v>
      </c>
      <c r="C1104" s="440">
        <v>0.35217461099004066</v>
      </c>
      <c r="D1104" s="440">
        <v>4.023855013229196E-2</v>
      </c>
      <c r="E1104" s="440">
        <f t="shared" si="469"/>
        <v>1.5611045963144587</v>
      </c>
      <c r="F1104" s="441"/>
      <c r="G1104" s="440">
        <v>0.90565630780047213</v>
      </c>
      <c r="H1104" s="440">
        <v>0.38017728966977377</v>
      </c>
      <c r="I1104" s="440">
        <v>4.5437714469183856E-2</v>
      </c>
      <c r="J1104" s="440">
        <f t="shared" si="472"/>
        <v>1.3312713119394297</v>
      </c>
      <c r="K1104" s="441"/>
      <c r="L1104" s="440">
        <v>0.79475304046128192</v>
      </c>
      <c r="M1104" s="440">
        <v>0.38822377849493828</v>
      </c>
      <c r="N1104" s="440">
        <v>4.8455512711690206E-2</v>
      </c>
      <c r="O1104" s="440">
        <f t="shared" si="471"/>
        <v>1.2314323316679103</v>
      </c>
    </row>
    <row r="1105" spans="1:15" s="351" customFormat="1" x14ac:dyDescent="0.2">
      <c r="A1105" s="362" t="str">
        <f>name!E$12</f>
        <v>Elementary occupations</v>
      </c>
      <c r="B1105" s="440">
        <v>1.7397822733626029</v>
      </c>
      <c r="C1105" s="440">
        <v>3.1837328696790106</v>
      </c>
      <c r="D1105" s="440">
        <v>2.7550533514187622E-2</v>
      </c>
      <c r="E1105" s="440">
        <f t="shared" si="469"/>
        <v>4.9510656765558005</v>
      </c>
      <c r="F1105" s="441"/>
      <c r="G1105" s="440">
        <v>1.3601909182595657</v>
      </c>
      <c r="H1105" s="440">
        <v>1.2153191957921494</v>
      </c>
      <c r="I1105" s="440">
        <v>2.3536794467838129E-2</v>
      </c>
      <c r="J1105" s="440">
        <f t="shared" si="472"/>
        <v>2.5990469085195533</v>
      </c>
      <c r="K1105" s="441"/>
      <c r="L1105" s="440">
        <v>1.1190154980212925</v>
      </c>
      <c r="M1105" s="440">
        <v>1.1916253656950104</v>
      </c>
      <c r="N1105" s="440">
        <v>2.3858951586556366E-2</v>
      </c>
      <c r="O1105" s="440">
        <f t="shared" si="471"/>
        <v>2.3344998153028595</v>
      </c>
    </row>
    <row r="1106" spans="1:15" s="351" customFormat="1" x14ac:dyDescent="0.2">
      <c r="A1106" s="362"/>
      <c r="B1106" s="440"/>
      <c r="C1106" s="440"/>
      <c r="D1106" s="440"/>
      <c r="E1106" s="440"/>
      <c r="F1106" s="441"/>
      <c r="G1106" s="440"/>
      <c r="H1106" s="440"/>
      <c r="I1106" s="440"/>
      <c r="J1106" s="440"/>
      <c r="K1106" s="441"/>
      <c r="L1106" s="440"/>
      <c r="M1106" s="440"/>
      <c r="N1106" s="440"/>
      <c r="O1106" s="440"/>
    </row>
    <row r="1107" spans="1:15" s="351" customFormat="1" x14ac:dyDescent="0.2">
      <c r="A1107" s="357" t="s">
        <v>32</v>
      </c>
      <c r="B1107" s="450">
        <f>SUM(B1097:B1105)</f>
        <v>72.912000000363932</v>
      </c>
      <c r="C1107" s="450">
        <f t="shared" ref="C1107:E1107" si="473">SUM(C1097:C1105)</f>
        <v>20.94899999990632</v>
      </c>
      <c r="D1107" s="450">
        <f t="shared" si="473"/>
        <v>1.8379999999824539</v>
      </c>
      <c r="E1107" s="450">
        <f t="shared" si="473"/>
        <v>95.699000000252695</v>
      </c>
      <c r="F1107" s="450"/>
      <c r="G1107" s="450">
        <f t="shared" ref="G1107:J1107" si="474">SUM(G1097:G1105)</f>
        <v>52.924999999710963</v>
      </c>
      <c r="H1107" s="450">
        <f t="shared" si="474"/>
        <v>29.260999999677157</v>
      </c>
      <c r="I1107" s="450">
        <f t="shared" si="474"/>
        <v>1.3839999999629793</v>
      </c>
      <c r="J1107" s="450">
        <f t="shared" si="474"/>
        <v>83.569999999351111</v>
      </c>
      <c r="K1107" s="450"/>
      <c r="L1107" s="450">
        <f t="shared" ref="L1107:O1107" si="475">SUM(L1097:L1105)</f>
        <v>48.603000000283402</v>
      </c>
      <c r="M1107" s="450">
        <f t="shared" si="475"/>
        <v>32.578999999873503</v>
      </c>
      <c r="N1107" s="450">
        <f t="shared" si="475"/>
        <v>1.483999999995633</v>
      </c>
      <c r="O1107" s="450">
        <f t="shared" si="475"/>
        <v>82.66600000015255</v>
      </c>
    </row>
    <row r="1108" spans="1:15" s="351" customFormat="1" x14ac:dyDescent="0.2">
      <c r="A1108" s="348"/>
      <c r="B1108" s="348"/>
      <c r="C1108" s="348"/>
      <c r="D1108" s="348"/>
      <c r="E1108" s="348"/>
      <c r="F1108" s="348"/>
      <c r="G1108" s="348"/>
      <c r="H1108" s="348"/>
      <c r="I1108" s="348"/>
      <c r="J1108" s="348"/>
      <c r="K1108" s="348"/>
      <c r="L1108" s="348"/>
      <c r="M1108" s="348"/>
      <c r="N1108" s="353"/>
    </row>
    <row r="1109" spans="1:15" s="351" customFormat="1" x14ac:dyDescent="0.2">
      <c r="A1109" s="348"/>
      <c r="B1109" s="348"/>
      <c r="C1109" s="348"/>
      <c r="D1109" s="348"/>
      <c r="E1109" s="348"/>
      <c r="F1109" s="348"/>
      <c r="G1109" s="348"/>
      <c r="H1109" s="348"/>
      <c r="I1109" s="348"/>
      <c r="J1109" s="348"/>
      <c r="K1109" s="348"/>
      <c r="L1109" s="348"/>
      <c r="M1109" s="348"/>
      <c r="N1109" s="353"/>
      <c r="O1109" s="367" t="s">
        <v>35</v>
      </c>
    </row>
    <row r="1110" spans="1:15" s="351" customFormat="1" x14ac:dyDescent="0.2">
      <c r="A1110" s="355"/>
      <c r="B1110" s="355"/>
      <c r="C1110" s="355"/>
      <c r="D1110" s="355"/>
      <c r="E1110" s="355"/>
      <c r="F1110" s="355"/>
      <c r="G1110" s="355"/>
      <c r="H1110" s="355"/>
      <c r="I1110" s="355"/>
      <c r="J1110" s="355"/>
      <c r="K1110" s="355"/>
      <c r="L1110" s="355"/>
      <c r="M1110" s="355"/>
      <c r="N1110" s="355"/>
      <c r="O1110" s="355"/>
    </row>
    <row r="1111" spans="1:15" s="351" customFormat="1" x14ac:dyDescent="0.2">
      <c r="A1111" s="354" t="str">
        <f>name!A68</f>
        <v xml:space="preserve">Education </v>
      </c>
      <c r="B1111" s="519">
        <f>$B$6</f>
        <v>2007</v>
      </c>
      <c r="C1111" s="519"/>
      <c r="D1111" s="519"/>
      <c r="E1111" s="519"/>
      <c r="F1111" s="380"/>
      <c r="G1111" s="519">
        <f>$G$6</f>
        <v>2017</v>
      </c>
      <c r="H1111" s="519"/>
      <c r="I1111" s="519"/>
      <c r="J1111" s="519"/>
      <c r="K1111" s="380"/>
      <c r="L1111" s="519">
        <f>$L$6</f>
        <v>2027</v>
      </c>
      <c r="M1111" s="519"/>
      <c r="N1111" s="519"/>
      <c r="O1111" s="519"/>
    </row>
    <row r="1112" spans="1:15" s="351" customFormat="1" x14ac:dyDescent="0.2">
      <c r="A1112" s="370"/>
      <c r="B1112" s="388" t="str">
        <f>$B$7</f>
        <v>FT</v>
      </c>
      <c r="C1112" s="388" t="str">
        <f>$C$7</f>
        <v>PT</v>
      </c>
      <c r="D1112" s="388" t="str">
        <f>$D$7</f>
        <v>SE</v>
      </c>
      <c r="E1112" s="388" t="str">
        <f>$E$7</f>
        <v>Total</v>
      </c>
      <c r="F1112" s="388"/>
      <c r="G1112" s="388" t="str">
        <f>$G$7</f>
        <v>FT</v>
      </c>
      <c r="H1112" s="388" t="str">
        <f>$H$7</f>
        <v>PT</v>
      </c>
      <c r="I1112" s="388" t="str">
        <f>$I$7</f>
        <v>SE</v>
      </c>
      <c r="J1112" s="388" t="str">
        <f>$J$7</f>
        <v>Total</v>
      </c>
      <c r="K1112" s="388"/>
      <c r="L1112" s="388" t="str">
        <f>$L$7</f>
        <v>FT</v>
      </c>
      <c r="M1112" s="388" t="str">
        <f>$M$7</f>
        <v>PT</v>
      </c>
      <c r="N1112" s="388" t="str">
        <f>$N$7</f>
        <v>SE</v>
      </c>
      <c r="O1112" s="388" t="str">
        <f>$O$7</f>
        <v>Total</v>
      </c>
    </row>
    <row r="1113" spans="1:15" s="351" customFormat="1" x14ac:dyDescent="0.2">
      <c r="A1113" s="374"/>
      <c r="B1113" s="350"/>
      <c r="C1113" s="350"/>
      <c r="D1113" s="350"/>
      <c r="E1113" s="350"/>
      <c r="F1113" s="350"/>
      <c r="G1113" s="350"/>
      <c r="H1113" s="350"/>
      <c r="I1113" s="350"/>
      <c r="J1113" s="350"/>
      <c r="K1113" s="350"/>
      <c r="L1113" s="350"/>
      <c r="M1113" s="350"/>
      <c r="N1113" s="350"/>
      <c r="O1113" s="350"/>
    </row>
    <row r="1114" spans="1:15" s="351" customFormat="1" x14ac:dyDescent="0.2">
      <c r="A1114" s="362" t="str">
        <f>name!E$4</f>
        <v>Managers, directors and senior officials</v>
      </c>
      <c r="B1114" s="440">
        <v>0.78495582506166772</v>
      </c>
      <c r="C1114" s="440">
        <v>0.24839200439848433</v>
      </c>
      <c r="D1114" s="440">
        <v>0.1972596871235964</v>
      </c>
      <c r="E1114" s="440">
        <f>SUM(B1114:D1114)</f>
        <v>1.2306075165837485</v>
      </c>
      <c r="F1114" s="441"/>
      <c r="G1114" s="440">
        <v>1.4572842919463251</v>
      </c>
      <c r="H1114" s="440">
        <v>0.55544831088364066</v>
      </c>
      <c r="I1114" s="440">
        <v>0.76800519782329202</v>
      </c>
      <c r="J1114" s="440">
        <f>SUM(G1114:I1114)</f>
        <v>2.7807378006532577</v>
      </c>
      <c r="K1114" s="441"/>
      <c r="L1114" s="440">
        <v>1.2071059177564571</v>
      </c>
      <c r="M1114" s="440">
        <v>0.63341990501344025</v>
      </c>
      <c r="N1114" s="440">
        <v>0.65666062261264113</v>
      </c>
      <c r="O1114" s="440">
        <f>SUM(L1114:N1114)</f>
        <v>2.4971864453825385</v>
      </c>
    </row>
    <row r="1115" spans="1:15" s="351" customFormat="1" x14ac:dyDescent="0.2">
      <c r="A1115" s="362" t="str">
        <f>name!E$5</f>
        <v>Professional occupations</v>
      </c>
      <c r="B1115" s="440">
        <v>43.805841229499251</v>
      </c>
      <c r="C1115" s="440">
        <v>16.089298564622677</v>
      </c>
      <c r="D1115" s="440">
        <v>1.625299749775416</v>
      </c>
      <c r="E1115" s="440">
        <f t="shared" ref="E1115:E1122" si="476">SUM(B1115:D1115)</f>
        <v>61.520439543897346</v>
      </c>
      <c r="F1115" s="441"/>
      <c r="G1115" s="440">
        <v>50.864176484962144</v>
      </c>
      <c r="H1115" s="440">
        <v>27.389101436970176</v>
      </c>
      <c r="I1115" s="440">
        <v>3.814141941103065</v>
      </c>
      <c r="J1115" s="440">
        <f t="shared" ref="J1115:J1117" si="477">SUM(G1115:I1115)</f>
        <v>82.067419863035383</v>
      </c>
      <c r="K1115" s="441"/>
      <c r="L1115" s="440">
        <v>49.10925496528926</v>
      </c>
      <c r="M1115" s="440">
        <v>34.54232458640152</v>
      </c>
      <c r="N1115" s="440">
        <v>3.539239245131931</v>
      </c>
      <c r="O1115" s="440">
        <f t="shared" ref="O1115:O1122" si="478">SUM(L1115:N1115)</f>
        <v>87.190818796822725</v>
      </c>
    </row>
    <row r="1116" spans="1:15" s="351" customFormat="1" x14ac:dyDescent="0.2">
      <c r="A1116" s="362" t="str">
        <f>name!E$6</f>
        <v>Associate professional and technical</v>
      </c>
      <c r="B1116" s="440">
        <v>3.2895178347483505</v>
      </c>
      <c r="C1116" s="440">
        <v>2.4011055987617609</v>
      </c>
      <c r="D1116" s="440">
        <v>0.98914469141106043</v>
      </c>
      <c r="E1116" s="440">
        <f t="shared" si="476"/>
        <v>6.6797681249211722</v>
      </c>
      <c r="F1116" s="441"/>
      <c r="G1116" s="440">
        <v>5.0181243096595898</v>
      </c>
      <c r="H1116" s="440">
        <v>3.318565356031125</v>
      </c>
      <c r="I1116" s="440">
        <v>1.7180344647303996</v>
      </c>
      <c r="J1116" s="440">
        <f t="shared" si="477"/>
        <v>10.054724130421114</v>
      </c>
      <c r="K1116" s="441"/>
      <c r="L1116" s="440">
        <v>3.9174305098800208</v>
      </c>
      <c r="M1116" s="440">
        <v>3.77589457415952</v>
      </c>
      <c r="N1116" s="440">
        <v>1.1658117716543128</v>
      </c>
      <c r="O1116" s="440">
        <f t="shared" si="478"/>
        <v>8.8591368556938548</v>
      </c>
    </row>
    <row r="1117" spans="1:15" s="351" customFormat="1" x14ac:dyDescent="0.2">
      <c r="A1117" s="362" t="str">
        <f>name!E$7</f>
        <v>Administrative and secretarial</v>
      </c>
      <c r="B1117" s="440">
        <v>1.713044671275477</v>
      </c>
      <c r="C1117" s="440">
        <v>4.2682231895312315</v>
      </c>
      <c r="D1117" s="440">
        <v>5.6494706249368802E-2</v>
      </c>
      <c r="E1117" s="440">
        <f t="shared" si="476"/>
        <v>6.0377625670560775</v>
      </c>
      <c r="F1117" s="441"/>
      <c r="G1117" s="440">
        <v>2.1235692806883506</v>
      </c>
      <c r="H1117" s="440">
        <v>2.9773991336129941</v>
      </c>
      <c r="I1117" s="440">
        <v>0.20576528325562538</v>
      </c>
      <c r="J1117" s="440">
        <f t="shared" si="477"/>
        <v>5.3067336975569708</v>
      </c>
      <c r="K1117" s="441"/>
      <c r="L1117" s="440">
        <v>1.3023567961146434</v>
      </c>
      <c r="M1117" s="440">
        <v>1.3725371238750514</v>
      </c>
      <c r="N1117" s="440">
        <v>0.13487802981165639</v>
      </c>
      <c r="O1117" s="440">
        <f t="shared" si="478"/>
        <v>2.8097719498013514</v>
      </c>
    </row>
    <row r="1118" spans="1:15" s="351" customFormat="1" x14ac:dyDescent="0.2">
      <c r="A1118" s="362" t="str">
        <f>name!E$8</f>
        <v>Skilled trades occupations</v>
      </c>
      <c r="B1118" s="440">
        <v>0.7253897490862139</v>
      </c>
      <c r="C1118" s="440">
        <v>0.85943945571732228</v>
      </c>
      <c r="D1118" s="440">
        <v>4.8577366050741727E-2</v>
      </c>
      <c r="E1118" s="440">
        <f t="shared" si="476"/>
        <v>1.633406570854278</v>
      </c>
      <c r="F1118" s="441"/>
      <c r="G1118" s="440">
        <v>0.92595291981325978</v>
      </c>
      <c r="H1118" s="440">
        <v>0.63015564416014747</v>
      </c>
      <c r="I1118" s="440">
        <v>0.38450002561038676</v>
      </c>
      <c r="J1118" s="440">
        <f>SUM(G1118:I1118)</f>
        <v>1.9406085895837939</v>
      </c>
      <c r="K1118" s="441"/>
      <c r="L1118" s="440">
        <v>0.52377239790083163</v>
      </c>
      <c r="M1118" s="440">
        <v>0.31834879526396176</v>
      </c>
      <c r="N1118" s="440">
        <v>0.41072262441473839</v>
      </c>
      <c r="O1118" s="440">
        <f t="shared" si="478"/>
        <v>1.2528438175795318</v>
      </c>
    </row>
    <row r="1119" spans="1:15" s="351" customFormat="1" x14ac:dyDescent="0.2">
      <c r="A1119" s="362" t="str">
        <f>name!E$9</f>
        <v>Caring, leisure and other service</v>
      </c>
      <c r="B1119" s="440">
        <v>9.5660455402013689</v>
      </c>
      <c r="C1119" s="440">
        <v>12.975423273776771</v>
      </c>
      <c r="D1119" s="440">
        <v>0.33542025827016619</v>
      </c>
      <c r="E1119" s="440">
        <f t="shared" si="476"/>
        <v>22.876889072248307</v>
      </c>
      <c r="F1119" s="441"/>
      <c r="G1119" s="440">
        <v>9.0936146692755866</v>
      </c>
      <c r="H1119" s="440">
        <v>17.521011935046708</v>
      </c>
      <c r="I1119" s="440">
        <v>1.6201787900674458</v>
      </c>
      <c r="J1119" s="440">
        <f t="shared" ref="J1119:J1122" si="479">SUM(G1119:I1119)</f>
        <v>28.234805394389742</v>
      </c>
      <c r="K1119" s="441"/>
      <c r="L1119" s="440">
        <v>7.7946043738397446</v>
      </c>
      <c r="M1119" s="440">
        <v>20.455035472204344</v>
      </c>
      <c r="N1119" s="440">
        <v>1.4491254911916216</v>
      </c>
      <c r="O1119" s="440">
        <f t="shared" si="478"/>
        <v>29.698765337235713</v>
      </c>
    </row>
    <row r="1120" spans="1:15" s="351" customFormat="1" x14ac:dyDescent="0.2">
      <c r="A1120" s="362" t="str">
        <f>name!E$10</f>
        <v>Sales and customer service</v>
      </c>
      <c r="B1120" s="440">
        <v>0.11947568312364847</v>
      </c>
      <c r="C1120" s="440">
        <v>0.19151181418537896</v>
      </c>
      <c r="D1120" s="440">
        <v>1.872091641080598E-2</v>
      </c>
      <c r="E1120" s="440">
        <f t="shared" si="476"/>
        <v>0.32970841371983339</v>
      </c>
      <c r="F1120" s="441"/>
      <c r="G1120" s="440">
        <v>0.19239967364998084</v>
      </c>
      <c r="H1120" s="440">
        <v>0.24664686255221618</v>
      </c>
      <c r="I1120" s="440">
        <v>0.16362159261859141</v>
      </c>
      <c r="J1120" s="440">
        <f t="shared" si="479"/>
        <v>0.60266812882078846</v>
      </c>
      <c r="K1120" s="441"/>
      <c r="L1120" s="440">
        <v>0.15638641806108022</v>
      </c>
      <c r="M1120" s="440">
        <v>0.19397266255352139</v>
      </c>
      <c r="N1120" s="440">
        <v>0.16590567425287014</v>
      </c>
      <c r="O1120" s="440">
        <f t="shared" si="478"/>
        <v>0.51626475486747181</v>
      </c>
    </row>
    <row r="1121" spans="1:15" s="351" customFormat="1" x14ac:dyDescent="0.2">
      <c r="A1121" s="362" t="str">
        <f>name!E$11</f>
        <v>Process, plant and machine operatives</v>
      </c>
      <c r="B1121" s="440">
        <v>0.35587208813499921</v>
      </c>
      <c r="C1121" s="440">
        <v>0.33580158448094893</v>
      </c>
      <c r="D1121" s="440">
        <v>1.6057782329372203</v>
      </c>
      <c r="E1121" s="440">
        <f t="shared" si="476"/>
        <v>2.2974519055531686</v>
      </c>
      <c r="F1121" s="441"/>
      <c r="G1121" s="440">
        <v>0.24100431411967299</v>
      </c>
      <c r="H1121" s="440">
        <v>0.27786670247333251</v>
      </c>
      <c r="I1121" s="440">
        <v>1.5270480528589456</v>
      </c>
      <c r="J1121" s="440">
        <f t="shared" si="479"/>
        <v>2.0459190694519513</v>
      </c>
      <c r="K1121" s="441"/>
      <c r="L1121" s="440">
        <v>0.17635719342135539</v>
      </c>
      <c r="M1121" s="440">
        <v>0.25454797352554481</v>
      </c>
      <c r="N1121" s="440">
        <v>1.4321872098739614</v>
      </c>
      <c r="O1121" s="440">
        <f t="shared" si="478"/>
        <v>1.8630923768208616</v>
      </c>
    </row>
    <row r="1122" spans="1:15" s="351" customFormat="1" x14ac:dyDescent="0.2">
      <c r="A1122" s="362" t="str">
        <f>name!E$12</f>
        <v>Elementary occupations</v>
      </c>
      <c r="B1122" s="440">
        <v>0.68085738302348775</v>
      </c>
      <c r="C1122" s="440">
        <v>18.069804514219189</v>
      </c>
      <c r="D1122" s="440">
        <v>9.7304391789704778E-2</v>
      </c>
      <c r="E1122" s="440">
        <f t="shared" si="476"/>
        <v>18.847966289032382</v>
      </c>
      <c r="F1122" s="441"/>
      <c r="G1122" s="440">
        <v>1.1898740574201709</v>
      </c>
      <c r="H1122" s="440">
        <v>4.7458046154562963</v>
      </c>
      <c r="I1122" s="440">
        <v>0.47370465185375438</v>
      </c>
      <c r="J1122" s="440">
        <f t="shared" si="479"/>
        <v>6.4093833247302214</v>
      </c>
      <c r="K1122" s="441"/>
      <c r="L1122" s="440">
        <v>0.95073143077140421</v>
      </c>
      <c r="M1122" s="440">
        <v>0.67891890555687751</v>
      </c>
      <c r="N1122" s="440">
        <v>0.50546933093615876</v>
      </c>
      <c r="O1122" s="440">
        <f t="shared" si="478"/>
        <v>2.1351196672644406</v>
      </c>
    </row>
    <row r="1123" spans="1:15" s="351" customFormat="1" x14ac:dyDescent="0.2">
      <c r="A1123" s="362"/>
      <c r="B1123" s="440"/>
      <c r="C1123" s="440"/>
      <c r="D1123" s="440"/>
      <c r="E1123" s="440"/>
      <c r="F1123" s="441"/>
      <c r="G1123" s="440"/>
      <c r="H1123" s="440"/>
      <c r="I1123" s="440"/>
      <c r="J1123" s="440"/>
      <c r="K1123" s="441"/>
      <c r="L1123" s="440"/>
      <c r="M1123" s="440"/>
      <c r="N1123" s="440"/>
      <c r="O1123" s="440"/>
    </row>
    <row r="1124" spans="1:15" s="351" customFormat="1" x14ac:dyDescent="0.2">
      <c r="A1124" s="357" t="s">
        <v>32</v>
      </c>
      <c r="B1124" s="450">
        <f>SUM(B1114:B1122)</f>
        <v>61.041000004154455</v>
      </c>
      <c r="C1124" s="450">
        <f t="shared" ref="C1124:E1124" si="480">SUM(C1114:C1122)</f>
        <v>55.438999999693763</v>
      </c>
      <c r="D1124" s="450">
        <f t="shared" si="480"/>
        <v>4.97400000001808</v>
      </c>
      <c r="E1124" s="450">
        <f t="shared" si="480"/>
        <v>121.45400000386631</v>
      </c>
      <c r="F1124" s="450"/>
      <c r="G1124" s="450">
        <f t="shared" ref="G1124:J1124" si="481">SUM(G1114:G1122)</f>
        <v>71.106000001535094</v>
      </c>
      <c r="H1124" s="450">
        <f t="shared" si="481"/>
        <v>57.661999997186633</v>
      </c>
      <c r="I1124" s="450">
        <f t="shared" si="481"/>
        <v>10.674999999921507</v>
      </c>
      <c r="J1124" s="450">
        <f t="shared" si="481"/>
        <v>139.44299999864322</v>
      </c>
      <c r="K1124" s="450"/>
      <c r="L1124" s="450">
        <f t="shared" ref="L1124:O1124" si="482">SUM(L1114:L1122)</f>
        <v>65.13800000303479</v>
      </c>
      <c r="M1124" s="450">
        <f t="shared" si="482"/>
        <v>62.224999998553784</v>
      </c>
      <c r="N1124" s="450">
        <f t="shared" si="482"/>
        <v>9.4599999998798907</v>
      </c>
      <c r="O1124" s="450">
        <f t="shared" si="482"/>
        <v>136.8230000014685</v>
      </c>
    </row>
    <row r="1125" spans="1:15" s="351" customFormat="1" x14ac:dyDescent="0.2">
      <c r="A1125" s="348"/>
      <c r="B1125" s="348"/>
      <c r="C1125" s="348"/>
      <c r="D1125" s="348"/>
      <c r="E1125" s="348"/>
      <c r="F1125" s="348"/>
      <c r="G1125" s="348"/>
      <c r="H1125" s="348"/>
      <c r="I1125" s="348"/>
      <c r="J1125" s="348"/>
      <c r="K1125" s="348"/>
      <c r="L1125" s="348"/>
      <c r="M1125" s="348"/>
      <c r="N1125" s="353"/>
    </row>
    <row r="1126" spans="1:15" s="351" customFormat="1" x14ac:dyDescent="0.2">
      <c r="A1126" s="348"/>
      <c r="B1126" s="348"/>
      <c r="C1126" s="348"/>
      <c r="D1126" s="348"/>
      <c r="E1126" s="348"/>
      <c r="F1126" s="348"/>
      <c r="G1126" s="348"/>
      <c r="H1126" s="348"/>
      <c r="I1126" s="348"/>
      <c r="J1126" s="348"/>
      <c r="K1126" s="348"/>
      <c r="L1126" s="348"/>
      <c r="M1126" s="348"/>
      <c r="N1126" s="353"/>
      <c r="O1126" s="367" t="s">
        <v>35</v>
      </c>
    </row>
    <row r="1127" spans="1:15" s="351" customFormat="1" x14ac:dyDescent="0.2">
      <c r="A1127" s="355"/>
      <c r="B1127" s="355"/>
      <c r="C1127" s="355"/>
      <c r="D1127" s="355"/>
      <c r="E1127" s="355"/>
      <c r="F1127" s="355"/>
      <c r="G1127" s="355"/>
      <c r="H1127" s="355"/>
      <c r="I1127" s="355"/>
      <c r="J1127" s="355"/>
      <c r="K1127" s="355"/>
      <c r="L1127" s="355"/>
      <c r="M1127" s="355"/>
      <c r="N1127" s="355"/>
      <c r="O1127" s="355"/>
    </row>
    <row r="1128" spans="1:15" s="351" customFormat="1" x14ac:dyDescent="0.2">
      <c r="A1128" s="354" t="str">
        <f>name!A69</f>
        <v>Health</v>
      </c>
      <c r="B1128" s="519">
        <f>$B$6</f>
        <v>2007</v>
      </c>
      <c r="C1128" s="519"/>
      <c r="D1128" s="519"/>
      <c r="E1128" s="519"/>
      <c r="F1128" s="380"/>
      <c r="G1128" s="519">
        <f>$G$6</f>
        <v>2017</v>
      </c>
      <c r="H1128" s="519"/>
      <c r="I1128" s="519"/>
      <c r="J1128" s="519"/>
      <c r="K1128" s="380"/>
      <c r="L1128" s="519">
        <f>$L$6</f>
        <v>2027</v>
      </c>
      <c r="M1128" s="519"/>
      <c r="N1128" s="519"/>
      <c r="O1128" s="519"/>
    </row>
    <row r="1129" spans="1:15" s="351" customFormat="1" x14ac:dyDescent="0.2">
      <c r="A1129" s="370"/>
      <c r="B1129" s="388" t="str">
        <f>$B$7</f>
        <v>FT</v>
      </c>
      <c r="C1129" s="388" t="str">
        <f>$C$7</f>
        <v>PT</v>
      </c>
      <c r="D1129" s="388" t="str">
        <f>$D$7</f>
        <v>SE</v>
      </c>
      <c r="E1129" s="388" t="str">
        <f>$E$7</f>
        <v>Total</v>
      </c>
      <c r="F1129" s="388"/>
      <c r="G1129" s="388" t="str">
        <f>$G$7</f>
        <v>FT</v>
      </c>
      <c r="H1129" s="388" t="str">
        <f>$H$7</f>
        <v>PT</v>
      </c>
      <c r="I1129" s="388" t="str">
        <f>$I$7</f>
        <v>SE</v>
      </c>
      <c r="J1129" s="388" t="str">
        <f>$J$7</f>
        <v>Total</v>
      </c>
      <c r="K1129" s="388"/>
      <c r="L1129" s="388" t="str">
        <f>$L$7</f>
        <v>FT</v>
      </c>
      <c r="M1129" s="388" t="str">
        <f>$M$7</f>
        <v>PT</v>
      </c>
      <c r="N1129" s="388" t="str">
        <f>$N$7</f>
        <v>SE</v>
      </c>
      <c r="O1129" s="388" t="str">
        <f>$O$7</f>
        <v>Total</v>
      </c>
    </row>
    <row r="1130" spans="1:15" s="351" customFormat="1" x14ac:dyDescent="0.2">
      <c r="A1130" s="374"/>
      <c r="B1130" s="350"/>
      <c r="C1130" s="350"/>
      <c r="D1130" s="350"/>
      <c r="E1130" s="350"/>
      <c r="F1130" s="350"/>
      <c r="G1130" s="350"/>
      <c r="H1130" s="350"/>
      <c r="I1130" s="350"/>
      <c r="J1130" s="350"/>
      <c r="K1130" s="350"/>
      <c r="L1130" s="350"/>
      <c r="M1130" s="350"/>
      <c r="N1130" s="350"/>
      <c r="O1130" s="350"/>
    </row>
    <row r="1131" spans="1:15" s="351" customFormat="1" x14ac:dyDescent="0.2">
      <c r="A1131" s="362" t="str">
        <f>name!E$4</f>
        <v>Managers, directors and senior officials</v>
      </c>
      <c r="B1131" s="440">
        <v>1.539760085565353</v>
      </c>
      <c r="C1131" s="440">
        <v>0.72375662967778531</v>
      </c>
      <c r="D1131" s="440">
        <v>0.55546985116085157</v>
      </c>
      <c r="E1131" s="440">
        <f>SUM(B1131:D1131)</f>
        <v>2.8189865664039901</v>
      </c>
      <c r="F1131" s="441"/>
      <c r="G1131" s="440">
        <v>3.1594427619047667</v>
      </c>
      <c r="H1131" s="440">
        <v>0.93377695537553085</v>
      </c>
      <c r="I1131" s="440">
        <v>0.54522480071454227</v>
      </c>
      <c r="J1131" s="440">
        <f>SUM(G1131:I1131)</f>
        <v>4.6384445179948397</v>
      </c>
      <c r="K1131" s="441"/>
      <c r="L1131" s="440">
        <v>3.6576889309276965</v>
      </c>
      <c r="M1131" s="440">
        <v>1.1670530267039914</v>
      </c>
      <c r="N1131" s="440">
        <v>0.61056731957518773</v>
      </c>
      <c r="O1131" s="440">
        <f>SUM(L1131:N1131)</f>
        <v>5.4353092772068763</v>
      </c>
    </row>
    <row r="1132" spans="1:15" s="351" customFormat="1" x14ac:dyDescent="0.2">
      <c r="A1132" s="362" t="str">
        <f>name!E$5</f>
        <v>Professional occupations</v>
      </c>
      <c r="B1132" s="440">
        <v>19.086826352132334</v>
      </c>
      <c r="C1132" s="440">
        <v>10.756660794296906</v>
      </c>
      <c r="D1132" s="440">
        <v>3.0954003305005138</v>
      </c>
      <c r="E1132" s="440">
        <f t="shared" ref="E1132:E1139" si="483">SUM(B1132:D1132)</f>
        <v>32.93888747692975</v>
      </c>
      <c r="F1132" s="441"/>
      <c r="G1132" s="440">
        <v>35.609670521911667</v>
      </c>
      <c r="H1132" s="440">
        <v>15.035395909006093</v>
      </c>
      <c r="I1132" s="440">
        <v>3.4480912434677258</v>
      </c>
      <c r="J1132" s="440">
        <f t="shared" ref="J1132:J1134" si="484">SUM(G1132:I1132)</f>
        <v>54.093157674385481</v>
      </c>
      <c r="K1132" s="441"/>
      <c r="L1132" s="440">
        <v>41.573318109918603</v>
      </c>
      <c r="M1132" s="440">
        <v>17.894511735012916</v>
      </c>
      <c r="N1132" s="440">
        <v>3.4783113480365966</v>
      </c>
      <c r="O1132" s="440">
        <f t="shared" ref="O1132:O1139" si="485">SUM(L1132:N1132)</f>
        <v>62.946141192968113</v>
      </c>
    </row>
    <row r="1133" spans="1:15" s="351" customFormat="1" x14ac:dyDescent="0.2">
      <c r="A1133" s="362" t="str">
        <f>name!E$6</f>
        <v>Associate professional and technical</v>
      </c>
      <c r="B1133" s="440">
        <v>7.0547520427506436</v>
      </c>
      <c r="C1133" s="440">
        <v>4.1488830871793372</v>
      </c>
      <c r="D1133" s="440">
        <v>0.80801272741384011</v>
      </c>
      <c r="E1133" s="440">
        <f t="shared" si="483"/>
        <v>12.011647857343823</v>
      </c>
      <c r="F1133" s="441"/>
      <c r="G1133" s="440">
        <v>13.141445847306667</v>
      </c>
      <c r="H1133" s="440">
        <v>5.4054953802725905</v>
      </c>
      <c r="I1133" s="440">
        <v>0.89113498818896908</v>
      </c>
      <c r="J1133" s="440">
        <f t="shared" si="484"/>
        <v>19.438076215768227</v>
      </c>
      <c r="K1133" s="441"/>
      <c r="L1133" s="440">
        <v>15.126625053998563</v>
      </c>
      <c r="M1133" s="440">
        <v>6.5325359006353345</v>
      </c>
      <c r="N1133" s="440">
        <v>0.91941210321377709</v>
      </c>
      <c r="O1133" s="440">
        <f t="shared" si="485"/>
        <v>22.578573057847674</v>
      </c>
    </row>
    <row r="1134" spans="1:15" s="351" customFormat="1" x14ac:dyDescent="0.2">
      <c r="A1134" s="362" t="str">
        <f>name!E$7</f>
        <v>Administrative and secretarial</v>
      </c>
      <c r="B1134" s="440">
        <v>2.4873872515502358</v>
      </c>
      <c r="C1134" s="440">
        <v>6.9853566398650857</v>
      </c>
      <c r="D1134" s="440">
        <v>8.0913967769258313E-2</v>
      </c>
      <c r="E1134" s="440">
        <f t="shared" si="483"/>
        <v>9.5536578591845807</v>
      </c>
      <c r="F1134" s="441"/>
      <c r="G1134" s="440">
        <v>4.0798119197172245</v>
      </c>
      <c r="H1134" s="440">
        <v>5.0616560073548698</v>
      </c>
      <c r="I1134" s="440">
        <v>9.004512644687708E-2</v>
      </c>
      <c r="J1134" s="440">
        <f t="shared" si="484"/>
        <v>9.231513053518972</v>
      </c>
      <c r="K1134" s="441"/>
      <c r="L1134" s="440">
        <v>2.8870846097709046</v>
      </c>
      <c r="M1134" s="440">
        <v>2.6551981710358041</v>
      </c>
      <c r="N1134" s="440">
        <v>4.4327761753962983E-2</v>
      </c>
      <c r="O1134" s="440">
        <f t="shared" si="485"/>
        <v>5.5866105425606714</v>
      </c>
    </row>
    <row r="1135" spans="1:15" s="351" customFormat="1" x14ac:dyDescent="0.2">
      <c r="A1135" s="362" t="str">
        <f>name!E$8</f>
        <v>Skilled trades occupations</v>
      </c>
      <c r="B1135" s="440">
        <v>0.9078241922819601</v>
      </c>
      <c r="C1135" s="440">
        <v>1.0912671503320868</v>
      </c>
      <c r="D1135" s="440">
        <v>0.14865705813124702</v>
      </c>
      <c r="E1135" s="440">
        <f t="shared" si="483"/>
        <v>2.1477484007452938</v>
      </c>
      <c r="F1135" s="441"/>
      <c r="G1135" s="440">
        <v>0.77341908392156533</v>
      </c>
      <c r="H1135" s="440">
        <v>0.62847960905593048</v>
      </c>
      <c r="I1135" s="440">
        <v>0.18161645761909898</v>
      </c>
      <c r="J1135" s="440">
        <f>SUM(G1135:I1135)</f>
        <v>1.583515150596595</v>
      </c>
      <c r="K1135" s="441"/>
      <c r="L1135" s="440">
        <v>0.49749015000217955</v>
      </c>
      <c r="M1135" s="440">
        <v>0.44322326709420029</v>
      </c>
      <c r="N1135" s="440">
        <v>0.19331044490592944</v>
      </c>
      <c r="O1135" s="440">
        <f t="shared" si="485"/>
        <v>1.1340238620023093</v>
      </c>
    </row>
    <row r="1136" spans="1:15" s="351" customFormat="1" x14ac:dyDescent="0.2">
      <c r="A1136" s="362" t="str">
        <f>name!E$9</f>
        <v>Caring, leisure and other service</v>
      </c>
      <c r="B1136" s="440">
        <v>18.378261607284728</v>
      </c>
      <c r="C1136" s="440">
        <v>14.685276858010793</v>
      </c>
      <c r="D1136" s="440">
        <v>1.3696728119199275</v>
      </c>
      <c r="E1136" s="440">
        <f t="shared" si="483"/>
        <v>34.433211277215449</v>
      </c>
      <c r="F1136" s="441"/>
      <c r="G1136" s="440">
        <v>25.119110297843431</v>
      </c>
      <c r="H1136" s="440">
        <v>23.752289928958671</v>
      </c>
      <c r="I1136" s="440">
        <v>1.3735433958440124</v>
      </c>
      <c r="J1136" s="440">
        <f t="shared" ref="J1136:J1139" si="486">SUM(G1136:I1136)</f>
        <v>50.244943622646112</v>
      </c>
      <c r="K1136" s="441"/>
      <c r="L1136" s="440">
        <v>27.47122053243508</v>
      </c>
      <c r="M1136" s="440">
        <v>29.966345919862206</v>
      </c>
      <c r="N1136" s="440">
        <v>1.426199228416118</v>
      </c>
      <c r="O1136" s="440">
        <f t="shared" si="485"/>
        <v>58.863765680713406</v>
      </c>
    </row>
    <row r="1137" spans="1:15" s="351" customFormat="1" x14ac:dyDescent="0.2">
      <c r="A1137" s="362" t="str">
        <f>name!E$10</f>
        <v>Sales and customer service</v>
      </c>
      <c r="B1137" s="440">
        <v>0.45185043337213426</v>
      </c>
      <c r="C1137" s="440">
        <v>0.61140922275409904</v>
      </c>
      <c r="D1137" s="440">
        <v>4.28029529152094E-2</v>
      </c>
      <c r="E1137" s="440">
        <f t="shared" si="483"/>
        <v>1.1060626090414427</v>
      </c>
      <c r="F1137" s="441"/>
      <c r="G1137" s="440">
        <v>0.85755663607411547</v>
      </c>
      <c r="H1137" s="440">
        <v>0.71599018714042295</v>
      </c>
      <c r="I1137" s="440">
        <v>4.5582615935300157E-2</v>
      </c>
      <c r="J1137" s="440">
        <f t="shared" si="486"/>
        <v>1.6191294391498385</v>
      </c>
      <c r="K1137" s="441"/>
      <c r="L1137" s="440">
        <v>0.86363049909182121</v>
      </c>
      <c r="M1137" s="440">
        <v>0.71182287586811688</v>
      </c>
      <c r="N1137" s="440">
        <v>4.2797894270419627E-2</v>
      </c>
      <c r="O1137" s="440">
        <f t="shared" si="485"/>
        <v>1.6182512692303579</v>
      </c>
    </row>
    <row r="1138" spans="1:15" s="351" customFormat="1" x14ac:dyDescent="0.2">
      <c r="A1138" s="362" t="str">
        <f>name!E$11</f>
        <v>Process, plant and machine operatives</v>
      </c>
      <c r="B1138" s="440">
        <v>0.50018758944192421</v>
      </c>
      <c r="C1138" s="440">
        <v>0.65145762081907743</v>
      </c>
      <c r="D1138" s="440">
        <v>5.40198997965168E-2</v>
      </c>
      <c r="E1138" s="440">
        <f t="shared" si="483"/>
        <v>1.2056651100575186</v>
      </c>
      <c r="F1138" s="441"/>
      <c r="G1138" s="440">
        <v>0.50842868529261842</v>
      </c>
      <c r="H1138" s="440">
        <v>0.60390585013210307</v>
      </c>
      <c r="I1138" s="440">
        <v>3.8452018598120044E-2</v>
      </c>
      <c r="J1138" s="440">
        <f t="shared" si="486"/>
        <v>1.1507865540228417</v>
      </c>
      <c r="K1138" s="441"/>
      <c r="L1138" s="440">
        <v>0.2954719704639181</v>
      </c>
      <c r="M1138" s="440">
        <v>0.52918450224184177</v>
      </c>
      <c r="N1138" s="440">
        <v>2.9896543141289495E-2</v>
      </c>
      <c r="O1138" s="440">
        <f t="shared" si="485"/>
        <v>0.85455301584704946</v>
      </c>
    </row>
    <row r="1139" spans="1:15" s="351" customFormat="1" x14ac:dyDescent="0.2">
      <c r="A1139" s="362" t="str">
        <f>name!E$12</f>
        <v>Elementary occupations</v>
      </c>
      <c r="B1139" s="440">
        <v>1.0761504459729148</v>
      </c>
      <c r="C1139" s="440">
        <v>6.5699319965307783</v>
      </c>
      <c r="D1139" s="440">
        <v>2.6050400018236067E-2</v>
      </c>
      <c r="E1139" s="440">
        <f t="shared" si="483"/>
        <v>7.6721328425219291</v>
      </c>
      <c r="F1139" s="441"/>
      <c r="G1139" s="440">
        <v>1.3881142452772333</v>
      </c>
      <c r="H1139" s="440">
        <v>2.3720101716548423</v>
      </c>
      <c r="I1139" s="440">
        <v>8.63093527042713E-2</v>
      </c>
      <c r="J1139" s="440">
        <f t="shared" si="486"/>
        <v>3.8464337696363469</v>
      </c>
      <c r="K1139" s="441"/>
      <c r="L1139" s="440">
        <v>1.1314701440602419</v>
      </c>
      <c r="M1139" s="440">
        <v>1.6471246010859486</v>
      </c>
      <c r="N1139" s="440">
        <v>7.3177356401740751E-2</v>
      </c>
      <c r="O1139" s="440">
        <f t="shared" si="485"/>
        <v>2.8517721015479314</v>
      </c>
    </row>
    <row r="1140" spans="1:15" s="351" customFormat="1" x14ac:dyDescent="0.2">
      <c r="A1140" s="362"/>
      <c r="B1140" s="440"/>
      <c r="C1140" s="440"/>
      <c r="D1140" s="440"/>
      <c r="E1140" s="440"/>
      <c r="F1140" s="441"/>
      <c r="G1140" s="440"/>
      <c r="H1140" s="440"/>
      <c r="I1140" s="440"/>
      <c r="J1140" s="440"/>
      <c r="K1140" s="441"/>
      <c r="L1140" s="440"/>
      <c r="M1140" s="440"/>
      <c r="N1140" s="440"/>
      <c r="O1140" s="440"/>
    </row>
    <row r="1141" spans="1:15" s="351" customFormat="1" x14ac:dyDescent="0.2">
      <c r="A1141" s="357" t="s">
        <v>32</v>
      </c>
      <c r="B1141" s="450">
        <f>SUM(B1131:B1139)</f>
        <v>51.483000000352227</v>
      </c>
      <c r="C1141" s="450">
        <f t="shared" ref="C1141:E1141" si="487">SUM(C1131:C1139)</f>
        <v>46.223999999465946</v>
      </c>
      <c r="D1141" s="450">
        <f t="shared" si="487"/>
        <v>6.1809999996256</v>
      </c>
      <c r="E1141" s="450">
        <f t="shared" si="487"/>
        <v>103.88799999944379</v>
      </c>
      <c r="F1141" s="450"/>
      <c r="G1141" s="450">
        <f t="shared" ref="G1141:J1141" si="488">SUM(G1131:G1139)</f>
        <v>84.636999999249284</v>
      </c>
      <c r="H1141" s="450">
        <f t="shared" si="488"/>
        <v>54.508999998951055</v>
      </c>
      <c r="I1141" s="450">
        <f t="shared" si="488"/>
        <v>6.6999999995189174</v>
      </c>
      <c r="J1141" s="450">
        <f t="shared" si="488"/>
        <v>145.84599999771925</v>
      </c>
      <c r="K1141" s="450"/>
      <c r="L1141" s="450">
        <f t="shared" ref="L1141:O1141" si="489">SUM(L1131:L1139)</f>
        <v>93.504000000669009</v>
      </c>
      <c r="M1141" s="450">
        <f t="shared" si="489"/>
        <v>61.546999999540361</v>
      </c>
      <c r="N1141" s="450">
        <f t="shared" si="489"/>
        <v>6.8179999997150214</v>
      </c>
      <c r="O1141" s="450">
        <f t="shared" si="489"/>
        <v>161.86899999992443</v>
      </c>
    </row>
    <row r="1142" spans="1:15" s="351" customFormat="1" x14ac:dyDescent="0.2">
      <c r="A1142" s="348"/>
      <c r="B1142" s="348"/>
      <c r="C1142" s="348"/>
      <c r="D1142" s="348"/>
      <c r="E1142" s="348"/>
      <c r="F1142" s="348"/>
      <c r="G1142" s="348"/>
      <c r="H1142" s="348"/>
      <c r="I1142" s="348"/>
      <c r="J1142" s="348"/>
      <c r="K1142" s="348"/>
      <c r="L1142" s="348"/>
      <c r="M1142" s="348"/>
      <c r="N1142" s="353"/>
    </row>
    <row r="1143" spans="1:15" s="351" customFormat="1" x14ac:dyDescent="0.2">
      <c r="A1143" s="348"/>
      <c r="B1143" s="348"/>
      <c r="C1143" s="348"/>
      <c r="D1143" s="348"/>
      <c r="E1143" s="348"/>
      <c r="F1143" s="348"/>
      <c r="G1143" s="348"/>
      <c r="H1143" s="348"/>
      <c r="I1143" s="348"/>
      <c r="J1143" s="348"/>
      <c r="K1143" s="348"/>
      <c r="L1143" s="348"/>
      <c r="M1143" s="348"/>
      <c r="N1143" s="353"/>
      <c r="O1143" s="367" t="s">
        <v>35</v>
      </c>
    </row>
    <row r="1144" spans="1:15" s="351" customFormat="1" x14ac:dyDescent="0.2">
      <c r="A1144" s="355"/>
      <c r="B1144" s="355"/>
      <c r="C1144" s="355"/>
      <c r="D1144" s="355"/>
      <c r="E1144" s="355"/>
      <c r="F1144" s="355"/>
      <c r="G1144" s="355"/>
      <c r="H1144" s="355"/>
      <c r="I1144" s="355"/>
      <c r="J1144" s="355"/>
      <c r="K1144" s="355"/>
      <c r="L1144" s="355"/>
      <c r="M1144" s="355"/>
      <c r="N1144" s="355"/>
      <c r="O1144" s="355"/>
    </row>
    <row r="1145" spans="1:15" s="351" customFormat="1" x14ac:dyDescent="0.2">
      <c r="A1145" s="354" t="str">
        <f>name!A70</f>
        <v>Residential care</v>
      </c>
      <c r="B1145" s="519">
        <f>$B$6</f>
        <v>2007</v>
      </c>
      <c r="C1145" s="519"/>
      <c r="D1145" s="519"/>
      <c r="E1145" s="519"/>
      <c r="F1145" s="380"/>
      <c r="G1145" s="519">
        <f>$G$6</f>
        <v>2017</v>
      </c>
      <c r="H1145" s="519"/>
      <c r="I1145" s="519"/>
      <c r="J1145" s="519"/>
      <c r="K1145" s="380"/>
      <c r="L1145" s="519">
        <f>$L$6</f>
        <v>2027</v>
      </c>
      <c r="M1145" s="519"/>
      <c r="N1145" s="519"/>
      <c r="O1145" s="519"/>
    </row>
    <row r="1146" spans="1:15" s="351" customFormat="1" x14ac:dyDescent="0.2">
      <c r="A1146" s="370"/>
      <c r="B1146" s="388" t="str">
        <f>$B$7</f>
        <v>FT</v>
      </c>
      <c r="C1146" s="388" t="str">
        <f>$C$7</f>
        <v>PT</v>
      </c>
      <c r="D1146" s="388" t="str">
        <f>$D$7</f>
        <v>SE</v>
      </c>
      <c r="E1146" s="388" t="str">
        <f>$E$7</f>
        <v>Total</v>
      </c>
      <c r="F1146" s="388"/>
      <c r="G1146" s="388" t="str">
        <f>$G$7</f>
        <v>FT</v>
      </c>
      <c r="H1146" s="388" t="str">
        <f>$H$7</f>
        <v>PT</v>
      </c>
      <c r="I1146" s="388" t="str">
        <f>$I$7</f>
        <v>SE</v>
      </c>
      <c r="J1146" s="388" t="str">
        <f>$J$7</f>
        <v>Total</v>
      </c>
      <c r="K1146" s="388"/>
      <c r="L1146" s="388" t="str">
        <f>$L$7</f>
        <v>FT</v>
      </c>
      <c r="M1146" s="388" t="str">
        <f>$M$7</f>
        <v>PT</v>
      </c>
      <c r="N1146" s="388" t="str">
        <f>$N$7</f>
        <v>SE</v>
      </c>
      <c r="O1146" s="388" t="str">
        <f>$O$7</f>
        <v>Total</v>
      </c>
    </row>
    <row r="1147" spans="1:15" s="351" customFormat="1" x14ac:dyDescent="0.2">
      <c r="A1147" s="374"/>
      <c r="B1147" s="350"/>
      <c r="C1147" s="350"/>
      <c r="D1147" s="350"/>
      <c r="E1147" s="350"/>
      <c r="F1147" s="350"/>
      <c r="G1147" s="350"/>
      <c r="H1147" s="350"/>
      <c r="I1147" s="350"/>
      <c r="J1147" s="350"/>
      <c r="K1147" s="350"/>
      <c r="L1147" s="350"/>
      <c r="M1147" s="350"/>
      <c r="N1147" s="350"/>
      <c r="O1147" s="350"/>
    </row>
    <row r="1148" spans="1:15" s="351" customFormat="1" x14ac:dyDescent="0.2">
      <c r="A1148" s="362" t="str">
        <f>name!E$4</f>
        <v>Managers, directors and senior officials</v>
      </c>
      <c r="B1148" s="440">
        <v>0.58484933014279394</v>
      </c>
      <c r="C1148" s="440">
        <v>0.24497076338720841</v>
      </c>
      <c r="D1148" s="440">
        <v>0.17631728054989923</v>
      </c>
      <c r="E1148" s="440">
        <f>SUM(B1148:D1148)</f>
        <v>1.0061373740799016</v>
      </c>
      <c r="F1148" s="441"/>
      <c r="G1148" s="440">
        <v>0.99909979624532452</v>
      </c>
      <c r="H1148" s="440">
        <v>0.34386053182785858</v>
      </c>
      <c r="I1148" s="440">
        <v>0.1373242956633583</v>
      </c>
      <c r="J1148" s="440">
        <f>SUM(G1148:I1148)</f>
        <v>1.4802846237365412</v>
      </c>
      <c r="K1148" s="441"/>
      <c r="L1148" s="440">
        <v>1.0693572749265006</v>
      </c>
      <c r="M1148" s="440">
        <v>0.42237351868273515</v>
      </c>
      <c r="N1148" s="440">
        <v>0.1411384064495336</v>
      </c>
      <c r="O1148" s="440">
        <f>SUM(L1148:N1148)</f>
        <v>1.6328692000587692</v>
      </c>
    </row>
    <row r="1149" spans="1:15" s="351" customFormat="1" x14ac:dyDescent="0.2">
      <c r="A1149" s="362" t="str">
        <f>name!E$5</f>
        <v>Professional occupations</v>
      </c>
      <c r="B1149" s="440">
        <v>7.2949617173321197</v>
      </c>
      <c r="C1149" s="440">
        <v>3.3367525669991172</v>
      </c>
      <c r="D1149" s="440">
        <v>0.8948609898653016</v>
      </c>
      <c r="E1149" s="440">
        <f t="shared" ref="E1149:E1156" si="490">SUM(B1149:D1149)</f>
        <v>11.526575274196539</v>
      </c>
      <c r="F1149" s="441"/>
      <c r="G1149" s="440">
        <v>11.217952001000516</v>
      </c>
      <c r="H1149" s="440">
        <v>5.0279528257421902</v>
      </c>
      <c r="I1149" s="440">
        <v>0.94462307112889432</v>
      </c>
      <c r="J1149" s="440">
        <f t="shared" ref="J1149:J1151" si="491">SUM(G1149:I1149)</f>
        <v>17.190527897871601</v>
      </c>
      <c r="K1149" s="441"/>
      <c r="L1149" s="440">
        <v>12.102398754233981</v>
      </c>
      <c r="M1149" s="440">
        <v>6.0112095853559309</v>
      </c>
      <c r="N1149" s="440">
        <v>0.97375215804728965</v>
      </c>
      <c r="O1149" s="440">
        <f t="shared" ref="O1149:O1156" si="492">SUM(L1149:N1149)</f>
        <v>19.087360497637203</v>
      </c>
    </row>
    <row r="1150" spans="1:15" s="351" customFormat="1" x14ac:dyDescent="0.2">
      <c r="A1150" s="362" t="str">
        <f>name!E$6</f>
        <v>Associate professional and technical</v>
      </c>
      <c r="B1150" s="440">
        <v>2.6888020374998374</v>
      </c>
      <c r="C1150" s="440">
        <v>1.3402968470960515</v>
      </c>
      <c r="D1150" s="440">
        <v>0.2873952501056567</v>
      </c>
      <c r="E1150" s="440">
        <f t="shared" si="490"/>
        <v>4.3164941347015464</v>
      </c>
      <c r="F1150" s="441"/>
      <c r="G1150" s="440">
        <v>4.1062552092122084</v>
      </c>
      <c r="H1150" s="440">
        <v>1.8883015650284349</v>
      </c>
      <c r="I1150" s="440">
        <v>0.26958146030826835</v>
      </c>
      <c r="J1150" s="440">
        <f t="shared" si="491"/>
        <v>6.2641382345489118</v>
      </c>
      <c r="K1150" s="441"/>
      <c r="L1150" s="440">
        <v>4.3483632406843071</v>
      </c>
      <c r="M1150" s="440">
        <v>2.2801605520761803</v>
      </c>
      <c r="N1150" s="440">
        <v>0.27406669989848315</v>
      </c>
      <c r="O1150" s="440">
        <f t="shared" si="492"/>
        <v>6.9025904926589714</v>
      </c>
    </row>
    <row r="1151" spans="1:15" s="351" customFormat="1" x14ac:dyDescent="0.2">
      <c r="A1151" s="362" t="str">
        <f>name!E$7</f>
        <v>Administrative and secretarial</v>
      </c>
      <c r="B1151" s="440">
        <v>0.96672243180418527</v>
      </c>
      <c r="C1151" s="440">
        <v>2.130367712894762</v>
      </c>
      <c r="D1151" s="440">
        <v>3.4352770263500684E-2</v>
      </c>
      <c r="E1151" s="440">
        <f t="shared" si="490"/>
        <v>3.1314429149624479</v>
      </c>
      <c r="F1151" s="441"/>
      <c r="G1151" s="440">
        <v>1.3138459483287763</v>
      </c>
      <c r="H1151" s="440">
        <v>1.6805026891419619</v>
      </c>
      <c r="I1151" s="440">
        <v>3.2533541486868892E-2</v>
      </c>
      <c r="J1151" s="440">
        <f t="shared" si="491"/>
        <v>3.026882178957607</v>
      </c>
      <c r="K1151" s="441"/>
      <c r="L1151" s="440">
        <v>0.86058045075917544</v>
      </c>
      <c r="M1151" s="440">
        <v>0.9068112207841198</v>
      </c>
      <c r="N1151" s="440">
        <v>1.309254138692896E-2</v>
      </c>
      <c r="O1151" s="440">
        <f t="shared" si="492"/>
        <v>1.7804842129302241</v>
      </c>
    </row>
    <row r="1152" spans="1:15" s="351" customFormat="1" x14ac:dyDescent="0.2">
      <c r="A1152" s="362" t="str">
        <f>name!E$8</f>
        <v>Skilled trades occupations</v>
      </c>
      <c r="B1152" s="440">
        <v>0.33486507165965501</v>
      </c>
      <c r="C1152" s="440">
        <v>0.36808944193404652</v>
      </c>
      <c r="D1152" s="440">
        <v>2.9824044146932644E-2</v>
      </c>
      <c r="E1152" s="440">
        <f t="shared" si="490"/>
        <v>0.73277855774063416</v>
      </c>
      <c r="F1152" s="441"/>
      <c r="G1152" s="440">
        <v>0.23417253422282033</v>
      </c>
      <c r="H1152" s="440">
        <v>0.23138266917591424</v>
      </c>
      <c r="I1152" s="440">
        <v>3.6763905370885711E-2</v>
      </c>
      <c r="J1152" s="440">
        <f>SUM(G1152:I1152)</f>
        <v>0.50231910876962027</v>
      </c>
      <c r="K1152" s="441"/>
      <c r="L1152" s="440">
        <v>0.13464120469753957</v>
      </c>
      <c r="M1152" s="440">
        <v>0.16953917289799161</v>
      </c>
      <c r="N1152" s="440">
        <v>3.8218019851359288E-2</v>
      </c>
      <c r="O1152" s="440">
        <f t="shared" si="492"/>
        <v>0.34239839744689049</v>
      </c>
    </row>
    <row r="1153" spans="1:15" s="351" customFormat="1" x14ac:dyDescent="0.2">
      <c r="A1153" s="362" t="str">
        <f>name!E$9</f>
        <v>Caring, leisure and other service</v>
      </c>
      <c r="B1153" s="440">
        <v>7.1664283653979899</v>
      </c>
      <c r="C1153" s="440">
        <v>4.5345999972167732</v>
      </c>
      <c r="D1153" s="440">
        <v>0.70390637198735651</v>
      </c>
      <c r="E1153" s="440">
        <f t="shared" si="490"/>
        <v>12.40493473460212</v>
      </c>
      <c r="F1153" s="441"/>
      <c r="G1153" s="440">
        <v>8.1401448167888084</v>
      </c>
      <c r="H1153" s="440">
        <v>7.8804118562724703</v>
      </c>
      <c r="I1153" s="440">
        <v>0.55691444523710876</v>
      </c>
      <c r="J1153" s="440">
        <f t="shared" ref="J1153:J1156" si="493">SUM(G1153:I1153)</f>
        <v>16.577471118298387</v>
      </c>
      <c r="K1153" s="441"/>
      <c r="L1153" s="440">
        <v>8.2842637181988508</v>
      </c>
      <c r="M1153" s="440">
        <v>10.05371509722595</v>
      </c>
      <c r="N1153" s="440">
        <v>0.5717208402687366</v>
      </c>
      <c r="O1153" s="440">
        <f t="shared" si="492"/>
        <v>18.909699655693537</v>
      </c>
    </row>
    <row r="1154" spans="1:15" s="351" customFormat="1" x14ac:dyDescent="0.2">
      <c r="A1154" s="362" t="str">
        <f>name!E$10</f>
        <v>Sales and customer service</v>
      </c>
      <c r="B1154" s="440">
        <v>0.17355585905076351</v>
      </c>
      <c r="C1154" s="440">
        <v>0.19546408271866741</v>
      </c>
      <c r="D1154" s="440">
        <v>1.5384137910484826E-2</v>
      </c>
      <c r="E1154" s="440">
        <f t="shared" si="490"/>
        <v>0.38440407967991574</v>
      </c>
      <c r="F1154" s="441"/>
      <c r="G1154" s="440">
        <v>0.27333742128696359</v>
      </c>
      <c r="H1154" s="440">
        <v>0.24453981477985956</v>
      </c>
      <c r="I1154" s="440">
        <v>1.5071554409531302E-2</v>
      </c>
      <c r="J1154" s="440">
        <f t="shared" si="493"/>
        <v>0.53294879047635446</v>
      </c>
      <c r="K1154" s="441"/>
      <c r="L1154" s="440">
        <v>0.25541754729807437</v>
      </c>
      <c r="M1154" s="440">
        <v>0.24185421396213194</v>
      </c>
      <c r="N1154" s="440">
        <v>1.3217309524006453E-2</v>
      </c>
      <c r="O1154" s="440">
        <f t="shared" si="492"/>
        <v>0.5104890707842128</v>
      </c>
    </row>
    <row r="1155" spans="1:15" s="351" customFormat="1" x14ac:dyDescent="0.2">
      <c r="A1155" s="362" t="str">
        <f>name!E$11</f>
        <v>Process, plant and machine operatives</v>
      </c>
      <c r="B1155" s="440">
        <v>0.18280510645184778</v>
      </c>
      <c r="C1155" s="440">
        <v>0.2457869099439306</v>
      </c>
      <c r="D1155" s="440">
        <v>8.5364482660266958E-3</v>
      </c>
      <c r="E1155" s="440">
        <f t="shared" si="490"/>
        <v>0.43712846466180505</v>
      </c>
      <c r="F1155" s="441"/>
      <c r="G1155" s="440">
        <v>0.15521282711004972</v>
      </c>
      <c r="H1155" s="440">
        <v>0.26591635706638395</v>
      </c>
      <c r="I1155" s="440">
        <v>7.7562199836647477E-3</v>
      </c>
      <c r="J1155" s="440">
        <f t="shared" si="493"/>
        <v>0.4288854041600984</v>
      </c>
      <c r="K1155" s="441"/>
      <c r="L1155" s="440">
        <v>7.7975701957122834E-2</v>
      </c>
      <c r="M1155" s="440">
        <v>0.23267903985632496</v>
      </c>
      <c r="N1155" s="440">
        <v>5.9622693191548832E-3</v>
      </c>
      <c r="O1155" s="440">
        <f t="shared" si="492"/>
        <v>0.31661701113260265</v>
      </c>
    </row>
    <row r="1156" spans="1:15" s="351" customFormat="1" x14ac:dyDescent="0.2">
      <c r="A1156" s="362" t="str">
        <f>name!E$12</f>
        <v>Elementary occupations</v>
      </c>
      <c r="B1156" s="440">
        <v>0.39301008080528577</v>
      </c>
      <c r="C1156" s="440">
        <v>2.0636716776557984</v>
      </c>
      <c r="D1156" s="440">
        <v>6.4227067953563531E-3</v>
      </c>
      <c r="E1156" s="440">
        <f t="shared" si="490"/>
        <v>2.4631044652564404</v>
      </c>
      <c r="F1156" s="441"/>
      <c r="G1156" s="440">
        <v>0.42497944556617517</v>
      </c>
      <c r="H1156" s="440">
        <v>0.86113169063059436</v>
      </c>
      <c r="I1156" s="440">
        <v>3.3431506256631882E-2</v>
      </c>
      <c r="J1156" s="440">
        <f t="shared" si="493"/>
        <v>1.3195426424534014</v>
      </c>
      <c r="K1156" s="441"/>
      <c r="L1156" s="440">
        <v>0.31700210741218227</v>
      </c>
      <c r="M1156" s="440">
        <v>0.62565759901468387</v>
      </c>
      <c r="N1156" s="440">
        <v>2.8831755148736805E-2</v>
      </c>
      <c r="O1156" s="440">
        <f t="shared" si="492"/>
        <v>0.97149146157560295</v>
      </c>
    </row>
    <row r="1157" spans="1:15" s="351" customFormat="1" x14ac:dyDescent="0.2">
      <c r="A1157" s="362"/>
      <c r="B1157" s="440"/>
      <c r="C1157" s="440"/>
      <c r="D1157" s="440"/>
      <c r="E1157" s="440"/>
      <c r="F1157" s="441"/>
      <c r="G1157" s="440"/>
      <c r="H1157" s="440"/>
      <c r="I1157" s="440"/>
      <c r="J1157" s="440"/>
      <c r="K1157" s="441"/>
      <c r="L1157" s="440"/>
      <c r="M1157" s="440"/>
      <c r="N1157" s="440"/>
      <c r="O1157" s="440"/>
    </row>
    <row r="1158" spans="1:15" s="351" customFormat="1" x14ac:dyDescent="0.2">
      <c r="A1158" s="357" t="s">
        <v>32</v>
      </c>
      <c r="B1158" s="450">
        <f>SUM(B1148:B1156)</f>
        <v>19.786000000144483</v>
      </c>
      <c r="C1158" s="450">
        <f t="shared" ref="C1158:E1158" si="494">SUM(C1148:C1156)</f>
        <v>14.459999999846353</v>
      </c>
      <c r="D1158" s="450">
        <f t="shared" si="494"/>
        <v>2.1569999998905152</v>
      </c>
      <c r="E1158" s="450">
        <f t="shared" si="494"/>
        <v>36.402999999881352</v>
      </c>
      <c r="F1158" s="450"/>
      <c r="G1158" s="450">
        <f t="shared" ref="G1158:J1158" si="495">SUM(G1148:G1156)</f>
        <v>26.864999999761643</v>
      </c>
      <c r="H1158" s="450">
        <f t="shared" si="495"/>
        <v>18.423999999665668</v>
      </c>
      <c r="I1158" s="450">
        <f t="shared" si="495"/>
        <v>2.0339999998452125</v>
      </c>
      <c r="J1158" s="450">
        <f t="shared" si="495"/>
        <v>47.322999999272518</v>
      </c>
      <c r="K1158" s="450"/>
      <c r="L1158" s="450">
        <f t="shared" ref="L1158:O1158" si="496">SUM(L1148:L1156)</f>
        <v>27.450000000167737</v>
      </c>
      <c r="M1158" s="450">
        <f t="shared" si="496"/>
        <v>20.94399999985605</v>
      </c>
      <c r="N1158" s="450">
        <f t="shared" si="496"/>
        <v>2.0599999998942291</v>
      </c>
      <c r="O1158" s="450">
        <f t="shared" si="496"/>
        <v>50.453999999918004</v>
      </c>
    </row>
    <row r="1159" spans="1:15" s="351" customFormat="1" x14ac:dyDescent="0.2">
      <c r="A1159" s="348"/>
      <c r="B1159" s="348"/>
      <c r="C1159" s="348"/>
      <c r="D1159" s="348"/>
      <c r="E1159" s="348"/>
      <c r="F1159" s="348"/>
      <c r="G1159" s="348"/>
      <c r="H1159" s="348"/>
      <c r="I1159" s="348"/>
      <c r="J1159" s="348"/>
      <c r="K1159" s="348"/>
      <c r="L1159" s="348"/>
      <c r="M1159" s="348"/>
      <c r="N1159" s="353"/>
    </row>
    <row r="1160" spans="1:15" s="351" customFormat="1" x14ac:dyDescent="0.2">
      <c r="A1160" s="348"/>
      <c r="B1160" s="348"/>
      <c r="C1160" s="348"/>
      <c r="D1160" s="348"/>
      <c r="E1160" s="348"/>
      <c r="F1160" s="348"/>
      <c r="G1160" s="348"/>
      <c r="H1160" s="348"/>
      <c r="I1160" s="348"/>
      <c r="J1160" s="348"/>
      <c r="K1160" s="348"/>
      <c r="L1160" s="348"/>
      <c r="M1160" s="348"/>
      <c r="N1160" s="353"/>
      <c r="O1160" s="367" t="s">
        <v>35</v>
      </c>
    </row>
    <row r="1161" spans="1:15" s="351" customFormat="1" x14ac:dyDescent="0.2">
      <c r="A1161" s="355"/>
      <c r="B1161" s="355"/>
      <c r="C1161" s="355"/>
      <c r="D1161" s="355"/>
      <c r="E1161" s="355"/>
      <c r="F1161" s="355"/>
      <c r="G1161" s="355"/>
      <c r="H1161" s="355"/>
      <c r="I1161" s="355"/>
      <c r="J1161" s="355"/>
      <c r="K1161" s="355"/>
      <c r="L1161" s="355"/>
      <c r="M1161" s="355"/>
      <c r="N1161" s="355"/>
      <c r="O1161" s="355"/>
    </row>
    <row r="1162" spans="1:15" s="351" customFormat="1" x14ac:dyDescent="0.2">
      <c r="A1162" s="354" t="str">
        <f>name!A71</f>
        <v>Social work</v>
      </c>
      <c r="B1162" s="519">
        <f>$B$6</f>
        <v>2007</v>
      </c>
      <c r="C1162" s="519"/>
      <c r="D1162" s="519"/>
      <c r="E1162" s="519"/>
      <c r="F1162" s="380"/>
      <c r="G1162" s="519">
        <f>$G$6</f>
        <v>2017</v>
      </c>
      <c r="H1162" s="519"/>
      <c r="I1162" s="519"/>
      <c r="J1162" s="519"/>
      <c r="K1162" s="380"/>
      <c r="L1162" s="519">
        <f>$L$6</f>
        <v>2027</v>
      </c>
      <c r="M1162" s="519"/>
      <c r="N1162" s="519"/>
      <c r="O1162" s="519"/>
    </row>
    <row r="1163" spans="1:15" s="351" customFormat="1" x14ac:dyDescent="0.2">
      <c r="A1163" s="370"/>
      <c r="B1163" s="388" t="str">
        <f>$B$7</f>
        <v>FT</v>
      </c>
      <c r="C1163" s="388" t="str">
        <f>$C$7</f>
        <v>PT</v>
      </c>
      <c r="D1163" s="388" t="str">
        <f>$D$7</f>
        <v>SE</v>
      </c>
      <c r="E1163" s="388" t="str">
        <f>$E$7</f>
        <v>Total</v>
      </c>
      <c r="F1163" s="388"/>
      <c r="G1163" s="388" t="str">
        <f>$G$7</f>
        <v>FT</v>
      </c>
      <c r="H1163" s="388" t="str">
        <f>$H$7</f>
        <v>PT</v>
      </c>
      <c r="I1163" s="388" t="str">
        <f>$I$7</f>
        <v>SE</v>
      </c>
      <c r="J1163" s="388" t="str">
        <f>$J$7</f>
        <v>Total</v>
      </c>
      <c r="K1163" s="388"/>
      <c r="L1163" s="388" t="str">
        <f>$L$7</f>
        <v>FT</v>
      </c>
      <c r="M1163" s="388" t="str">
        <f>$M$7</f>
        <v>PT</v>
      </c>
      <c r="N1163" s="388" t="str">
        <f>$N$7</f>
        <v>SE</v>
      </c>
      <c r="O1163" s="388" t="str">
        <f>$O$7</f>
        <v>Total</v>
      </c>
    </row>
    <row r="1164" spans="1:15" s="351" customFormat="1" x14ac:dyDescent="0.2">
      <c r="A1164" s="374"/>
      <c r="B1164" s="350"/>
      <c r="C1164" s="350"/>
      <c r="D1164" s="350"/>
      <c r="E1164" s="350"/>
      <c r="F1164" s="350"/>
      <c r="G1164" s="350"/>
      <c r="H1164" s="350"/>
      <c r="I1164" s="350"/>
      <c r="J1164" s="350"/>
      <c r="K1164" s="350"/>
      <c r="L1164" s="350"/>
      <c r="M1164" s="350"/>
      <c r="N1164" s="350"/>
      <c r="O1164" s="350"/>
    </row>
    <row r="1165" spans="1:15" s="351" customFormat="1" x14ac:dyDescent="0.2">
      <c r="A1165" s="362" t="str">
        <f>name!E$4</f>
        <v>Managers, directors and senior officials</v>
      </c>
      <c r="B1165" s="440">
        <v>0.60315636296736386</v>
      </c>
      <c r="C1165" s="440">
        <v>0.37336603160306847</v>
      </c>
      <c r="D1165" s="440">
        <v>0.19903167092741308</v>
      </c>
      <c r="E1165" s="440">
        <f>SUM(B1165:D1165)</f>
        <v>1.1755540654978454</v>
      </c>
      <c r="F1165" s="441"/>
      <c r="G1165" s="440">
        <v>1.1511441414128685</v>
      </c>
      <c r="H1165" s="440">
        <v>0.48280375291780825</v>
      </c>
      <c r="I1165" s="440">
        <v>0.14971625773201094</v>
      </c>
      <c r="J1165" s="440">
        <f>SUM(G1165:I1165)</f>
        <v>1.7836641520626877</v>
      </c>
      <c r="K1165" s="441"/>
      <c r="L1165" s="440">
        <v>1.2408591498002131</v>
      </c>
      <c r="M1165" s="440">
        <v>0.59777821022361177</v>
      </c>
      <c r="N1165" s="440">
        <v>0.15147747401837219</v>
      </c>
      <c r="O1165" s="440">
        <f>SUM(L1165:N1165)</f>
        <v>1.990114834042197</v>
      </c>
    </row>
    <row r="1166" spans="1:15" s="351" customFormat="1" x14ac:dyDescent="0.2">
      <c r="A1166" s="362" t="str">
        <f>name!E$5</f>
        <v>Professional occupations</v>
      </c>
      <c r="B1166" s="440">
        <v>7.6733772772149198</v>
      </c>
      <c r="C1166" s="440">
        <v>5.5209311342496328</v>
      </c>
      <c r="D1166" s="440">
        <v>1.0024458810801871</v>
      </c>
      <c r="E1166" s="440">
        <f t="shared" ref="E1166:E1173" si="497">SUM(B1166:D1166)</f>
        <v>14.196754292544739</v>
      </c>
      <c r="F1166" s="441"/>
      <c r="G1166" s="440">
        <v>12.819323045752942</v>
      </c>
      <c r="H1166" s="440">
        <v>7.7083712079162146</v>
      </c>
      <c r="I1166" s="440">
        <v>1.0431530948167624</v>
      </c>
      <c r="J1166" s="440">
        <f t="shared" ref="J1166:J1168" si="498">SUM(G1166:I1166)</f>
        <v>21.57084734848592</v>
      </c>
      <c r="K1166" s="441"/>
      <c r="L1166" s="440">
        <v>13.958292511504252</v>
      </c>
      <c r="M1166" s="440">
        <v>9.2178183847377184</v>
      </c>
      <c r="N1166" s="440">
        <v>1.0780803513737607</v>
      </c>
      <c r="O1166" s="440">
        <f t="shared" ref="O1166:O1173" si="499">SUM(L1166:N1166)</f>
        <v>24.254191247615733</v>
      </c>
    </row>
    <row r="1167" spans="1:15" s="351" customFormat="1" x14ac:dyDescent="0.2">
      <c r="A1167" s="362" t="str">
        <f>name!E$6</f>
        <v>Associate professional and technical</v>
      </c>
      <c r="B1167" s="440">
        <v>2.8034734596794926</v>
      </c>
      <c r="C1167" s="440">
        <v>2.1343744895662482</v>
      </c>
      <c r="D1167" s="440">
        <v>0.3271334333332756</v>
      </c>
      <c r="E1167" s="440">
        <f t="shared" si="497"/>
        <v>5.264981382579017</v>
      </c>
      <c r="F1167" s="441"/>
      <c r="G1167" s="440">
        <v>4.6089187086956587</v>
      </c>
      <c r="H1167" s="440">
        <v>2.7816966346313632</v>
      </c>
      <c r="I1167" s="440">
        <v>0.30178294671921968</v>
      </c>
      <c r="J1167" s="440">
        <f t="shared" si="498"/>
        <v>7.692398290046242</v>
      </c>
      <c r="K1167" s="441"/>
      <c r="L1167" s="440">
        <v>4.9244455939256744</v>
      </c>
      <c r="M1167" s="440">
        <v>3.3554472360186498</v>
      </c>
      <c r="N1167" s="440">
        <v>0.30610779743567385</v>
      </c>
      <c r="O1167" s="440">
        <f t="shared" si="499"/>
        <v>8.5860006273799971</v>
      </c>
    </row>
    <row r="1168" spans="1:15" s="351" customFormat="1" x14ac:dyDescent="0.2">
      <c r="A1168" s="362" t="str">
        <f>name!E$7</f>
        <v>Administrative and secretarial</v>
      </c>
      <c r="B1168" s="440">
        <v>1.0698321895547747</v>
      </c>
      <c r="C1168" s="440">
        <v>3.5819047034158658</v>
      </c>
      <c r="D1168" s="440">
        <v>3.9539349127625557E-2</v>
      </c>
      <c r="E1168" s="440">
        <f t="shared" si="497"/>
        <v>4.6912762420982661</v>
      </c>
      <c r="F1168" s="441"/>
      <c r="G1168" s="440">
        <v>1.5724098313384678</v>
      </c>
      <c r="H1168" s="440">
        <v>2.5934511691207791</v>
      </c>
      <c r="I1168" s="440">
        <v>3.71886466996783E-2</v>
      </c>
      <c r="J1168" s="440">
        <f t="shared" si="498"/>
        <v>4.2030496471589247</v>
      </c>
      <c r="K1168" s="441"/>
      <c r="L1168" s="440">
        <v>1.0256585694761216</v>
      </c>
      <c r="M1168" s="440">
        <v>1.3660820394760909</v>
      </c>
      <c r="N1168" s="440">
        <v>1.4604932714130584E-2</v>
      </c>
      <c r="O1168" s="440">
        <f t="shared" si="499"/>
        <v>2.4063455416663433</v>
      </c>
    </row>
    <row r="1169" spans="1:15" s="351" customFormat="1" x14ac:dyDescent="0.2">
      <c r="A1169" s="362" t="str">
        <f>name!E$8</f>
        <v>Skilled trades occupations</v>
      </c>
      <c r="B1169" s="440">
        <v>0.31228390118790467</v>
      </c>
      <c r="C1169" s="440">
        <v>0.56283676295019969</v>
      </c>
      <c r="D1169" s="440">
        <v>3.2141978965149316E-2</v>
      </c>
      <c r="E1169" s="440">
        <f t="shared" si="497"/>
        <v>0.90726264310325377</v>
      </c>
      <c r="F1169" s="441"/>
      <c r="G1169" s="440">
        <v>0.2440784874274583</v>
      </c>
      <c r="H1169" s="440">
        <v>0.32494476035608583</v>
      </c>
      <c r="I1169" s="440">
        <v>3.8514738870221166E-2</v>
      </c>
      <c r="J1169" s="440">
        <f>SUM(G1169:I1169)</f>
        <v>0.60753798665376535</v>
      </c>
      <c r="K1169" s="441"/>
      <c r="L1169" s="440">
        <v>0.13853310673280844</v>
      </c>
      <c r="M1169" s="440">
        <v>0.22600250570857036</v>
      </c>
      <c r="N1169" s="440">
        <v>3.9760197974223373E-2</v>
      </c>
      <c r="O1169" s="440">
        <f t="shared" si="499"/>
        <v>0.40429581041560214</v>
      </c>
    </row>
    <row r="1170" spans="1:15" s="351" customFormat="1" x14ac:dyDescent="0.2">
      <c r="A1170" s="362" t="str">
        <f>name!E$9</f>
        <v>Caring, leisure and other service</v>
      </c>
      <c r="B1170" s="440">
        <v>8.0077903521806189</v>
      </c>
      <c r="C1170" s="440">
        <v>7.5353941813485843</v>
      </c>
      <c r="D1170" s="440">
        <v>0.81821551591745478</v>
      </c>
      <c r="E1170" s="440">
        <f t="shared" si="497"/>
        <v>16.361400049446658</v>
      </c>
      <c r="F1170" s="441"/>
      <c r="G1170" s="440">
        <v>9.8657160908342476</v>
      </c>
      <c r="H1170" s="440">
        <v>12.169300588396837</v>
      </c>
      <c r="I1170" s="440">
        <v>0.64397808999309603</v>
      </c>
      <c r="J1170" s="440">
        <f t="shared" ref="J1170:J1173" si="500">SUM(G1170:I1170)</f>
        <v>22.678994769224179</v>
      </c>
      <c r="K1170" s="441"/>
      <c r="L1170" s="440">
        <v>10.027083614229239</v>
      </c>
      <c r="M1170" s="440">
        <v>15.437683524045998</v>
      </c>
      <c r="N1170" s="440">
        <v>0.6606621253895355</v>
      </c>
      <c r="O1170" s="440">
        <f t="shared" si="499"/>
        <v>26.12542926366477</v>
      </c>
    </row>
    <row r="1171" spans="1:15" s="351" customFormat="1" x14ac:dyDescent="0.2">
      <c r="A1171" s="362" t="str">
        <f>name!E$10</f>
        <v>Sales and customer service</v>
      </c>
      <c r="B1171" s="440">
        <v>0.18539465450527717</v>
      </c>
      <c r="C1171" s="440">
        <v>0.31434693557581983</v>
      </c>
      <c r="D1171" s="440">
        <v>1.7523833123784326E-2</v>
      </c>
      <c r="E1171" s="440">
        <f t="shared" si="497"/>
        <v>0.51726542320488134</v>
      </c>
      <c r="F1171" s="441"/>
      <c r="G1171" s="440">
        <v>0.32026490208072572</v>
      </c>
      <c r="H1171" s="440">
        <v>0.36773339672367056</v>
      </c>
      <c r="I1171" s="440">
        <v>1.7058102366133403E-2</v>
      </c>
      <c r="J1171" s="440">
        <f t="shared" si="500"/>
        <v>0.70505640117052959</v>
      </c>
      <c r="K1171" s="441"/>
      <c r="L1171" s="440">
        <v>0.3011775898206675</v>
      </c>
      <c r="M1171" s="440">
        <v>0.36636803234327125</v>
      </c>
      <c r="N1171" s="440">
        <v>1.4831858003199722E-2</v>
      </c>
      <c r="O1171" s="440">
        <f t="shared" si="499"/>
        <v>0.68237748016713851</v>
      </c>
    </row>
    <row r="1172" spans="1:15" s="351" customFormat="1" x14ac:dyDescent="0.2">
      <c r="A1172" s="362" t="str">
        <f>name!E$11</f>
        <v>Process, plant and machine operatives</v>
      </c>
      <c r="B1172" s="440">
        <v>0.16467468833898788</v>
      </c>
      <c r="C1172" s="440">
        <v>0.33840858677719282</v>
      </c>
      <c r="D1172" s="440">
        <v>8.8802855420564743E-3</v>
      </c>
      <c r="E1172" s="440">
        <f t="shared" si="497"/>
        <v>0.51196356065823712</v>
      </c>
      <c r="F1172" s="441"/>
      <c r="G1172" s="440">
        <v>0.1650669853591758</v>
      </c>
      <c r="H1172" s="440">
        <v>0.31785749837887967</v>
      </c>
      <c r="I1172" s="440">
        <v>8.1196362071741142E-3</v>
      </c>
      <c r="J1172" s="440">
        <f t="shared" si="500"/>
        <v>0.49104411994522956</v>
      </c>
      <c r="K1172" s="441"/>
      <c r="L1172" s="440">
        <v>7.6705678662635501E-2</v>
      </c>
      <c r="M1172" s="440">
        <v>0.26644890402790317</v>
      </c>
      <c r="N1172" s="440">
        <v>6.2145986108346173E-3</v>
      </c>
      <c r="O1172" s="440">
        <f t="shared" si="499"/>
        <v>0.34936918130137329</v>
      </c>
    </row>
    <row r="1173" spans="1:15" s="351" customFormat="1" x14ac:dyDescent="0.2">
      <c r="A1173" s="362" t="str">
        <f>name!E$12</f>
        <v>Elementary occupations</v>
      </c>
      <c r="B1173" s="440">
        <v>0.35301711455512241</v>
      </c>
      <c r="C1173" s="440">
        <v>3.374437174240362</v>
      </c>
      <c r="D1173" s="440">
        <v>7.0880518602846948E-3</v>
      </c>
      <c r="E1173" s="440">
        <f t="shared" si="497"/>
        <v>3.7345423406557687</v>
      </c>
      <c r="F1173" s="441"/>
      <c r="G1173" s="440">
        <v>0.45507780682145405</v>
      </c>
      <c r="H1173" s="440">
        <v>1.2248409910227034</v>
      </c>
      <c r="I1173" s="440">
        <v>3.8488486421084905E-2</v>
      </c>
      <c r="J1173" s="440">
        <f t="shared" si="500"/>
        <v>1.7184072842652423</v>
      </c>
      <c r="K1173" s="441"/>
      <c r="L1173" s="440">
        <v>0.34524418599742579</v>
      </c>
      <c r="M1173" s="440">
        <v>0.84037116318025507</v>
      </c>
      <c r="N1173" s="440">
        <v>3.3260664358993053E-2</v>
      </c>
      <c r="O1173" s="440">
        <f t="shared" si="499"/>
        <v>1.2188760135366739</v>
      </c>
    </row>
    <row r="1174" spans="1:15" s="351" customFormat="1" x14ac:dyDescent="0.2">
      <c r="A1174" s="362"/>
      <c r="B1174" s="440"/>
      <c r="C1174" s="440"/>
      <c r="D1174" s="440"/>
      <c r="E1174" s="440"/>
      <c r="F1174" s="441"/>
      <c r="G1174" s="440"/>
      <c r="H1174" s="440"/>
      <c r="I1174" s="440"/>
      <c r="J1174" s="440"/>
      <c r="K1174" s="441"/>
      <c r="L1174" s="440"/>
      <c r="M1174" s="440"/>
      <c r="N1174" s="440"/>
      <c r="O1174" s="440"/>
    </row>
    <row r="1175" spans="1:15" s="351" customFormat="1" x14ac:dyDescent="0.2">
      <c r="A1175" s="357" t="s">
        <v>32</v>
      </c>
      <c r="B1175" s="450">
        <f>SUM(B1165:B1173)</f>
        <v>21.173000000184462</v>
      </c>
      <c r="C1175" s="450">
        <f t="shared" ref="C1175:E1175" si="501">SUM(C1165:C1173)</f>
        <v>23.735999999726975</v>
      </c>
      <c r="D1175" s="450">
        <f t="shared" si="501"/>
        <v>2.4519999998772311</v>
      </c>
      <c r="E1175" s="450">
        <f t="shared" si="501"/>
        <v>47.360999999788667</v>
      </c>
      <c r="F1175" s="450"/>
      <c r="G1175" s="450">
        <f t="shared" ref="G1175:J1175" si="502">SUM(G1165:G1173)</f>
        <v>31.201999999722997</v>
      </c>
      <c r="H1175" s="450">
        <f t="shared" si="502"/>
        <v>27.970999999464343</v>
      </c>
      <c r="I1175" s="450">
        <f t="shared" si="502"/>
        <v>2.277999999825381</v>
      </c>
      <c r="J1175" s="450">
        <f t="shared" si="502"/>
        <v>61.450999999012716</v>
      </c>
      <c r="K1175" s="450"/>
      <c r="L1175" s="450">
        <f t="shared" ref="L1175:O1175" si="503">SUM(L1165:L1173)</f>
        <v>32.038000000149033</v>
      </c>
      <c r="M1175" s="450">
        <f t="shared" si="503"/>
        <v>31.673999999762067</v>
      </c>
      <c r="N1175" s="450">
        <f t="shared" si="503"/>
        <v>2.3049999998787238</v>
      </c>
      <c r="O1175" s="450">
        <f t="shared" si="503"/>
        <v>66.016999999789817</v>
      </c>
    </row>
    <row r="1176" spans="1:15" s="351" customFormat="1" x14ac:dyDescent="0.2">
      <c r="A1176" s="348"/>
      <c r="B1176" s="348"/>
      <c r="C1176" s="348"/>
      <c r="D1176" s="348"/>
      <c r="E1176" s="348"/>
      <c r="F1176" s="348"/>
      <c r="G1176" s="348"/>
      <c r="H1176" s="348"/>
      <c r="I1176" s="348"/>
      <c r="J1176" s="348"/>
      <c r="K1176" s="348"/>
      <c r="L1176" s="348"/>
      <c r="M1176" s="348"/>
      <c r="N1176" s="353"/>
    </row>
    <row r="1177" spans="1:15" s="351" customFormat="1" x14ac:dyDescent="0.2">
      <c r="A1177" s="348"/>
      <c r="B1177" s="348"/>
      <c r="C1177" s="348"/>
      <c r="D1177" s="348"/>
      <c r="E1177" s="348"/>
      <c r="F1177" s="348"/>
      <c r="G1177" s="348"/>
      <c r="H1177" s="348"/>
      <c r="I1177" s="348"/>
      <c r="J1177" s="348"/>
      <c r="K1177" s="348"/>
      <c r="L1177" s="348"/>
      <c r="M1177" s="348"/>
      <c r="N1177" s="353"/>
      <c r="O1177" s="367" t="s">
        <v>35</v>
      </c>
    </row>
    <row r="1178" spans="1:15" s="351" customFormat="1" x14ac:dyDescent="0.2">
      <c r="A1178" s="355"/>
      <c r="B1178" s="355"/>
      <c r="C1178" s="355"/>
      <c r="D1178" s="355"/>
      <c r="E1178" s="355"/>
      <c r="F1178" s="355"/>
      <c r="G1178" s="355"/>
      <c r="H1178" s="355"/>
      <c r="I1178" s="355"/>
      <c r="J1178" s="355"/>
      <c r="K1178" s="355"/>
      <c r="L1178" s="355"/>
      <c r="M1178" s="355"/>
      <c r="N1178" s="355"/>
      <c r="O1178" s="355"/>
    </row>
    <row r="1179" spans="1:15" s="351" customFormat="1" x14ac:dyDescent="0.2">
      <c r="A1179" s="354" t="str">
        <f>name!A72</f>
        <v>Arts and entertainment</v>
      </c>
      <c r="B1179" s="519">
        <f>$B$6</f>
        <v>2007</v>
      </c>
      <c r="C1179" s="519"/>
      <c r="D1179" s="519"/>
      <c r="E1179" s="519"/>
      <c r="F1179" s="380"/>
      <c r="G1179" s="519">
        <f>$G$6</f>
        <v>2017</v>
      </c>
      <c r="H1179" s="519"/>
      <c r="I1179" s="519"/>
      <c r="J1179" s="519"/>
      <c r="K1179" s="380"/>
      <c r="L1179" s="519">
        <f>$L$6</f>
        <v>2027</v>
      </c>
      <c r="M1179" s="519"/>
      <c r="N1179" s="519"/>
      <c r="O1179" s="519"/>
    </row>
    <row r="1180" spans="1:15" s="351" customFormat="1" x14ac:dyDescent="0.2">
      <c r="A1180" s="370"/>
      <c r="B1180" s="388" t="str">
        <f>$B$7</f>
        <v>FT</v>
      </c>
      <c r="C1180" s="388" t="str">
        <f>$C$7</f>
        <v>PT</v>
      </c>
      <c r="D1180" s="388" t="str">
        <f>$D$7</f>
        <v>SE</v>
      </c>
      <c r="E1180" s="388" t="str">
        <f>$E$7</f>
        <v>Total</v>
      </c>
      <c r="F1180" s="388"/>
      <c r="G1180" s="388" t="str">
        <f>$G$7</f>
        <v>FT</v>
      </c>
      <c r="H1180" s="388" t="str">
        <f>$H$7</f>
        <v>PT</v>
      </c>
      <c r="I1180" s="388" t="str">
        <f>$I$7</f>
        <v>SE</v>
      </c>
      <c r="J1180" s="388" t="str">
        <f>$J$7</f>
        <v>Total</v>
      </c>
      <c r="K1180" s="388"/>
      <c r="L1180" s="388" t="str">
        <f>$L$7</f>
        <v>FT</v>
      </c>
      <c r="M1180" s="388" t="str">
        <f>$M$7</f>
        <v>PT</v>
      </c>
      <c r="N1180" s="388" t="str">
        <f>$N$7</f>
        <v>SE</v>
      </c>
      <c r="O1180" s="388" t="str">
        <f>$O$7</f>
        <v>Total</v>
      </c>
    </row>
    <row r="1181" spans="1:15" s="351" customFormat="1" x14ac:dyDescent="0.2">
      <c r="A1181" s="374"/>
      <c r="B1181" s="350"/>
      <c r="C1181" s="350"/>
      <c r="D1181" s="350"/>
      <c r="E1181" s="350"/>
      <c r="F1181" s="350"/>
      <c r="G1181" s="350"/>
      <c r="H1181" s="350"/>
      <c r="I1181" s="350"/>
      <c r="J1181" s="350"/>
      <c r="K1181" s="350"/>
      <c r="L1181" s="350"/>
      <c r="M1181" s="350"/>
      <c r="N1181" s="350"/>
      <c r="O1181" s="350"/>
    </row>
    <row r="1182" spans="1:15" s="351" customFormat="1" x14ac:dyDescent="0.2">
      <c r="A1182" s="362" t="str">
        <f>name!E$4</f>
        <v>Managers, directors and senior officials</v>
      </c>
      <c r="B1182" s="440">
        <v>0.10969910619038754</v>
      </c>
      <c r="C1182" s="440">
        <v>1.455576872490077E-2</v>
      </c>
      <c r="D1182" s="440">
        <v>6.40196055111458E-2</v>
      </c>
      <c r="E1182" s="440">
        <f>SUM(B1182:D1182)</f>
        <v>0.18827448042643413</v>
      </c>
      <c r="F1182" s="441"/>
      <c r="G1182" s="440">
        <v>0.19185496463680049</v>
      </c>
      <c r="H1182" s="440">
        <v>3.8256220038852734E-2</v>
      </c>
      <c r="I1182" s="440">
        <v>0.21913889742657522</v>
      </c>
      <c r="J1182" s="440">
        <f>SUM(G1182:I1182)</f>
        <v>0.44925008210222844</v>
      </c>
      <c r="K1182" s="441"/>
      <c r="L1182" s="440">
        <v>0.26879346719477293</v>
      </c>
      <c r="M1182" s="440">
        <v>5.1433161375809736E-2</v>
      </c>
      <c r="N1182" s="440">
        <v>0.25529397452203484</v>
      </c>
      <c r="O1182" s="440">
        <f>SUM(L1182:N1182)</f>
        <v>0.57552060309261743</v>
      </c>
    </row>
    <row r="1183" spans="1:15" s="351" customFormat="1" x14ac:dyDescent="0.2">
      <c r="A1183" s="362" t="str">
        <f>name!E$5</f>
        <v>Professional occupations</v>
      </c>
      <c r="B1183" s="440">
        <v>0.18848535231121483</v>
      </c>
      <c r="C1183" s="440">
        <v>3.4917451476890446E-2</v>
      </c>
      <c r="D1183" s="440">
        <v>7.6258449747394152E-2</v>
      </c>
      <c r="E1183" s="440">
        <f t="shared" ref="E1183:E1190" si="504">SUM(B1183:D1183)</f>
        <v>0.29966125353549944</v>
      </c>
      <c r="F1183" s="441"/>
      <c r="G1183" s="440">
        <v>0.31004628194984513</v>
      </c>
      <c r="H1183" s="440">
        <v>6.9241260218055503E-2</v>
      </c>
      <c r="I1183" s="440">
        <v>0.34252964117629719</v>
      </c>
      <c r="J1183" s="440">
        <f t="shared" ref="J1183:J1185" si="505">SUM(G1183:I1183)</f>
        <v>0.72181718334419775</v>
      </c>
      <c r="K1183" s="441"/>
      <c r="L1183" s="440">
        <v>0.44152907422494153</v>
      </c>
      <c r="M1183" s="440">
        <v>9.4570789555792872E-2</v>
      </c>
      <c r="N1183" s="440">
        <v>0.50888683457126471</v>
      </c>
      <c r="O1183" s="440">
        <f t="shared" ref="O1183:O1190" si="506">SUM(L1183:N1183)</f>
        <v>1.0449866983519991</v>
      </c>
    </row>
    <row r="1184" spans="1:15" s="351" customFormat="1" x14ac:dyDescent="0.2">
      <c r="A1184" s="362" t="str">
        <f>name!E$6</f>
        <v>Associate professional and technical</v>
      </c>
      <c r="B1184" s="440">
        <v>0.23034087659401678</v>
      </c>
      <c r="C1184" s="440">
        <v>6.6064564035450926E-2</v>
      </c>
      <c r="D1184" s="440">
        <v>0.39885174025586928</v>
      </c>
      <c r="E1184" s="440">
        <f t="shared" si="504"/>
        <v>0.69525718088533695</v>
      </c>
      <c r="F1184" s="441"/>
      <c r="G1184" s="440">
        <v>0.39888340754491258</v>
      </c>
      <c r="H1184" s="440">
        <v>0.1265088394341399</v>
      </c>
      <c r="I1184" s="440">
        <v>1.6719237897737684</v>
      </c>
      <c r="J1184" s="440">
        <f t="shared" si="505"/>
        <v>2.1973160367528211</v>
      </c>
      <c r="K1184" s="441"/>
      <c r="L1184" s="440">
        <v>0.50998647030760413</v>
      </c>
      <c r="M1184" s="440">
        <v>0.15973742714113595</v>
      </c>
      <c r="N1184" s="440">
        <v>2.0968127060741524</v>
      </c>
      <c r="O1184" s="440">
        <f t="shared" si="506"/>
        <v>2.7665366035228924</v>
      </c>
    </row>
    <row r="1185" spans="1:15" s="351" customFormat="1" x14ac:dyDescent="0.2">
      <c r="A1185" s="362" t="str">
        <f>name!E$7</f>
        <v>Administrative and secretarial</v>
      </c>
      <c r="B1185" s="440">
        <v>0.30238486132491849</v>
      </c>
      <c r="C1185" s="440">
        <v>0.14386717497506721</v>
      </c>
      <c r="D1185" s="440">
        <v>5.7062006999084643E-3</v>
      </c>
      <c r="E1185" s="440">
        <f t="shared" si="504"/>
        <v>0.45195823699989413</v>
      </c>
      <c r="F1185" s="441"/>
      <c r="G1185" s="440">
        <v>0.45592292441410903</v>
      </c>
      <c r="H1185" s="440">
        <v>0.45814012739810051</v>
      </c>
      <c r="I1185" s="440">
        <v>3.8514421159313562E-2</v>
      </c>
      <c r="J1185" s="440">
        <f t="shared" si="505"/>
        <v>0.95257747297152306</v>
      </c>
      <c r="K1185" s="441"/>
      <c r="L1185" s="440">
        <v>0.48959172828354985</v>
      </c>
      <c r="M1185" s="440">
        <v>0.45155670834755574</v>
      </c>
      <c r="N1185" s="440">
        <v>3.2202454507793778E-2</v>
      </c>
      <c r="O1185" s="440">
        <f t="shared" si="506"/>
        <v>0.97335089113889939</v>
      </c>
    </row>
    <row r="1186" spans="1:15" s="351" customFormat="1" x14ac:dyDescent="0.2">
      <c r="A1186" s="362" t="str">
        <f>name!E$8</f>
        <v>Skilled trades occupations</v>
      </c>
      <c r="B1186" s="440">
        <v>0.10331716193488265</v>
      </c>
      <c r="C1186" s="440">
        <v>2.6454786757693156E-2</v>
      </c>
      <c r="D1186" s="440">
        <v>7.0463142548395113E-2</v>
      </c>
      <c r="E1186" s="440">
        <f t="shared" si="504"/>
        <v>0.20023509124097091</v>
      </c>
      <c r="F1186" s="441"/>
      <c r="G1186" s="440">
        <v>0.13663958682830316</v>
      </c>
      <c r="H1186" s="440">
        <v>3.9016062717753132E-2</v>
      </c>
      <c r="I1186" s="440">
        <v>0.25800923622244526</v>
      </c>
      <c r="J1186" s="440">
        <f>SUM(G1186:I1186)</f>
        <v>0.43366488576850154</v>
      </c>
      <c r="K1186" s="441"/>
      <c r="L1186" s="440">
        <v>0.14500463011673206</v>
      </c>
      <c r="M1186" s="440">
        <v>5.3798934008780899E-2</v>
      </c>
      <c r="N1186" s="440">
        <v>0.25550945357777871</v>
      </c>
      <c r="O1186" s="440">
        <f t="shared" si="506"/>
        <v>0.45431301770329169</v>
      </c>
    </row>
    <row r="1187" spans="1:15" s="351" customFormat="1" x14ac:dyDescent="0.2">
      <c r="A1187" s="362" t="str">
        <f>name!E$9</f>
        <v>Caring, leisure and other service</v>
      </c>
      <c r="B1187" s="440">
        <v>0.14956098178908234</v>
      </c>
      <c r="C1187" s="440">
        <v>0.13562220769470079</v>
      </c>
      <c r="D1187" s="440">
        <v>1.3967947673386475E-2</v>
      </c>
      <c r="E1187" s="440">
        <f t="shared" si="504"/>
        <v>0.29915113715716962</v>
      </c>
      <c r="F1187" s="441"/>
      <c r="G1187" s="440">
        <v>0.31121301288271275</v>
      </c>
      <c r="H1187" s="440">
        <v>0.19733507228165081</v>
      </c>
      <c r="I1187" s="440">
        <v>7.7037753150384081E-2</v>
      </c>
      <c r="J1187" s="440">
        <f t="shared" ref="J1187:J1190" si="507">SUM(G1187:I1187)</f>
        <v>0.58558583831474764</v>
      </c>
      <c r="K1187" s="441"/>
      <c r="L1187" s="440">
        <v>0.39359144747359154</v>
      </c>
      <c r="M1187" s="440">
        <v>0.25155649102898509</v>
      </c>
      <c r="N1187" s="440">
        <v>9.2635709985005546E-2</v>
      </c>
      <c r="O1187" s="440">
        <f t="shared" si="506"/>
        <v>0.73778364848758227</v>
      </c>
    </row>
    <row r="1188" spans="1:15" s="351" customFormat="1" x14ac:dyDescent="0.2">
      <c r="A1188" s="362" t="str">
        <f>name!E$10</f>
        <v>Sales and customer service</v>
      </c>
      <c r="B1188" s="440">
        <v>8.4489293264935816E-2</v>
      </c>
      <c r="C1188" s="440">
        <v>5.9811119123566799E-2</v>
      </c>
      <c r="D1188" s="440">
        <v>3.6339320167343781E-3</v>
      </c>
      <c r="E1188" s="440">
        <f t="shared" si="504"/>
        <v>0.14793434440523698</v>
      </c>
      <c r="F1188" s="441"/>
      <c r="G1188" s="440">
        <v>0.20294847743380165</v>
      </c>
      <c r="H1188" s="440">
        <v>0.14671240925963006</v>
      </c>
      <c r="I1188" s="440">
        <v>1.3220902232009422E-2</v>
      </c>
      <c r="J1188" s="440">
        <f t="shared" si="507"/>
        <v>0.36288178892544115</v>
      </c>
      <c r="K1188" s="441"/>
      <c r="L1188" s="440">
        <v>0.24676844640033613</v>
      </c>
      <c r="M1188" s="440">
        <v>0.16092989180182832</v>
      </c>
      <c r="N1188" s="440">
        <v>1.3722785699295987E-2</v>
      </c>
      <c r="O1188" s="440">
        <f t="shared" si="506"/>
        <v>0.42142112390146041</v>
      </c>
    </row>
    <row r="1189" spans="1:15" s="351" customFormat="1" x14ac:dyDescent="0.2">
      <c r="A1189" s="362" t="str">
        <f>name!E$11</f>
        <v>Process, plant and machine operatives</v>
      </c>
      <c r="B1189" s="440">
        <v>2.8415720401073589E-2</v>
      </c>
      <c r="C1189" s="440">
        <v>7.6733990530692591E-3</v>
      </c>
      <c r="D1189" s="440">
        <v>4.6599773195440831E-3</v>
      </c>
      <c r="E1189" s="440">
        <f t="shared" si="504"/>
        <v>4.0749096773686933E-2</v>
      </c>
      <c r="F1189" s="441"/>
      <c r="G1189" s="440">
        <v>3.2775139960310611E-2</v>
      </c>
      <c r="H1189" s="440">
        <v>9.3508761503028979E-3</v>
      </c>
      <c r="I1189" s="440">
        <v>1.1553193462696178E-2</v>
      </c>
      <c r="J1189" s="440">
        <f t="shared" si="507"/>
        <v>5.3679209573309683E-2</v>
      </c>
      <c r="K1189" s="441"/>
      <c r="L1189" s="440">
        <v>3.5160599705615067E-2</v>
      </c>
      <c r="M1189" s="440">
        <v>9.4626082486598297E-3</v>
      </c>
      <c r="N1189" s="440">
        <v>1.2228015921898152E-2</v>
      </c>
      <c r="O1189" s="440">
        <f t="shared" si="506"/>
        <v>5.6851223876173043E-2</v>
      </c>
    </row>
    <row r="1190" spans="1:15" s="351" customFormat="1" x14ac:dyDescent="0.2">
      <c r="A1190" s="362" t="str">
        <f>name!E$12</f>
        <v>Elementary occupations</v>
      </c>
      <c r="B1190" s="440">
        <v>0.12230664619351149</v>
      </c>
      <c r="C1190" s="440">
        <v>0.13303352815751993</v>
      </c>
      <c r="D1190" s="440">
        <v>3.5439004223297543E-2</v>
      </c>
      <c r="E1190" s="440">
        <f t="shared" si="504"/>
        <v>0.29077917857432894</v>
      </c>
      <c r="F1190" s="441"/>
      <c r="G1190" s="440">
        <v>0.14871620433060417</v>
      </c>
      <c r="H1190" s="440">
        <v>0.21543913251314539</v>
      </c>
      <c r="I1190" s="440">
        <v>6.2072165352311928E-2</v>
      </c>
      <c r="J1190" s="440">
        <f t="shared" si="507"/>
        <v>0.42622750219606148</v>
      </c>
      <c r="K1190" s="441"/>
      <c r="L1190" s="440">
        <v>0.17257413627620696</v>
      </c>
      <c r="M1190" s="440">
        <v>0.26195398849999563</v>
      </c>
      <c r="N1190" s="440">
        <v>3.7708065095803635E-2</v>
      </c>
      <c r="O1190" s="440">
        <f t="shared" si="506"/>
        <v>0.47223618987200627</v>
      </c>
    </row>
    <row r="1191" spans="1:15" s="351" customFormat="1" x14ac:dyDescent="0.2">
      <c r="A1191" s="362"/>
      <c r="B1191" s="440"/>
      <c r="C1191" s="440"/>
      <c r="D1191" s="440"/>
      <c r="E1191" s="440"/>
      <c r="F1191" s="441"/>
      <c r="G1191" s="440"/>
      <c r="H1191" s="440"/>
      <c r="I1191" s="440"/>
      <c r="J1191" s="440"/>
      <c r="K1191" s="441"/>
      <c r="L1191" s="440"/>
      <c r="M1191" s="440"/>
      <c r="N1191" s="440"/>
      <c r="O1191" s="440"/>
    </row>
    <row r="1192" spans="1:15" s="351" customFormat="1" x14ac:dyDescent="0.2">
      <c r="A1192" s="357" t="s">
        <v>32</v>
      </c>
      <c r="B1192" s="450">
        <f>SUM(B1182:B1190)</f>
        <v>1.3190000000040234</v>
      </c>
      <c r="C1192" s="450">
        <f t="shared" ref="C1192:E1192" si="508">SUM(C1182:C1190)</f>
        <v>0.62199999999885924</v>
      </c>
      <c r="D1192" s="450">
        <f t="shared" si="508"/>
        <v>0.67299999999567528</v>
      </c>
      <c r="E1192" s="450">
        <f t="shared" si="508"/>
        <v>2.6139999999985579</v>
      </c>
      <c r="F1192" s="450"/>
      <c r="G1192" s="450">
        <f t="shared" ref="G1192:J1192" si="509">SUM(G1182:G1190)</f>
        <v>2.1889999999813994</v>
      </c>
      <c r="H1192" s="450">
        <f t="shared" si="509"/>
        <v>1.300000000011631</v>
      </c>
      <c r="I1192" s="450">
        <f t="shared" si="509"/>
        <v>2.6939999999558011</v>
      </c>
      <c r="J1192" s="450">
        <f t="shared" si="509"/>
        <v>6.1829999999488319</v>
      </c>
      <c r="K1192" s="450"/>
      <c r="L1192" s="450">
        <f t="shared" ref="L1192:O1192" si="510">SUM(L1182:L1190)</f>
        <v>2.7029999999833501</v>
      </c>
      <c r="M1192" s="450">
        <f t="shared" si="510"/>
        <v>1.4950000000085439</v>
      </c>
      <c r="N1192" s="450">
        <f t="shared" si="510"/>
        <v>3.3049999999550281</v>
      </c>
      <c r="O1192" s="450">
        <f t="shared" si="510"/>
        <v>7.5029999999469226</v>
      </c>
    </row>
    <row r="1193" spans="1:15" s="351" customFormat="1" x14ac:dyDescent="0.2">
      <c r="A1193" s="348"/>
      <c r="B1193" s="348"/>
      <c r="C1193" s="348"/>
      <c r="D1193" s="348"/>
      <c r="E1193" s="348"/>
      <c r="F1193" s="348"/>
      <c r="G1193" s="348"/>
      <c r="H1193" s="348"/>
      <c r="I1193" s="348"/>
      <c r="J1193" s="348"/>
      <c r="K1193" s="348"/>
      <c r="L1193" s="348"/>
      <c r="M1193" s="348"/>
      <c r="N1193" s="353"/>
    </row>
    <row r="1194" spans="1:15" s="351" customFormat="1" x14ac:dyDescent="0.2">
      <c r="A1194" s="348"/>
      <c r="B1194" s="348"/>
      <c r="C1194" s="348"/>
      <c r="D1194" s="348"/>
      <c r="E1194" s="348"/>
      <c r="F1194" s="348"/>
      <c r="G1194" s="348"/>
      <c r="H1194" s="348"/>
      <c r="I1194" s="348"/>
      <c r="J1194" s="348"/>
      <c r="K1194" s="348"/>
      <c r="L1194" s="348"/>
      <c r="M1194" s="348"/>
      <c r="N1194" s="353"/>
      <c r="O1194" s="367" t="s">
        <v>35</v>
      </c>
    </row>
    <row r="1195" spans="1:15" s="351" customFormat="1" x14ac:dyDescent="0.2">
      <c r="A1195" s="355"/>
      <c r="B1195" s="355"/>
      <c r="C1195" s="355"/>
      <c r="D1195" s="355"/>
      <c r="E1195" s="355"/>
      <c r="F1195" s="355"/>
      <c r="G1195" s="355"/>
      <c r="H1195" s="355"/>
      <c r="I1195" s="355"/>
      <c r="J1195" s="355"/>
      <c r="K1195" s="355"/>
      <c r="L1195" s="355"/>
      <c r="M1195" s="355"/>
      <c r="N1195" s="355"/>
      <c r="O1195" s="355"/>
    </row>
    <row r="1196" spans="1:15" s="351" customFormat="1" x14ac:dyDescent="0.2">
      <c r="A1196" s="354" t="str">
        <f>name!A73</f>
        <v>Libraries, etc</v>
      </c>
      <c r="B1196" s="519">
        <f>$B$6</f>
        <v>2007</v>
      </c>
      <c r="C1196" s="519"/>
      <c r="D1196" s="519"/>
      <c r="E1196" s="519"/>
      <c r="F1196" s="380"/>
      <c r="G1196" s="519">
        <f>$G$6</f>
        <v>2017</v>
      </c>
      <c r="H1196" s="519"/>
      <c r="I1196" s="519"/>
      <c r="J1196" s="519"/>
      <c r="K1196" s="380"/>
      <c r="L1196" s="519">
        <f>$L$6</f>
        <v>2027</v>
      </c>
      <c r="M1196" s="519"/>
      <c r="N1196" s="519"/>
      <c r="O1196" s="519"/>
    </row>
    <row r="1197" spans="1:15" s="351" customFormat="1" x14ac:dyDescent="0.2">
      <c r="A1197" s="370"/>
      <c r="B1197" s="388" t="str">
        <f>$B$7</f>
        <v>FT</v>
      </c>
      <c r="C1197" s="388" t="str">
        <f>$C$7</f>
        <v>PT</v>
      </c>
      <c r="D1197" s="388" t="str">
        <f>$D$7</f>
        <v>SE</v>
      </c>
      <c r="E1197" s="388" t="str">
        <f>$E$7</f>
        <v>Total</v>
      </c>
      <c r="F1197" s="388"/>
      <c r="G1197" s="388" t="str">
        <f>$G$7</f>
        <v>FT</v>
      </c>
      <c r="H1197" s="388" t="str">
        <f>$H$7</f>
        <v>PT</v>
      </c>
      <c r="I1197" s="388" t="str">
        <f>$I$7</f>
        <v>SE</v>
      </c>
      <c r="J1197" s="388" t="str">
        <f>$J$7</f>
        <v>Total</v>
      </c>
      <c r="K1197" s="388"/>
      <c r="L1197" s="388" t="str">
        <f>$L$7</f>
        <v>FT</v>
      </c>
      <c r="M1197" s="388" t="str">
        <f>$M$7</f>
        <v>PT</v>
      </c>
      <c r="N1197" s="388" t="str">
        <f>$N$7</f>
        <v>SE</v>
      </c>
      <c r="O1197" s="388" t="str">
        <f>$O$7</f>
        <v>Total</v>
      </c>
    </row>
    <row r="1198" spans="1:15" s="351" customFormat="1" x14ac:dyDescent="0.2">
      <c r="A1198" s="374"/>
      <c r="B1198" s="350"/>
      <c r="C1198" s="350"/>
      <c r="D1198" s="350"/>
      <c r="E1198" s="350"/>
      <c r="F1198" s="350"/>
      <c r="G1198" s="350"/>
      <c r="H1198" s="350"/>
      <c r="I1198" s="350"/>
      <c r="J1198" s="350"/>
      <c r="K1198" s="350"/>
      <c r="L1198" s="350"/>
      <c r="M1198" s="350"/>
      <c r="N1198" s="350"/>
      <c r="O1198" s="350"/>
    </row>
    <row r="1199" spans="1:15" s="351" customFormat="1" x14ac:dyDescent="0.2">
      <c r="A1199" s="362" t="str">
        <f>name!E$4</f>
        <v>Managers, directors and senior officials</v>
      </c>
      <c r="B1199" s="440">
        <v>0.25444798752635889</v>
      </c>
      <c r="C1199" s="440">
        <v>6.7257470624438584E-2</v>
      </c>
      <c r="D1199" s="440">
        <v>0.18894144157017351</v>
      </c>
      <c r="E1199" s="440">
        <f>SUM(B1199:D1199)</f>
        <v>0.51064689972097099</v>
      </c>
      <c r="F1199" s="441"/>
      <c r="G1199" s="440">
        <v>0.1762262628117901</v>
      </c>
      <c r="H1199" s="440">
        <v>3.1515212547668287E-2</v>
      </c>
      <c r="I1199" s="440">
        <v>0.17776290061074124</v>
      </c>
      <c r="J1199" s="440">
        <f>SUM(G1199:I1199)</f>
        <v>0.3855043759701996</v>
      </c>
      <c r="K1199" s="441"/>
      <c r="L1199" s="440">
        <v>0.24622851140243709</v>
      </c>
      <c r="M1199" s="440">
        <v>4.2514568936842849E-2</v>
      </c>
      <c r="N1199" s="440">
        <v>0.20715856844156708</v>
      </c>
      <c r="O1199" s="440">
        <f>SUM(L1199:N1199)</f>
        <v>0.49590164878084697</v>
      </c>
    </row>
    <row r="1200" spans="1:15" s="351" customFormat="1" x14ac:dyDescent="0.2">
      <c r="A1200" s="362" t="str">
        <f>name!E$5</f>
        <v>Professional occupations</v>
      </c>
      <c r="B1200" s="440">
        <v>0.4092058460157722</v>
      </c>
      <c r="C1200" s="440">
        <v>0.17611545138602716</v>
      </c>
      <c r="D1200" s="440">
        <v>0.22633976953899668</v>
      </c>
      <c r="E1200" s="440">
        <f t="shared" ref="E1200:E1207" si="511">SUM(B1200:D1200)</f>
        <v>0.81166106694079609</v>
      </c>
      <c r="F1200" s="441"/>
      <c r="G1200" s="440">
        <v>0.26923022790835299</v>
      </c>
      <c r="H1200" s="440">
        <v>5.9457903282043832E-2</v>
      </c>
      <c r="I1200" s="440">
        <v>0.28048662400911661</v>
      </c>
      <c r="J1200" s="440">
        <f t="shared" ref="J1200:J1202" si="512">SUM(G1200:I1200)</f>
        <v>0.60917475519951347</v>
      </c>
      <c r="K1200" s="441"/>
      <c r="L1200" s="440">
        <v>0.38282443751302858</v>
      </c>
      <c r="M1200" s="440">
        <v>8.1804266854740168E-2</v>
      </c>
      <c r="N1200" s="440">
        <v>0.41852706560630965</v>
      </c>
      <c r="O1200" s="440">
        <f t="shared" ref="O1200:O1207" si="513">SUM(L1200:N1200)</f>
        <v>0.88315576997407841</v>
      </c>
    </row>
    <row r="1201" spans="1:15" s="351" customFormat="1" x14ac:dyDescent="0.2">
      <c r="A1201" s="362" t="str">
        <f>name!E$6</f>
        <v>Associate professional and technical</v>
      </c>
      <c r="B1201" s="440">
        <v>0.52099151099415575</v>
      </c>
      <c r="C1201" s="440">
        <v>0.35199466035193844</v>
      </c>
      <c r="D1201" s="440">
        <v>1.1831468176250215</v>
      </c>
      <c r="E1201" s="440">
        <f t="shared" si="511"/>
        <v>2.0561329889711155</v>
      </c>
      <c r="F1201" s="441"/>
      <c r="G1201" s="440">
        <v>0.35610631358093381</v>
      </c>
      <c r="H1201" s="440">
        <v>0.11693480753420959</v>
      </c>
      <c r="I1201" s="440">
        <v>1.368646414918498</v>
      </c>
      <c r="J1201" s="440">
        <f t="shared" si="512"/>
        <v>1.8416875360336413</v>
      </c>
      <c r="K1201" s="441"/>
      <c r="L1201" s="440">
        <v>0.45461897543163315</v>
      </c>
      <c r="M1201" s="440">
        <v>0.1482013188869111</v>
      </c>
      <c r="N1201" s="440">
        <v>1.7179038273756704</v>
      </c>
      <c r="O1201" s="440">
        <f t="shared" si="513"/>
        <v>2.3207241216942145</v>
      </c>
    </row>
    <row r="1202" spans="1:15" s="351" customFormat="1" x14ac:dyDescent="0.2">
      <c r="A1202" s="362" t="str">
        <f>name!E$7</f>
        <v>Administrative and secretarial</v>
      </c>
      <c r="B1202" s="440">
        <v>0.66269112559635457</v>
      </c>
      <c r="C1202" s="440">
        <v>0.82624413855168133</v>
      </c>
      <c r="D1202" s="440">
        <v>1.7230598419053073E-2</v>
      </c>
      <c r="E1202" s="440">
        <f t="shared" si="511"/>
        <v>1.5061658625670891</v>
      </c>
      <c r="F1202" s="441"/>
      <c r="G1202" s="440">
        <v>0.39829896661026287</v>
      </c>
      <c r="H1202" s="440">
        <v>0.42907282573606137</v>
      </c>
      <c r="I1202" s="440">
        <v>3.2225924819218522E-2</v>
      </c>
      <c r="J1202" s="440">
        <f t="shared" si="512"/>
        <v>0.85959771716554267</v>
      </c>
      <c r="K1202" s="441"/>
      <c r="L1202" s="440">
        <v>0.43236599392397329</v>
      </c>
      <c r="M1202" s="440">
        <v>0.41942595945935934</v>
      </c>
      <c r="N1202" s="440">
        <v>2.680809871481293E-2</v>
      </c>
      <c r="O1202" s="440">
        <f t="shared" si="513"/>
        <v>0.87860005209814562</v>
      </c>
    </row>
    <row r="1203" spans="1:15" s="351" customFormat="1" x14ac:dyDescent="0.2">
      <c r="A1203" s="362" t="str">
        <f>name!E$8</f>
        <v>Skilled trades occupations</v>
      </c>
      <c r="B1203" s="440">
        <v>0.24935951686517047</v>
      </c>
      <c r="C1203" s="440">
        <v>8.6500100311518571E-2</v>
      </c>
      <c r="D1203" s="440">
        <v>0.20521933311687601</v>
      </c>
      <c r="E1203" s="440">
        <f t="shared" si="511"/>
        <v>0.54107895029356512</v>
      </c>
      <c r="F1203" s="441"/>
      <c r="G1203" s="440">
        <v>0.12944453710208256</v>
      </c>
      <c r="H1203" s="440">
        <v>2.2509684845930637E-2</v>
      </c>
      <c r="I1203" s="440">
        <v>0.20696412162832115</v>
      </c>
      <c r="J1203" s="440">
        <f>SUM(G1203:I1203)</f>
        <v>0.35891834357633434</v>
      </c>
      <c r="K1203" s="441"/>
      <c r="L1203" s="440">
        <v>0.13715567684358479</v>
      </c>
      <c r="M1203" s="440">
        <v>3.1222336138041349E-2</v>
      </c>
      <c r="N1203" s="440">
        <v>0.20428445110083288</v>
      </c>
      <c r="O1203" s="440">
        <f t="shared" si="513"/>
        <v>0.37266246408245901</v>
      </c>
    </row>
    <row r="1204" spans="1:15" s="351" customFormat="1" x14ac:dyDescent="0.2">
      <c r="A1204" s="362" t="str">
        <f>name!E$9</f>
        <v>Caring, leisure and other service</v>
      </c>
      <c r="B1204" s="440">
        <v>0.33030443800806336</v>
      </c>
      <c r="C1204" s="440">
        <v>0.52126265261501337</v>
      </c>
      <c r="D1204" s="440">
        <v>4.1844319208114517E-2</v>
      </c>
      <c r="E1204" s="440">
        <f t="shared" si="511"/>
        <v>0.89341140983119127</v>
      </c>
      <c r="F1204" s="441"/>
      <c r="G1204" s="440">
        <v>0.26988445496883406</v>
      </c>
      <c r="H1204" s="440">
        <v>0.15921536283048565</v>
      </c>
      <c r="I1204" s="440">
        <v>6.3884291793603609E-2</v>
      </c>
      <c r="J1204" s="440">
        <f t="shared" ref="J1204:J1207" si="514">SUM(G1204:I1204)</f>
        <v>0.49298410959292333</v>
      </c>
      <c r="K1204" s="441"/>
      <c r="L1204" s="440">
        <v>0.34227305096159594</v>
      </c>
      <c r="M1204" s="440">
        <v>0.20429586636726593</v>
      </c>
      <c r="N1204" s="440">
        <v>7.7089176031327672E-2</v>
      </c>
      <c r="O1204" s="440">
        <f t="shared" si="513"/>
        <v>0.62365809336018962</v>
      </c>
    </row>
    <row r="1205" spans="1:15" s="351" customFormat="1" x14ac:dyDescent="0.2">
      <c r="A1205" s="362" t="str">
        <f>name!E$10</f>
        <v>Sales and customer service</v>
      </c>
      <c r="B1205" s="440">
        <v>0.18933678352524475</v>
      </c>
      <c r="C1205" s="440">
        <v>0.28582226460104265</v>
      </c>
      <c r="D1205" s="440">
        <v>1.0956839861416674E-2</v>
      </c>
      <c r="E1205" s="440">
        <f t="shared" si="511"/>
        <v>0.48611588798770405</v>
      </c>
      <c r="F1205" s="441"/>
      <c r="G1205" s="440">
        <v>0.17991738686364328</v>
      </c>
      <c r="H1205" s="440">
        <v>0.11877106437216341</v>
      </c>
      <c r="I1205" s="440">
        <v>1.0947701607822444E-2</v>
      </c>
      <c r="J1205" s="440">
        <f t="shared" si="514"/>
        <v>0.30963615284362911</v>
      </c>
      <c r="K1205" s="441"/>
      <c r="L1205" s="440">
        <v>0.22040313453928992</v>
      </c>
      <c r="M1205" s="440">
        <v>0.1333501187403747</v>
      </c>
      <c r="N1205" s="440">
        <v>1.1315101063545214E-2</v>
      </c>
      <c r="O1205" s="440">
        <f t="shared" si="513"/>
        <v>0.36506835434320983</v>
      </c>
    </row>
    <row r="1206" spans="1:15" s="351" customFormat="1" x14ac:dyDescent="0.2">
      <c r="A1206" s="362" t="str">
        <f>name!E$11</f>
        <v>Process, plant and machine operatives</v>
      </c>
      <c r="B1206" s="440">
        <v>6.9408098297034884E-2</v>
      </c>
      <c r="C1206" s="440">
        <v>2.2842251336688386E-2</v>
      </c>
      <c r="D1206" s="440">
        <v>1.3434976509733311E-2</v>
      </c>
      <c r="E1206" s="440">
        <f t="shared" si="511"/>
        <v>0.10568532614345659</v>
      </c>
      <c r="F1206" s="441"/>
      <c r="G1206" s="440">
        <v>3.2233182429242883E-2</v>
      </c>
      <c r="H1206" s="440">
        <v>4.8233506344354925E-3</v>
      </c>
      <c r="I1206" s="440">
        <v>9.1914949130659195E-3</v>
      </c>
      <c r="J1206" s="440">
        <f t="shared" si="514"/>
        <v>4.6248027976744294E-2</v>
      </c>
      <c r="K1206" s="441"/>
      <c r="L1206" s="440">
        <v>3.4655706935390773E-2</v>
      </c>
      <c r="M1206" s="440">
        <v>4.8465544943243326E-3</v>
      </c>
      <c r="N1206" s="440">
        <v>9.7638590316849599E-3</v>
      </c>
      <c r="O1206" s="440">
        <f t="shared" si="513"/>
        <v>4.9266120461400068E-2</v>
      </c>
    </row>
    <row r="1207" spans="1:15" s="351" customFormat="1" x14ac:dyDescent="0.2">
      <c r="A1207" s="362" t="str">
        <f>name!E$12</f>
        <v>Elementary occupations</v>
      </c>
      <c r="B1207" s="440">
        <v>0.2882546931794811</v>
      </c>
      <c r="C1207" s="440">
        <v>0.55296101021237865</v>
      </c>
      <c r="D1207" s="440">
        <v>0.10888590413989303</v>
      </c>
      <c r="E1207" s="440">
        <f t="shared" si="511"/>
        <v>0.95010160753175277</v>
      </c>
      <c r="F1207" s="441"/>
      <c r="G1207" s="440">
        <v>0.14165866770915153</v>
      </c>
      <c r="H1207" s="440">
        <v>0.1676997882281232</v>
      </c>
      <c r="I1207" s="440">
        <v>5.1890525664320349E-2</v>
      </c>
      <c r="J1207" s="440">
        <f t="shared" si="514"/>
        <v>0.36124898160159508</v>
      </c>
      <c r="K1207" s="441"/>
      <c r="L1207" s="440">
        <v>0.16547451243507688</v>
      </c>
      <c r="M1207" s="440">
        <v>0.20133901013253003</v>
      </c>
      <c r="N1207" s="440">
        <v>3.1149852598549195E-2</v>
      </c>
      <c r="O1207" s="440">
        <f t="shared" si="513"/>
        <v>0.3979633751661561</v>
      </c>
    </row>
    <row r="1208" spans="1:15" s="351" customFormat="1" x14ac:dyDescent="0.2">
      <c r="A1208" s="362"/>
      <c r="B1208" s="440"/>
      <c r="C1208" s="440"/>
      <c r="D1208" s="440"/>
      <c r="E1208" s="440"/>
      <c r="F1208" s="441"/>
      <c r="G1208" s="440"/>
      <c r="H1208" s="440"/>
      <c r="I1208" s="440"/>
      <c r="J1208" s="440"/>
      <c r="K1208" s="441"/>
      <c r="L1208" s="440"/>
      <c r="M1208" s="440"/>
      <c r="N1208" s="440"/>
      <c r="O1208" s="440"/>
    </row>
    <row r="1209" spans="1:15" s="351" customFormat="1" x14ac:dyDescent="0.2">
      <c r="A1209" s="357" t="s">
        <v>32</v>
      </c>
      <c r="B1209" s="450">
        <f>SUM(B1199:B1207)</f>
        <v>2.9740000000076363</v>
      </c>
      <c r="C1209" s="450">
        <f t="shared" ref="C1209:E1209" si="515">SUM(C1199:C1207)</f>
        <v>2.8909999999907274</v>
      </c>
      <c r="D1209" s="450">
        <f t="shared" si="515"/>
        <v>1.9959999999892781</v>
      </c>
      <c r="E1209" s="450">
        <f t="shared" si="515"/>
        <v>7.8609999999876417</v>
      </c>
      <c r="F1209" s="450"/>
      <c r="G1209" s="450">
        <f t="shared" ref="G1209:J1209" si="516">SUM(G1199:G1207)</f>
        <v>1.9529999999842942</v>
      </c>
      <c r="H1209" s="450">
        <f t="shared" si="516"/>
        <v>1.1100000000111214</v>
      </c>
      <c r="I1209" s="450">
        <f t="shared" si="516"/>
        <v>2.2019999999647082</v>
      </c>
      <c r="J1209" s="450">
        <f t="shared" si="516"/>
        <v>5.2649999999601231</v>
      </c>
      <c r="K1209" s="450"/>
      <c r="L1209" s="450">
        <f t="shared" ref="L1209:O1209" si="517">SUM(L1199:L1207)</f>
        <v>2.4159999999860102</v>
      </c>
      <c r="M1209" s="450">
        <f t="shared" si="517"/>
        <v>1.2670000000103898</v>
      </c>
      <c r="N1209" s="450">
        <f t="shared" si="517"/>
        <v>2.7039999999642998</v>
      </c>
      <c r="O1209" s="450">
        <f t="shared" si="517"/>
        <v>6.3869999999606994</v>
      </c>
    </row>
    <row r="1210" spans="1:15" s="351" customFormat="1" x14ac:dyDescent="0.2">
      <c r="A1210" s="348"/>
      <c r="B1210" s="348"/>
      <c r="C1210" s="348"/>
      <c r="D1210" s="348"/>
      <c r="E1210" s="348"/>
      <c r="F1210" s="348"/>
      <c r="G1210" s="348"/>
      <c r="H1210" s="348"/>
      <c r="I1210" s="348"/>
      <c r="J1210" s="348"/>
      <c r="K1210" s="348"/>
      <c r="L1210" s="348"/>
      <c r="M1210" s="348"/>
      <c r="N1210" s="353"/>
    </row>
    <row r="1211" spans="1:15" s="351" customFormat="1" x14ac:dyDescent="0.2">
      <c r="A1211" s="348"/>
      <c r="B1211" s="348"/>
      <c r="C1211" s="348"/>
      <c r="D1211" s="348"/>
      <c r="E1211" s="348"/>
      <c r="F1211" s="348"/>
      <c r="G1211" s="348"/>
      <c r="H1211" s="348"/>
      <c r="I1211" s="348"/>
      <c r="J1211" s="348"/>
      <c r="K1211" s="348"/>
      <c r="L1211" s="348"/>
      <c r="M1211" s="348"/>
      <c r="N1211" s="353"/>
      <c r="O1211" s="367" t="s">
        <v>35</v>
      </c>
    </row>
    <row r="1212" spans="1:15" s="351" customFormat="1" x14ac:dyDescent="0.2">
      <c r="A1212" s="355"/>
      <c r="B1212" s="355"/>
      <c r="C1212" s="355"/>
      <c r="D1212" s="355"/>
      <c r="E1212" s="355"/>
      <c r="F1212" s="355"/>
      <c r="G1212" s="355"/>
      <c r="H1212" s="355"/>
      <c r="I1212" s="355"/>
      <c r="J1212" s="355"/>
      <c r="K1212" s="355"/>
      <c r="L1212" s="355"/>
      <c r="M1212" s="355"/>
      <c r="N1212" s="355"/>
      <c r="O1212" s="355"/>
    </row>
    <row r="1213" spans="1:15" s="351" customFormat="1" x14ac:dyDescent="0.2">
      <c r="A1213" s="354" t="str">
        <f>name!A74</f>
        <v>Gambling and betting</v>
      </c>
      <c r="B1213" s="519">
        <f>$B$6</f>
        <v>2007</v>
      </c>
      <c r="C1213" s="519"/>
      <c r="D1213" s="519"/>
      <c r="E1213" s="519"/>
      <c r="F1213" s="380"/>
      <c r="G1213" s="519">
        <f>$G$6</f>
        <v>2017</v>
      </c>
      <c r="H1213" s="519"/>
      <c r="I1213" s="519"/>
      <c r="J1213" s="519"/>
      <c r="K1213" s="380"/>
      <c r="L1213" s="519">
        <f>$L$6</f>
        <v>2027</v>
      </c>
      <c r="M1213" s="519"/>
      <c r="N1213" s="519"/>
      <c r="O1213" s="519"/>
    </row>
    <row r="1214" spans="1:15" s="351" customFormat="1" x14ac:dyDescent="0.2">
      <c r="A1214" s="370"/>
      <c r="B1214" s="388" t="str">
        <f>$B$7</f>
        <v>FT</v>
      </c>
      <c r="C1214" s="388" t="str">
        <f>$C$7</f>
        <v>PT</v>
      </c>
      <c r="D1214" s="388" t="str">
        <f>$D$7</f>
        <v>SE</v>
      </c>
      <c r="E1214" s="388" t="str">
        <f>$E$7</f>
        <v>Total</v>
      </c>
      <c r="F1214" s="388"/>
      <c r="G1214" s="388" t="str">
        <f>$G$7</f>
        <v>FT</v>
      </c>
      <c r="H1214" s="388" t="str">
        <f>$H$7</f>
        <v>PT</v>
      </c>
      <c r="I1214" s="388" t="str">
        <f>$I$7</f>
        <v>SE</v>
      </c>
      <c r="J1214" s="388" t="str">
        <f>$J$7</f>
        <v>Total</v>
      </c>
      <c r="K1214" s="388"/>
      <c r="L1214" s="388" t="str">
        <f>$L$7</f>
        <v>FT</v>
      </c>
      <c r="M1214" s="388" t="str">
        <f>$M$7</f>
        <v>PT</v>
      </c>
      <c r="N1214" s="388" t="str">
        <f>$N$7</f>
        <v>SE</v>
      </c>
      <c r="O1214" s="388" t="str">
        <f>$O$7</f>
        <v>Total</v>
      </c>
    </row>
    <row r="1215" spans="1:15" s="351" customFormat="1" x14ac:dyDescent="0.2">
      <c r="A1215" s="374"/>
      <c r="B1215" s="350"/>
      <c r="C1215" s="350"/>
      <c r="D1215" s="350"/>
      <c r="E1215" s="350"/>
      <c r="F1215" s="350"/>
      <c r="G1215" s="350"/>
      <c r="H1215" s="350"/>
      <c r="I1215" s="350"/>
      <c r="J1215" s="350"/>
      <c r="K1215" s="350"/>
      <c r="L1215" s="350"/>
      <c r="M1215" s="350"/>
      <c r="N1215" s="350"/>
      <c r="O1215" s="350"/>
    </row>
    <row r="1216" spans="1:15" s="351" customFormat="1" x14ac:dyDescent="0.2">
      <c r="A1216" s="362" t="str">
        <f>name!E$4</f>
        <v>Managers, directors and senior officials</v>
      </c>
      <c r="B1216" s="440">
        <v>0.20419537465812199</v>
      </c>
      <c r="C1216" s="440">
        <v>6.077047264612162E-2</v>
      </c>
      <c r="D1216" s="440">
        <v>5.8590094904588878E-2</v>
      </c>
      <c r="E1216" s="440">
        <f>SUM(B1216:D1216)</f>
        <v>0.32355594220883249</v>
      </c>
      <c r="F1216" s="441"/>
      <c r="G1216" s="440">
        <v>0.24424945614707616</v>
      </c>
      <c r="H1216" s="440">
        <v>3.0591843667513701E-2</v>
      </c>
      <c r="I1216" s="440">
        <v>7.7423620893158754E-2</v>
      </c>
      <c r="J1216" s="440">
        <f>SUM(G1216:I1216)</f>
        <v>0.35226492070774862</v>
      </c>
      <c r="K1216" s="441"/>
      <c r="L1216" s="440">
        <v>0.2980146910779144</v>
      </c>
      <c r="M1216" s="440">
        <v>3.4590886695167994E-2</v>
      </c>
      <c r="N1216" s="440">
        <v>7.6817626882351053E-2</v>
      </c>
      <c r="O1216" s="440">
        <f>SUM(L1216:N1216)</f>
        <v>0.40942320465543347</v>
      </c>
    </row>
    <row r="1217" spans="1:15" s="351" customFormat="1" x14ac:dyDescent="0.2">
      <c r="A1217" s="362" t="str">
        <f>name!E$5</f>
        <v>Professional occupations</v>
      </c>
      <c r="B1217" s="440">
        <v>0.2990211874075992</v>
      </c>
      <c r="C1217" s="440">
        <v>0.14416220574087862</v>
      </c>
      <c r="D1217" s="440">
        <v>7.1762587808819722E-2</v>
      </c>
      <c r="E1217" s="440">
        <f t="shared" ref="E1217:E1224" si="518">SUM(B1217:D1217)</f>
        <v>0.5149459809572976</v>
      </c>
      <c r="F1217" s="441"/>
      <c r="G1217" s="440">
        <v>0.30818313117762353</v>
      </c>
      <c r="H1217" s="440">
        <v>5.1436787986123E-2</v>
      </c>
      <c r="I1217" s="440">
        <v>0.12025860126421657</v>
      </c>
      <c r="J1217" s="440">
        <f t="shared" ref="J1217:J1219" si="519">SUM(G1217:I1217)</f>
        <v>0.47987852042796308</v>
      </c>
      <c r="K1217" s="441"/>
      <c r="L1217" s="440">
        <v>0.38298425751196508</v>
      </c>
      <c r="M1217" s="440">
        <v>5.9596895230686918E-2</v>
      </c>
      <c r="N1217" s="440">
        <v>0.15578042808171325</v>
      </c>
      <c r="O1217" s="440">
        <f t="shared" ref="O1217:O1224" si="520">SUM(L1217:N1217)</f>
        <v>0.59836158082436519</v>
      </c>
    </row>
    <row r="1218" spans="1:15" s="351" customFormat="1" x14ac:dyDescent="0.2">
      <c r="A1218" s="362" t="str">
        <f>name!E$6</f>
        <v>Associate professional and technical</v>
      </c>
      <c r="B1218" s="440">
        <v>0.40415609725484836</v>
      </c>
      <c r="C1218" s="440">
        <v>0.27070047870959618</v>
      </c>
      <c r="D1218" s="440">
        <v>0.37430385557862522</v>
      </c>
      <c r="E1218" s="440">
        <f t="shared" si="518"/>
        <v>1.0491604315430698</v>
      </c>
      <c r="F1218" s="441"/>
      <c r="G1218" s="440">
        <v>0.45062264318520656</v>
      </c>
      <c r="H1218" s="440">
        <v>8.0475651800999068E-2</v>
      </c>
      <c r="I1218" s="440">
        <v>0.58712185408179485</v>
      </c>
      <c r="J1218" s="440">
        <f t="shared" si="519"/>
        <v>1.1182201490680006</v>
      </c>
      <c r="K1218" s="441"/>
      <c r="L1218" s="440">
        <v>0.50361199331832129</v>
      </c>
      <c r="M1218" s="440">
        <v>8.9604865533221931E-2</v>
      </c>
      <c r="N1218" s="440">
        <v>0.63874345622881323</v>
      </c>
      <c r="O1218" s="440">
        <f t="shared" si="520"/>
        <v>1.2319603150803564</v>
      </c>
    </row>
    <row r="1219" spans="1:15" s="351" customFormat="1" x14ac:dyDescent="0.2">
      <c r="A1219" s="362" t="str">
        <f>name!E$7</f>
        <v>Administrative and secretarial</v>
      </c>
      <c r="B1219" s="440">
        <v>0.49121038727424643</v>
      </c>
      <c r="C1219" s="440">
        <v>0.58295579848768431</v>
      </c>
      <c r="D1219" s="440">
        <v>5.823818251092204E-3</v>
      </c>
      <c r="E1219" s="440">
        <f t="shared" si="518"/>
        <v>1.0799900040130228</v>
      </c>
      <c r="F1219" s="441"/>
      <c r="G1219" s="440">
        <v>0.4665089406110155</v>
      </c>
      <c r="H1219" s="440">
        <v>0.28231880613678856</v>
      </c>
      <c r="I1219" s="440">
        <v>1.3323331830161229E-2</v>
      </c>
      <c r="J1219" s="440">
        <f t="shared" si="519"/>
        <v>0.76215107857796527</v>
      </c>
      <c r="K1219" s="441"/>
      <c r="L1219" s="440">
        <v>0.46342035776303764</v>
      </c>
      <c r="M1219" s="440">
        <v>0.25277146042167825</v>
      </c>
      <c r="N1219" s="440">
        <v>1.001163298908336E-2</v>
      </c>
      <c r="O1219" s="440">
        <f t="shared" si="520"/>
        <v>0.72620345117379925</v>
      </c>
    </row>
    <row r="1220" spans="1:15" s="351" customFormat="1" x14ac:dyDescent="0.2">
      <c r="A1220" s="362" t="str">
        <f>name!E$8</f>
        <v>Skilled trades occupations</v>
      </c>
      <c r="B1220" s="440">
        <v>0.21030550103389964</v>
      </c>
      <c r="C1220" s="440">
        <v>0.1143643569609871</v>
      </c>
      <c r="D1220" s="440">
        <v>6.0260832747584418E-2</v>
      </c>
      <c r="E1220" s="440">
        <f t="shared" si="518"/>
        <v>0.38493069074247116</v>
      </c>
      <c r="F1220" s="441"/>
      <c r="G1220" s="440">
        <v>0.19584415760356866</v>
      </c>
      <c r="H1220" s="440">
        <v>4.6867082044476899E-2</v>
      </c>
      <c r="I1220" s="440">
        <v>9.1829985764746894E-2</v>
      </c>
      <c r="J1220" s="440">
        <f>SUM(G1220:I1220)</f>
        <v>0.33454122541279246</v>
      </c>
      <c r="K1220" s="441"/>
      <c r="L1220" s="440">
        <v>0.1820591947946068</v>
      </c>
      <c r="M1220" s="440">
        <v>5.0792348588074444E-2</v>
      </c>
      <c r="N1220" s="440">
        <v>7.5433307227195739E-2</v>
      </c>
      <c r="O1220" s="440">
        <f t="shared" si="520"/>
        <v>0.30828485060987698</v>
      </c>
    </row>
    <row r="1221" spans="1:15" s="351" customFormat="1" x14ac:dyDescent="0.2">
      <c r="A1221" s="362" t="str">
        <f>name!E$9</f>
        <v>Caring, leisure and other service</v>
      </c>
      <c r="B1221" s="440">
        <v>0.24764801400640665</v>
      </c>
      <c r="C1221" s="440">
        <v>0.57777147888558489</v>
      </c>
      <c r="D1221" s="440">
        <v>1.3740985108791284E-2</v>
      </c>
      <c r="E1221" s="440">
        <f t="shared" si="518"/>
        <v>0.83916047800078286</v>
      </c>
      <c r="F1221" s="441"/>
      <c r="G1221" s="440">
        <v>0.30734673868961698</v>
      </c>
      <c r="H1221" s="440">
        <v>0.16324641353585428</v>
      </c>
      <c r="I1221" s="440">
        <v>2.6815874137611856E-2</v>
      </c>
      <c r="J1221" s="440">
        <f t="shared" ref="J1221:J1224" si="521">SUM(G1221:I1221)</f>
        <v>0.49740902636308315</v>
      </c>
      <c r="K1221" s="441"/>
      <c r="L1221" s="440">
        <v>0.34638863802464304</v>
      </c>
      <c r="M1221" s="440">
        <v>0.1731966956766503</v>
      </c>
      <c r="N1221" s="440">
        <v>2.8786449638795002E-2</v>
      </c>
      <c r="O1221" s="440">
        <f t="shared" si="520"/>
        <v>0.54837178334008829</v>
      </c>
    </row>
    <row r="1222" spans="1:15" s="351" customFormat="1" x14ac:dyDescent="0.2">
      <c r="A1222" s="362" t="str">
        <f>name!E$10</f>
        <v>Sales and customer service</v>
      </c>
      <c r="B1222" s="440">
        <v>0.14497923618099287</v>
      </c>
      <c r="C1222" s="440">
        <v>0.2486761974115933</v>
      </c>
      <c r="D1222" s="440">
        <v>3.6837150438284133E-3</v>
      </c>
      <c r="E1222" s="440">
        <f t="shared" si="518"/>
        <v>0.39733914863641456</v>
      </c>
      <c r="F1222" s="441"/>
      <c r="G1222" s="440">
        <v>0.22222935759122506</v>
      </c>
      <c r="H1222" s="440">
        <v>0.12071876293543186</v>
      </c>
      <c r="I1222" s="440">
        <v>4.6066114578052061E-3</v>
      </c>
      <c r="J1222" s="440">
        <f t="shared" si="521"/>
        <v>0.34755473198446213</v>
      </c>
      <c r="K1222" s="441"/>
      <c r="L1222" s="440">
        <v>0.24577908005811036</v>
      </c>
      <c r="M1222" s="440">
        <v>0.10787264768461685</v>
      </c>
      <c r="N1222" s="440">
        <v>4.214594037236113E-3</v>
      </c>
      <c r="O1222" s="440">
        <f t="shared" si="520"/>
        <v>0.35786632177996336</v>
      </c>
    </row>
    <row r="1223" spans="1:15" s="351" customFormat="1" x14ac:dyDescent="0.2">
      <c r="A1223" s="362" t="str">
        <f>name!E$11</f>
        <v>Process, plant and machine operatives</v>
      </c>
      <c r="B1223" s="440">
        <v>5.9370342487009321E-2</v>
      </c>
      <c r="C1223" s="440">
        <v>3.3418443881708844E-2</v>
      </c>
      <c r="D1223" s="440">
        <v>3.7740121188591554E-3</v>
      </c>
      <c r="E1223" s="440">
        <f t="shared" si="518"/>
        <v>9.6562798487577317E-2</v>
      </c>
      <c r="F1223" s="441"/>
      <c r="G1223" s="440">
        <v>5.3560593600466541E-2</v>
      </c>
      <c r="H1223" s="440">
        <v>1.2162150634818555E-2</v>
      </c>
      <c r="I1223" s="440">
        <v>4.1339371715814468E-3</v>
      </c>
      <c r="J1223" s="440">
        <f t="shared" si="521"/>
        <v>6.9856681406866544E-2</v>
      </c>
      <c r="K1223" s="441"/>
      <c r="L1223" s="440">
        <v>5.1030580186725523E-2</v>
      </c>
      <c r="M1223" s="440">
        <v>9.6452282104735991E-3</v>
      </c>
      <c r="N1223" s="440">
        <v>3.6040231797845649E-3</v>
      </c>
      <c r="O1223" s="440">
        <f t="shared" si="520"/>
        <v>6.4279831576983679E-2</v>
      </c>
    </row>
    <row r="1224" spans="1:15" s="351" customFormat="1" x14ac:dyDescent="0.2">
      <c r="A1224" s="362" t="str">
        <f>name!E$12</f>
        <v>Elementary occupations</v>
      </c>
      <c r="B1224" s="440">
        <v>0.23611385970122187</v>
      </c>
      <c r="C1224" s="440">
        <v>0.56218056727151999</v>
      </c>
      <c r="D1224" s="440">
        <v>3.9060098437000958E-2</v>
      </c>
      <c r="E1224" s="440">
        <f t="shared" si="518"/>
        <v>0.83735452540974287</v>
      </c>
      <c r="F1224" s="441"/>
      <c r="G1224" s="440">
        <v>0.21745498137820163</v>
      </c>
      <c r="H1224" s="440">
        <v>0.18818250126478986</v>
      </c>
      <c r="I1224" s="440">
        <v>2.148618338314404E-2</v>
      </c>
      <c r="J1224" s="440">
        <f t="shared" si="521"/>
        <v>0.42712366602613555</v>
      </c>
      <c r="K1224" s="441"/>
      <c r="L1224" s="440">
        <v>0.22771120725243979</v>
      </c>
      <c r="M1224" s="440">
        <v>0.19292897196150571</v>
      </c>
      <c r="N1224" s="440">
        <v>1.1608481721872706E-2</v>
      </c>
      <c r="O1224" s="440">
        <f t="shared" si="520"/>
        <v>0.43224866093581821</v>
      </c>
    </row>
    <row r="1225" spans="1:15" s="351" customFormat="1" x14ac:dyDescent="0.2">
      <c r="A1225" s="362"/>
      <c r="B1225" s="440"/>
      <c r="C1225" s="440"/>
      <c r="D1225" s="440"/>
      <c r="E1225" s="440"/>
      <c r="F1225" s="441"/>
      <c r="G1225" s="440"/>
      <c r="H1225" s="440"/>
      <c r="I1225" s="440"/>
      <c r="J1225" s="440"/>
      <c r="K1225" s="441"/>
      <c r="L1225" s="440"/>
      <c r="M1225" s="440"/>
      <c r="N1225" s="440"/>
      <c r="O1225" s="440"/>
    </row>
    <row r="1226" spans="1:15" s="351" customFormat="1" x14ac:dyDescent="0.2">
      <c r="A1226" s="357" t="s">
        <v>32</v>
      </c>
      <c r="B1226" s="450">
        <f>SUM(B1216:B1224)</f>
        <v>2.297000000004346</v>
      </c>
      <c r="C1226" s="450">
        <f t="shared" ref="C1226:E1226" si="522">SUM(C1216:C1224)</f>
        <v>2.5949999999956752</v>
      </c>
      <c r="D1226" s="450">
        <f t="shared" si="522"/>
        <v>0.63099999999919032</v>
      </c>
      <c r="E1226" s="450">
        <f t="shared" si="522"/>
        <v>5.522999999999211</v>
      </c>
      <c r="F1226" s="450"/>
      <c r="G1226" s="450">
        <f t="shared" ref="G1226:J1226" si="523">SUM(G1216:G1224)</f>
        <v>2.4659999999840005</v>
      </c>
      <c r="H1226" s="450">
        <f t="shared" si="523"/>
        <v>0.97600000000679565</v>
      </c>
      <c r="I1226" s="450">
        <f t="shared" si="523"/>
        <v>0.94699999998422069</v>
      </c>
      <c r="J1226" s="450">
        <f t="shared" si="523"/>
        <v>4.3889999999750176</v>
      </c>
      <c r="K1226" s="450"/>
      <c r="L1226" s="450">
        <f t="shared" ref="L1226:O1226" si="524">SUM(L1216:L1224)</f>
        <v>2.7009999999877645</v>
      </c>
      <c r="M1226" s="450">
        <f t="shared" si="524"/>
        <v>0.97100000000207609</v>
      </c>
      <c r="N1226" s="450">
        <f t="shared" si="524"/>
        <v>1.0049999999868451</v>
      </c>
      <c r="O1226" s="450">
        <f t="shared" si="524"/>
        <v>4.676999999976684</v>
      </c>
    </row>
    <row r="1227" spans="1:15" s="351" customFormat="1" x14ac:dyDescent="0.2">
      <c r="A1227" s="348"/>
      <c r="B1227" s="348"/>
      <c r="C1227" s="348"/>
      <c r="D1227" s="348"/>
      <c r="E1227" s="348"/>
      <c r="F1227" s="348"/>
      <c r="G1227" s="348"/>
      <c r="H1227" s="348"/>
      <c r="I1227" s="348"/>
      <c r="J1227" s="348"/>
      <c r="K1227" s="348"/>
      <c r="L1227" s="348"/>
      <c r="M1227" s="348"/>
      <c r="N1227" s="353"/>
    </row>
    <row r="1228" spans="1:15" s="351" customFormat="1" x14ac:dyDescent="0.2">
      <c r="A1228" s="348"/>
      <c r="B1228" s="348"/>
      <c r="C1228" s="348"/>
      <c r="D1228" s="348"/>
      <c r="E1228" s="348"/>
      <c r="F1228" s="348"/>
      <c r="G1228" s="348"/>
      <c r="H1228" s="348"/>
      <c r="I1228" s="348"/>
      <c r="J1228" s="348"/>
      <c r="K1228" s="348"/>
      <c r="L1228" s="348"/>
      <c r="M1228" s="348"/>
      <c r="N1228" s="353"/>
      <c r="O1228" s="367" t="s">
        <v>35</v>
      </c>
    </row>
    <row r="1229" spans="1:15" s="351" customFormat="1" x14ac:dyDescent="0.2">
      <c r="A1229" s="355"/>
      <c r="B1229" s="355"/>
      <c r="C1229" s="355"/>
      <c r="D1229" s="355"/>
      <c r="E1229" s="355"/>
      <c r="F1229" s="355"/>
      <c r="G1229" s="355"/>
      <c r="H1229" s="355"/>
      <c r="I1229" s="355"/>
      <c r="J1229" s="355"/>
      <c r="K1229" s="355"/>
      <c r="L1229" s="355"/>
      <c r="M1229" s="355"/>
      <c r="N1229" s="355"/>
      <c r="O1229" s="355"/>
    </row>
    <row r="1230" spans="1:15" s="351" customFormat="1" x14ac:dyDescent="0.2">
      <c r="A1230" s="354" t="str">
        <f>name!A75</f>
        <v>Sport and recreation</v>
      </c>
      <c r="B1230" s="519">
        <f>$B$6</f>
        <v>2007</v>
      </c>
      <c r="C1230" s="519"/>
      <c r="D1230" s="519"/>
      <c r="E1230" s="519"/>
      <c r="F1230" s="380"/>
      <c r="G1230" s="519">
        <f>$G$6</f>
        <v>2017</v>
      </c>
      <c r="H1230" s="519"/>
      <c r="I1230" s="519"/>
      <c r="J1230" s="519"/>
      <c r="K1230" s="380"/>
      <c r="L1230" s="519">
        <f>$L$6</f>
        <v>2027</v>
      </c>
      <c r="M1230" s="519"/>
      <c r="N1230" s="519"/>
      <c r="O1230" s="519"/>
    </row>
    <row r="1231" spans="1:15" s="351" customFormat="1" x14ac:dyDescent="0.2">
      <c r="A1231" s="370"/>
      <c r="B1231" s="388" t="str">
        <f>$B$7</f>
        <v>FT</v>
      </c>
      <c r="C1231" s="388" t="str">
        <f>$C$7</f>
        <v>PT</v>
      </c>
      <c r="D1231" s="388" t="str">
        <f>$D$7</f>
        <v>SE</v>
      </c>
      <c r="E1231" s="388" t="str">
        <f>$E$7</f>
        <v>Total</v>
      </c>
      <c r="F1231" s="388"/>
      <c r="G1231" s="388" t="str">
        <f>$G$7</f>
        <v>FT</v>
      </c>
      <c r="H1231" s="388" t="str">
        <f>$H$7</f>
        <v>PT</v>
      </c>
      <c r="I1231" s="388" t="str">
        <f>$I$7</f>
        <v>SE</v>
      </c>
      <c r="J1231" s="388" t="str">
        <f>$J$7</f>
        <v>Total</v>
      </c>
      <c r="K1231" s="388"/>
      <c r="L1231" s="388" t="str">
        <f>$L$7</f>
        <v>FT</v>
      </c>
      <c r="M1231" s="388" t="str">
        <f>$M$7</f>
        <v>PT</v>
      </c>
      <c r="N1231" s="388" t="str">
        <f>$N$7</f>
        <v>SE</v>
      </c>
      <c r="O1231" s="388" t="str">
        <f>$O$7</f>
        <v>Total</v>
      </c>
    </row>
    <row r="1232" spans="1:15" s="351" customFormat="1" x14ac:dyDescent="0.2">
      <c r="A1232" s="374"/>
      <c r="B1232" s="350"/>
      <c r="C1232" s="350"/>
      <c r="D1232" s="350"/>
      <c r="E1232" s="350"/>
      <c r="F1232" s="350"/>
      <c r="G1232" s="350"/>
      <c r="H1232" s="350"/>
      <c r="I1232" s="350"/>
      <c r="J1232" s="350"/>
      <c r="K1232" s="350"/>
      <c r="L1232" s="350"/>
      <c r="M1232" s="350"/>
      <c r="N1232" s="350"/>
      <c r="O1232" s="350"/>
    </row>
    <row r="1233" spans="1:15" s="351" customFormat="1" x14ac:dyDescent="0.2">
      <c r="A1233" s="362" t="str">
        <f>name!E$4</f>
        <v>Managers, directors and senior officials</v>
      </c>
      <c r="B1233" s="440">
        <v>0.7945832808665666</v>
      </c>
      <c r="C1233" s="440">
        <v>0.21337615364841747</v>
      </c>
      <c r="D1233" s="440">
        <v>0.25135644695274012</v>
      </c>
      <c r="E1233" s="440">
        <f>SUM(B1233:D1233)</f>
        <v>1.2593158814677241</v>
      </c>
      <c r="F1233" s="441"/>
      <c r="G1233" s="440">
        <v>0.94330877885557718</v>
      </c>
      <c r="H1233" s="440">
        <v>0.27346190532433584</v>
      </c>
      <c r="I1233" s="440">
        <v>0.60318032331811267</v>
      </c>
      <c r="J1233" s="440">
        <f>SUM(G1233:I1233)</f>
        <v>1.8199510074980259</v>
      </c>
      <c r="K1233" s="441"/>
      <c r="L1233" s="440">
        <v>1.1588908076418529</v>
      </c>
      <c r="M1233" s="440">
        <v>0.31977721440904044</v>
      </c>
      <c r="N1233" s="440">
        <v>0.58293407829264332</v>
      </c>
      <c r="O1233" s="440">
        <f>SUM(L1233:N1233)</f>
        <v>2.0616021003435367</v>
      </c>
    </row>
    <row r="1234" spans="1:15" s="351" customFormat="1" x14ac:dyDescent="0.2">
      <c r="A1234" s="362" t="str">
        <f>name!E$5</f>
        <v>Professional occupations</v>
      </c>
      <c r="B1234" s="440">
        <v>1.1824193784253634</v>
      </c>
      <c r="C1234" s="440">
        <v>0.54457537227168717</v>
      </c>
      <c r="D1234" s="440">
        <v>0.27028057376685716</v>
      </c>
      <c r="E1234" s="440">
        <f t="shared" ref="E1234:E1241" si="525">SUM(B1234:D1234)</f>
        <v>1.9972753244639079</v>
      </c>
      <c r="F1234" s="441"/>
      <c r="G1234" s="440">
        <v>1.2139464152966759</v>
      </c>
      <c r="H1234" s="440">
        <v>0.49529410190819789</v>
      </c>
      <c r="I1234" s="440">
        <v>0.82392126214487227</v>
      </c>
      <c r="J1234" s="440">
        <f t="shared" ref="J1234:J1236" si="526">SUM(G1234:I1234)</f>
        <v>2.5331617793497463</v>
      </c>
      <c r="K1234" s="441"/>
      <c r="L1234" s="440">
        <v>1.5244772487678306</v>
      </c>
      <c r="M1234" s="440">
        <v>0.59217580766274092</v>
      </c>
      <c r="N1234" s="440">
        <v>1.0246846572905108</v>
      </c>
      <c r="O1234" s="440">
        <f t="shared" ref="O1234:O1241" si="527">SUM(L1234:N1234)</f>
        <v>3.1413377137210823</v>
      </c>
    </row>
    <row r="1235" spans="1:15" s="351" customFormat="1" x14ac:dyDescent="0.2">
      <c r="A1235" s="362" t="str">
        <f>name!E$6</f>
        <v>Associate professional and technical</v>
      </c>
      <c r="B1235" s="440">
        <v>1.5657109708644676</v>
      </c>
      <c r="C1235" s="440">
        <v>1.0317116545936418</v>
      </c>
      <c r="D1235" s="440">
        <v>1.4010116953440022</v>
      </c>
      <c r="E1235" s="440">
        <f t="shared" si="525"/>
        <v>3.9984343208021116</v>
      </c>
      <c r="F1235" s="441"/>
      <c r="G1235" s="440">
        <v>1.7402960571482935</v>
      </c>
      <c r="H1235" s="440">
        <v>0.812886653744742</v>
      </c>
      <c r="I1235" s="440">
        <v>3.9910660818865771</v>
      </c>
      <c r="J1235" s="440">
        <f t="shared" si="526"/>
        <v>6.5442487927796122</v>
      </c>
      <c r="K1235" s="441"/>
      <c r="L1235" s="440">
        <v>1.9680306475980047</v>
      </c>
      <c r="M1235" s="440">
        <v>0.93592450782384762</v>
      </c>
      <c r="N1235" s="440">
        <v>4.2955312746000294</v>
      </c>
      <c r="O1235" s="440">
        <f t="shared" si="527"/>
        <v>7.1994864300218815</v>
      </c>
    </row>
    <row r="1236" spans="1:15" s="351" customFormat="1" x14ac:dyDescent="0.2">
      <c r="A1236" s="362" t="str">
        <f>name!E$7</f>
        <v>Administrative and secretarial</v>
      </c>
      <c r="B1236" s="440">
        <v>1.9260076704460245</v>
      </c>
      <c r="C1236" s="440">
        <v>2.36256406107232</v>
      </c>
      <c r="D1236" s="440">
        <v>1.9120304228951977E-2</v>
      </c>
      <c r="E1236" s="440">
        <f t="shared" si="525"/>
        <v>4.307692035747297</v>
      </c>
      <c r="F1236" s="441"/>
      <c r="G1236" s="440">
        <v>1.8220063031796383</v>
      </c>
      <c r="H1236" s="440">
        <v>2.9032306527449809</v>
      </c>
      <c r="I1236" s="440">
        <v>7.4933250176336258E-2</v>
      </c>
      <c r="J1236" s="440">
        <f t="shared" si="526"/>
        <v>4.8001702061009555</v>
      </c>
      <c r="K1236" s="441"/>
      <c r="L1236" s="440">
        <v>1.8202604520363455</v>
      </c>
      <c r="M1236" s="440">
        <v>2.6479966974778684</v>
      </c>
      <c r="N1236" s="440">
        <v>5.9556096162260791E-2</v>
      </c>
      <c r="O1236" s="440">
        <f t="shared" si="527"/>
        <v>4.5278132456764748</v>
      </c>
    </row>
    <row r="1237" spans="1:15" s="351" customFormat="1" x14ac:dyDescent="0.2">
      <c r="A1237" s="362" t="str">
        <f>name!E$8</f>
        <v>Skilled trades occupations</v>
      </c>
      <c r="B1237" s="440">
        <v>0.80975718017914911</v>
      </c>
      <c r="C1237" s="440">
        <v>0.32856409456907792</v>
      </c>
      <c r="D1237" s="440">
        <v>0.26850157066249669</v>
      </c>
      <c r="E1237" s="440">
        <f t="shared" si="525"/>
        <v>1.4068228454107237</v>
      </c>
      <c r="F1237" s="441"/>
      <c r="G1237" s="440">
        <v>0.7491423537370685</v>
      </c>
      <c r="H1237" s="440">
        <v>0.34377101760123008</v>
      </c>
      <c r="I1237" s="440">
        <v>0.73149084116943675</v>
      </c>
      <c r="J1237" s="440">
        <f>SUM(G1237:I1237)</f>
        <v>1.8244042125077353</v>
      </c>
      <c r="K1237" s="441"/>
      <c r="L1237" s="440">
        <v>0.70353742528447494</v>
      </c>
      <c r="M1237" s="440">
        <v>0.37645888029936886</v>
      </c>
      <c r="N1237" s="440">
        <v>0.61517234675210786</v>
      </c>
      <c r="O1237" s="440">
        <f t="shared" si="527"/>
        <v>1.6951686523359517</v>
      </c>
    </row>
    <row r="1238" spans="1:15" s="351" customFormat="1" x14ac:dyDescent="0.2">
      <c r="A1238" s="362" t="str">
        <f>name!E$9</f>
        <v>Caring, leisure and other service</v>
      </c>
      <c r="B1238" s="440">
        <v>1.2368050877830938</v>
      </c>
      <c r="C1238" s="440">
        <v>1.9787099115822038</v>
      </c>
      <c r="D1238" s="440">
        <v>0.13859939322855724</v>
      </c>
      <c r="E1238" s="440">
        <f t="shared" si="525"/>
        <v>3.3541143925938552</v>
      </c>
      <c r="F1238" s="441"/>
      <c r="G1238" s="440">
        <v>1.4421942051174215</v>
      </c>
      <c r="H1238" s="440">
        <v>1.5501210738532281</v>
      </c>
      <c r="I1238" s="440">
        <v>0.32873286829647863</v>
      </c>
      <c r="J1238" s="440">
        <f t="shared" ref="J1238:J1241" si="528">SUM(G1238:I1238)</f>
        <v>3.3210481472671285</v>
      </c>
      <c r="K1238" s="441"/>
      <c r="L1238" s="440">
        <v>1.5426573855957666</v>
      </c>
      <c r="M1238" s="440">
        <v>1.6235167892251339</v>
      </c>
      <c r="N1238" s="440">
        <v>0.24826962978181757</v>
      </c>
      <c r="O1238" s="440">
        <f t="shared" si="527"/>
        <v>3.4144438046027181</v>
      </c>
    </row>
    <row r="1239" spans="1:15" s="351" customFormat="1" x14ac:dyDescent="0.2">
      <c r="A1239" s="362" t="str">
        <f>name!E$10</f>
        <v>Sales and customer service</v>
      </c>
      <c r="B1239" s="440">
        <v>0.57329708940662083</v>
      </c>
      <c r="C1239" s="440">
        <v>0.89486956889672309</v>
      </c>
      <c r="D1239" s="440">
        <v>1.2840391934170536E-2</v>
      </c>
      <c r="E1239" s="440">
        <f t="shared" si="525"/>
        <v>1.4810070502375146</v>
      </c>
      <c r="F1239" s="441"/>
      <c r="G1239" s="440">
        <v>0.86673346018042863</v>
      </c>
      <c r="H1239" s="440">
        <v>1.0599404051878154</v>
      </c>
      <c r="I1239" s="440">
        <v>2.940180976389405E-2</v>
      </c>
      <c r="J1239" s="440">
        <f t="shared" si="528"/>
        <v>1.956075675132138</v>
      </c>
      <c r="K1239" s="441"/>
      <c r="L1239" s="440">
        <v>0.96672972911816235</v>
      </c>
      <c r="M1239" s="440">
        <v>0.99185595254202852</v>
      </c>
      <c r="N1239" s="440">
        <v>2.7602060767854878E-2</v>
      </c>
      <c r="O1239" s="440">
        <f t="shared" si="527"/>
        <v>1.9861877424280456</v>
      </c>
    </row>
    <row r="1240" spans="1:15" s="351" customFormat="1" x14ac:dyDescent="0.2">
      <c r="A1240" s="362" t="str">
        <f>name!E$11</f>
        <v>Process, plant and machine operatives</v>
      </c>
      <c r="B1240" s="440">
        <v>0.250897306513922</v>
      </c>
      <c r="C1240" s="440">
        <v>0.1176454123165083</v>
      </c>
      <c r="D1240" s="440">
        <v>1.9753213922866258E-2</v>
      </c>
      <c r="E1240" s="440">
        <f t="shared" si="525"/>
        <v>0.3882959327532966</v>
      </c>
      <c r="F1240" s="441"/>
      <c r="G1240" s="440">
        <v>0.21540117730672534</v>
      </c>
      <c r="H1240" s="440">
        <v>0.11554252986027429</v>
      </c>
      <c r="I1240" s="440">
        <v>3.7186639768636433E-2</v>
      </c>
      <c r="J1240" s="440">
        <f t="shared" si="528"/>
        <v>0.36813034693563607</v>
      </c>
      <c r="K1240" s="441"/>
      <c r="L1240" s="440">
        <v>0.20280835316918691</v>
      </c>
      <c r="M1240" s="440">
        <v>9.0225627325812824E-2</v>
      </c>
      <c r="N1240" s="440">
        <v>3.0813614168148495E-2</v>
      </c>
      <c r="O1240" s="440">
        <f t="shared" si="527"/>
        <v>0.32384759466314822</v>
      </c>
    </row>
    <row r="1241" spans="1:15" s="351" customFormat="1" x14ac:dyDescent="0.2">
      <c r="A1241" s="362" t="str">
        <f>name!E$12</f>
        <v>Elementary occupations</v>
      </c>
      <c r="B1241" s="440">
        <v>0.97352203552939109</v>
      </c>
      <c r="C1241" s="440">
        <v>1.8389837710266881</v>
      </c>
      <c r="D1241" s="440">
        <v>0.1475364099370306</v>
      </c>
      <c r="E1241" s="440">
        <f t="shared" si="525"/>
        <v>2.9600422164931097</v>
      </c>
      <c r="F1241" s="441"/>
      <c r="G1241" s="440">
        <v>0.87097124911437562</v>
      </c>
      <c r="H1241" s="440">
        <v>1.6067516598512306</v>
      </c>
      <c r="I1241" s="440">
        <v>0.13608692335087882</v>
      </c>
      <c r="J1241" s="440">
        <f t="shared" si="528"/>
        <v>2.6138098323164853</v>
      </c>
      <c r="K1241" s="441"/>
      <c r="L1241" s="440">
        <v>0.90960795073752843</v>
      </c>
      <c r="M1241" s="440">
        <v>1.6820685232757664</v>
      </c>
      <c r="N1241" s="440">
        <v>8.4436242073589185E-2</v>
      </c>
      <c r="O1241" s="440">
        <f t="shared" si="527"/>
        <v>2.6761127160868843</v>
      </c>
    </row>
    <row r="1242" spans="1:15" s="351" customFormat="1" x14ac:dyDescent="0.2">
      <c r="A1242" s="362"/>
      <c r="B1242" s="440"/>
      <c r="C1242" s="440"/>
      <c r="D1242" s="440"/>
      <c r="E1242" s="440"/>
      <c r="F1242" s="441"/>
      <c r="G1242" s="440"/>
      <c r="H1242" s="440"/>
      <c r="I1242" s="440"/>
      <c r="J1242" s="440"/>
      <c r="K1242" s="441"/>
      <c r="L1242" s="440"/>
      <c r="M1242" s="440"/>
      <c r="N1242" s="440"/>
      <c r="O1242" s="440"/>
    </row>
    <row r="1243" spans="1:15" s="351" customFormat="1" x14ac:dyDescent="0.2">
      <c r="A1243" s="357" t="s">
        <v>32</v>
      </c>
      <c r="B1243" s="450">
        <f>SUM(B1233:B1241)</f>
        <v>9.3130000000146005</v>
      </c>
      <c r="C1243" s="450">
        <f t="shared" ref="C1243:E1243" si="529">SUM(C1233:C1241)</f>
        <v>9.3109999999772679</v>
      </c>
      <c r="D1243" s="450">
        <f t="shared" si="529"/>
        <v>2.5289999999776729</v>
      </c>
      <c r="E1243" s="450">
        <f t="shared" si="529"/>
        <v>21.152999999969545</v>
      </c>
      <c r="F1243" s="450"/>
      <c r="G1243" s="450">
        <f t="shared" ref="G1243:J1243" si="530">SUM(G1233:G1241)</f>
        <v>9.8639999999362047</v>
      </c>
      <c r="H1243" s="450">
        <f t="shared" si="530"/>
        <v>9.1610000000760348</v>
      </c>
      <c r="I1243" s="450">
        <f t="shared" si="530"/>
        <v>6.7559999998752227</v>
      </c>
      <c r="J1243" s="450">
        <f t="shared" si="530"/>
        <v>25.780999999887459</v>
      </c>
      <c r="K1243" s="450"/>
      <c r="L1243" s="450">
        <f t="shared" ref="L1243:O1243" si="531">SUM(L1233:L1241)</f>
        <v>10.796999999949154</v>
      </c>
      <c r="M1243" s="450">
        <f t="shared" si="531"/>
        <v>9.2600000000416074</v>
      </c>
      <c r="N1243" s="450">
        <f t="shared" si="531"/>
        <v>6.968999999888962</v>
      </c>
      <c r="O1243" s="450">
        <f t="shared" si="531"/>
        <v>27.025999999879726</v>
      </c>
    </row>
    <row r="1244" spans="1:15" s="351" customFormat="1" x14ac:dyDescent="0.2">
      <c r="A1244" s="348"/>
      <c r="B1244" s="348"/>
      <c r="C1244" s="348"/>
      <c r="D1244" s="348"/>
      <c r="E1244" s="348"/>
      <c r="F1244" s="348"/>
      <c r="G1244" s="348"/>
      <c r="H1244" s="348"/>
      <c r="I1244" s="348"/>
      <c r="J1244" s="348"/>
      <c r="K1244" s="348"/>
      <c r="L1244" s="348"/>
      <c r="M1244" s="348"/>
      <c r="N1244" s="353"/>
    </row>
    <row r="1245" spans="1:15" s="351" customFormat="1" x14ac:dyDescent="0.2">
      <c r="A1245" s="348"/>
      <c r="B1245" s="348"/>
      <c r="C1245" s="348"/>
      <c r="D1245" s="348"/>
      <c r="E1245" s="348"/>
      <c r="F1245" s="348"/>
      <c r="G1245" s="348"/>
      <c r="H1245" s="348"/>
      <c r="I1245" s="348"/>
      <c r="J1245" s="348"/>
      <c r="K1245" s="348"/>
      <c r="L1245" s="348"/>
      <c r="M1245" s="348"/>
      <c r="N1245" s="353"/>
      <c r="O1245" s="367" t="s">
        <v>35</v>
      </c>
    </row>
    <row r="1246" spans="1:15" s="351" customFormat="1" x14ac:dyDescent="0.2">
      <c r="A1246" s="355"/>
      <c r="B1246" s="355"/>
      <c r="C1246" s="355"/>
      <c r="D1246" s="355"/>
      <c r="E1246" s="355"/>
      <c r="F1246" s="355"/>
      <c r="G1246" s="355"/>
      <c r="H1246" s="355"/>
      <c r="I1246" s="355"/>
      <c r="J1246" s="355"/>
      <c r="K1246" s="355"/>
      <c r="L1246" s="355"/>
      <c r="M1246" s="355"/>
      <c r="N1246" s="355"/>
      <c r="O1246" s="355"/>
    </row>
    <row r="1247" spans="1:15" s="351" customFormat="1" x14ac:dyDescent="0.2">
      <c r="A1247" s="354" t="str">
        <f>name!A76</f>
        <v>Membership organisations</v>
      </c>
      <c r="B1247" s="519">
        <f>$B$6</f>
        <v>2007</v>
      </c>
      <c r="C1247" s="519"/>
      <c r="D1247" s="519"/>
      <c r="E1247" s="519"/>
      <c r="F1247" s="380"/>
      <c r="G1247" s="519">
        <f>$G$6</f>
        <v>2017</v>
      </c>
      <c r="H1247" s="519"/>
      <c r="I1247" s="519"/>
      <c r="J1247" s="519"/>
      <c r="K1247" s="380"/>
      <c r="L1247" s="519">
        <f>$L$6</f>
        <v>2027</v>
      </c>
      <c r="M1247" s="519"/>
      <c r="N1247" s="519"/>
      <c r="O1247" s="519"/>
    </row>
    <row r="1248" spans="1:15" s="351" customFormat="1" x14ac:dyDescent="0.2">
      <c r="A1248" s="370"/>
      <c r="B1248" s="388" t="str">
        <f>$B$7</f>
        <v>FT</v>
      </c>
      <c r="C1248" s="388" t="str">
        <f>$C$7</f>
        <v>PT</v>
      </c>
      <c r="D1248" s="388" t="str">
        <f>$D$7</f>
        <v>SE</v>
      </c>
      <c r="E1248" s="388" t="str">
        <f>$E$7</f>
        <v>Total</v>
      </c>
      <c r="F1248" s="388"/>
      <c r="G1248" s="388" t="str">
        <f>$G$7</f>
        <v>FT</v>
      </c>
      <c r="H1248" s="388" t="str">
        <f>$H$7</f>
        <v>PT</v>
      </c>
      <c r="I1248" s="388" t="str">
        <f>$I$7</f>
        <v>SE</v>
      </c>
      <c r="J1248" s="388" t="str">
        <f>$J$7</f>
        <v>Total</v>
      </c>
      <c r="K1248" s="388"/>
      <c r="L1248" s="388" t="str">
        <f>$L$7</f>
        <v>FT</v>
      </c>
      <c r="M1248" s="388" t="str">
        <f>$M$7</f>
        <v>PT</v>
      </c>
      <c r="N1248" s="388" t="str">
        <f>$N$7</f>
        <v>SE</v>
      </c>
      <c r="O1248" s="388" t="str">
        <f>$O$7</f>
        <v>Total</v>
      </c>
    </row>
    <row r="1249" spans="1:15" s="351" customFormat="1" x14ac:dyDescent="0.2">
      <c r="A1249" s="374"/>
      <c r="B1249" s="350"/>
      <c r="C1249" s="350"/>
      <c r="D1249" s="350"/>
      <c r="E1249" s="350"/>
      <c r="F1249" s="350"/>
      <c r="G1249" s="350"/>
      <c r="H1249" s="350"/>
      <c r="I1249" s="350"/>
      <c r="J1249" s="350"/>
      <c r="K1249" s="350"/>
      <c r="L1249" s="350"/>
      <c r="M1249" s="350"/>
      <c r="N1249" s="350"/>
      <c r="O1249" s="350"/>
    </row>
    <row r="1250" spans="1:15" s="351" customFormat="1" x14ac:dyDescent="0.2">
      <c r="A1250" s="362" t="str">
        <f>name!E$4</f>
        <v>Managers, directors and senior officials</v>
      </c>
      <c r="B1250" s="440">
        <v>0.39614421106055309</v>
      </c>
      <c r="C1250" s="440">
        <v>0.18949487789837291</v>
      </c>
      <c r="D1250" s="440">
        <v>0.44967349470313184</v>
      </c>
      <c r="E1250" s="440">
        <f>SUM(B1250:D1250)</f>
        <v>1.0353125836620578</v>
      </c>
      <c r="F1250" s="441"/>
      <c r="G1250" s="440">
        <v>0.33502041084253081</v>
      </c>
      <c r="H1250" s="440">
        <v>7.5404646148592797E-2</v>
      </c>
      <c r="I1250" s="440">
        <v>0.75702007559097662</v>
      </c>
      <c r="J1250" s="440">
        <f>SUM(G1250:I1250)</f>
        <v>1.1674451325821003</v>
      </c>
      <c r="K1250" s="441"/>
      <c r="L1250" s="440">
        <v>0.41075388471330637</v>
      </c>
      <c r="M1250" s="440">
        <v>9.3995965243631033E-2</v>
      </c>
      <c r="N1250" s="440">
        <v>0.78762071212942308</v>
      </c>
      <c r="O1250" s="440">
        <f>SUM(L1250:N1250)</f>
        <v>1.2923705620863606</v>
      </c>
    </row>
    <row r="1251" spans="1:15" s="351" customFormat="1" x14ac:dyDescent="0.2">
      <c r="A1251" s="362" t="str">
        <f>name!E$5</f>
        <v>Professional occupations</v>
      </c>
      <c r="B1251" s="440">
        <v>2.0556603401740841</v>
      </c>
      <c r="C1251" s="440">
        <v>1.5947445330992136</v>
      </c>
      <c r="D1251" s="440">
        <v>0.72442884644453265</v>
      </c>
      <c r="E1251" s="440">
        <f t="shared" ref="E1251:E1258" si="532">SUM(B1251:D1251)</f>
        <v>4.37483371971783</v>
      </c>
      <c r="F1251" s="441"/>
      <c r="G1251" s="440">
        <v>1.5907276696824773</v>
      </c>
      <c r="H1251" s="440">
        <v>0.50825356818850298</v>
      </c>
      <c r="I1251" s="440">
        <v>1.6915029725866693</v>
      </c>
      <c r="J1251" s="440">
        <f t="shared" ref="J1251:J1253" si="533">SUM(G1251:I1251)</f>
        <v>3.7904842104576493</v>
      </c>
      <c r="K1251" s="441"/>
      <c r="L1251" s="440">
        <v>1.861459784066374</v>
      </c>
      <c r="M1251" s="440">
        <v>0.57472028743749881</v>
      </c>
      <c r="N1251" s="440">
        <v>2.2051094127857516</v>
      </c>
      <c r="O1251" s="440">
        <f t="shared" ref="O1251:O1258" si="534">SUM(L1251:N1251)</f>
        <v>4.641289484289624</v>
      </c>
    </row>
    <row r="1252" spans="1:15" s="351" customFormat="1" x14ac:dyDescent="0.2">
      <c r="A1252" s="362" t="str">
        <f>name!E$6</f>
        <v>Associate professional and technical</v>
      </c>
      <c r="B1252" s="440">
        <v>0.79635406404983344</v>
      </c>
      <c r="C1252" s="440">
        <v>0.83607343860425432</v>
      </c>
      <c r="D1252" s="440">
        <v>0.72623945481273156</v>
      </c>
      <c r="E1252" s="440">
        <f t="shared" si="532"/>
        <v>2.3586669574668191</v>
      </c>
      <c r="F1252" s="441"/>
      <c r="G1252" s="440">
        <v>0.87918600169840799</v>
      </c>
      <c r="H1252" s="440">
        <v>0.33425164787975487</v>
      </c>
      <c r="I1252" s="440">
        <v>1.8869023624973742</v>
      </c>
      <c r="J1252" s="440">
        <f t="shared" si="533"/>
        <v>3.1003400120755371</v>
      </c>
      <c r="K1252" s="441"/>
      <c r="L1252" s="440">
        <v>1.0184086601205584</v>
      </c>
      <c r="M1252" s="440">
        <v>0.36564684502148903</v>
      </c>
      <c r="N1252" s="440">
        <v>2.0312667838619149</v>
      </c>
      <c r="O1252" s="440">
        <f t="shared" si="534"/>
        <v>3.4153222890039623</v>
      </c>
    </row>
    <row r="1253" spans="1:15" s="351" customFormat="1" x14ac:dyDescent="0.2">
      <c r="A1253" s="362" t="str">
        <f>name!E$7</f>
        <v>Administrative and secretarial</v>
      </c>
      <c r="B1253" s="440">
        <v>1.7765005265124518</v>
      </c>
      <c r="C1253" s="440">
        <v>2.1763689501794765</v>
      </c>
      <c r="D1253" s="440">
        <v>0.27111463716644524</v>
      </c>
      <c r="E1253" s="440">
        <f t="shared" si="532"/>
        <v>4.2239841138583731</v>
      </c>
      <c r="F1253" s="441"/>
      <c r="G1253" s="440">
        <v>1.356194446342089</v>
      </c>
      <c r="H1253" s="440">
        <v>1.2771009060871557</v>
      </c>
      <c r="I1253" s="440">
        <v>0.59153560783147285</v>
      </c>
      <c r="J1253" s="440">
        <f t="shared" si="533"/>
        <v>3.224830960260717</v>
      </c>
      <c r="K1253" s="441"/>
      <c r="L1253" s="440">
        <v>1.0856192337057036</v>
      </c>
      <c r="M1253" s="440">
        <v>1.1561323940918373</v>
      </c>
      <c r="N1253" s="440">
        <v>0.40267990325429315</v>
      </c>
      <c r="O1253" s="440">
        <f t="shared" si="534"/>
        <v>2.644431531051834</v>
      </c>
    </row>
    <row r="1254" spans="1:15" s="351" customFormat="1" x14ac:dyDescent="0.2">
      <c r="A1254" s="362" t="str">
        <f>name!E$8</f>
        <v>Skilled trades occupations</v>
      </c>
      <c r="B1254" s="440">
        <v>0.16055261646694038</v>
      </c>
      <c r="C1254" s="440">
        <v>0.32489127819878161</v>
      </c>
      <c r="D1254" s="440">
        <v>0.45212337183381834</v>
      </c>
      <c r="E1254" s="440">
        <f t="shared" si="532"/>
        <v>0.93756726649954036</v>
      </c>
      <c r="F1254" s="441"/>
      <c r="G1254" s="440">
        <v>9.0863906618438794E-2</v>
      </c>
      <c r="H1254" s="440">
        <v>6.8828806553785774E-2</v>
      </c>
      <c r="I1254" s="440">
        <v>0.77070429057016188</v>
      </c>
      <c r="J1254" s="440">
        <f>SUM(G1254:I1254)</f>
        <v>0.93039700374238643</v>
      </c>
      <c r="K1254" s="441"/>
      <c r="L1254" s="440">
        <v>8.8867032929497408E-2</v>
      </c>
      <c r="M1254" s="440">
        <v>5.9656526509854528E-2</v>
      </c>
      <c r="N1254" s="440">
        <v>0.80528858934041359</v>
      </c>
      <c r="O1254" s="440">
        <f t="shared" si="534"/>
        <v>0.9538121487797655</v>
      </c>
    </row>
    <row r="1255" spans="1:15" s="351" customFormat="1" x14ac:dyDescent="0.2">
      <c r="A1255" s="362" t="str">
        <f>name!E$9</f>
        <v>Caring, leisure and other service</v>
      </c>
      <c r="B1255" s="440">
        <v>0.65689526532576104</v>
      </c>
      <c r="C1255" s="440">
        <v>0.94199379127816574</v>
      </c>
      <c r="D1255" s="440">
        <v>0.3131619383854734</v>
      </c>
      <c r="E1255" s="440">
        <f t="shared" si="532"/>
        <v>1.9120509949894</v>
      </c>
      <c r="F1255" s="441"/>
      <c r="G1255" s="440">
        <v>0.74744838176820039</v>
      </c>
      <c r="H1255" s="440">
        <v>0.32418329126645973</v>
      </c>
      <c r="I1255" s="440">
        <v>0.65143234529205507</v>
      </c>
      <c r="J1255" s="440">
        <f t="shared" ref="J1255:J1258" si="535">SUM(G1255:I1255)</f>
        <v>1.7230640183267152</v>
      </c>
      <c r="K1255" s="441"/>
      <c r="L1255" s="440">
        <v>0.78976846030562387</v>
      </c>
      <c r="M1255" s="440">
        <v>0.37306560629209706</v>
      </c>
      <c r="N1255" s="440">
        <v>0.6439784518844216</v>
      </c>
      <c r="O1255" s="440">
        <f t="shared" si="534"/>
        <v>1.8068125184821424</v>
      </c>
    </row>
    <row r="1256" spans="1:15" s="351" customFormat="1" x14ac:dyDescent="0.2">
      <c r="A1256" s="362" t="str">
        <f>name!E$10</f>
        <v>Sales and customer service</v>
      </c>
      <c r="B1256" s="440">
        <v>0.190313297249879</v>
      </c>
      <c r="C1256" s="440">
        <v>0.25566842618047764</v>
      </c>
      <c r="D1256" s="440">
        <v>6.1850950557641997E-2</v>
      </c>
      <c r="E1256" s="440">
        <f t="shared" si="532"/>
        <v>0.50783267398799858</v>
      </c>
      <c r="F1256" s="441"/>
      <c r="G1256" s="440">
        <v>0.12318894622969986</v>
      </c>
      <c r="H1256" s="440">
        <v>0.13210558875662828</v>
      </c>
      <c r="I1256" s="440">
        <v>0.11898367834125047</v>
      </c>
      <c r="J1256" s="440">
        <f t="shared" si="535"/>
        <v>0.3742782133275786</v>
      </c>
      <c r="K1256" s="441"/>
      <c r="L1256" s="440">
        <v>0.12523448909213791</v>
      </c>
      <c r="M1256" s="440">
        <v>0.14524384258867382</v>
      </c>
      <c r="N1256" s="440">
        <v>0.10413203806429736</v>
      </c>
      <c r="O1256" s="440">
        <f t="shared" si="534"/>
        <v>0.37461036974510908</v>
      </c>
    </row>
    <row r="1257" spans="1:15" s="351" customFormat="1" x14ac:dyDescent="0.2">
      <c r="A1257" s="362" t="str">
        <f>name!E$11</f>
        <v>Process, plant and machine operatives</v>
      </c>
      <c r="B1257" s="440">
        <v>8.8797610252915382E-2</v>
      </c>
      <c r="C1257" s="440">
        <v>0.2133007361524476</v>
      </c>
      <c r="D1257" s="440">
        <v>0.12412981250834269</v>
      </c>
      <c r="E1257" s="440">
        <f t="shared" si="532"/>
        <v>0.42622815891370569</v>
      </c>
      <c r="F1257" s="441"/>
      <c r="G1257" s="440">
        <v>4.8324653902743021E-2</v>
      </c>
      <c r="H1257" s="440">
        <v>6.506304631948312E-2</v>
      </c>
      <c r="I1257" s="440">
        <v>0.19502665925691323</v>
      </c>
      <c r="J1257" s="440">
        <f t="shared" si="535"/>
        <v>0.30841435947913937</v>
      </c>
      <c r="K1257" s="441"/>
      <c r="L1257" s="440">
        <v>4.3217631388198528E-2</v>
      </c>
      <c r="M1257" s="440">
        <v>4.9934214858948639E-2</v>
      </c>
      <c r="N1257" s="440">
        <v>0.13143847001387549</v>
      </c>
      <c r="O1257" s="440">
        <f t="shared" si="534"/>
        <v>0.22459031626102266</v>
      </c>
    </row>
    <row r="1258" spans="1:15" s="351" customFormat="1" x14ac:dyDescent="0.2">
      <c r="A1258" s="362" t="str">
        <f>name!E$12</f>
        <v>Elementary occupations</v>
      </c>
      <c r="B1258" s="440">
        <v>0.27978206896041036</v>
      </c>
      <c r="C1258" s="440">
        <v>1.6324639683653546</v>
      </c>
      <c r="D1258" s="440">
        <v>1.3842774935802655</v>
      </c>
      <c r="E1258" s="440">
        <f t="shared" si="532"/>
        <v>3.2965235309060303</v>
      </c>
      <c r="F1258" s="441"/>
      <c r="G1258" s="440">
        <v>0.11904558284220326</v>
      </c>
      <c r="H1258" s="440">
        <v>0.42780849880639765</v>
      </c>
      <c r="I1258" s="440">
        <v>1.0328920079662247</v>
      </c>
      <c r="J1258" s="440">
        <f t="shared" si="535"/>
        <v>1.5797460896148257</v>
      </c>
      <c r="K1258" s="441"/>
      <c r="L1258" s="440">
        <v>0.11967082366097501</v>
      </c>
      <c r="M1258" s="440">
        <v>0.44060431797080674</v>
      </c>
      <c r="N1258" s="440">
        <v>0.5184856386072042</v>
      </c>
      <c r="O1258" s="440">
        <f t="shared" si="534"/>
        <v>1.0787607802389858</v>
      </c>
    </row>
    <row r="1259" spans="1:15" s="351" customFormat="1" x14ac:dyDescent="0.2">
      <c r="A1259" s="362"/>
      <c r="B1259" s="440"/>
      <c r="C1259" s="440"/>
      <c r="D1259" s="440"/>
      <c r="E1259" s="440"/>
      <c r="F1259" s="441"/>
      <c r="G1259" s="440"/>
      <c r="H1259" s="440"/>
      <c r="I1259" s="440"/>
      <c r="J1259" s="440"/>
      <c r="K1259" s="441"/>
      <c r="L1259" s="440"/>
      <c r="M1259" s="440"/>
      <c r="N1259" s="440"/>
      <c r="O1259" s="440"/>
    </row>
    <row r="1260" spans="1:15" s="351" customFormat="1" x14ac:dyDescent="0.2">
      <c r="A1260" s="357" t="s">
        <v>32</v>
      </c>
      <c r="B1260" s="450">
        <f>SUM(B1250:B1258)</f>
        <v>6.4010000000528287</v>
      </c>
      <c r="C1260" s="450">
        <f t="shared" ref="C1260:E1260" si="536">SUM(C1250:C1258)</f>
        <v>8.1649999999565441</v>
      </c>
      <c r="D1260" s="450">
        <f t="shared" si="536"/>
        <v>4.5069999999923827</v>
      </c>
      <c r="E1260" s="450">
        <f t="shared" si="536"/>
        <v>19.073000000001755</v>
      </c>
      <c r="F1260" s="450"/>
      <c r="G1260" s="450">
        <f t="shared" ref="G1260:J1260" si="537">SUM(G1250:G1258)</f>
        <v>5.2899999999267902</v>
      </c>
      <c r="H1260" s="450">
        <f t="shared" si="537"/>
        <v>3.2130000000067613</v>
      </c>
      <c r="I1260" s="450">
        <f t="shared" si="537"/>
        <v>7.6959999999330986</v>
      </c>
      <c r="J1260" s="450">
        <f t="shared" si="537"/>
        <v>16.198999999866647</v>
      </c>
      <c r="K1260" s="450"/>
      <c r="L1260" s="450">
        <f t="shared" ref="L1260:O1260" si="538">SUM(L1250:L1258)</f>
        <v>5.542999999982376</v>
      </c>
      <c r="M1260" s="450">
        <f t="shared" si="538"/>
        <v>3.2590000000148365</v>
      </c>
      <c r="N1260" s="450">
        <f t="shared" si="538"/>
        <v>7.6299999999415959</v>
      </c>
      <c r="O1260" s="450">
        <f t="shared" si="538"/>
        <v>16.43199999993881</v>
      </c>
    </row>
    <row r="1261" spans="1:15" s="351" customFormat="1" x14ac:dyDescent="0.2">
      <c r="A1261" s="348"/>
      <c r="B1261" s="348"/>
      <c r="C1261" s="348"/>
      <c r="D1261" s="348"/>
      <c r="E1261" s="348"/>
      <c r="F1261" s="348"/>
      <c r="G1261" s="348"/>
      <c r="H1261" s="348"/>
      <c r="I1261" s="348"/>
      <c r="J1261" s="348"/>
      <c r="K1261" s="348"/>
      <c r="L1261" s="348"/>
      <c r="M1261" s="348"/>
      <c r="N1261" s="353"/>
    </row>
    <row r="1262" spans="1:15" s="351" customFormat="1" x14ac:dyDescent="0.2">
      <c r="A1262" s="348"/>
      <c r="B1262" s="348"/>
      <c r="C1262" s="348"/>
      <c r="D1262" s="348"/>
      <c r="E1262" s="348"/>
      <c r="F1262" s="348"/>
      <c r="G1262" s="348"/>
      <c r="H1262" s="348"/>
      <c r="I1262" s="348"/>
      <c r="J1262" s="348"/>
      <c r="K1262" s="348"/>
      <c r="L1262" s="348"/>
      <c r="M1262" s="348"/>
      <c r="N1262" s="353"/>
      <c r="O1262" s="367" t="s">
        <v>35</v>
      </c>
    </row>
    <row r="1263" spans="1:15" s="351" customFormat="1" x14ac:dyDescent="0.2">
      <c r="A1263" s="355"/>
      <c r="B1263" s="355"/>
      <c r="C1263" s="355"/>
      <c r="D1263" s="355"/>
      <c r="E1263" s="355"/>
      <c r="F1263" s="355"/>
      <c r="G1263" s="355"/>
      <c r="H1263" s="355"/>
      <c r="I1263" s="355"/>
      <c r="J1263" s="355"/>
      <c r="K1263" s="355"/>
      <c r="L1263" s="355"/>
      <c r="M1263" s="355"/>
      <c r="N1263" s="355"/>
      <c r="O1263" s="355"/>
    </row>
    <row r="1264" spans="1:15" s="351" customFormat="1" x14ac:dyDescent="0.2">
      <c r="A1264" s="354" t="str">
        <f>name!A77</f>
        <v>Repair of goods</v>
      </c>
      <c r="B1264" s="519">
        <f>$B$6</f>
        <v>2007</v>
      </c>
      <c r="C1264" s="519"/>
      <c r="D1264" s="519"/>
      <c r="E1264" s="519"/>
      <c r="F1264" s="380"/>
      <c r="G1264" s="519">
        <f>$G$6</f>
        <v>2017</v>
      </c>
      <c r="H1264" s="519"/>
      <c r="I1264" s="519"/>
      <c r="J1264" s="519"/>
      <c r="K1264" s="380"/>
      <c r="L1264" s="519">
        <f>$L$6</f>
        <v>2027</v>
      </c>
      <c r="M1264" s="519"/>
      <c r="N1264" s="519"/>
      <c r="O1264" s="519"/>
    </row>
    <row r="1265" spans="1:15" s="351" customFormat="1" x14ac:dyDescent="0.2">
      <c r="A1265" s="370"/>
      <c r="B1265" s="388" t="str">
        <f>$B$7</f>
        <v>FT</v>
      </c>
      <c r="C1265" s="388" t="str">
        <f>$C$7</f>
        <v>PT</v>
      </c>
      <c r="D1265" s="388" t="str">
        <f>$D$7</f>
        <v>SE</v>
      </c>
      <c r="E1265" s="388" t="str">
        <f>$E$7</f>
        <v>Total</v>
      </c>
      <c r="F1265" s="388"/>
      <c r="G1265" s="388" t="str">
        <f>$G$7</f>
        <v>FT</v>
      </c>
      <c r="H1265" s="388" t="str">
        <f>$H$7</f>
        <v>PT</v>
      </c>
      <c r="I1265" s="388" t="str">
        <f>$I$7</f>
        <v>SE</v>
      </c>
      <c r="J1265" s="388" t="str">
        <f>$J$7</f>
        <v>Total</v>
      </c>
      <c r="K1265" s="388"/>
      <c r="L1265" s="388" t="str">
        <f>$L$7</f>
        <v>FT</v>
      </c>
      <c r="M1265" s="388" t="str">
        <f>$M$7</f>
        <v>PT</v>
      </c>
      <c r="N1265" s="388" t="str">
        <f>$N$7</f>
        <v>SE</v>
      </c>
      <c r="O1265" s="388" t="str">
        <f>$O$7</f>
        <v>Total</v>
      </c>
    </row>
    <row r="1266" spans="1:15" s="351" customFormat="1" x14ac:dyDescent="0.2">
      <c r="A1266" s="374"/>
      <c r="B1266" s="350"/>
      <c r="C1266" s="350"/>
      <c r="D1266" s="350"/>
      <c r="E1266" s="350"/>
      <c r="F1266" s="350"/>
      <c r="G1266" s="350"/>
      <c r="H1266" s="350"/>
      <c r="I1266" s="350"/>
      <c r="J1266" s="350"/>
      <c r="K1266" s="350"/>
      <c r="L1266" s="350"/>
      <c r="M1266" s="350"/>
      <c r="N1266" s="350"/>
      <c r="O1266" s="350"/>
    </row>
    <row r="1267" spans="1:15" s="351" customFormat="1" x14ac:dyDescent="0.2">
      <c r="A1267" s="362" t="str">
        <f>name!E$4</f>
        <v>Managers, directors and senior officials</v>
      </c>
      <c r="B1267" s="440">
        <v>0.1025818656601904</v>
      </c>
      <c r="C1267" s="440">
        <v>9.3515006862660201E-3</v>
      </c>
      <c r="D1267" s="440">
        <v>0.22212829867240177</v>
      </c>
      <c r="E1267" s="440">
        <f>SUM(B1267:D1267)</f>
        <v>0.3340616650188582</v>
      </c>
      <c r="F1267" s="441"/>
      <c r="G1267" s="440">
        <v>0.16940702555005865</v>
      </c>
      <c r="H1267" s="440">
        <v>1.7023168396343219E-4</v>
      </c>
      <c r="I1267" s="440">
        <v>0.4689011497450577</v>
      </c>
      <c r="J1267" s="440">
        <f>SUM(G1267:I1267)</f>
        <v>0.63847840697907976</v>
      </c>
      <c r="K1267" s="441"/>
      <c r="L1267" s="440">
        <v>0.23245732782331111</v>
      </c>
      <c r="M1267" s="440">
        <v>2.3186347569309623E-4</v>
      </c>
      <c r="N1267" s="440">
        <v>0.47745054356570199</v>
      </c>
      <c r="O1267" s="440">
        <f>SUM(L1267:N1267)</f>
        <v>0.71013973486470616</v>
      </c>
    </row>
    <row r="1268" spans="1:15" s="351" customFormat="1" x14ac:dyDescent="0.2">
      <c r="A1268" s="362" t="str">
        <f>name!E$5</f>
        <v>Professional occupations</v>
      </c>
      <c r="B1268" s="440">
        <v>9.2935116130138704E-2</v>
      </c>
      <c r="C1268" s="440">
        <v>8.010592718236044E-3</v>
      </c>
      <c r="D1268" s="440">
        <v>6.4292090364736557E-2</v>
      </c>
      <c r="E1268" s="440">
        <f t="shared" ref="E1268:E1275" si="539">SUM(B1268:D1268)</f>
        <v>0.16523779921311132</v>
      </c>
      <c r="F1268" s="441"/>
      <c r="G1268" s="440">
        <v>0.11673115456876873</v>
      </c>
      <c r="H1268" s="440">
        <v>3.2226751679435329E-4</v>
      </c>
      <c r="I1268" s="440">
        <v>7.4075487784864405E-2</v>
      </c>
      <c r="J1268" s="440">
        <f t="shared" ref="J1268:J1270" si="540">SUM(G1268:I1268)</f>
        <v>0.19112890987042749</v>
      </c>
      <c r="K1268" s="441"/>
      <c r="L1268" s="440">
        <v>0.15300801724574273</v>
      </c>
      <c r="M1268" s="440">
        <v>4.2240013058569739E-4</v>
      </c>
      <c r="N1268" s="440">
        <v>7.419071245850134E-2</v>
      </c>
      <c r="O1268" s="440">
        <f t="shared" ref="O1268:O1275" si="541">SUM(L1268:N1268)</f>
        <v>0.22762112983482977</v>
      </c>
    </row>
    <row r="1269" spans="1:15" s="351" customFormat="1" x14ac:dyDescent="0.2">
      <c r="A1269" s="362" t="str">
        <f>name!E$6</f>
        <v>Associate professional and technical</v>
      </c>
      <c r="B1269" s="440">
        <v>8.3114723536913834E-2</v>
      </c>
      <c r="C1269" s="440">
        <v>1.56296958385834E-2</v>
      </c>
      <c r="D1269" s="440">
        <v>2.9075880501501433E-2</v>
      </c>
      <c r="E1269" s="440">
        <f t="shared" si="539"/>
        <v>0.12782029987699867</v>
      </c>
      <c r="F1269" s="441"/>
      <c r="G1269" s="440">
        <v>0.10598824606674907</v>
      </c>
      <c r="H1269" s="440">
        <v>3.5163246958688522E-4</v>
      </c>
      <c r="I1269" s="440">
        <v>5.0652076393196306E-2</v>
      </c>
      <c r="J1269" s="440">
        <f t="shared" si="540"/>
        <v>0.15699195492953227</v>
      </c>
      <c r="K1269" s="441"/>
      <c r="L1269" s="440">
        <v>0.13510377258148742</v>
      </c>
      <c r="M1269" s="440">
        <v>4.393951066983583E-4</v>
      </c>
      <c r="N1269" s="440">
        <v>4.6977508122626681E-2</v>
      </c>
      <c r="O1269" s="440">
        <f t="shared" si="541"/>
        <v>0.18252067581081247</v>
      </c>
    </row>
    <row r="1270" spans="1:15" s="351" customFormat="1" x14ac:dyDescent="0.2">
      <c r="A1270" s="362" t="str">
        <f>name!E$7</f>
        <v>Administrative and secretarial</v>
      </c>
      <c r="B1270" s="440">
        <v>8.5283475872795486E-2</v>
      </c>
      <c r="C1270" s="440">
        <v>4.4806025793009317E-2</v>
      </c>
      <c r="D1270" s="440">
        <v>5.9359973042459229E-3</v>
      </c>
      <c r="E1270" s="440">
        <f t="shared" si="539"/>
        <v>0.13602549897005073</v>
      </c>
      <c r="F1270" s="441"/>
      <c r="G1270" s="440">
        <v>0.11045943047142268</v>
      </c>
      <c r="H1270" s="440">
        <v>7.0861131958832211E-4</v>
      </c>
      <c r="I1270" s="440">
        <v>8.4591386280838815E-3</v>
      </c>
      <c r="J1270" s="440">
        <f t="shared" si="540"/>
        <v>0.11962718041909488</v>
      </c>
      <c r="K1270" s="441"/>
      <c r="L1270" s="440">
        <v>0.11174788669675675</v>
      </c>
      <c r="M1270" s="440">
        <v>7.0698153794429921E-4</v>
      </c>
      <c r="N1270" s="440">
        <v>6.8243086592927431E-3</v>
      </c>
      <c r="O1270" s="440">
        <f t="shared" si="541"/>
        <v>0.1192791768939938</v>
      </c>
    </row>
    <row r="1271" spans="1:15" s="351" customFormat="1" x14ac:dyDescent="0.2">
      <c r="A1271" s="362" t="str">
        <f>name!E$8</f>
        <v>Skilled trades occupations</v>
      </c>
      <c r="B1271" s="440">
        <v>5.0140978475558755E-2</v>
      </c>
      <c r="C1271" s="440">
        <v>1.4031579753942619E-2</v>
      </c>
      <c r="D1271" s="440">
        <v>7.8440617105691474E-2</v>
      </c>
      <c r="E1271" s="440">
        <f t="shared" si="539"/>
        <v>0.14261317533519285</v>
      </c>
      <c r="F1271" s="441"/>
      <c r="G1271" s="440">
        <v>6.6133425023061299E-2</v>
      </c>
      <c r="H1271" s="440">
        <v>1.5030856228182189E-4</v>
      </c>
      <c r="I1271" s="440">
        <v>0.14894627837571045</v>
      </c>
      <c r="J1271" s="440">
        <f>SUM(G1271:I1271)</f>
        <v>0.21523001196105357</v>
      </c>
      <c r="K1271" s="441"/>
      <c r="L1271" s="440">
        <v>7.8738104519236921E-2</v>
      </c>
      <c r="M1271" s="440">
        <v>1.2759170917075595E-4</v>
      </c>
      <c r="N1271" s="440">
        <v>0.14343790717061283</v>
      </c>
      <c r="O1271" s="440">
        <f t="shared" si="541"/>
        <v>0.2223036033990205</v>
      </c>
    </row>
    <row r="1272" spans="1:15" s="351" customFormat="1" x14ac:dyDescent="0.2">
      <c r="A1272" s="362" t="str">
        <f>name!E$9</f>
        <v>Caring, leisure and other service</v>
      </c>
      <c r="B1272" s="440">
        <v>5.3400989151394882E-3</v>
      </c>
      <c r="C1272" s="440">
        <v>3.0664198850217446E-3</v>
      </c>
      <c r="D1272" s="440">
        <v>3.3795698213954437E-3</v>
      </c>
      <c r="E1272" s="440">
        <f t="shared" si="539"/>
        <v>1.1786088621556676E-2</v>
      </c>
      <c r="F1272" s="441"/>
      <c r="G1272" s="440">
        <v>8.2784125702885965E-3</v>
      </c>
      <c r="H1272" s="440">
        <v>4.5542240849739843E-5</v>
      </c>
      <c r="I1272" s="440">
        <v>6.5613036435153288E-3</v>
      </c>
      <c r="J1272" s="440">
        <f t="shared" ref="J1272:J1275" si="542">SUM(G1272:I1272)</f>
        <v>1.4885258454653666E-2</v>
      </c>
      <c r="K1272" s="441"/>
      <c r="L1272" s="440">
        <v>9.8543035626592508E-3</v>
      </c>
      <c r="M1272" s="440">
        <v>4.9062978047809563E-5</v>
      </c>
      <c r="N1272" s="440">
        <v>6.8664669995949683E-3</v>
      </c>
      <c r="O1272" s="440">
        <f t="shared" si="541"/>
        <v>1.676983354030203E-2</v>
      </c>
    </row>
    <row r="1273" spans="1:15" s="351" customFormat="1" x14ac:dyDescent="0.2">
      <c r="A1273" s="362" t="str">
        <f>name!E$10</f>
        <v>Sales and customer service</v>
      </c>
      <c r="B1273" s="440">
        <v>0.3107868835742994</v>
      </c>
      <c r="C1273" s="440">
        <v>0.59738582092749382</v>
      </c>
      <c r="D1273" s="440">
        <v>4.1838786704883189E-2</v>
      </c>
      <c r="E1273" s="440">
        <f t="shared" si="539"/>
        <v>0.95001149120667638</v>
      </c>
      <c r="F1273" s="441"/>
      <c r="G1273" s="440">
        <v>0.33583744539798455</v>
      </c>
      <c r="H1273" s="440">
        <v>1.0654867619460447E-2</v>
      </c>
      <c r="I1273" s="440">
        <v>6.4829708538796632E-2</v>
      </c>
      <c r="J1273" s="440">
        <f t="shared" si="542"/>
        <v>0.41132202155624165</v>
      </c>
      <c r="K1273" s="441"/>
      <c r="L1273" s="440">
        <v>0.25690185794307535</v>
      </c>
      <c r="M1273" s="440">
        <v>1.1296203393135154E-2</v>
      </c>
      <c r="N1273" s="440">
        <v>4.5358910075288458E-2</v>
      </c>
      <c r="O1273" s="440">
        <f t="shared" si="541"/>
        <v>0.31355697141149896</v>
      </c>
    </row>
    <row r="1274" spans="1:15" s="351" customFormat="1" x14ac:dyDescent="0.2">
      <c r="A1274" s="362" t="str">
        <f>name!E$11</f>
        <v>Process, plant and machine operatives</v>
      </c>
      <c r="B1274" s="440">
        <v>2.6081176158104541E-2</v>
      </c>
      <c r="C1274" s="440">
        <v>1.9104188602787512E-2</v>
      </c>
      <c r="D1274" s="440">
        <v>1.0533212776576531E-2</v>
      </c>
      <c r="E1274" s="440">
        <f t="shared" si="539"/>
        <v>5.5718577537468582E-2</v>
      </c>
      <c r="F1274" s="441"/>
      <c r="G1274" s="440">
        <v>1.6975449421273461E-2</v>
      </c>
      <c r="H1274" s="440">
        <v>3.1836364743829162E-4</v>
      </c>
      <c r="I1274" s="440">
        <v>1.4741079259450856E-2</v>
      </c>
      <c r="J1274" s="440">
        <f t="shared" si="542"/>
        <v>3.2034892328162611E-2</v>
      </c>
      <c r="K1274" s="441"/>
      <c r="L1274" s="440">
        <v>1.5174399326302728E-2</v>
      </c>
      <c r="M1274" s="440">
        <v>2.9070927103483514E-4</v>
      </c>
      <c r="N1274" s="440">
        <v>8.8984245894791411E-3</v>
      </c>
      <c r="O1274" s="440">
        <f t="shared" si="541"/>
        <v>2.4363533186816704E-2</v>
      </c>
    </row>
    <row r="1275" spans="1:15" s="351" customFormat="1" x14ac:dyDescent="0.2">
      <c r="A1275" s="362" t="str">
        <f>name!E$12</f>
        <v>Elementary occupations</v>
      </c>
      <c r="B1275" s="440">
        <v>7.3735681669025235E-2</v>
      </c>
      <c r="C1275" s="440">
        <v>9.861417580649802E-2</v>
      </c>
      <c r="D1275" s="440">
        <v>5.3755467465818052E-3</v>
      </c>
      <c r="E1275" s="440">
        <f t="shared" si="539"/>
        <v>0.17772540422210506</v>
      </c>
      <c r="F1275" s="441"/>
      <c r="G1275" s="440">
        <v>9.6189410920160368E-2</v>
      </c>
      <c r="H1275" s="440">
        <v>1.2781749409198234E-3</v>
      </c>
      <c r="I1275" s="440">
        <v>4.8337776281939179E-3</v>
      </c>
      <c r="J1275" s="440">
        <f t="shared" si="542"/>
        <v>0.1023013634892741</v>
      </c>
      <c r="K1275" s="441"/>
      <c r="L1275" s="440">
        <v>0.10201433029632108</v>
      </c>
      <c r="M1275" s="440">
        <v>1.4357923982819714E-3</v>
      </c>
      <c r="N1275" s="440">
        <v>3.9952183580664012E-3</v>
      </c>
      <c r="O1275" s="440">
        <f t="shared" si="541"/>
        <v>0.10744534105266945</v>
      </c>
    </row>
    <row r="1276" spans="1:15" s="351" customFormat="1" x14ac:dyDescent="0.2">
      <c r="A1276" s="362"/>
      <c r="B1276" s="440"/>
      <c r="C1276" s="440"/>
      <c r="D1276" s="440"/>
      <c r="E1276" s="440"/>
      <c r="F1276" s="441"/>
      <c r="G1276" s="440"/>
      <c r="H1276" s="440"/>
      <c r="I1276" s="440"/>
      <c r="J1276" s="440"/>
      <c r="K1276" s="441"/>
      <c r="L1276" s="440"/>
      <c r="M1276" s="440"/>
      <c r="N1276" s="440"/>
      <c r="O1276" s="440"/>
    </row>
    <row r="1277" spans="1:15" s="351" customFormat="1" x14ac:dyDescent="0.2">
      <c r="A1277" s="357" t="s">
        <v>32</v>
      </c>
      <c r="B1277" s="450">
        <f>SUM(B1267:B1275)</f>
        <v>0.82999999999216589</v>
      </c>
      <c r="C1277" s="450">
        <f t="shared" ref="C1277:E1277" si="543">SUM(C1267:C1275)</f>
        <v>0.81000000001183847</v>
      </c>
      <c r="D1277" s="450">
        <f t="shared" si="543"/>
        <v>0.46099999999801416</v>
      </c>
      <c r="E1277" s="450">
        <f t="shared" si="543"/>
        <v>2.1010000000020188</v>
      </c>
      <c r="F1277" s="450"/>
      <c r="G1277" s="450">
        <f t="shared" ref="G1277:J1277" si="544">SUM(G1267:G1275)</f>
        <v>1.0259999999897675</v>
      </c>
      <c r="H1277" s="450">
        <f t="shared" si="544"/>
        <v>1.4000000000883115E-2</v>
      </c>
      <c r="I1277" s="450">
        <f t="shared" si="544"/>
        <v>0.8419999999968697</v>
      </c>
      <c r="J1277" s="450">
        <f t="shared" si="544"/>
        <v>1.8819999999875199</v>
      </c>
      <c r="K1277" s="450"/>
      <c r="L1277" s="450">
        <f t="shared" ref="L1277:O1277" si="545">SUM(L1267:L1275)</f>
        <v>1.0949999999948932</v>
      </c>
      <c r="M1277" s="450">
        <f t="shared" si="545"/>
        <v>1.5000000000591977E-2</v>
      </c>
      <c r="N1277" s="450">
        <f t="shared" si="545"/>
        <v>0.81399999999916439</v>
      </c>
      <c r="O1277" s="450">
        <f t="shared" si="545"/>
        <v>1.9239999999946495</v>
      </c>
    </row>
    <row r="1278" spans="1:15" s="351" customFormat="1" x14ac:dyDescent="0.2">
      <c r="A1278" s="348"/>
      <c r="B1278" s="348"/>
      <c r="C1278" s="348"/>
      <c r="D1278" s="348"/>
      <c r="E1278" s="348"/>
      <c r="F1278" s="348"/>
      <c r="G1278" s="348"/>
      <c r="H1278" s="348"/>
      <c r="I1278" s="348"/>
      <c r="J1278" s="348"/>
      <c r="K1278" s="348"/>
      <c r="L1278" s="348"/>
      <c r="M1278" s="348"/>
      <c r="N1278" s="353"/>
    </row>
    <row r="1279" spans="1:15" s="351" customFormat="1" x14ac:dyDescent="0.2">
      <c r="A1279" s="348"/>
      <c r="B1279" s="348"/>
      <c r="C1279" s="348"/>
      <c r="D1279" s="348"/>
      <c r="E1279" s="348"/>
      <c r="F1279" s="348"/>
      <c r="G1279" s="348"/>
      <c r="H1279" s="348"/>
      <c r="I1279" s="348"/>
      <c r="J1279" s="348"/>
      <c r="K1279" s="348"/>
      <c r="L1279" s="348"/>
      <c r="M1279" s="348"/>
      <c r="N1279" s="353"/>
      <c r="O1279" s="367" t="s">
        <v>35</v>
      </c>
    </row>
    <row r="1280" spans="1:15" s="351" customFormat="1" x14ac:dyDescent="0.2">
      <c r="A1280" s="355"/>
      <c r="B1280" s="355"/>
      <c r="C1280" s="355"/>
      <c r="D1280" s="355"/>
      <c r="E1280" s="355"/>
      <c r="F1280" s="355"/>
      <c r="G1280" s="355"/>
      <c r="H1280" s="355"/>
      <c r="I1280" s="355"/>
      <c r="J1280" s="355"/>
      <c r="K1280" s="355"/>
      <c r="L1280" s="355"/>
      <c r="M1280" s="355"/>
      <c r="N1280" s="355"/>
      <c r="O1280" s="355"/>
    </row>
    <row r="1281" spans="1:15" s="351" customFormat="1" x14ac:dyDescent="0.2">
      <c r="A1281" s="354" t="str">
        <f>name!A78</f>
        <v>Other personal service</v>
      </c>
      <c r="B1281" s="519">
        <f>$B$6</f>
        <v>2007</v>
      </c>
      <c r="C1281" s="519"/>
      <c r="D1281" s="519"/>
      <c r="E1281" s="519"/>
      <c r="F1281" s="380"/>
      <c r="G1281" s="519">
        <f>$G$6</f>
        <v>2017</v>
      </c>
      <c r="H1281" s="519"/>
      <c r="I1281" s="519"/>
      <c r="J1281" s="519"/>
      <c r="K1281" s="380"/>
      <c r="L1281" s="519">
        <f>$L$6</f>
        <v>2027</v>
      </c>
      <c r="M1281" s="519"/>
      <c r="N1281" s="519"/>
      <c r="O1281" s="519"/>
    </row>
    <row r="1282" spans="1:15" s="351" customFormat="1" x14ac:dyDescent="0.2">
      <c r="A1282" s="370"/>
      <c r="B1282" s="388" t="str">
        <f>$B$7</f>
        <v>FT</v>
      </c>
      <c r="C1282" s="388" t="str">
        <f>$C$7</f>
        <v>PT</v>
      </c>
      <c r="D1282" s="388" t="str">
        <f>$D$7</f>
        <v>SE</v>
      </c>
      <c r="E1282" s="388" t="str">
        <f>$E$7</f>
        <v>Total</v>
      </c>
      <c r="F1282" s="388"/>
      <c r="G1282" s="388" t="str">
        <f>$G$7</f>
        <v>FT</v>
      </c>
      <c r="H1282" s="388" t="str">
        <f>$H$7</f>
        <v>PT</v>
      </c>
      <c r="I1282" s="388" t="str">
        <f>$I$7</f>
        <v>SE</v>
      </c>
      <c r="J1282" s="388" t="str">
        <f>$J$7</f>
        <v>Total</v>
      </c>
      <c r="K1282" s="388"/>
      <c r="L1282" s="388" t="str">
        <f>$L$7</f>
        <v>FT</v>
      </c>
      <c r="M1282" s="388" t="str">
        <f>$M$7</f>
        <v>PT</v>
      </c>
      <c r="N1282" s="388" t="str">
        <f>$N$7</f>
        <v>SE</v>
      </c>
      <c r="O1282" s="388" t="str">
        <f>$O$7</f>
        <v>Total</v>
      </c>
    </row>
    <row r="1283" spans="1:15" s="351" customFormat="1" x14ac:dyDescent="0.2">
      <c r="A1283" s="374"/>
      <c r="B1283" s="350"/>
      <c r="C1283" s="350"/>
      <c r="D1283" s="350"/>
      <c r="E1283" s="350"/>
      <c r="F1283" s="350"/>
      <c r="G1283" s="350"/>
      <c r="H1283" s="350"/>
      <c r="I1283" s="350"/>
      <c r="J1283" s="350"/>
      <c r="K1283" s="350"/>
      <c r="L1283" s="350"/>
      <c r="M1283" s="350"/>
      <c r="N1283" s="350"/>
      <c r="O1283" s="350"/>
    </row>
    <row r="1284" spans="1:15" s="351" customFormat="1" x14ac:dyDescent="0.2">
      <c r="A1284" s="362" t="str">
        <f>name!E$4</f>
        <v>Managers, directors and senior officials</v>
      </c>
      <c r="B1284" s="440">
        <v>0.34602948680323664</v>
      </c>
      <c r="C1284" s="440">
        <v>7.0702288689569723E-2</v>
      </c>
      <c r="D1284" s="440">
        <v>0.48978256598381342</v>
      </c>
      <c r="E1284" s="440">
        <f>SUM(B1284:D1284)</f>
        <v>0.9065143414766198</v>
      </c>
      <c r="F1284" s="441"/>
      <c r="G1284" s="440">
        <v>0.38007227402458466</v>
      </c>
      <c r="H1284" s="440">
        <v>7.5873016938528048E-2</v>
      </c>
      <c r="I1284" s="440">
        <v>1.5208560560261242</v>
      </c>
      <c r="J1284" s="440">
        <f>SUM(G1284:I1284)</f>
        <v>1.9768013469892369</v>
      </c>
      <c r="K1284" s="441"/>
      <c r="L1284" s="440">
        <v>0.50556800386301592</v>
      </c>
      <c r="M1284" s="440">
        <v>0.10858539633124865</v>
      </c>
      <c r="N1284" s="440">
        <v>1.4672363267360142</v>
      </c>
      <c r="O1284" s="440">
        <f>SUM(L1284:N1284)</f>
        <v>2.0813897269302788</v>
      </c>
    </row>
    <row r="1285" spans="1:15" s="351" customFormat="1" x14ac:dyDescent="0.2">
      <c r="A1285" s="362" t="str">
        <f>name!E$5</f>
        <v>Professional occupations</v>
      </c>
      <c r="B1285" s="440">
        <v>0.42964281107081753</v>
      </c>
      <c r="C1285" s="440">
        <v>0.24689093810066554</v>
      </c>
      <c r="D1285" s="440">
        <v>0.17728402190650558</v>
      </c>
      <c r="E1285" s="440">
        <f t="shared" ref="E1285:E1292" si="546">SUM(B1285:D1285)</f>
        <v>0.85381777107798873</v>
      </c>
      <c r="F1285" s="441"/>
      <c r="G1285" s="440">
        <v>0.45451792404472968</v>
      </c>
      <c r="H1285" s="440">
        <v>0.19263543063201263</v>
      </c>
      <c r="I1285" s="440">
        <v>0.85494022122476299</v>
      </c>
      <c r="J1285" s="440">
        <f t="shared" ref="J1285:J1287" si="547">SUM(G1285:I1285)</f>
        <v>1.5020935759015053</v>
      </c>
      <c r="K1285" s="441"/>
      <c r="L1285" s="440">
        <v>0.63052977343548311</v>
      </c>
      <c r="M1285" s="440">
        <v>0.25170146736573656</v>
      </c>
      <c r="N1285" s="440">
        <v>1.2210370228463052</v>
      </c>
      <c r="O1285" s="440">
        <f t="shared" ref="O1285:O1292" si="548">SUM(L1285:N1285)</f>
        <v>2.1032682636475251</v>
      </c>
    </row>
    <row r="1286" spans="1:15" s="351" customFormat="1" x14ac:dyDescent="0.2">
      <c r="A1286" s="362" t="str">
        <f>name!E$6</f>
        <v>Associate professional and technical</v>
      </c>
      <c r="B1286" s="440">
        <v>0.43844127591433874</v>
      </c>
      <c r="C1286" s="440">
        <v>0.17258624985907148</v>
      </c>
      <c r="D1286" s="440">
        <v>0.4662230944820423</v>
      </c>
      <c r="E1286" s="440">
        <f t="shared" si="546"/>
        <v>1.0772506202554526</v>
      </c>
      <c r="F1286" s="441"/>
      <c r="G1286" s="440">
        <v>0.48519817843700247</v>
      </c>
      <c r="H1286" s="440">
        <v>0.2111247382584665</v>
      </c>
      <c r="I1286" s="440">
        <v>2.7047763516053314</v>
      </c>
      <c r="J1286" s="440">
        <f t="shared" si="547"/>
        <v>3.4010992683008006</v>
      </c>
      <c r="K1286" s="441"/>
      <c r="L1286" s="440">
        <v>0.64692333856060535</v>
      </c>
      <c r="M1286" s="440">
        <v>0.30663871415723498</v>
      </c>
      <c r="N1286" s="440">
        <v>3.5228340022991382</v>
      </c>
      <c r="O1286" s="440">
        <f t="shared" si="548"/>
        <v>4.4763960550169788</v>
      </c>
    </row>
    <row r="1287" spans="1:15" s="351" customFormat="1" x14ac:dyDescent="0.2">
      <c r="A1287" s="362" t="str">
        <f>name!E$7</f>
        <v>Administrative and secretarial</v>
      </c>
      <c r="B1287" s="440">
        <v>0.56247332728082045</v>
      </c>
      <c r="C1287" s="440">
        <v>0.50229207135750176</v>
      </c>
      <c r="D1287" s="440">
        <v>1.6536671000670709E-2</v>
      </c>
      <c r="E1287" s="440">
        <f t="shared" si="546"/>
        <v>1.081302069638993</v>
      </c>
      <c r="F1287" s="441"/>
      <c r="G1287" s="440">
        <v>0.57646116269139358</v>
      </c>
      <c r="H1287" s="440">
        <v>0.83729961151587096</v>
      </c>
      <c r="I1287" s="440">
        <v>8.9294637628982695E-2</v>
      </c>
      <c r="J1287" s="440">
        <f t="shared" si="547"/>
        <v>1.5030554118362471</v>
      </c>
      <c r="K1287" s="441"/>
      <c r="L1287" s="440">
        <v>0.62706809588670243</v>
      </c>
      <c r="M1287" s="440">
        <v>0.96820584891047878</v>
      </c>
      <c r="N1287" s="440">
        <v>7.6125757963580898E-2</v>
      </c>
      <c r="O1287" s="440">
        <f t="shared" si="548"/>
        <v>1.6713997027607621</v>
      </c>
    </row>
    <row r="1288" spans="1:15" s="351" customFormat="1" x14ac:dyDescent="0.2">
      <c r="A1288" s="362" t="str">
        <f>name!E$8</f>
        <v>Skilled trades occupations</v>
      </c>
      <c r="B1288" s="440">
        <v>0.35785229671126262</v>
      </c>
      <c r="C1288" s="440">
        <v>0.14122833730944118</v>
      </c>
      <c r="D1288" s="440">
        <v>0.23010001830607041</v>
      </c>
      <c r="E1288" s="440">
        <f t="shared" si="546"/>
        <v>0.7291806523267742</v>
      </c>
      <c r="F1288" s="441"/>
      <c r="G1288" s="440">
        <v>0.29042642949318198</v>
      </c>
      <c r="H1288" s="440">
        <v>6.2430134427994249E-2</v>
      </c>
      <c r="I1288" s="440">
        <v>0.81440958513381478</v>
      </c>
      <c r="J1288" s="440">
        <f>SUM(G1288:I1288)</f>
        <v>1.1672661490549912</v>
      </c>
      <c r="K1288" s="441"/>
      <c r="L1288" s="440">
        <v>0.32348354607959001</v>
      </c>
      <c r="M1288" s="440">
        <v>6.7097256475574407E-2</v>
      </c>
      <c r="N1288" s="440">
        <v>0.8891855359210985</v>
      </c>
      <c r="O1288" s="440">
        <f t="shared" si="548"/>
        <v>1.279766338476263</v>
      </c>
    </row>
    <row r="1289" spans="1:15" s="351" customFormat="1" x14ac:dyDescent="0.2">
      <c r="A1289" s="362" t="str">
        <f>name!E$9</f>
        <v>Caring, leisure and other service</v>
      </c>
      <c r="B1289" s="440">
        <v>2.9742784487409843</v>
      </c>
      <c r="C1289" s="440">
        <v>2.0330952624684535</v>
      </c>
      <c r="D1289" s="440">
        <v>1.9829595745295974</v>
      </c>
      <c r="E1289" s="440">
        <f t="shared" si="546"/>
        <v>6.9903332857390348</v>
      </c>
      <c r="F1289" s="441"/>
      <c r="G1289" s="440">
        <v>3.5609821855920001</v>
      </c>
      <c r="H1289" s="440">
        <v>1.7818701727688684</v>
      </c>
      <c r="I1289" s="440">
        <v>7.8167285088338998</v>
      </c>
      <c r="J1289" s="440">
        <f t="shared" ref="J1289:J1292" si="549">SUM(G1289:I1289)</f>
        <v>13.159580867194769</v>
      </c>
      <c r="K1289" s="441"/>
      <c r="L1289" s="440">
        <v>3.5749145924796166</v>
      </c>
      <c r="M1289" s="440">
        <v>1.4339380031924676</v>
      </c>
      <c r="N1289" s="440">
        <v>6.6700770736511457</v>
      </c>
      <c r="O1289" s="440">
        <f t="shared" si="548"/>
        <v>11.67892966932323</v>
      </c>
    </row>
    <row r="1290" spans="1:15" s="351" customFormat="1" x14ac:dyDescent="0.2">
      <c r="A1290" s="362" t="str">
        <f>name!E$10</f>
        <v>Sales and customer service</v>
      </c>
      <c r="B1290" s="440">
        <v>0.27987336060774348</v>
      </c>
      <c r="C1290" s="440">
        <v>0.29124086033133473</v>
      </c>
      <c r="D1290" s="440">
        <v>1.7368418270420443E-2</v>
      </c>
      <c r="E1290" s="440">
        <f t="shared" si="546"/>
        <v>0.58848263920949873</v>
      </c>
      <c r="F1290" s="441"/>
      <c r="G1290" s="440">
        <v>0.33014676089289186</v>
      </c>
      <c r="H1290" s="440">
        <v>0.42702200338690627</v>
      </c>
      <c r="I1290" s="440">
        <v>5.6634447820807975E-2</v>
      </c>
      <c r="J1290" s="440">
        <f t="shared" si="549"/>
        <v>0.81380321210060613</v>
      </c>
      <c r="K1290" s="441"/>
      <c r="L1290" s="440">
        <v>0.42663286010347862</v>
      </c>
      <c r="M1290" s="440">
        <v>0.435170415603371</v>
      </c>
      <c r="N1290" s="440">
        <v>4.9203878306179352E-2</v>
      </c>
      <c r="O1290" s="440">
        <f t="shared" si="548"/>
        <v>0.91100715401302901</v>
      </c>
    </row>
    <row r="1291" spans="1:15" s="351" customFormat="1" x14ac:dyDescent="0.2">
      <c r="A1291" s="362" t="str">
        <f>name!E$11</f>
        <v>Process, plant and machine operatives</v>
      </c>
      <c r="B1291" s="440">
        <v>0.41902289644956481</v>
      </c>
      <c r="C1291" s="440">
        <v>0.28352037422877063</v>
      </c>
      <c r="D1291" s="440">
        <v>3.5839965770231963E-2</v>
      </c>
      <c r="E1291" s="440">
        <f t="shared" si="546"/>
        <v>0.7383832364485674</v>
      </c>
      <c r="F1291" s="441"/>
      <c r="G1291" s="440">
        <v>0.24847198814262789</v>
      </c>
      <c r="H1291" s="440">
        <v>0.10342124855328282</v>
      </c>
      <c r="I1291" s="440">
        <v>9.8668065983208791E-2</v>
      </c>
      <c r="J1291" s="440">
        <f t="shared" si="549"/>
        <v>0.45056130267911954</v>
      </c>
      <c r="K1291" s="441"/>
      <c r="L1291" s="440">
        <v>0.22382520028016983</v>
      </c>
      <c r="M1291" s="440">
        <v>9.0256234899968299E-2</v>
      </c>
      <c r="N1291" s="440">
        <v>7.826521357802721E-2</v>
      </c>
      <c r="O1291" s="440">
        <f t="shared" si="548"/>
        <v>0.39234664875816538</v>
      </c>
    </row>
    <row r="1292" spans="1:15" s="351" customFormat="1" x14ac:dyDescent="0.2">
      <c r="A1292" s="362" t="str">
        <f>name!E$12</f>
        <v>Elementary occupations</v>
      </c>
      <c r="B1292" s="440">
        <v>1.1933860964019334</v>
      </c>
      <c r="C1292" s="440">
        <v>0.57244361764856222</v>
      </c>
      <c r="D1292" s="440">
        <v>0.98290566975284377</v>
      </c>
      <c r="E1292" s="440">
        <f t="shared" si="546"/>
        <v>2.7487353838033393</v>
      </c>
      <c r="F1292" s="441"/>
      <c r="G1292" s="440">
        <v>0.9427230966954343</v>
      </c>
      <c r="H1292" s="440">
        <v>0.42132364360212199</v>
      </c>
      <c r="I1292" s="440">
        <v>0.52969212594265846</v>
      </c>
      <c r="J1292" s="440">
        <f t="shared" si="549"/>
        <v>1.8937388662402146</v>
      </c>
      <c r="K1292" s="441"/>
      <c r="L1292" s="440">
        <v>1.125054589280541</v>
      </c>
      <c r="M1292" s="440">
        <v>0.50440666312134586</v>
      </c>
      <c r="N1292" s="440">
        <v>0.40403518875304545</v>
      </c>
      <c r="O1292" s="440">
        <f t="shared" si="548"/>
        <v>2.0334964411549326</v>
      </c>
    </row>
    <row r="1293" spans="1:15" s="351" customFormat="1" x14ac:dyDescent="0.2">
      <c r="A1293" s="362"/>
      <c r="B1293" s="440"/>
      <c r="C1293" s="440"/>
      <c r="D1293" s="440"/>
      <c r="E1293" s="440"/>
      <c r="F1293" s="441"/>
      <c r="G1293" s="440"/>
      <c r="H1293" s="440"/>
      <c r="I1293" s="440"/>
      <c r="J1293" s="440"/>
      <c r="K1293" s="441"/>
      <c r="L1293" s="440"/>
      <c r="M1293" s="440"/>
      <c r="N1293" s="440"/>
      <c r="O1293" s="440"/>
    </row>
    <row r="1294" spans="1:15" s="351" customFormat="1" x14ac:dyDescent="0.2">
      <c r="A1294" s="357" t="s">
        <v>32</v>
      </c>
      <c r="B1294" s="450">
        <f>SUM(B1284:B1292)</f>
        <v>7.0009999999807029</v>
      </c>
      <c r="C1294" s="450">
        <f t="shared" ref="C1294:E1294" si="550">SUM(C1284:C1292)</f>
        <v>4.3139999999933707</v>
      </c>
      <c r="D1294" s="450">
        <f t="shared" si="550"/>
        <v>4.3990000000021956</v>
      </c>
      <c r="E1294" s="450">
        <f t="shared" si="550"/>
        <v>15.713999999976268</v>
      </c>
      <c r="F1294" s="450"/>
      <c r="G1294" s="450">
        <f t="shared" ref="G1294:J1294" si="551">SUM(G1284:G1292)</f>
        <v>7.2690000000138451</v>
      </c>
      <c r="H1294" s="450">
        <f t="shared" si="551"/>
        <v>4.1130000000840523</v>
      </c>
      <c r="I1294" s="450">
        <f t="shared" si="551"/>
        <v>14.48600000019959</v>
      </c>
      <c r="J1294" s="450">
        <f t="shared" si="551"/>
        <v>25.868000000297492</v>
      </c>
      <c r="K1294" s="450"/>
      <c r="L1294" s="450">
        <f t="shared" ref="L1294:O1294" si="552">SUM(L1284:L1292)</f>
        <v>8.0839999999692029</v>
      </c>
      <c r="M1294" s="450">
        <f t="shared" si="552"/>
        <v>4.1660000000574264</v>
      </c>
      <c r="N1294" s="450">
        <f t="shared" si="552"/>
        <v>14.378000000054536</v>
      </c>
      <c r="O1294" s="450">
        <f t="shared" si="552"/>
        <v>26.628000000081165</v>
      </c>
    </row>
    <row r="1295" spans="1:15" s="351" customFormat="1" x14ac:dyDescent="0.2">
      <c r="A1295" s="348"/>
      <c r="B1295" s="348"/>
      <c r="C1295" s="348"/>
      <c r="D1295" s="348"/>
      <c r="E1295" s="348"/>
      <c r="F1295" s="348"/>
      <c r="G1295" s="348"/>
      <c r="H1295" s="348"/>
      <c r="I1295" s="348"/>
      <c r="J1295" s="348"/>
      <c r="K1295" s="348"/>
      <c r="L1295" s="348"/>
      <c r="M1295" s="348"/>
      <c r="N1295" s="353"/>
    </row>
  </sheetData>
  <mergeCells count="228">
    <mergeCell ref="B6:E6"/>
    <mergeCell ref="G6:J6"/>
    <mergeCell ref="L6:O6"/>
    <mergeCell ref="B23:E23"/>
    <mergeCell ref="G23:J23"/>
    <mergeCell ref="L23:O23"/>
    <mergeCell ref="B108:E108"/>
    <mergeCell ref="G108:J108"/>
    <mergeCell ref="L108:O108"/>
    <mergeCell ref="B74:E74"/>
    <mergeCell ref="G74:J74"/>
    <mergeCell ref="L74:O74"/>
    <mergeCell ref="B40:E40"/>
    <mergeCell ref="G40:J40"/>
    <mergeCell ref="L40:O40"/>
    <mergeCell ref="B57:E57"/>
    <mergeCell ref="G57:J57"/>
    <mergeCell ref="L57:O57"/>
    <mergeCell ref="B125:E125"/>
    <mergeCell ref="G125:J125"/>
    <mergeCell ref="L125:O125"/>
    <mergeCell ref="B91:E91"/>
    <mergeCell ref="G91:J91"/>
    <mergeCell ref="L91:O91"/>
    <mergeCell ref="B176:E176"/>
    <mergeCell ref="G176:J176"/>
    <mergeCell ref="L176:O176"/>
    <mergeCell ref="B193:E193"/>
    <mergeCell ref="G193:J193"/>
    <mergeCell ref="L193:O193"/>
    <mergeCell ref="B142:E142"/>
    <mergeCell ref="G142:J142"/>
    <mergeCell ref="L142:O142"/>
    <mergeCell ref="B159:E159"/>
    <mergeCell ref="G159:J159"/>
    <mergeCell ref="L159:O159"/>
    <mergeCell ref="B244:E244"/>
    <mergeCell ref="G244:J244"/>
    <mergeCell ref="L244:O244"/>
    <mergeCell ref="B261:E261"/>
    <mergeCell ref="G261:J261"/>
    <mergeCell ref="L261:O261"/>
    <mergeCell ref="B210:E210"/>
    <mergeCell ref="G210:J210"/>
    <mergeCell ref="L210:O210"/>
    <mergeCell ref="B227:E227"/>
    <mergeCell ref="G227:J227"/>
    <mergeCell ref="L227:O227"/>
    <mergeCell ref="B312:E312"/>
    <mergeCell ref="G312:J312"/>
    <mergeCell ref="L312:O312"/>
    <mergeCell ref="B329:E329"/>
    <mergeCell ref="G329:J329"/>
    <mergeCell ref="L329:O329"/>
    <mergeCell ref="B278:E278"/>
    <mergeCell ref="G278:J278"/>
    <mergeCell ref="L278:O278"/>
    <mergeCell ref="B295:E295"/>
    <mergeCell ref="G295:J295"/>
    <mergeCell ref="L295:O295"/>
    <mergeCell ref="B380:E380"/>
    <mergeCell ref="G380:J380"/>
    <mergeCell ref="L380:O380"/>
    <mergeCell ref="B397:E397"/>
    <mergeCell ref="G397:J397"/>
    <mergeCell ref="L397:O397"/>
    <mergeCell ref="B346:E346"/>
    <mergeCell ref="G346:J346"/>
    <mergeCell ref="L346:O346"/>
    <mergeCell ref="B363:E363"/>
    <mergeCell ref="G363:J363"/>
    <mergeCell ref="L363:O363"/>
    <mergeCell ref="B448:E448"/>
    <mergeCell ref="G448:J448"/>
    <mergeCell ref="L448:O448"/>
    <mergeCell ref="B465:E465"/>
    <mergeCell ref="G465:J465"/>
    <mergeCell ref="L465:O465"/>
    <mergeCell ref="B414:E414"/>
    <mergeCell ref="G414:J414"/>
    <mergeCell ref="L414:O414"/>
    <mergeCell ref="B431:E431"/>
    <mergeCell ref="G431:J431"/>
    <mergeCell ref="L431:O431"/>
    <mergeCell ref="B516:E516"/>
    <mergeCell ref="G516:J516"/>
    <mergeCell ref="L516:O516"/>
    <mergeCell ref="B533:E533"/>
    <mergeCell ref="G533:J533"/>
    <mergeCell ref="L533:O533"/>
    <mergeCell ref="B482:E482"/>
    <mergeCell ref="G482:J482"/>
    <mergeCell ref="L482:O482"/>
    <mergeCell ref="B499:E499"/>
    <mergeCell ref="G499:J499"/>
    <mergeCell ref="L499:O499"/>
    <mergeCell ref="B584:E584"/>
    <mergeCell ref="G584:J584"/>
    <mergeCell ref="L584:O584"/>
    <mergeCell ref="B601:E601"/>
    <mergeCell ref="G601:J601"/>
    <mergeCell ref="L601:O601"/>
    <mergeCell ref="B550:E550"/>
    <mergeCell ref="G550:J550"/>
    <mergeCell ref="L550:O550"/>
    <mergeCell ref="B567:E567"/>
    <mergeCell ref="G567:J567"/>
    <mergeCell ref="L567:O567"/>
    <mergeCell ref="B652:E652"/>
    <mergeCell ref="G652:J652"/>
    <mergeCell ref="L652:O652"/>
    <mergeCell ref="B669:E669"/>
    <mergeCell ref="G669:J669"/>
    <mergeCell ref="L669:O669"/>
    <mergeCell ref="B618:E618"/>
    <mergeCell ref="G618:J618"/>
    <mergeCell ref="L618:O618"/>
    <mergeCell ref="B635:E635"/>
    <mergeCell ref="G635:J635"/>
    <mergeCell ref="L635:O635"/>
    <mergeCell ref="B720:E720"/>
    <mergeCell ref="G720:J720"/>
    <mergeCell ref="L720:O720"/>
    <mergeCell ref="B737:E737"/>
    <mergeCell ref="G737:J737"/>
    <mergeCell ref="L737:O737"/>
    <mergeCell ref="B686:E686"/>
    <mergeCell ref="G686:J686"/>
    <mergeCell ref="L686:O686"/>
    <mergeCell ref="B703:E703"/>
    <mergeCell ref="G703:J703"/>
    <mergeCell ref="L703:O703"/>
    <mergeCell ref="B788:E788"/>
    <mergeCell ref="G788:J788"/>
    <mergeCell ref="L788:O788"/>
    <mergeCell ref="B805:E805"/>
    <mergeCell ref="G805:J805"/>
    <mergeCell ref="L805:O805"/>
    <mergeCell ref="B754:E754"/>
    <mergeCell ref="G754:J754"/>
    <mergeCell ref="L754:O754"/>
    <mergeCell ref="B771:E771"/>
    <mergeCell ref="G771:J771"/>
    <mergeCell ref="L771:O771"/>
    <mergeCell ref="B856:E856"/>
    <mergeCell ref="G856:J856"/>
    <mergeCell ref="L856:O856"/>
    <mergeCell ref="B873:E873"/>
    <mergeCell ref="G873:J873"/>
    <mergeCell ref="L873:O873"/>
    <mergeCell ref="B822:E822"/>
    <mergeCell ref="G822:J822"/>
    <mergeCell ref="L822:O822"/>
    <mergeCell ref="B839:E839"/>
    <mergeCell ref="G839:J839"/>
    <mergeCell ref="L839:O839"/>
    <mergeCell ref="B924:E924"/>
    <mergeCell ref="G924:J924"/>
    <mergeCell ref="L924:O924"/>
    <mergeCell ref="B941:E941"/>
    <mergeCell ref="G941:J941"/>
    <mergeCell ref="L941:O941"/>
    <mergeCell ref="B890:E890"/>
    <mergeCell ref="G890:J890"/>
    <mergeCell ref="L890:O890"/>
    <mergeCell ref="B907:E907"/>
    <mergeCell ref="G907:J907"/>
    <mergeCell ref="L907:O907"/>
    <mergeCell ref="B992:E992"/>
    <mergeCell ref="G992:J992"/>
    <mergeCell ref="L992:O992"/>
    <mergeCell ref="B1009:E1009"/>
    <mergeCell ref="G1009:J1009"/>
    <mergeCell ref="L1009:O1009"/>
    <mergeCell ref="B958:E958"/>
    <mergeCell ref="G958:J958"/>
    <mergeCell ref="L958:O958"/>
    <mergeCell ref="B975:E975"/>
    <mergeCell ref="G975:J975"/>
    <mergeCell ref="L975:O975"/>
    <mergeCell ref="B1060:E1060"/>
    <mergeCell ref="G1060:J1060"/>
    <mergeCell ref="L1060:O1060"/>
    <mergeCell ref="B1077:E1077"/>
    <mergeCell ref="G1077:J1077"/>
    <mergeCell ref="L1077:O1077"/>
    <mergeCell ref="B1026:E1026"/>
    <mergeCell ref="G1026:J1026"/>
    <mergeCell ref="L1026:O1026"/>
    <mergeCell ref="B1043:E1043"/>
    <mergeCell ref="G1043:J1043"/>
    <mergeCell ref="L1043:O1043"/>
    <mergeCell ref="B1128:E1128"/>
    <mergeCell ref="G1128:J1128"/>
    <mergeCell ref="L1128:O1128"/>
    <mergeCell ref="B1145:E1145"/>
    <mergeCell ref="G1145:J1145"/>
    <mergeCell ref="L1145:O1145"/>
    <mergeCell ref="B1094:E1094"/>
    <mergeCell ref="G1094:J1094"/>
    <mergeCell ref="L1094:O1094"/>
    <mergeCell ref="B1111:E1111"/>
    <mergeCell ref="G1111:J1111"/>
    <mergeCell ref="L1111:O1111"/>
    <mergeCell ref="B1196:E1196"/>
    <mergeCell ref="G1196:J1196"/>
    <mergeCell ref="L1196:O1196"/>
    <mergeCell ref="B1213:E1213"/>
    <mergeCell ref="G1213:J1213"/>
    <mergeCell ref="L1213:O1213"/>
    <mergeCell ref="B1162:E1162"/>
    <mergeCell ref="G1162:J1162"/>
    <mergeCell ref="L1162:O1162"/>
    <mergeCell ref="B1179:E1179"/>
    <mergeCell ref="G1179:J1179"/>
    <mergeCell ref="L1179:O1179"/>
    <mergeCell ref="B1264:E1264"/>
    <mergeCell ref="G1264:J1264"/>
    <mergeCell ref="L1264:O1264"/>
    <mergeCell ref="B1281:E1281"/>
    <mergeCell ref="G1281:J1281"/>
    <mergeCell ref="L1281:O1281"/>
    <mergeCell ref="B1230:E1230"/>
    <mergeCell ref="G1230:J1230"/>
    <mergeCell ref="L1230:O1230"/>
    <mergeCell ref="B1247:E1247"/>
    <mergeCell ref="G1247:J1247"/>
    <mergeCell ref="L1247:O1247"/>
  </mergeCells>
  <pageMargins left="0.7" right="0.7" top="0.75" bottom="0.75" header="0.3" footer="0.3"/>
  <pageSetup paperSize="9" scale="75" fitToHeight="0" orientation="portrait" r:id="rId1"/>
  <rowBreaks count="18" manualBreakCount="18">
    <brk id="71" max="14" man="1"/>
    <brk id="139" max="14" man="1"/>
    <brk id="207" max="14" man="1"/>
    <brk id="275" max="14" man="1"/>
    <brk id="343" max="14" man="1"/>
    <brk id="411" max="14" man="1"/>
    <brk id="479" max="14" man="1"/>
    <brk id="547" max="14" man="1"/>
    <brk id="615" max="14" man="1"/>
    <brk id="683" max="14" man="1"/>
    <brk id="751" max="14" man="1"/>
    <brk id="819" max="14" man="1"/>
    <brk id="887" max="14" man="1"/>
    <brk id="955" max="14" man="1"/>
    <brk id="1023" max="14" man="1"/>
    <brk id="1091" max="14" man="1"/>
    <brk id="1159" max="14" man="1"/>
    <brk id="1227" max="14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90"/>
  <sheetViews>
    <sheetView showGridLines="0" zoomScale="85" zoomScaleNormal="85" workbookViewId="0"/>
  </sheetViews>
  <sheetFormatPr defaultRowHeight="12.75" x14ac:dyDescent="0.2"/>
  <cols>
    <col min="1" max="1" width="44.7109375" customWidth="1"/>
    <col min="2" max="6" width="10" customWidth="1"/>
    <col min="7" max="7" width="6.7109375" customWidth="1"/>
    <col min="8" max="10" width="13" customWidth="1"/>
    <col min="11" max="11" width="6.7109375" customWidth="1"/>
    <col min="12" max="12" width="44.7109375" customWidth="1"/>
    <col min="13" max="17" width="10" customWidth="1"/>
    <col min="18" max="18" width="6.7109375" customWidth="1"/>
    <col min="19" max="21" width="13" customWidth="1"/>
    <col min="23" max="23" width="44.7109375" customWidth="1"/>
    <col min="24" max="28" width="10" customWidth="1"/>
    <col min="29" max="29" width="6.7109375" customWidth="1"/>
    <col min="30" max="32" width="13" customWidth="1"/>
  </cols>
  <sheetData>
    <row r="1" spans="1:32" ht="15.75" x14ac:dyDescent="0.25">
      <c r="A1" s="23" t="str">
        <f>CONCATENATE("Occupation Table 1  Employment Change by Occupation Group (SOC 2010) and Replacement Demand, ",B$6,"-",F$6)</f>
        <v>Occupation Table 1  Employment Change by Occupation Group (SOC 2010) and Replacement Demand, 2007-2027</v>
      </c>
      <c r="L1" s="23" t="str">
        <f>CONCATENATE("Occupation Table 1.1  Males: Employment Change by Occupation Group (SOC 2010) and Replacement Demand, ",B$6,"-",F$6)</f>
        <v>Occupation Table 1.1  Males: Employment Change by Occupation Group (SOC 2010) and Replacement Demand, 2007-2027</v>
      </c>
      <c r="W1" s="23" t="str">
        <f>CONCATENATE("Occupation Table 1.2  Females: Employment Change by Occupation Group (SOC 2010) and Replacement Demand, ",M$6,"-",Q$6)</f>
        <v>Occupation Table 1.2  Females: Employment Change by Occupation Group (SOC 2010) and Replacement Demand, 2007-2027</v>
      </c>
      <c r="X1" s="286"/>
      <c r="Y1" s="286"/>
      <c r="Z1" s="286"/>
      <c r="AA1" s="286"/>
      <c r="AB1" s="286"/>
      <c r="AC1" s="286"/>
      <c r="AD1" s="286"/>
      <c r="AE1" s="286"/>
      <c r="AF1" s="286"/>
    </row>
    <row r="2" spans="1:32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</row>
    <row r="3" spans="1:32" x14ac:dyDescent="0.2">
      <c r="F3" s="19" t="s">
        <v>35</v>
      </c>
      <c r="J3" s="19" t="s">
        <v>35</v>
      </c>
      <c r="L3" s="286"/>
      <c r="M3" s="286"/>
      <c r="N3" s="286"/>
      <c r="O3" s="286"/>
      <c r="P3" s="286"/>
      <c r="Q3" s="19" t="s">
        <v>35</v>
      </c>
      <c r="R3" s="286"/>
      <c r="S3" s="286"/>
      <c r="T3" s="286"/>
      <c r="U3" s="19" t="s">
        <v>35</v>
      </c>
      <c r="W3" s="286"/>
      <c r="X3" s="286"/>
      <c r="Y3" s="286"/>
      <c r="Z3" s="286"/>
      <c r="AA3" s="286"/>
      <c r="AB3" s="19" t="s">
        <v>35</v>
      </c>
      <c r="AC3" s="286"/>
      <c r="AD3" s="286"/>
      <c r="AE3" s="286"/>
      <c r="AF3" s="19" t="s">
        <v>35</v>
      </c>
    </row>
    <row r="4" spans="1:32" x14ac:dyDescent="0.2">
      <c r="A4" s="41"/>
      <c r="B4" s="41"/>
      <c r="C4" s="41"/>
      <c r="D4" s="41"/>
      <c r="E4" s="41"/>
      <c r="F4" s="41"/>
      <c r="H4" s="32" t="str">
        <f>CONCATENATE(D6,"-",F6)</f>
        <v>2017-2027</v>
      </c>
      <c r="I4" s="41"/>
      <c r="J4" s="41"/>
      <c r="L4" s="32" t="s">
        <v>98</v>
      </c>
      <c r="M4" s="41"/>
      <c r="N4" s="41"/>
      <c r="O4" s="41"/>
      <c r="P4" s="41"/>
      <c r="Q4" s="41"/>
      <c r="R4" s="286"/>
      <c r="S4" s="32" t="str">
        <f>CONCATENATE(O6,"-",Q6)</f>
        <v>2017-2027</v>
      </c>
      <c r="T4" s="41"/>
      <c r="U4" s="41"/>
      <c r="W4" s="32" t="s">
        <v>99</v>
      </c>
      <c r="X4" s="41"/>
      <c r="Y4" s="41"/>
      <c r="Z4" s="41"/>
      <c r="AA4" s="41"/>
      <c r="AB4" s="41"/>
      <c r="AC4" s="286"/>
      <c r="AD4" s="32" t="str">
        <f>CONCATENATE(Z6,"-",AB6)</f>
        <v>2017-2027</v>
      </c>
      <c r="AE4" s="41"/>
      <c r="AF4" s="41"/>
    </row>
    <row r="5" spans="1:32" x14ac:dyDescent="0.2">
      <c r="A5" s="2"/>
      <c r="B5" s="2"/>
      <c r="C5" s="2"/>
      <c r="D5" s="2"/>
      <c r="E5" s="2"/>
      <c r="F5" s="2"/>
      <c r="H5" s="19" t="s">
        <v>29</v>
      </c>
      <c r="I5" s="19" t="s">
        <v>30</v>
      </c>
      <c r="J5" s="19" t="s">
        <v>32</v>
      </c>
      <c r="L5" s="2"/>
      <c r="M5" s="2"/>
      <c r="N5" s="2"/>
      <c r="O5" s="2"/>
      <c r="P5" s="2"/>
      <c r="Q5" s="2"/>
      <c r="R5" s="286"/>
      <c r="S5" s="19" t="s">
        <v>29</v>
      </c>
      <c r="T5" s="19" t="s">
        <v>30</v>
      </c>
      <c r="U5" s="19" t="s">
        <v>32</v>
      </c>
      <c r="W5" s="2"/>
      <c r="X5" s="2"/>
      <c r="Y5" s="2"/>
      <c r="Z5" s="2"/>
      <c r="AA5" s="2"/>
      <c r="AB5" s="2"/>
      <c r="AC5" s="286"/>
      <c r="AD5" s="19" t="s">
        <v>29</v>
      </c>
      <c r="AE5" s="19" t="s">
        <v>30</v>
      </c>
      <c r="AF5" s="19" t="s">
        <v>32</v>
      </c>
    </row>
    <row r="6" spans="1:32" x14ac:dyDescent="0.2">
      <c r="A6" s="78" t="s">
        <v>13</v>
      </c>
      <c r="B6" s="40">
        <f>'Occ T2'!B6</f>
        <v>2007</v>
      </c>
      <c r="C6" s="40">
        <f>'Occ T2'!C6</f>
        <v>2012</v>
      </c>
      <c r="D6" s="40">
        <f>'Occ T2'!D6</f>
        <v>2017</v>
      </c>
      <c r="E6" s="40">
        <f>'Occ T2'!E6</f>
        <v>2022</v>
      </c>
      <c r="F6" s="40">
        <f>'Occ T2'!F6</f>
        <v>2027</v>
      </c>
      <c r="G6" s="12"/>
      <c r="H6" s="75" t="s">
        <v>18</v>
      </c>
      <c r="I6" s="75" t="s">
        <v>31</v>
      </c>
      <c r="J6" s="75" t="s">
        <v>33</v>
      </c>
      <c r="L6" s="78" t="s">
        <v>13</v>
      </c>
      <c r="M6" s="40">
        <f>'Occ T2'!B6</f>
        <v>2007</v>
      </c>
      <c r="N6" s="40">
        <f>'Occ T2'!C6</f>
        <v>2012</v>
      </c>
      <c r="O6" s="40">
        <f>'Occ T2'!D6</f>
        <v>2017</v>
      </c>
      <c r="P6" s="40">
        <f>'Occ T2'!E6</f>
        <v>2022</v>
      </c>
      <c r="Q6" s="40">
        <f>'Occ T2'!F6</f>
        <v>2027</v>
      </c>
      <c r="R6" s="12"/>
      <c r="S6" s="75" t="s">
        <v>18</v>
      </c>
      <c r="T6" s="75" t="s">
        <v>31</v>
      </c>
      <c r="U6" s="75" t="s">
        <v>33</v>
      </c>
      <c r="W6" s="78" t="s">
        <v>13</v>
      </c>
      <c r="X6" s="40">
        <f>'Occ T2'!B6</f>
        <v>2007</v>
      </c>
      <c r="Y6" s="40">
        <f>'Occ T2'!C6</f>
        <v>2012</v>
      </c>
      <c r="Z6" s="40">
        <f>'Occ T2'!D6</f>
        <v>2017</v>
      </c>
      <c r="AA6" s="40">
        <f>'Occ T2'!E6</f>
        <v>2022</v>
      </c>
      <c r="AB6" s="40">
        <f>'Occ T2'!F6</f>
        <v>2027</v>
      </c>
      <c r="AC6" s="12"/>
      <c r="AD6" s="75" t="s">
        <v>18</v>
      </c>
      <c r="AE6" s="75" t="s">
        <v>31</v>
      </c>
      <c r="AF6" s="75" t="s">
        <v>33</v>
      </c>
    </row>
    <row r="7" spans="1:32" x14ac:dyDescent="0.2">
      <c r="B7" s="18"/>
      <c r="C7" s="12"/>
      <c r="D7" s="12"/>
      <c r="E7" s="12"/>
      <c r="F7" s="12"/>
      <c r="L7" s="286"/>
      <c r="M7" s="18"/>
      <c r="N7" s="12"/>
      <c r="O7" s="12"/>
      <c r="P7" s="12"/>
      <c r="Q7" s="12"/>
      <c r="R7" s="286"/>
      <c r="S7" s="286"/>
      <c r="T7" s="286"/>
      <c r="U7" s="286"/>
      <c r="W7" s="286"/>
      <c r="X7" s="18"/>
      <c r="Y7" s="12"/>
      <c r="Z7" s="12"/>
      <c r="AA7" s="12"/>
      <c r="AB7" s="12"/>
      <c r="AC7" s="286"/>
      <c r="AD7" s="286"/>
      <c r="AE7" s="286"/>
      <c r="AF7" s="286"/>
    </row>
    <row r="8" spans="1:32" x14ac:dyDescent="0.2">
      <c r="A8" s="18" t="str">
        <f>name!E4</f>
        <v>Managers, directors and senior officials</v>
      </c>
      <c r="B8" s="13">
        <f t="array" ref="B8:B16">MMULT(aggregation!$B$38:$Z$46,'Occ T2'!B8:B32)</f>
        <v>96.365990659496248</v>
      </c>
      <c r="C8" s="13">
        <f t="array" ref="C8:C16">MMULT(aggregation!$B$38:$Z$46,'Occ T2'!C8:C32)</f>
        <v>102.06840889696952</v>
      </c>
      <c r="D8" s="13">
        <f t="array" ref="D8:D16">MMULT(aggregation!$B$38:$Z$46,'Occ T2'!D8:D32)</f>
        <v>121.38972043868799</v>
      </c>
      <c r="E8" s="13">
        <f t="array" ref="E8:E16">MMULT(aggregation!$B$38:$Z$46,'Occ T2'!E8:E32)</f>
        <v>129.5004089755376</v>
      </c>
      <c r="F8" s="13">
        <f t="array" ref="F8:F16">MMULT(aggregation!$B$38:$Z$46,'Occ T2'!F8:F32)</f>
        <v>136.7185554318682</v>
      </c>
      <c r="G8" s="13"/>
      <c r="H8" s="13">
        <f>F8-D8</f>
        <v>15.328834993180209</v>
      </c>
      <c r="I8" s="13">
        <f t="array" ref="I8:I16">MMULT(aggregation!$B$38:$Z$46,'Occ T2'!I8:I32)</f>
        <v>47.02308350346955</v>
      </c>
      <c r="J8" s="13">
        <f>SUM(H8:I8)</f>
        <v>62.351918496649759</v>
      </c>
      <c r="L8" s="12" t="str">
        <f>name!E4</f>
        <v>Managers, directors and senior officials</v>
      </c>
      <c r="M8" s="13">
        <f t="array" ref="M8:M16">MMULT(aggregation!$B$38:$Z$46,'Occ T2'!M8:M32)</f>
        <v>68.572979476305207</v>
      </c>
      <c r="N8" s="13">
        <f t="array" ref="N8:N16">MMULT(aggregation!$B$38:$Z$46,'Occ T2'!N8:N32)</f>
        <v>71.134229219560154</v>
      </c>
      <c r="O8" s="13">
        <f t="array" ref="O8:O16">MMULT(aggregation!$B$38:$Z$46,'Occ T2'!O8:O32)</f>
        <v>76.934208876487048</v>
      </c>
      <c r="P8" s="13">
        <f t="array" ref="P8:P16">MMULT(aggregation!$B$38:$Z$46,'Occ T2'!P8:P32)</f>
        <v>79.732984828242266</v>
      </c>
      <c r="Q8" s="13">
        <f t="array" ref="Q8:Q16">MMULT(aggregation!$B$38:$Z$46,'Occ T2'!Q8:Q32)</f>
        <v>81.969337814776665</v>
      </c>
      <c r="R8" s="13"/>
      <c r="S8" s="13">
        <f>Q8-O8</f>
        <v>5.0351289382896169</v>
      </c>
      <c r="T8" s="13">
        <f t="array" ref="T8:T16">MMULT(aggregation!$B$38:$Z$46,'Occ T2'!T8:T32)</f>
        <v>26.049526618481909</v>
      </c>
      <c r="U8" s="13">
        <f>SUM(S8:T8)</f>
        <v>31.084655556771526</v>
      </c>
      <c r="W8" s="12" t="str">
        <f>name!E4</f>
        <v>Managers, directors and senior officials</v>
      </c>
      <c r="X8" s="13">
        <f t="array" ref="X8:X16">MMULT(aggregation!$B$38:$Z$46,'Occ T2'!X8:X32)</f>
        <v>27.793011183191112</v>
      </c>
      <c r="Y8" s="13">
        <f t="array" ref="Y8:Y16">MMULT(aggregation!$B$38:$Z$46,'Occ T2'!Y8:Y32)</f>
        <v>30.934179677409261</v>
      </c>
      <c r="Z8" s="13">
        <f t="array" ref="Z8:Z16">MMULT(aggregation!$B$38:$Z$46,'Occ T2'!Z8:Z32)</f>
        <v>44.455511562200826</v>
      </c>
      <c r="AA8" s="13">
        <f t="array" ref="AA8:AA16">MMULT(aggregation!$B$38:$Z$46,'Occ T2'!AA8:AA32)</f>
        <v>49.767424147295102</v>
      </c>
      <c r="AB8" s="13">
        <f t="array" ref="AB8:AB16">MMULT(aggregation!$B$38:$Z$46,'Occ T2'!AB8:AB32)</f>
        <v>54.749217617091865</v>
      </c>
      <c r="AC8" s="13"/>
      <c r="AD8" s="13">
        <f>AB8-Z8</f>
        <v>10.29370605489104</v>
      </c>
      <c r="AE8" s="13">
        <f t="array" ref="AE8:AE16">MMULT(aggregation!$B$38:$Z$46,'Occ T2'!AE8:AE32)</f>
        <v>20.97355688498763</v>
      </c>
      <c r="AF8" s="13">
        <f>SUM(AD8:AE8)</f>
        <v>31.26726293987867</v>
      </c>
    </row>
    <row r="9" spans="1:32" x14ac:dyDescent="0.2">
      <c r="A9" s="18" t="str">
        <f>name!E5</f>
        <v>Professional occupations</v>
      </c>
      <c r="B9" s="13">
        <v>221.08153495773954</v>
      </c>
      <c r="C9" s="13">
        <v>238.11769957384956</v>
      </c>
      <c r="D9" s="13">
        <v>286.93232616274213</v>
      </c>
      <c r="E9" s="13">
        <v>304.3607521899271</v>
      </c>
      <c r="F9" s="13">
        <v>324.76512982597262</v>
      </c>
      <c r="G9" s="13"/>
      <c r="H9" s="13">
        <f t="shared" ref="H9:H16" si="0">F9-D9</f>
        <v>37.832803663230493</v>
      </c>
      <c r="I9" s="13">
        <v>100.35690833011955</v>
      </c>
      <c r="J9" s="13">
        <f t="shared" ref="J9:J15" si="1">SUM(H9:I9)</f>
        <v>138.18971199335004</v>
      </c>
      <c r="L9" s="12" t="str">
        <f>name!E5</f>
        <v>Professional occupations</v>
      </c>
      <c r="M9" s="13">
        <v>100.8252900152487</v>
      </c>
      <c r="N9" s="13">
        <v>107.27145908035365</v>
      </c>
      <c r="O9" s="13">
        <v>121.08828857013195</v>
      </c>
      <c r="P9" s="13">
        <v>123.2440716595394</v>
      </c>
      <c r="Q9" s="13">
        <v>126.73280555236809</v>
      </c>
      <c r="R9" s="13"/>
      <c r="S9" s="13">
        <f t="shared" ref="S9:S16" si="2">Q9-O9</f>
        <v>5.6445169822361407</v>
      </c>
      <c r="T9" s="13">
        <v>31.818426705698684</v>
      </c>
      <c r="U9" s="13">
        <f t="shared" ref="U9:U12" si="3">SUM(S9:T9)</f>
        <v>37.462943687934825</v>
      </c>
      <c r="W9" s="12" t="str">
        <f>name!E5</f>
        <v>Professional occupations</v>
      </c>
      <c r="X9" s="13">
        <v>120.2562449424907</v>
      </c>
      <c r="Y9" s="13">
        <v>130.84624049349645</v>
      </c>
      <c r="Z9" s="13">
        <v>165.84403759261014</v>
      </c>
      <c r="AA9" s="13">
        <v>181.11668053038795</v>
      </c>
      <c r="AB9" s="13">
        <v>198.03232427360456</v>
      </c>
      <c r="AC9" s="13"/>
      <c r="AD9" s="13">
        <f t="shared" ref="AD9:AD16" si="4">AB9-Z9</f>
        <v>32.188286680994423</v>
      </c>
      <c r="AE9" s="13">
        <v>68.538481624420854</v>
      </c>
      <c r="AF9" s="13">
        <f t="shared" ref="AF9:AF12" si="5">SUM(AD9:AE9)</f>
        <v>100.72676830541528</v>
      </c>
    </row>
    <row r="10" spans="1:32" x14ac:dyDescent="0.2">
      <c r="A10" s="18" t="str">
        <f>name!E6</f>
        <v>Associate professional and technical</v>
      </c>
      <c r="B10" s="13">
        <v>145.55279398544303</v>
      </c>
      <c r="C10" s="13">
        <v>145.42546728127255</v>
      </c>
      <c r="D10" s="13">
        <v>172.07211916997335</v>
      </c>
      <c r="E10" s="13">
        <v>181.51224362511181</v>
      </c>
      <c r="F10" s="13">
        <v>189.00941153550957</v>
      </c>
      <c r="G10" s="13"/>
      <c r="H10" s="13">
        <f t="shared" si="0"/>
        <v>16.937292365536223</v>
      </c>
      <c r="I10" s="13">
        <v>56.495468406012137</v>
      </c>
      <c r="J10" s="13">
        <f t="shared" si="1"/>
        <v>73.432760771548359</v>
      </c>
      <c r="L10" s="12" t="str">
        <f>name!E6</f>
        <v>Associate professional and technical</v>
      </c>
      <c r="M10" s="13">
        <v>86.195400125884049</v>
      </c>
      <c r="N10" s="13">
        <v>84.929338392538057</v>
      </c>
      <c r="O10" s="13">
        <v>92.481534745262621</v>
      </c>
      <c r="P10" s="13">
        <v>93.204487322539634</v>
      </c>
      <c r="Q10" s="13">
        <v>93.622541843852844</v>
      </c>
      <c r="R10" s="13"/>
      <c r="S10" s="13">
        <f t="shared" si="2"/>
        <v>1.1410070985902223</v>
      </c>
      <c r="T10" s="13">
        <v>23.930886727460575</v>
      </c>
      <c r="U10" s="13">
        <f t="shared" si="3"/>
        <v>25.071893826050797</v>
      </c>
      <c r="W10" s="12" t="str">
        <f>name!E6</f>
        <v>Associate professional and technical</v>
      </c>
      <c r="X10" s="13">
        <v>59.357393859559117</v>
      </c>
      <c r="Y10" s="13">
        <v>60.496128888734503</v>
      </c>
      <c r="Z10" s="13">
        <v>79.590584424710883</v>
      </c>
      <c r="AA10" s="13">
        <v>88.307756302572201</v>
      </c>
      <c r="AB10" s="13">
        <v>95.386869691656699</v>
      </c>
      <c r="AC10" s="13"/>
      <c r="AD10" s="13">
        <f t="shared" si="4"/>
        <v>15.796285266945816</v>
      </c>
      <c r="AE10" s="13">
        <v>32.564581678551576</v>
      </c>
      <c r="AF10" s="13">
        <f t="shared" si="5"/>
        <v>48.360866945497392</v>
      </c>
    </row>
    <row r="11" spans="1:32" x14ac:dyDescent="0.2">
      <c r="A11" s="18" t="str">
        <f>name!E7</f>
        <v>Administrative and secretarial</v>
      </c>
      <c r="B11" s="13">
        <v>167.81985524773</v>
      </c>
      <c r="C11" s="13">
        <v>154.55956652721534</v>
      </c>
      <c r="D11" s="13">
        <v>160.63162547890485</v>
      </c>
      <c r="E11" s="13">
        <v>148.91887637436366</v>
      </c>
      <c r="F11" s="13">
        <v>138.73142661139272</v>
      </c>
      <c r="G11" s="13"/>
      <c r="H11" s="13">
        <f t="shared" si="0"/>
        <v>-21.900198867512131</v>
      </c>
      <c r="I11" s="13">
        <v>50.12059430881736</v>
      </c>
      <c r="J11" s="13">
        <f t="shared" si="1"/>
        <v>28.220395441305229</v>
      </c>
      <c r="L11" s="12" t="str">
        <f>name!E7</f>
        <v>Administrative and secretarial</v>
      </c>
      <c r="M11" s="13">
        <v>40.517245758908899</v>
      </c>
      <c r="N11" s="13">
        <v>40.046779507026557</v>
      </c>
      <c r="O11" s="13">
        <v>42.048893319059388</v>
      </c>
      <c r="P11" s="13">
        <v>42.357193897606891</v>
      </c>
      <c r="Q11" s="13">
        <v>43.426251387083511</v>
      </c>
      <c r="R11" s="13"/>
      <c r="S11" s="13">
        <f t="shared" si="2"/>
        <v>1.3773580680241224</v>
      </c>
      <c r="T11" s="13">
        <v>10.888089874487234</v>
      </c>
      <c r="U11" s="13">
        <f t="shared" si="3"/>
        <v>12.265447942511356</v>
      </c>
      <c r="W11" s="12" t="str">
        <f>name!E7</f>
        <v>Administrative and secretarial</v>
      </c>
      <c r="X11" s="13">
        <v>127.30260948882082</v>
      </c>
      <c r="Y11" s="13">
        <v>114.51278702018874</v>
      </c>
      <c r="Z11" s="13">
        <v>118.58273215984556</v>
      </c>
      <c r="AA11" s="13">
        <v>106.56168247675679</v>
      </c>
      <c r="AB11" s="13">
        <v>95.305175224309266</v>
      </c>
      <c r="AC11" s="13"/>
      <c r="AD11" s="13">
        <f t="shared" si="4"/>
        <v>-23.277556935536296</v>
      </c>
      <c r="AE11" s="13">
        <v>39.232504434330117</v>
      </c>
      <c r="AF11" s="13">
        <f t="shared" si="5"/>
        <v>15.954947498793821</v>
      </c>
    </row>
    <row r="12" spans="1:32" x14ac:dyDescent="0.2">
      <c r="A12" s="18" t="str">
        <f>name!E8</f>
        <v>Skilled trades occupations</v>
      </c>
      <c r="B12" s="13">
        <v>192.61758234287316</v>
      </c>
      <c r="C12" s="13">
        <v>173.6295944701626</v>
      </c>
      <c r="D12" s="13">
        <v>204.65991614519831</v>
      </c>
      <c r="E12" s="13">
        <v>197.71367725030444</v>
      </c>
      <c r="F12" s="13">
        <v>190.38528394164064</v>
      </c>
      <c r="G12" s="13"/>
      <c r="H12" s="13">
        <f t="shared" si="0"/>
        <v>-14.274632203557672</v>
      </c>
      <c r="I12" s="13">
        <v>56.884382408878864</v>
      </c>
      <c r="J12" s="13">
        <f t="shared" si="1"/>
        <v>42.609750205321191</v>
      </c>
      <c r="L12" s="12" t="str">
        <f>name!E8</f>
        <v>Skilled trades occupations</v>
      </c>
      <c r="M12" s="13">
        <v>172.80955008077098</v>
      </c>
      <c r="N12" s="13">
        <v>154.89486133646477</v>
      </c>
      <c r="O12" s="13">
        <v>179.27006840202785</v>
      </c>
      <c r="P12" s="13">
        <v>172.16088582910186</v>
      </c>
      <c r="Q12" s="13">
        <v>165.20182527510866</v>
      </c>
      <c r="R12" s="13"/>
      <c r="S12" s="13">
        <f t="shared" si="2"/>
        <v>-14.068243126919185</v>
      </c>
      <c r="T12" s="13">
        <v>46.603236091752557</v>
      </c>
      <c r="U12" s="13">
        <f t="shared" si="3"/>
        <v>32.534992964833371</v>
      </c>
      <c r="W12" s="12" t="str">
        <f>name!E8</f>
        <v>Skilled trades occupations</v>
      </c>
      <c r="X12" s="13">
        <v>19.808032262102039</v>
      </c>
      <c r="Y12" s="13">
        <v>18.734733133697961</v>
      </c>
      <c r="Z12" s="13">
        <v>25.389847743170456</v>
      </c>
      <c r="AA12" s="13">
        <v>25.55279142120262</v>
      </c>
      <c r="AB12" s="13">
        <v>25.183458666531997</v>
      </c>
      <c r="AC12" s="13"/>
      <c r="AD12" s="13">
        <f t="shared" si="4"/>
        <v>-0.20638907663845885</v>
      </c>
      <c r="AE12" s="13">
        <v>10.281146317126314</v>
      </c>
      <c r="AF12" s="13">
        <f t="shared" si="5"/>
        <v>10.074757240487855</v>
      </c>
    </row>
    <row r="13" spans="1:32" x14ac:dyDescent="0.2">
      <c r="A13" s="18" t="str">
        <f>name!E9</f>
        <v>Caring, leisure and other service</v>
      </c>
      <c r="B13" s="13">
        <v>126.14913023603195</v>
      </c>
      <c r="C13" s="13">
        <v>137.01849261936439</v>
      </c>
      <c r="D13" s="13">
        <v>168.1161708779527</v>
      </c>
      <c r="E13" s="13">
        <v>177.32710037561748</v>
      </c>
      <c r="F13" s="13">
        <v>188.79525387511896</v>
      </c>
      <c r="G13" s="13"/>
      <c r="H13" s="13">
        <f t="shared" si="0"/>
        <v>20.679082997166262</v>
      </c>
      <c r="I13" s="13">
        <v>65.008259504185446</v>
      </c>
      <c r="J13" s="13">
        <f>SUM(H13:I13)</f>
        <v>85.687342501351708</v>
      </c>
      <c r="L13" s="12" t="str">
        <f>name!E9</f>
        <v>Caring, leisure and other service</v>
      </c>
      <c r="M13" s="13">
        <v>23.212623920749294</v>
      </c>
      <c r="N13" s="13">
        <v>24.681745502270612</v>
      </c>
      <c r="O13" s="13">
        <v>27.250872390928699</v>
      </c>
      <c r="P13" s="13">
        <v>29.1894229073595</v>
      </c>
      <c r="Q13" s="13">
        <v>31.644011230355297</v>
      </c>
      <c r="R13" s="13"/>
      <c r="S13" s="13">
        <f t="shared" si="2"/>
        <v>4.393138839426598</v>
      </c>
      <c r="T13" s="13">
        <v>8.6450649741941454</v>
      </c>
      <c r="U13" s="13">
        <f>SUM(S13:T13)</f>
        <v>13.038203813620743</v>
      </c>
      <c r="W13" s="12" t="str">
        <f>name!E9</f>
        <v>Caring, leisure and other service</v>
      </c>
      <c r="X13" s="13">
        <v>102.9365063152826</v>
      </c>
      <c r="Y13" s="13">
        <v>112.33674711709375</v>
      </c>
      <c r="Z13" s="13">
        <v>140.86529848702395</v>
      </c>
      <c r="AA13" s="13">
        <v>148.13767746825823</v>
      </c>
      <c r="AB13" s="13">
        <v>157.15124264476364</v>
      </c>
      <c r="AC13" s="13"/>
      <c r="AD13" s="13">
        <f t="shared" si="4"/>
        <v>16.285944157739692</v>
      </c>
      <c r="AE13" s="13">
        <v>56.363194529991304</v>
      </c>
      <c r="AF13" s="13">
        <f>SUM(AD13:AE13)</f>
        <v>72.649138687730996</v>
      </c>
    </row>
    <row r="14" spans="1:32" x14ac:dyDescent="0.2">
      <c r="A14" s="18" t="str">
        <f>name!E10</f>
        <v>Sales and customer service</v>
      </c>
      <c r="B14" s="13">
        <v>131.40327711366808</v>
      </c>
      <c r="C14" s="13">
        <v>125.82025945502616</v>
      </c>
      <c r="D14" s="13">
        <v>125.66987901861698</v>
      </c>
      <c r="E14" s="13">
        <v>123.63412707601984</v>
      </c>
      <c r="F14" s="13">
        <v>122.14903772501791</v>
      </c>
      <c r="G14" s="13"/>
      <c r="H14" s="13">
        <f t="shared" si="0"/>
        <v>-3.5208412935990765</v>
      </c>
      <c r="I14" s="13">
        <v>39.941558001949872</v>
      </c>
      <c r="J14" s="13">
        <f t="shared" si="1"/>
        <v>36.420716708350795</v>
      </c>
      <c r="L14" s="12" t="str">
        <f>name!E10</f>
        <v>Sales and customer service</v>
      </c>
      <c r="M14" s="13">
        <v>41.511003308239935</v>
      </c>
      <c r="N14" s="13">
        <v>39.115699196478104</v>
      </c>
      <c r="O14" s="13">
        <v>41.326349900933906</v>
      </c>
      <c r="P14" s="13">
        <v>41.855957357176507</v>
      </c>
      <c r="Q14" s="13">
        <v>41.269523213392951</v>
      </c>
      <c r="R14" s="13"/>
      <c r="S14" s="13">
        <f t="shared" si="2"/>
        <v>-5.6826687540954879E-2</v>
      </c>
      <c r="T14" s="13">
        <v>9.33358312786787</v>
      </c>
      <c r="U14" s="13">
        <f t="shared" ref="U14:U15" si="6">SUM(S14:T14)</f>
        <v>9.2767564403269152</v>
      </c>
      <c r="W14" s="12" t="str">
        <f>name!E10</f>
        <v>Sales and customer service</v>
      </c>
      <c r="X14" s="13">
        <v>89.892273805428218</v>
      </c>
      <c r="Y14" s="13">
        <v>86.704560258548071</v>
      </c>
      <c r="Z14" s="13">
        <v>84.343529117683033</v>
      </c>
      <c r="AA14" s="13">
        <v>81.7781697188436</v>
      </c>
      <c r="AB14" s="13">
        <v>80.879514511624819</v>
      </c>
      <c r="AC14" s="13"/>
      <c r="AD14" s="13">
        <f t="shared" si="4"/>
        <v>-3.464014606058214</v>
      </c>
      <c r="AE14" s="13">
        <v>30.607974874081997</v>
      </c>
      <c r="AF14" s="13">
        <f t="shared" ref="AF14:AF15" si="7">SUM(AD14:AE14)</f>
        <v>27.143960268023783</v>
      </c>
    </row>
    <row r="15" spans="1:32" x14ac:dyDescent="0.2">
      <c r="A15" s="18" t="str">
        <f>name!E11</f>
        <v>Process, plant and machine operatives</v>
      </c>
      <c r="B15" s="13">
        <v>130.98207204915556</v>
      </c>
      <c r="C15" s="13">
        <v>116.61966769195422</v>
      </c>
      <c r="D15" s="13">
        <v>113.82573906258986</v>
      </c>
      <c r="E15" s="13">
        <v>106.80862144444538</v>
      </c>
      <c r="F15" s="13">
        <v>102.98688318643494</v>
      </c>
      <c r="G15" s="13"/>
      <c r="H15" s="13">
        <f t="shared" si="0"/>
        <v>-10.838855876154923</v>
      </c>
      <c r="I15" s="13">
        <v>31.898317125002247</v>
      </c>
      <c r="J15" s="13">
        <f t="shared" si="1"/>
        <v>21.059461248847324</v>
      </c>
      <c r="L15" s="12" t="str">
        <f>name!E11</f>
        <v>Process, plant and machine operatives</v>
      </c>
      <c r="M15" s="13">
        <v>110.18626373177942</v>
      </c>
      <c r="N15" s="13">
        <v>97.847480570799235</v>
      </c>
      <c r="O15" s="13">
        <v>96.009564384213292</v>
      </c>
      <c r="P15" s="13">
        <v>91.59976878425104</v>
      </c>
      <c r="Q15" s="13">
        <v>89.457916941490396</v>
      </c>
      <c r="R15" s="13"/>
      <c r="S15" s="13">
        <f t="shared" si="2"/>
        <v>-6.5516474427228957</v>
      </c>
      <c r="T15" s="13">
        <v>26.62790319451933</v>
      </c>
      <c r="U15" s="13">
        <f t="shared" si="6"/>
        <v>20.076255751796435</v>
      </c>
      <c r="W15" s="12" t="str">
        <f>name!E11</f>
        <v>Process, plant and machine operatives</v>
      </c>
      <c r="X15" s="13">
        <v>20.795808317375997</v>
      </c>
      <c r="Y15" s="13">
        <v>18.772187121154936</v>
      </c>
      <c r="Z15" s="13">
        <v>17.816174678376466</v>
      </c>
      <c r="AA15" s="13">
        <v>15.20885266019441</v>
      </c>
      <c r="AB15" s="13">
        <v>13.528966244944554</v>
      </c>
      <c r="AC15" s="13"/>
      <c r="AD15" s="13">
        <f t="shared" si="4"/>
        <v>-4.2872084334319123</v>
      </c>
      <c r="AE15" s="13">
        <v>5.2704139304829205</v>
      </c>
      <c r="AF15" s="13">
        <f t="shared" si="7"/>
        <v>0.98320549705100824</v>
      </c>
    </row>
    <row r="16" spans="1:32" x14ac:dyDescent="0.2">
      <c r="A16" s="18" t="str">
        <f>name!E12</f>
        <v>Elementary occupations</v>
      </c>
      <c r="B16" s="13">
        <v>196.99476340980632</v>
      </c>
      <c r="C16" s="13">
        <v>164.61884348517052</v>
      </c>
      <c r="D16" s="13">
        <v>176.46250364617717</v>
      </c>
      <c r="E16" s="13">
        <v>176.51119269083904</v>
      </c>
      <c r="F16" s="13">
        <v>175.63201786892921</v>
      </c>
      <c r="G16" s="13"/>
      <c r="H16" s="13">
        <f t="shared" si="0"/>
        <v>-0.83048577724795791</v>
      </c>
      <c r="I16" s="13">
        <v>55.739069221296432</v>
      </c>
      <c r="J16" s="13">
        <f>SUM(H16:I16)</f>
        <v>54.908583444048475</v>
      </c>
      <c r="L16" s="12" t="str">
        <f>name!E12</f>
        <v>Elementary occupations</v>
      </c>
      <c r="M16" s="13">
        <v>94.763643582538947</v>
      </c>
      <c r="N16" s="13">
        <v>86.646407194674595</v>
      </c>
      <c r="O16" s="13">
        <v>95.096219411059081</v>
      </c>
      <c r="P16" s="13">
        <v>97.584227415103783</v>
      </c>
      <c r="Q16" s="13">
        <v>100.12278674261904</v>
      </c>
      <c r="R16" s="13"/>
      <c r="S16" s="13">
        <f t="shared" si="2"/>
        <v>5.0265673315599599</v>
      </c>
      <c r="T16" s="13">
        <v>25.304853057438962</v>
      </c>
      <c r="U16" s="13">
        <f>SUM(S16:T16)</f>
        <v>30.331420388998922</v>
      </c>
      <c r="W16" s="12" t="str">
        <f>name!E12</f>
        <v>Elementary occupations</v>
      </c>
      <c r="X16" s="13">
        <v>102.23111982726789</v>
      </c>
      <c r="Y16" s="13">
        <v>77.972436290495935</v>
      </c>
      <c r="Z16" s="13">
        <v>81.366284235117774</v>
      </c>
      <c r="AA16" s="13">
        <v>78.926965275734901</v>
      </c>
      <c r="AB16" s="13">
        <v>75.509231126310439</v>
      </c>
      <c r="AC16" s="13"/>
      <c r="AD16" s="13">
        <f t="shared" si="4"/>
        <v>-5.8570531088073352</v>
      </c>
      <c r="AE16" s="13">
        <v>30.434216163857478</v>
      </c>
      <c r="AF16" s="13">
        <f>SUM(AD16:AE16)</f>
        <v>24.577163055050143</v>
      </c>
    </row>
    <row r="17" spans="1:32" x14ac:dyDescent="0.2">
      <c r="A17" s="18"/>
      <c r="B17" s="13"/>
      <c r="C17" s="13"/>
      <c r="D17" s="13"/>
      <c r="E17" s="13"/>
      <c r="F17" s="13"/>
      <c r="G17" s="13"/>
      <c r="H17" s="13"/>
      <c r="I17" s="13"/>
      <c r="J17" s="13"/>
      <c r="L17" s="18"/>
      <c r="M17" s="13"/>
      <c r="N17" s="13"/>
      <c r="O17" s="13"/>
      <c r="P17" s="13"/>
      <c r="Q17" s="13"/>
      <c r="R17" s="13"/>
      <c r="S17" s="13"/>
      <c r="T17" s="13"/>
      <c r="U17" s="13"/>
      <c r="W17" s="18"/>
      <c r="X17" s="13"/>
      <c r="Y17" s="13"/>
      <c r="Z17" s="13"/>
      <c r="AA17" s="13"/>
      <c r="AB17" s="13"/>
      <c r="AC17" s="13"/>
      <c r="AD17" s="13"/>
      <c r="AE17" s="13"/>
      <c r="AF17" s="13"/>
    </row>
    <row r="18" spans="1:32" x14ac:dyDescent="0.2">
      <c r="A18" s="28" t="str">
        <f>name!E3</f>
        <v>All occupations</v>
      </c>
      <c r="B18" s="39">
        <f>SUM(B8:B16)</f>
        <v>1408.9670000019441</v>
      </c>
      <c r="C18" s="39">
        <f>SUM(C8:C16)</f>
        <v>1357.8780000009849</v>
      </c>
      <c r="D18" s="39">
        <f>SUM(D8:D16)</f>
        <v>1529.7600000008433</v>
      </c>
      <c r="E18" s="39">
        <f>SUM(E8:E16)</f>
        <v>1546.2870000021662</v>
      </c>
      <c r="F18" s="39">
        <f>SUM(F8:F16)</f>
        <v>1569.1730000018847</v>
      </c>
      <c r="G18" s="13"/>
      <c r="H18" s="39">
        <f>SUM(H8:H16)</f>
        <v>39.413000001041425</v>
      </c>
      <c r="I18" s="39">
        <f>SUM(I8:I16)</f>
        <v>503.46764080973151</v>
      </c>
      <c r="J18" s="39">
        <f>SUM(H18:I18)</f>
        <v>542.88064081077289</v>
      </c>
      <c r="L18" s="336" t="str">
        <f>name!E3</f>
        <v>All occupations</v>
      </c>
      <c r="M18" s="39">
        <f>SUM(M8:M16)</f>
        <v>738.59400000042547</v>
      </c>
      <c r="N18" s="39">
        <f>SUM(N8:N16)</f>
        <v>706.56800000016563</v>
      </c>
      <c r="O18" s="39">
        <f>SUM(O8:O16)</f>
        <v>771.50600000010388</v>
      </c>
      <c r="P18" s="39">
        <f>SUM(P8:P16)</f>
        <v>770.92900000092095</v>
      </c>
      <c r="Q18" s="39">
        <f>SUM(Q8:Q16)</f>
        <v>773.44700000104751</v>
      </c>
      <c r="R18" s="13"/>
      <c r="S18" s="39">
        <f>SUM(S8:S16)</f>
        <v>1.9410000009436246</v>
      </c>
      <c r="T18" s="39">
        <f>SUM(T8:T16)</f>
        <v>209.20157037190125</v>
      </c>
      <c r="U18" s="39">
        <f>SUM(S18:T18)</f>
        <v>211.14257037284489</v>
      </c>
      <c r="W18" s="336" t="str">
        <f>name!E3</f>
        <v>All occupations</v>
      </c>
      <c r="X18" s="39">
        <f>SUM(X8:X16)</f>
        <v>670.37300000151845</v>
      </c>
      <c r="Y18" s="39">
        <f>SUM(Y8:Y16)</f>
        <v>651.31000000081963</v>
      </c>
      <c r="Z18" s="39">
        <f>SUM(Z8:Z16)</f>
        <v>758.25400000073898</v>
      </c>
      <c r="AA18" s="39">
        <f>SUM(AA8:AA16)</f>
        <v>775.35800000124595</v>
      </c>
      <c r="AB18" s="39">
        <f>SUM(AB8:AB16)</f>
        <v>795.72600000083776</v>
      </c>
      <c r="AC18" s="13"/>
      <c r="AD18" s="39">
        <f>SUM(AD8:AD16)</f>
        <v>37.472000000098753</v>
      </c>
      <c r="AE18" s="39">
        <f>SUM(AE8:AE16)</f>
        <v>294.26607043783014</v>
      </c>
      <c r="AF18" s="39">
        <f>SUM(AD18:AE18)</f>
        <v>331.73807043792891</v>
      </c>
    </row>
    <row r="19" spans="1:32" x14ac:dyDescent="0.2">
      <c r="A19" s="18"/>
      <c r="B19" s="13"/>
      <c r="C19" s="13"/>
      <c r="D19" s="13"/>
      <c r="E19" s="13"/>
      <c r="F19" s="13"/>
      <c r="G19" s="13"/>
      <c r="L19" s="18"/>
      <c r="M19" s="13"/>
      <c r="N19" s="13"/>
      <c r="O19" s="13"/>
      <c r="P19" s="13"/>
      <c r="Q19" s="13"/>
      <c r="R19" s="13"/>
      <c r="S19" s="286"/>
      <c r="T19" s="286"/>
      <c r="U19" s="286"/>
      <c r="W19" s="18"/>
      <c r="X19" s="13"/>
      <c r="Y19" s="13"/>
      <c r="Z19" s="13"/>
      <c r="AA19" s="13"/>
      <c r="AB19" s="13"/>
      <c r="AC19" s="13"/>
      <c r="AD19" s="286"/>
      <c r="AE19" s="286"/>
      <c r="AF19" s="286"/>
    </row>
    <row r="20" spans="1:32" x14ac:dyDescent="0.2">
      <c r="A20" s="18"/>
      <c r="B20" s="13"/>
      <c r="C20" s="13"/>
      <c r="D20" s="13"/>
      <c r="E20" s="13"/>
      <c r="F20" s="13"/>
      <c r="G20" s="13"/>
      <c r="L20" s="18"/>
      <c r="M20" s="13"/>
      <c r="N20" s="13"/>
      <c r="O20" s="13"/>
      <c r="P20" s="13"/>
      <c r="Q20" s="13"/>
      <c r="R20" s="13"/>
      <c r="S20" s="286"/>
      <c r="T20" s="286"/>
      <c r="U20" s="286"/>
      <c r="W20" s="18"/>
      <c r="X20" s="13"/>
      <c r="Y20" s="13"/>
      <c r="Z20" s="13"/>
      <c r="AA20" s="13"/>
      <c r="AB20" s="13"/>
      <c r="AC20" s="13"/>
      <c r="AD20" s="286"/>
      <c r="AE20" s="286"/>
      <c r="AF20" s="286"/>
    </row>
    <row r="21" spans="1:32" x14ac:dyDescent="0.2">
      <c r="A21" s="18"/>
      <c r="B21" s="13"/>
      <c r="C21" s="13"/>
      <c r="D21" s="13"/>
      <c r="E21" s="13"/>
      <c r="F21" s="19" t="s">
        <v>34</v>
      </c>
      <c r="G21" s="13"/>
      <c r="J21" s="19" t="s">
        <v>34</v>
      </c>
      <c r="L21" s="18"/>
      <c r="M21" s="13"/>
      <c r="N21" s="13"/>
      <c r="O21" s="13"/>
      <c r="P21" s="13"/>
      <c r="Q21" s="19" t="s">
        <v>34</v>
      </c>
      <c r="R21" s="13"/>
      <c r="S21" s="286"/>
      <c r="T21" s="286"/>
      <c r="U21" s="19" t="s">
        <v>34</v>
      </c>
      <c r="W21" s="18"/>
      <c r="X21" s="13"/>
      <c r="Y21" s="13"/>
      <c r="Z21" s="13"/>
      <c r="AA21" s="13"/>
      <c r="AB21" s="19" t="s">
        <v>34</v>
      </c>
      <c r="AC21" s="13"/>
      <c r="AD21" s="286"/>
      <c r="AE21" s="286"/>
      <c r="AF21" s="19" t="s">
        <v>34</v>
      </c>
    </row>
    <row r="22" spans="1:32" x14ac:dyDescent="0.2">
      <c r="A22" s="79"/>
      <c r="B22" s="80"/>
      <c r="C22" s="80"/>
      <c r="D22" s="80"/>
      <c r="E22" s="80"/>
      <c r="F22" s="80"/>
      <c r="G22" s="13"/>
      <c r="H22" s="32" t="str">
        <f>H4</f>
        <v>2017-2027</v>
      </c>
      <c r="I22" s="41"/>
      <c r="J22" s="41"/>
      <c r="L22" s="79"/>
      <c r="M22" s="80"/>
      <c r="N22" s="80"/>
      <c r="O22" s="80"/>
      <c r="P22" s="80"/>
      <c r="Q22" s="80"/>
      <c r="R22" s="13"/>
      <c r="S22" s="32" t="str">
        <f>S4</f>
        <v>2017-2027</v>
      </c>
      <c r="T22" s="41"/>
      <c r="U22" s="41"/>
      <c r="W22" s="79"/>
      <c r="X22" s="80"/>
      <c r="Y22" s="80"/>
      <c r="Z22" s="80"/>
      <c r="AA22" s="80"/>
      <c r="AB22" s="80"/>
      <c r="AC22" s="13"/>
      <c r="AD22" s="32" t="str">
        <f>AD4</f>
        <v>2017-2027</v>
      </c>
      <c r="AE22" s="41"/>
      <c r="AF22" s="41"/>
    </row>
    <row r="23" spans="1:32" x14ac:dyDescent="0.2">
      <c r="A23" s="44"/>
      <c r="B23" s="47"/>
      <c r="C23" s="47"/>
      <c r="D23" s="47"/>
      <c r="E23" s="47"/>
      <c r="F23" s="47"/>
      <c r="G23" s="13"/>
      <c r="H23" s="2" t="str">
        <f>H5</f>
        <v>Net</v>
      </c>
      <c r="I23" s="2" t="str">
        <f>I5</f>
        <v>Replacement</v>
      </c>
      <c r="J23" s="2" t="str">
        <f>J5</f>
        <v>Total</v>
      </c>
      <c r="L23" s="44"/>
      <c r="M23" s="47"/>
      <c r="N23" s="47"/>
      <c r="O23" s="47"/>
      <c r="P23" s="47"/>
      <c r="Q23" s="47"/>
      <c r="R23" s="13"/>
      <c r="S23" s="2" t="str">
        <f>S5</f>
        <v>Net</v>
      </c>
      <c r="T23" s="2" t="str">
        <f>T5</f>
        <v>Replacement</v>
      </c>
      <c r="U23" s="2" t="str">
        <f>U5</f>
        <v>Total</v>
      </c>
      <c r="W23" s="44"/>
      <c r="X23" s="47"/>
      <c r="Y23" s="47"/>
      <c r="Z23" s="47"/>
      <c r="AA23" s="47"/>
      <c r="AB23" s="47"/>
      <c r="AC23" s="13"/>
      <c r="AD23" s="2" t="str">
        <f>AD5</f>
        <v>Net</v>
      </c>
      <c r="AE23" s="2" t="str">
        <f>AE5</f>
        <v>Replacement</v>
      </c>
      <c r="AF23" s="2" t="str">
        <f>AF5</f>
        <v>Total</v>
      </c>
    </row>
    <row r="24" spans="1:32" x14ac:dyDescent="0.2">
      <c r="A24" s="78" t="s">
        <v>511</v>
      </c>
      <c r="B24" s="40">
        <f>B$6</f>
        <v>2007</v>
      </c>
      <c r="C24" s="40">
        <f>C$6</f>
        <v>2012</v>
      </c>
      <c r="D24" s="40">
        <f>D$6</f>
        <v>2017</v>
      </c>
      <c r="E24" s="40">
        <f>E$6</f>
        <v>2022</v>
      </c>
      <c r="F24" s="40">
        <f>F$6</f>
        <v>2027</v>
      </c>
      <c r="G24" s="13"/>
      <c r="H24" s="37" t="str">
        <f>H6</f>
        <v>Change</v>
      </c>
      <c r="I24" s="37" t="str">
        <f>I6</f>
        <v>Demand</v>
      </c>
      <c r="J24" s="37" t="str">
        <f>J6</f>
        <v>Requirement</v>
      </c>
      <c r="L24" s="78" t="s">
        <v>511</v>
      </c>
      <c r="M24" s="40">
        <f>M$6</f>
        <v>2007</v>
      </c>
      <c r="N24" s="40">
        <f>N$6</f>
        <v>2012</v>
      </c>
      <c r="O24" s="40">
        <f>O$6</f>
        <v>2017</v>
      </c>
      <c r="P24" s="40">
        <f>P$6</f>
        <v>2022</v>
      </c>
      <c r="Q24" s="40">
        <f>Q$6</f>
        <v>2027</v>
      </c>
      <c r="R24" s="13"/>
      <c r="S24" s="37" t="str">
        <f>S6</f>
        <v>Change</v>
      </c>
      <c r="T24" s="37" t="str">
        <f>T6</f>
        <v>Demand</v>
      </c>
      <c r="U24" s="37" t="str">
        <f>U6</f>
        <v>Requirement</v>
      </c>
      <c r="W24" s="78" t="s">
        <v>511</v>
      </c>
      <c r="X24" s="40">
        <f>X$6</f>
        <v>2007</v>
      </c>
      <c r="Y24" s="40">
        <f>Y$6</f>
        <v>2012</v>
      </c>
      <c r="Z24" s="40">
        <f>Z$6</f>
        <v>2017</v>
      </c>
      <c r="AA24" s="40">
        <f>AA$6</f>
        <v>2022</v>
      </c>
      <c r="AB24" s="40">
        <f>AB$6</f>
        <v>2027</v>
      </c>
      <c r="AC24" s="13"/>
      <c r="AD24" s="37" t="str">
        <f>AD6</f>
        <v>Change</v>
      </c>
      <c r="AE24" s="37" t="str">
        <f>AE6</f>
        <v>Demand</v>
      </c>
      <c r="AF24" s="37" t="str">
        <f>AF6</f>
        <v>Requirement</v>
      </c>
    </row>
    <row r="25" spans="1:32" x14ac:dyDescent="0.2">
      <c r="A25" s="21"/>
      <c r="B25" s="20"/>
      <c r="C25" s="20"/>
      <c r="D25" s="20"/>
      <c r="E25" s="20"/>
      <c r="F25" s="20"/>
      <c r="G25" s="13"/>
      <c r="L25" s="21"/>
      <c r="M25" s="20"/>
      <c r="N25" s="20"/>
      <c r="O25" s="20"/>
      <c r="P25" s="20"/>
      <c r="Q25" s="20"/>
      <c r="R25" s="13"/>
      <c r="S25" s="286"/>
      <c r="T25" s="286"/>
      <c r="U25" s="286"/>
      <c r="W25" s="21"/>
      <c r="X25" s="20"/>
      <c r="Y25" s="20"/>
      <c r="Z25" s="20"/>
      <c r="AA25" s="20"/>
      <c r="AB25" s="20"/>
      <c r="AC25" s="13"/>
      <c r="AD25" s="286"/>
      <c r="AE25" s="286"/>
      <c r="AF25" s="286"/>
    </row>
    <row r="26" spans="1:32" x14ac:dyDescent="0.2">
      <c r="A26" s="18" t="str">
        <f>$A$8</f>
        <v>Managers, directors and senior officials</v>
      </c>
      <c r="B26" s="22">
        <f t="shared" ref="B26:F34" si="8">B8/B$18*100</f>
        <v>6.8394781892949421</v>
      </c>
      <c r="C26" s="22">
        <f t="shared" si="8"/>
        <v>7.5167584198945328</v>
      </c>
      <c r="D26" s="22">
        <f t="shared" si="8"/>
        <v>7.9352133954751771</v>
      </c>
      <c r="E26" s="22">
        <f t="shared" si="8"/>
        <v>8.3749270979679817</v>
      </c>
      <c r="F26" s="22">
        <f t="shared" si="8"/>
        <v>8.7127777135920645</v>
      </c>
      <c r="G26" s="13"/>
      <c r="H26" s="49">
        <f>IF(D8&gt;0,(H8/D8)*100,0)</f>
        <v>12.627786716851826</v>
      </c>
      <c r="I26" s="49">
        <f>IF(D8&gt;0,(I8/D8)*100,0)</f>
        <v>38.737286265701684</v>
      </c>
      <c r="J26" s="49">
        <f>IF(D8&gt;0,(J8/D8)*100,0)</f>
        <v>51.365072982553507</v>
      </c>
      <c r="L26" s="18" t="str">
        <f>$A$8</f>
        <v>Managers, directors and senior officials</v>
      </c>
      <c r="M26" s="22">
        <f t="shared" ref="M26:Q26" si="9">M8/M$18*100</f>
        <v>9.2842589401302611</v>
      </c>
      <c r="N26" s="22">
        <f t="shared" si="9"/>
        <v>10.067570172940677</v>
      </c>
      <c r="O26" s="22">
        <f t="shared" si="9"/>
        <v>9.971952113979242</v>
      </c>
      <c r="P26" s="22">
        <f t="shared" si="9"/>
        <v>10.342454989778178</v>
      </c>
      <c r="Q26" s="22">
        <f t="shared" si="9"/>
        <v>10.597925625759185</v>
      </c>
      <c r="R26" s="13"/>
      <c r="S26" s="49">
        <f>IF(O8&gt;0,(S8/O8)*100,0)</f>
        <v>6.5447204979688482</v>
      </c>
      <c r="T26" s="49">
        <f>IF(O8&gt;0,(T8/O8)*100,0)</f>
        <v>33.859484615358504</v>
      </c>
      <c r="U26" s="49">
        <f>IF(O8&gt;0,(U8/O8)*100,0)</f>
        <v>40.40420511332735</v>
      </c>
      <c r="W26" s="18" t="str">
        <f>$A$8</f>
        <v>Managers, directors and senior officials</v>
      </c>
      <c r="X26" s="22">
        <f t="shared" ref="X26:AB26" si="10">X8/X$18*100</f>
        <v>4.145902532340676</v>
      </c>
      <c r="Y26" s="22">
        <f t="shared" si="10"/>
        <v>4.7495324311572569</v>
      </c>
      <c r="Z26" s="22">
        <f t="shared" si="10"/>
        <v>5.8628786082444009</v>
      </c>
      <c r="AA26" s="22">
        <f t="shared" si="10"/>
        <v>6.4186381190643713</v>
      </c>
      <c r="AB26" s="22">
        <f t="shared" si="10"/>
        <v>6.8804107968112422</v>
      </c>
      <c r="AC26" s="13"/>
      <c r="AD26" s="49">
        <f>IF(Z8&gt;0,(AD8/Z8)*100,0)</f>
        <v>23.155072775370929</v>
      </c>
      <c r="AE26" s="49">
        <f>IF(Z8&gt;0,(AE8/Z8)*100,0)</f>
        <v>47.178755002384925</v>
      </c>
      <c r="AF26" s="49">
        <f>IF(Z8&gt;0,(AF8/Z8)*100,0)</f>
        <v>70.333827777755857</v>
      </c>
    </row>
    <row r="27" spans="1:32" x14ac:dyDescent="0.2">
      <c r="A27" s="18" t="str">
        <f>$A$9</f>
        <v>Professional occupations</v>
      </c>
      <c r="B27" s="22">
        <f t="shared" si="8"/>
        <v>15.691037118501319</v>
      </c>
      <c r="C27" s="22">
        <f t="shared" si="8"/>
        <v>17.53601572259635</v>
      </c>
      <c r="D27" s="22">
        <f t="shared" si="8"/>
        <v>18.756689033742806</v>
      </c>
      <c r="E27" s="22">
        <f t="shared" si="8"/>
        <v>19.683328656937601</v>
      </c>
      <c r="F27" s="22">
        <f t="shared" si="8"/>
        <v>20.696579014906742</v>
      </c>
      <c r="G27" s="13"/>
      <c r="H27" s="49">
        <f>IF(D9&gt;0,(H9/D9)*100,0)</f>
        <v>13.185270606900007</v>
      </c>
      <c r="I27" s="49">
        <f t="shared" ref="I27:I36" si="11">IF(D9&gt;0,(I9/D9)*100,0)</f>
        <v>34.975811081390376</v>
      </c>
      <c r="J27" s="49">
        <f t="shared" ref="J27:J36" si="12">IF(D9&gt;0,(J9/D9)*100,0)</f>
        <v>48.161081688290388</v>
      </c>
      <c r="L27" s="18" t="str">
        <f>$A$9</f>
        <v>Professional occupations</v>
      </c>
      <c r="M27" s="22">
        <f t="shared" ref="M27:Q27" si="13">M9/M$18*100</f>
        <v>13.650976045728861</v>
      </c>
      <c r="N27" s="22">
        <f t="shared" si="13"/>
        <v>15.182043211740201</v>
      </c>
      <c r="O27" s="22">
        <f t="shared" si="13"/>
        <v>15.695054681378453</v>
      </c>
      <c r="P27" s="22">
        <f t="shared" si="13"/>
        <v>15.98643606082949</v>
      </c>
      <c r="Q27" s="22">
        <f t="shared" si="13"/>
        <v>16.385454407631865</v>
      </c>
      <c r="R27" s="13"/>
      <c r="S27" s="49">
        <f t="shared" ref="S27:S34" si="14">IF(O9&gt;0,(S9/O9)*100,0)</f>
        <v>4.6614887772296392</v>
      </c>
      <c r="T27" s="49">
        <f t="shared" ref="T27:T34" si="15">IF(O9&gt;0,(T9/O9)*100,0)</f>
        <v>26.277047170643659</v>
      </c>
      <c r="U27" s="49">
        <f t="shared" ref="U27:U34" si="16">IF(O9&gt;0,(U9/O9)*100,0)</f>
        <v>30.938535947873298</v>
      </c>
      <c r="W27" s="18" t="str">
        <f>$A$9</f>
        <v>Professional occupations</v>
      </c>
      <c r="X27" s="22">
        <f t="shared" ref="X27:AB27" si="17">X9/X$18*100</f>
        <v>17.938706502531922</v>
      </c>
      <c r="Y27" s="22">
        <f t="shared" si="17"/>
        <v>20.08970236804775</v>
      </c>
      <c r="Z27" s="22">
        <f t="shared" si="17"/>
        <v>21.871831548854146</v>
      </c>
      <c r="AA27" s="22">
        <f t="shared" si="17"/>
        <v>23.35910386300224</v>
      </c>
      <c r="AB27" s="22">
        <f t="shared" si="17"/>
        <v>24.886999328084801</v>
      </c>
      <c r="AC27" s="13"/>
      <c r="AD27" s="49">
        <f t="shared" ref="AD27:AD34" si="18">IF(Z9&gt;0,(AD9/Z9)*100,0)</f>
        <v>19.408769316183548</v>
      </c>
      <c r="AE27" s="49">
        <f t="shared" ref="AE27:AE34" si="19">IF(Z9&gt;0,(AE9/Z9)*100,0)</f>
        <v>41.327070070968212</v>
      </c>
      <c r="AF27" s="49">
        <f t="shared" ref="AF27:AF34" si="20">IF(Z9&gt;0,(AF9/Z9)*100,0)</f>
        <v>60.735839387151756</v>
      </c>
    </row>
    <row r="28" spans="1:32" x14ac:dyDescent="0.2">
      <c r="A28" s="18" t="str">
        <f>$A$10</f>
        <v>Associate professional and technical</v>
      </c>
      <c r="B28" s="22">
        <f t="shared" si="8"/>
        <v>10.330461535667066</v>
      </c>
      <c r="C28" s="22">
        <f t="shared" si="8"/>
        <v>10.709759439446479</v>
      </c>
      <c r="D28" s="22">
        <f t="shared" si="8"/>
        <v>11.248308177091733</v>
      </c>
      <c r="E28" s="22">
        <f t="shared" si="8"/>
        <v>11.738586926285839</v>
      </c>
      <c r="F28" s="22">
        <f t="shared" si="8"/>
        <v>12.045160829002446</v>
      </c>
      <c r="G28" s="13"/>
      <c r="H28" s="49">
        <f t="shared" ref="H28:H34" si="21">IF(D10&gt;0,(H10/D10)*100,0)</f>
        <v>9.8431358009867456</v>
      </c>
      <c r="I28" s="49">
        <f t="shared" si="11"/>
        <v>32.832436003304956</v>
      </c>
      <c r="J28" s="49">
        <f t="shared" si="12"/>
        <v>42.6755718042917</v>
      </c>
      <c r="L28" s="18" t="str">
        <f>$A$10</f>
        <v>Associate professional and technical</v>
      </c>
      <c r="M28" s="22">
        <f t="shared" ref="M28:Q28" si="22">M10/M$18*100</f>
        <v>11.670200424838869</v>
      </c>
      <c r="N28" s="22">
        <f t="shared" si="22"/>
        <v>12.019980864193984</v>
      </c>
      <c r="O28" s="22">
        <f t="shared" si="22"/>
        <v>11.987143942529309</v>
      </c>
      <c r="P28" s="22">
        <f t="shared" si="22"/>
        <v>12.089892496251704</v>
      </c>
      <c r="Q28" s="22">
        <f t="shared" si="22"/>
        <v>12.104584004298426</v>
      </c>
      <c r="R28" s="13"/>
      <c r="S28" s="49">
        <f t="shared" si="14"/>
        <v>1.2337674777274072</v>
      </c>
      <c r="T28" s="49">
        <f t="shared" si="15"/>
        <v>25.876394453635989</v>
      </c>
      <c r="U28" s="49">
        <f t="shared" si="16"/>
        <v>27.11016193136339</v>
      </c>
      <c r="W28" s="18" t="str">
        <f>$A$10</f>
        <v>Associate professional and technical</v>
      </c>
      <c r="X28" s="22">
        <f t="shared" ref="X28:AB28" si="23">X10/X$18*100</f>
        <v>8.8543831358698331</v>
      </c>
      <c r="Y28" s="22">
        <f t="shared" si="23"/>
        <v>9.2883770997924753</v>
      </c>
      <c r="Z28" s="22">
        <f t="shared" si="23"/>
        <v>10.49655978400817</v>
      </c>
      <c r="AA28" s="22">
        <f t="shared" si="23"/>
        <v>11.389288084011554</v>
      </c>
      <c r="AB28" s="22">
        <f t="shared" si="23"/>
        <v>11.987401403442426</v>
      </c>
      <c r="AC28" s="13"/>
      <c r="AD28" s="49">
        <f t="shared" si="18"/>
        <v>19.846927097122137</v>
      </c>
      <c r="AE28" s="49">
        <f t="shared" si="19"/>
        <v>40.915118181292172</v>
      </c>
      <c r="AF28" s="49">
        <f t="shared" si="20"/>
        <v>60.762045278414313</v>
      </c>
    </row>
    <row r="29" spans="1:32" x14ac:dyDescent="0.2">
      <c r="A29" s="18" t="str">
        <f>$A$11</f>
        <v>Administrative and secretarial</v>
      </c>
      <c r="B29" s="22">
        <f t="shared" si="8"/>
        <v>11.910843564646896</v>
      </c>
      <c r="C29" s="22">
        <f t="shared" si="8"/>
        <v>11.382433954088897</v>
      </c>
      <c r="D29" s="22">
        <f t="shared" si="8"/>
        <v>10.500446179715532</v>
      </c>
      <c r="E29" s="22">
        <f t="shared" si="8"/>
        <v>9.6307397251710078</v>
      </c>
      <c r="F29" s="22">
        <f t="shared" si="8"/>
        <v>8.8410536385233556</v>
      </c>
      <c r="G29" s="13"/>
      <c r="H29" s="49">
        <f t="shared" si="21"/>
        <v>-13.633802685006261</v>
      </c>
      <c r="I29" s="49">
        <f t="shared" si="11"/>
        <v>31.202195806329254</v>
      </c>
      <c r="J29" s="49">
        <f t="shared" si="12"/>
        <v>17.568393121322991</v>
      </c>
      <c r="L29" s="18" t="str">
        <f>$A$11</f>
        <v>Administrative and secretarial</v>
      </c>
      <c r="M29" s="22">
        <f t="shared" ref="M29:Q29" si="24">M11/M$18*100</f>
        <v>5.485726361016412</v>
      </c>
      <c r="N29" s="22">
        <f t="shared" si="24"/>
        <v>5.6677884516447348</v>
      </c>
      <c r="O29" s="22">
        <f t="shared" si="24"/>
        <v>5.4502354251365155</v>
      </c>
      <c r="P29" s="22">
        <f t="shared" si="24"/>
        <v>5.4943054285876247</v>
      </c>
      <c r="Q29" s="22">
        <f t="shared" si="24"/>
        <v>5.6146382864016147</v>
      </c>
      <c r="R29" s="13"/>
      <c r="S29" s="49">
        <f t="shared" si="14"/>
        <v>3.2756107457406278</v>
      </c>
      <c r="T29" s="49">
        <f t="shared" si="15"/>
        <v>25.893879755337146</v>
      </c>
      <c r="U29" s="49">
        <f t="shared" si="16"/>
        <v>29.169490501077778</v>
      </c>
      <c r="W29" s="18" t="str">
        <f>$A$11</f>
        <v>Administrative and secretarial</v>
      </c>
      <c r="X29" s="22">
        <f t="shared" ref="X29:AB29" si="25">X11/X$18*100</f>
        <v>18.989817532706788</v>
      </c>
      <c r="Y29" s="22">
        <f t="shared" si="25"/>
        <v>17.581917523152512</v>
      </c>
      <c r="Z29" s="22">
        <f t="shared" si="25"/>
        <v>15.638919433294118</v>
      </c>
      <c r="AA29" s="22">
        <f t="shared" si="25"/>
        <v>13.743545881590896</v>
      </c>
      <c r="AB29" s="22">
        <f t="shared" si="25"/>
        <v>11.977134745403434</v>
      </c>
      <c r="AC29" s="13"/>
      <c r="AD29" s="49">
        <f t="shared" si="18"/>
        <v>-19.629803185980677</v>
      </c>
      <c r="AE29" s="49">
        <f t="shared" si="19"/>
        <v>33.084500348200791</v>
      </c>
      <c r="AF29" s="49">
        <f t="shared" si="20"/>
        <v>13.454697162220116</v>
      </c>
    </row>
    <row r="30" spans="1:32" x14ac:dyDescent="0.2">
      <c r="A30" s="18" t="str">
        <f>$A$12</f>
        <v>Skilled trades occupations</v>
      </c>
      <c r="B30" s="22">
        <f t="shared" si="8"/>
        <v>13.670837027595919</v>
      </c>
      <c r="C30" s="22">
        <f t="shared" si="8"/>
        <v>12.786833166899875</v>
      </c>
      <c r="D30" s="22">
        <f t="shared" si="8"/>
        <v>13.378563705750279</v>
      </c>
      <c r="E30" s="22">
        <f t="shared" si="8"/>
        <v>12.786350609558733</v>
      </c>
      <c r="F30" s="22">
        <f t="shared" si="8"/>
        <v>12.132842200408238</v>
      </c>
      <c r="G30" s="13"/>
      <c r="H30" s="49">
        <f t="shared" si="21"/>
        <v>-6.974806045278731</v>
      </c>
      <c r="I30" s="49">
        <f t="shared" si="11"/>
        <v>27.794588935784368</v>
      </c>
      <c r="J30" s="49">
        <f t="shared" si="12"/>
        <v>20.819782890505643</v>
      </c>
      <c r="L30" s="18" t="str">
        <f>$A$12</f>
        <v>Skilled trades occupations</v>
      </c>
      <c r="M30" s="22">
        <f t="shared" ref="M30:Q30" si="26">M12/M$18*100</f>
        <v>23.397096385926698</v>
      </c>
      <c r="N30" s="22">
        <f t="shared" si="26"/>
        <v>21.92214497917093</v>
      </c>
      <c r="O30" s="22">
        <f t="shared" si="26"/>
        <v>23.236380326530671</v>
      </c>
      <c r="P30" s="22">
        <f t="shared" si="26"/>
        <v>22.331613654291928</v>
      </c>
      <c r="Q30" s="22">
        <f t="shared" si="26"/>
        <v>21.359165563365675</v>
      </c>
      <c r="R30" s="13"/>
      <c r="S30" s="49">
        <f t="shared" si="14"/>
        <v>-7.8475136715907281</v>
      </c>
      <c r="T30" s="49">
        <f t="shared" si="15"/>
        <v>25.996105488865535</v>
      </c>
      <c r="U30" s="49">
        <f t="shared" si="16"/>
        <v>18.148591817274806</v>
      </c>
      <c r="W30" s="18" t="str">
        <f>$A$12</f>
        <v>Skilled trades occupations</v>
      </c>
      <c r="X30" s="22">
        <f t="shared" ref="X30:AB30" si="27">X12/X$18*100</f>
        <v>2.9547777523941403</v>
      </c>
      <c r="Y30" s="22">
        <f t="shared" si="27"/>
        <v>2.8764694436864757</v>
      </c>
      <c r="Z30" s="22">
        <f t="shared" si="27"/>
        <v>3.348462090954444</v>
      </c>
      <c r="AA30" s="22">
        <f t="shared" si="27"/>
        <v>3.2956120167924445</v>
      </c>
      <c r="AB30" s="22">
        <f t="shared" si="27"/>
        <v>3.1648404936505137</v>
      </c>
      <c r="AC30" s="13"/>
      <c r="AD30" s="49">
        <f t="shared" si="18"/>
        <v>-0.81288032416017497</v>
      </c>
      <c r="AE30" s="49">
        <f t="shared" si="19"/>
        <v>40.493138915698346</v>
      </c>
      <c r="AF30" s="49">
        <f t="shared" si="20"/>
        <v>39.68025859153817</v>
      </c>
    </row>
    <row r="31" spans="1:32" x14ac:dyDescent="0.2">
      <c r="A31" s="18" t="str">
        <f>$A$13</f>
        <v>Caring, leisure and other service</v>
      </c>
      <c r="B31" s="22">
        <f t="shared" si="8"/>
        <v>8.9533062332799762</v>
      </c>
      <c r="C31" s="22">
        <f t="shared" si="8"/>
        <v>10.090633519304754</v>
      </c>
      <c r="D31" s="22">
        <f t="shared" si="8"/>
        <v>10.989708900602709</v>
      </c>
      <c r="E31" s="22">
        <f t="shared" si="8"/>
        <v>11.467929328473243</v>
      </c>
      <c r="F31" s="22">
        <f t="shared" si="8"/>
        <v>12.031513024688303</v>
      </c>
      <c r="G31" s="13"/>
      <c r="H31" s="49">
        <f t="shared" si="21"/>
        <v>12.300472280075102</v>
      </c>
      <c r="I31" s="49">
        <f t="shared" si="11"/>
        <v>38.668653446419199</v>
      </c>
      <c r="J31" s="49">
        <f t="shared" si="12"/>
        <v>50.969125726494305</v>
      </c>
      <c r="L31" s="18" t="str">
        <f>$A$13</f>
        <v>Caring, leisure and other service</v>
      </c>
      <c r="M31" s="22">
        <f t="shared" ref="M31:Q31" si="28">M13/M$18*100</f>
        <v>3.1428124139562366</v>
      </c>
      <c r="N31" s="22">
        <f t="shared" si="28"/>
        <v>3.4931875633010305</v>
      </c>
      <c r="O31" s="22">
        <f t="shared" si="28"/>
        <v>3.5321659703132613</v>
      </c>
      <c r="P31" s="22">
        <f t="shared" si="28"/>
        <v>3.7862660384191837</v>
      </c>
      <c r="Q31" s="22">
        <f t="shared" si="28"/>
        <v>4.0912966538511935</v>
      </c>
      <c r="R31" s="13"/>
      <c r="S31" s="49">
        <f t="shared" si="14"/>
        <v>16.121094313622748</v>
      </c>
      <c r="T31" s="49">
        <f t="shared" si="15"/>
        <v>31.723993456708289</v>
      </c>
      <c r="U31" s="49">
        <f t="shared" si="16"/>
        <v>47.845087770331034</v>
      </c>
      <c r="W31" s="18" t="str">
        <f>$A$13</f>
        <v>Caring, leisure and other service</v>
      </c>
      <c r="X31" s="22">
        <f t="shared" ref="X31:AB31" si="29">X13/X$18*100</f>
        <v>15.355109217562379</v>
      </c>
      <c r="Y31" s="22">
        <f t="shared" si="29"/>
        <v>17.247815497528425</v>
      </c>
      <c r="Z31" s="22">
        <f t="shared" si="29"/>
        <v>18.577587257948743</v>
      </c>
      <c r="AA31" s="22">
        <f t="shared" si="29"/>
        <v>19.105713421157734</v>
      </c>
      <c r="AB31" s="22">
        <f t="shared" si="29"/>
        <v>19.749416588699901</v>
      </c>
      <c r="AC31" s="13"/>
      <c r="AD31" s="49">
        <f t="shared" si="18"/>
        <v>11.561359918063781</v>
      </c>
      <c r="AE31" s="49">
        <f t="shared" si="19"/>
        <v>40.012121605083102</v>
      </c>
      <c r="AF31" s="49">
        <f t="shared" si="20"/>
        <v>51.573481523146881</v>
      </c>
    </row>
    <row r="32" spans="1:32" x14ac:dyDescent="0.2">
      <c r="A32" s="18" t="str">
        <f>$A$14</f>
        <v>Sales and customer service</v>
      </c>
      <c r="B32" s="22">
        <f t="shared" si="8"/>
        <v>9.3262139648044826</v>
      </c>
      <c r="C32" s="22">
        <f t="shared" si="8"/>
        <v>9.265947268822007</v>
      </c>
      <c r="D32" s="22">
        <f t="shared" si="8"/>
        <v>8.215006211336922</v>
      </c>
      <c r="E32" s="22">
        <f t="shared" si="8"/>
        <v>7.9955485026936541</v>
      </c>
      <c r="F32" s="22">
        <f t="shared" si="8"/>
        <v>7.7842938748545381</v>
      </c>
      <c r="H32" s="49">
        <f t="shared" si="21"/>
        <v>-2.8016588550049391</v>
      </c>
      <c r="I32" s="49">
        <f t="shared" si="11"/>
        <v>31.782920707700253</v>
      </c>
      <c r="J32" s="49">
        <f t="shared" si="12"/>
        <v>28.981261852695312</v>
      </c>
      <c r="L32" s="18" t="str">
        <f>$A$14</f>
        <v>Sales and customer service</v>
      </c>
      <c r="M32" s="22">
        <f t="shared" ref="M32:Q32" si="30">M14/M$18*100</f>
        <v>5.6202735614175072</v>
      </c>
      <c r="N32" s="22">
        <f t="shared" si="30"/>
        <v>5.5360134051455674</v>
      </c>
      <c r="O32" s="22">
        <f t="shared" si="30"/>
        <v>5.3565817895036902</v>
      </c>
      <c r="P32" s="22">
        <f t="shared" si="30"/>
        <v>5.4292882168301499</v>
      </c>
      <c r="Q32" s="22">
        <f t="shared" si="30"/>
        <v>5.3357920081579033</v>
      </c>
      <c r="R32" s="286"/>
      <c r="S32" s="49">
        <f t="shared" si="14"/>
        <v>-0.13750715385505335</v>
      </c>
      <c r="T32" s="49">
        <f t="shared" si="15"/>
        <v>22.585065340253887</v>
      </c>
      <c r="U32" s="49">
        <f t="shared" si="16"/>
        <v>22.447558186398833</v>
      </c>
      <c r="W32" s="18" t="str">
        <f>$A$14</f>
        <v>Sales and customer service</v>
      </c>
      <c r="X32" s="22">
        <f t="shared" ref="X32:AB32" si="31">X14/X$18*100</f>
        <v>13.409292111290968</v>
      </c>
      <c r="Y32" s="22">
        <f t="shared" si="31"/>
        <v>13.312333644261406</v>
      </c>
      <c r="Z32" s="22">
        <f t="shared" si="31"/>
        <v>11.123387297343744</v>
      </c>
      <c r="AA32" s="22">
        <f t="shared" si="31"/>
        <v>10.547149796443991</v>
      </c>
      <c r="AB32" s="22">
        <f t="shared" si="31"/>
        <v>10.164241775628755</v>
      </c>
      <c r="AC32" s="286"/>
      <c r="AD32" s="49">
        <f t="shared" si="18"/>
        <v>-4.1070306664841301</v>
      </c>
      <c r="AE32" s="49">
        <f t="shared" si="19"/>
        <v>36.289653983265545</v>
      </c>
      <c r="AF32" s="49">
        <f t="shared" si="20"/>
        <v>32.182623316781417</v>
      </c>
    </row>
    <row r="33" spans="1:32" x14ac:dyDescent="0.2">
      <c r="A33" s="18" t="str">
        <f>$A$15</f>
        <v>Process, plant and machine operatives</v>
      </c>
      <c r="B33" s="22">
        <f t="shared" si="8"/>
        <v>9.2963193636880668</v>
      </c>
      <c r="C33" s="22">
        <f t="shared" si="8"/>
        <v>8.5883759580661625</v>
      </c>
      <c r="D33" s="22">
        <f t="shared" si="8"/>
        <v>7.4407579661206409</v>
      </c>
      <c r="E33" s="22">
        <f t="shared" si="8"/>
        <v>6.9074254290630233</v>
      </c>
      <c r="F33" s="22">
        <f t="shared" si="8"/>
        <v>6.5631312281253411</v>
      </c>
      <c r="G33" s="13"/>
      <c r="H33" s="49">
        <f t="shared" si="21"/>
        <v>-9.5223241820506992</v>
      </c>
      <c r="I33" s="49">
        <f t="shared" si="11"/>
        <v>28.023817273404372</v>
      </c>
      <c r="J33" s="49">
        <f t="shared" si="12"/>
        <v>18.501493091353673</v>
      </c>
      <c r="L33" s="18" t="str">
        <f>$A$15</f>
        <v>Process, plant and machine operatives</v>
      </c>
      <c r="M33" s="22">
        <f t="shared" ref="M33:Q33" si="32">M15/M$18*100</f>
        <v>14.918380562489805</v>
      </c>
      <c r="N33" s="22">
        <f t="shared" si="32"/>
        <v>13.84827512295721</v>
      </c>
      <c r="O33" s="22">
        <f t="shared" si="32"/>
        <v>12.444435219453947</v>
      </c>
      <c r="P33" s="22">
        <f t="shared" si="32"/>
        <v>11.881738627570323</v>
      </c>
      <c r="Q33" s="22">
        <f t="shared" si="32"/>
        <v>11.566134064954579</v>
      </c>
      <c r="R33" s="13"/>
      <c r="S33" s="49">
        <f t="shared" si="14"/>
        <v>-6.8239528892187886</v>
      </c>
      <c r="T33" s="49">
        <f t="shared" si="15"/>
        <v>27.734635986847284</v>
      </c>
      <c r="U33" s="49">
        <f t="shared" si="16"/>
        <v>20.910683097628493</v>
      </c>
      <c r="W33" s="18" t="str">
        <f>$A$15</f>
        <v>Process, plant and machine operatives</v>
      </c>
      <c r="X33" s="22">
        <f t="shared" ref="X33:AB33" si="33">X15/X$18*100</f>
        <v>3.1021249837521636</v>
      </c>
      <c r="Y33" s="22">
        <f t="shared" si="33"/>
        <v>2.8822200060080934</v>
      </c>
      <c r="Z33" s="22">
        <f t="shared" si="33"/>
        <v>2.3496314794724595</v>
      </c>
      <c r="AA33" s="22">
        <f t="shared" si="33"/>
        <v>1.9615265026181414</v>
      </c>
      <c r="AB33" s="22">
        <f t="shared" si="33"/>
        <v>1.7002041211334442</v>
      </c>
      <c r="AC33" s="13"/>
      <c r="AD33" s="49">
        <f t="shared" si="18"/>
        <v>-24.063574312814229</v>
      </c>
      <c r="AE33" s="49">
        <f t="shared" si="19"/>
        <v>29.582185994615521</v>
      </c>
      <c r="AF33" s="49">
        <f t="shared" si="20"/>
        <v>5.5186116818012962</v>
      </c>
    </row>
    <row r="34" spans="1:32" x14ac:dyDescent="0.2">
      <c r="A34" s="18" t="str">
        <f>$A$16</f>
        <v>Elementary occupations</v>
      </c>
      <c r="B34" s="22">
        <f t="shared" si="8"/>
        <v>13.981503002521315</v>
      </c>
      <c r="C34" s="22">
        <f t="shared" si="8"/>
        <v>12.123242550880942</v>
      </c>
      <c r="D34" s="22">
        <f t="shared" si="8"/>
        <v>11.535306430164201</v>
      </c>
      <c r="E34" s="22">
        <f t="shared" si="8"/>
        <v>11.41516372384892</v>
      </c>
      <c r="F34" s="22">
        <f t="shared" si="8"/>
        <v>11.192648475898977</v>
      </c>
      <c r="G34" s="13"/>
      <c r="H34" s="49">
        <f t="shared" si="21"/>
        <v>-0.4706301679325342</v>
      </c>
      <c r="I34" s="49">
        <f t="shared" si="11"/>
        <v>31.586919639912946</v>
      </c>
      <c r="J34" s="49">
        <f t="shared" si="12"/>
        <v>31.116289471980412</v>
      </c>
      <c r="L34" s="18" t="str">
        <f>$A$16</f>
        <v>Elementary occupations</v>
      </c>
      <c r="M34" s="22">
        <f t="shared" ref="M34:Q34" si="34">M16/M$18*100</f>
        <v>12.830275304495348</v>
      </c>
      <c r="N34" s="22">
        <f t="shared" si="34"/>
        <v>12.26299622890568</v>
      </c>
      <c r="O34" s="22">
        <f t="shared" si="34"/>
        <v>12.326050531174907</v>
      </c>
      <c r="P34" s="22">
        <f t="shared" si="34"/>
        <v>12.658004487441413</v>
      </c>
      <c r="Q34" s="22">
        <f t="shared" si="34"/>
        <v>12.945009385579548</v>
      </c>
      <c r="R34" s="13"/>
      <c r="S34" s="49">
        <f t="shared" si="14"/>
        <v>5.2857698893710197</v>
      </c>
      <c r="T34" s="49">
        <f t="shared" si="15"/>
        <v>26.60973613268181</v>
      </c>
      <c r="U34" s="49">
        <f t="shared" si="16"/>
        <v>31.895506022052828</v>
      </c>
      <c r="W34" s="18" t="str">
        <f>$A$16</f>
        <v>Elementary occupations</v>
      </c>
      <c r="X34" s="22">
        <f t="shared" ref="X34:AB34" si="35">X16/X$18*100</f>
        <v>15.249886231551141</v>
      </c>
      <c r="Y34" s="22">
        <f t="shared" si="35"/>
        <v>11.971631986365603</v>
      </c>
      <c r="Z34" s="22">
        <f t="shared" si="35"/>
        <v>10.730742499879787</v>
      </c>
      <c r="AA34" s="22">
        <f t="shared" si="35"/>
        <v>10.179422315318611</v>
      </c>
      <c r="AB34" s="22">
        <f t="shared" si="35"/>
        <v>9.4893507471454921</v>
      </c>
      <c r="AC34" s="13"/>
      <c r="AD34" s="49">
        <f t="shared" si="18"/>
        <v>-7.1983784977604088</v>
      </c>
      <c r="AE34" s="49">
        <f t="shared" si="19"/>
        <v>37.403964615016839</v>
      </c>
      <c r="AF34" s="49">
        <f t="shared" si="20"/>
        <v>30.205586117256434</v>
      </c>
    </row>
    <row r="35" spans="1:32" x14ac:dyDescent="0.2">
      <c r="A35" s="18"/>
      <c r="B35" s="22"/>
      <c r="C35" s="22"/>
      <c r="D35" s="22"/>
      <c r="E35" s="22"/>
      <c r="F35" s="22"/>
      <c r="G35" s="13"/>
      <c r="H35" s="49"/>
      <c r="I35" s="49"/>
      <c r="J35" s="49"/>
      <c r="L35" s="18"/>
      <c r="M35" s="22"/>
      <c r="N35" s="22"/>
      <c r="O35" s="22"/>
      <c r="P35" s="22"/>
      <c r="Q35" s="22"/>
      <c r="R35" s="13"/>
      <c r="S35" s="49"/>
      <c r="T35" s="49"/>
      <c r="U35" s="49"/>
      <c r="W35" s="18"/>
      <c r="X35" s="22"/>
      <c r="Y35" s="22"/>
      <c r="Z35" s="22"/>
      <c r="AA35" s="22"/>
      <c r="AB35" s="22"/>
      <c r="AC35" s="13"/>
      <c r="AD35" s="49"/>
      <c r="AE35" s="49"/>
      <c r="AF35" s="49"/>
    </row>
    <row r="36" spans="1:32" x14ac:dyDescent="0.2">
      <c r="A36" s="28" t="str">
        <f>$A$18</f>
        <v>All occupations</v>
      </c>
      <c r="B36" s="30">
        <f>B18/B$18*100</f>
        <v>100</v>
      </c>
      <c r="C36" s="30">
        <f>C18/C$18*100</f>
        <v>100</v>
      </c>
      <c r="D36" s="30">
        <f>D18/D$18*100</f>
        <v>100</v>
      </c>
      <c r="E36" s="30">
        <f>E18/E$18*100</f>
        <v>100</v>
      </c>
      <c r="F36" s="30">
        <f>F18/F$18*100</f>
        <v>100</v>
      </c>
      <c r="G36" s="13"/>
      <c r="H36" s="52">
        <f>IF(D18&gt;0,(H18/D18)*100,0)</f>
        <v>2.5764172158390659</v>
      </c>
      <c r="I36" s="52">
        <f t="shared" si="11"/>
        <v>32.911544347443652</v>
      </c>
      <c r="J36" s="52">
        <f t="shared" si="12"/>
        <v>35.48796156328271</v>
      </c>
      <c r="L36" s="28" t="str">
        <f>$A$18</f>
        <v>All occupations</v>
      </c>
      <c r="M36" s="30">
        <f>M18/M$18*100</f>
        <v>100</v>
      </c>
      <c r="N36" s="30">
        <f>N18/N$18*100</f>
        <v>100</v>
      </c>
      <c r="O36" s="30">
        <f>O18/O$18*100</f>
        <v>100</v>
      </c>
      <c r="P36" s="30">
        <f>P18/P$18*100</f>
        <v>100</v>
      </c>
      <c r="Q36" s="30">
        <f>Q18/Q$18*100</f>
        <v>100</v>
      </c>
      <c r="R36" s="13"/>
      <c r="S36" s="52">
        <f t="shared" ref="S36" si="36">IF(O18&gt;0,(S18/O18)*100,0)</f>
        <v>0.25158585946750422</v>
      </c>
      <c r="T36" s="52">
        <f t="shared" ref="T36" si="37">IF(O18&gt;0,(T18/O18)*100,0)</f>
        <v>27.116000442235453</v>
      </c>
      <c r="U36" s="52">
        <f t="shared" ref="U36" si="38">IF(O18&gt;0,(U18/O18)*100,0)</f>
        <v>27.367586301702961</v>
      </c>
      <c r="W36" s="28" t="str">
        <f>$A$18</f>
        <v>All occupations</v>
      </c>
      <c r="X36" s="30">
        <f>X18/X$18*100</f>
        <v>100</v>
      </c>
      <c r="Y36" s="30">
        <f>Y18/Y$18*100</f>
        <v>100</v>
      </c>
      <c r="Z36" s="30">
        <f>Z18/Z$18*100</f>
        <v>100</v>
      </c>
      <c r="AA36" s="30">
        <f>AA18/AA$18*100</f>
        <v>100</v>
      </c>
      <c r="AB36" s="30">
        <f>AB18/AB$18*100</f>
        <v>100</v>
      </c>
      <c r="AC36" s="13"/>
      <c r="AD36" s="52">
        <f t="shared" ref="AD36" si="39">IF(Z18&gt;0,(AD18/Z18)*100,0)</f>
        <v>4.9418796340094788</v>
      </c>
      <c r="AE36" s="52">
        <f t="shared" ref="AE36" si="40">IF(Z18&gt;0,(AE18/Z18)*100,0)</f>
        <v>38.808376934054202</v>
      </c>
      <c r="AF36" s="52">
        <f t="shared" ref="AF36" si="41">IF(Z18&gt;0,(AF18/Z18)*100,0)</f>
        <v>43.750256568063683</v>
      </c>
    </row>
    <row r="37" spans="1:32" x14ac:dyDescent="0.2">
      <c r="A37" s="18"/>
      <c r="B37" s="22"/>
      <c r="C37" s="22"/>
      <c r="D37" s="22"/>
      <c r="E37" s="22"/>
      <c r="F37" s="22"/>
      <c r="G37" s="13"/>
      <c r="L37" s="18"/>
      <c r="M37" s="22"/>
      <c r="N37" s="22"/>
      <c r="O37" s="22"/>
      <c r="P37" s="22"/>
      <c r="Q37" s="22"/>
      <c r="R37" s="13"/>
      <c r="S37" s="286"/>
      <c r="T37" s="286"/>
      <c r="U37" s="286"/>
      <c r="W37" s="18"/>
      <c r="X37" s="22"/>
      <c r="Y37" s="22"/>
      <c r="Z37" s="22"/>
      <c r="AA37" s="22"/>
      <c r="AB37" s="22"/>
      <c r="AC37" s="13"/>
      <c r="AD37" s="286"/>
      <c r="AE37" s="286"/>
      <c r="AF37" s="286"/>
    </row>
    <row r="38" spans="1:32" x14ac:dyDescent="0.2">
      <c r="A38" s="18"/>
      <c r="B38" s="22"/>
      <c r="C38" s="22"/>
      <c r="D38" s="22"/>
      <c r="E38" s="22"/>
      <c r="F38" s="22"/>
      <c r="G38" s="13"/>
      <c r="L38" s="18"/>
      <c r="M38" s="22"/>
      <c r="N38" s="22"/>
      <c r="O38" s="22"/>
      <c r="P38" s="22"/>
      <c r="Q38" s="22"/>
      <c r="R38" s="13"/>
      <c r="S38" s="286"/>
      <c r="T38" s="286"/>
      <c r="U38" s="286"/>
      <c r="W38" s="18"/>
      <c r="X38" s="22"/>
      <c r="Y38" s="22"/>
      <c r="Z38" s="22"/>
      <c r="AA38" s="22"/>
      <c r="AB38" s="22"/>
      <c r="AC38" s="13"/>
      <c r="AD38" s="286"/>
      <c r="AE38" s="286"/>
      <c r="AF38" s="286"/>
    </row>
    <row r="39" spans="1:32" ht="15.75" x14ac:dyDescent="0.25">
      <c r="A39" s="23" t="str">
        <f>CONCATENATE(A$1," (Continued)")</f>
        <v>Occupation Table 1  Employment Change by Occupation Group (SOC 2010) and Replacement Demand, 2007-2027 (Continued)</v>
      </c>
      <c r="B39" s="22"/>
      <c r="C39" s="22"/>
      <c r="D39" s="22"/>
      <c r="E39" s="22"/>
      <c r="F39" s="22"/>
      <c r="G39" s="13"/>
      <c r="L39" s="23" t="str">
        <f>CONCATENATE(L$1," (Continued)")</f>
        <v>Occupation Table 1.1  Males: Employment Change by Occupation Group (SOC 2010) and Replacement Demand, 2007-2027 (Continued)</v>
      </c>
      <c r="M39" s="22"/>
      <c r="N39" s="22"/>
      <c r="O39" s="22"/>
      <c r="P39" s="22"/>
      <c r="Q39" s="22"/>
      <c r="R39" s="13"/>
      <c r="S39" s="286"/>
      <c r="T39" s="286"/>
      <c r="U39" s="286"/>
      <c r="W39" s="23" t="str">
        <f>CONCATENATE(W$1," (Continued)")</f>
        <v>Occupation Table 1.2  Females: Employment Change by Occupation Group (SOC 2010) and Replacement Demand, 2007-2027 (Continued)</v>
      </c>
      <c r="X39" s="22"/>
      <c r="Y39" s="22"/>
      <c r="Z39" s="22"/>
      <c r="AA39" s="22"/>
      <c r="AB39" s="22"/>
      <c r="AC39" s="13"/>
      <c r="AD39" s="286"/>
      <c r="AE39" s="286"/>
      <c r="AF39" s="286"/>
    </row>
    <row r="40" spans="1:32" x14ac:dyDescent="0.2">
      <c r="A40" s="18"/>
      <c r="B40" s="22"/>
      <c r="C40" s="22"/>
      <c r="D40" s="22"/>
      <c r="E40" s="22"/>
      <c r="F40" s="22"/>
      <c r="G40" s="13"/>
      <c r="L40" s="18"/>
      <c r="M40" s="22"/>
      <c r="N40" s="22"/>
      <c r="O40" s="22"/>
      <c r="P40" s="22"/>
      <c r="Q40" s="22"/>
      <c r="R40" s="13"/>
      <c r="S40" s="286"/>
      <c r="T40" s="286"/>
      <c r="U40" s="286"/>
      <c r="W40" s="18"/>
      <c r="X40" s="22"/>
      <c r="Y40" s="22"/>
      <c r="Z40" s="22"/>
      <c r="AA40" s="22"/>
      <c r="AB40" s="22"/>
      <c r="AC40" s="13"/>
      <c r="AD40" s="286"/>
      <c r="AE40" s="286"/>
      <c r="AF40" s="286"/>
    </row>
    <row r="41" spans="1:32" x14ac:dyDescent="0.2">
      <c r="A41" s="18"/>
      <c r="B41" s="22"/>
      <c r="C41" s="22"/>
      <c r="D41" s="22"/>
      <c r="E41" s="22"/>
      <c r="F41" s="19" t="s">
        <v>36</v>
      </c>
      <c r="G41" s="13"/>
      <c r="J41" s="19" t="s">
        <v>36</v>
      </c>
      <c r="L41" s="18"/>
      <c r="M41" s="22"/>
      <c r="N41" s="22"/>
      <c r="O41" s="22"/>
      <c r="P41" s="22"/>
      <c r="Q41" s="19" t="s">
        <v>36</v>
      </c>
      <c r="R41" s="13"/>
      <c r="S41" s="286"/>
      <c r="T41" s="286"/>
      <c r="U41" s="19" t="s">
        <v>36</v>
      </c>
      <c r="W41" s="18"/>
      <c r="X41" s="22"/>
      <c r="Y41" s="22"/>
      <c r="Z41" s="22"/>
      <c r="AA41" s="22"/>
      <c r="AB41" s="19" t="s">
        <v>36</v>
      </c>
      <c r="AC41" s="13"/>
      <c r="AD41" s="286"/>
      <c r="AE41" s="286"/>
      <c r="AF41" s="19" t="s">
        <v>36</v>
      </c>
    </row>
    <row r="42" spans="1:32" x14ac:dyDescent="0.2">
      <c r="A42" s="79"/>
      <c r="B42" s="81"/>
      <c r="C42" s="81"/>
      <c r="D42" s="81"/>
      <c r="E42" s="81"/>
      <c r="F42" s="81"/>
      <c r="G42" s="13"/>
      <c r="H42" s="32" t="str">
        <f>H4</f>
        <v>2017-2027</v>
      </c>
      <c r="I42" s="41"/>
      <c r="J42" s="41"/>
      <c r="L42" s="79"/>
      <c r="M42" s="81"/>
      <c r="N42" s="81"/>
      <c r="O42" s="81"/>
      <c r="P42" s="81"/>
      <c r="Q42" s="81"/>
      <c r="R42" s="13"/>
      <c r="S42" s="32" t="str">
        <f>S4</f>
        <v>2017-2027</v>
      </c>
      <c r="T42" s="41"/>
      <c r="U42" s="41"/>
      <c r="W42" s="79"/>
      <c r="X42" s="81"/>
      <c r="Y42" s="81"/>
      <c r="Z42" s="81"/>
      <c r="AA42" s="81"/>
      <c r="AB42" s="81"/>
      <c r="AC42" s="13"/>
      <c r="AD42" s="32" t="str">
        <f>AD4</f>
        <v>2017-2027</v>
      </c>
      <c r="AE42" s="41"/>
      <c r="AF42" s="41"/>
    </row>
    <row r="43" spans="1:32" x14ac:dyDescent="0.2">
      <c r="A43" s="2"/>
      <c r="B43" s="2"/>
      <c r="C43" s="2"/>
      <c r="D43" s="2"/>
      <c r="E43" s="2"/>
      <c r="F43" s="2"/>
      <c r="H43" s="2" t="str">
        <f>H5</f>
        <v>Net</v>
      </c>
      <c r="I43" s="2" t="str">
        <f>I5</f>
        <v>Replacement</v>
      </c>
      <c r="J43" s="2" t="str">
        <f>J5</f>
        <v>Total</v>
      </c>
      <c r="L43" s="2"/>
      <c r="M43" s="2"/>
      <c r="N43" s="2"/>
      <c r="O43" s="2"/>
      <c r="P43" s="2"/>
      <c r="Q43" s="2"/>
      <c r="R43" s="286"/>
      <c r="S43" s="2" t="str">
        <f>S5</f>
        <v>Net</v>
      </c>
      <c r="T43" s="2" t="str">
        <f>T5</f>
        <v>Replacement</v>
      </c>
      <c r="U43" s="2" t="str">
        <f>U5</f>
        <v>Total</v>
      </c>
      <c r="W43" s="2"/>
      <c r="X43" s="2"/>
      <c r="Y43" s="2"/>
      <c r="Z43" s="2"/>
      <c r="AA43" s="2"/>
      <c r="AB43" s="2"/>
      <c r="AC43" s="286"/>
      <c r="AD43" s="2" t="str">
        <f>AD5</f>
        <v>Net</v>
      </c>
      <c r="AE43" s="2" t="str">
        <f>AE5</f>
        <v>Replacement</v>
      </c>
      <c r="AF43" s="2" t="str">
        <f>AF5</f>
        <v>Total</v>
      </c>
    </row>
    <row r="44" spans="1:32" x14ac:dyDescent="0.2">
      <c r="A44" s="50" t="s">
        <v>14</v>
      </c>
      <c r="B44" s="76" t="str">
        <f>CONCATENATE(B$6,"-",C$6)</f>
        <v>2007-2012</v>
      </c>
      <c r="C44" s="76" t="str">
        <f>CONCATENATE(C$6,"-",D$6)</f>
        <v>2012-2017</v>
      </c>
      <c r="D44" s="76" t="str">
        <f>CONCATENATE(D$6,"-",E$6)</f>
        <v>2017-2022</v>
      </c>
      <c r="E44" s="76" t="str">
        <f>CONCATENATE(E$6,"-",F$6)</f>
        <v>2022-2027</v>
      </c>
      <c r="F44" s="76" t="str">
        <f>CONCATENATE(D$6,"-",F$6)</f>
        <v>2017-2027</v>
      </c>
      <c r="H44" s="37" t="str">
        <f>H6</f>
        <v>Change</v>
      </c>
      <c r="I44" s="37" t="str">
        <f>I6</f>
        <v>Demand</v>
      </c>
      <c r="J44" s="37" t="str">
        <f>J6</f>
        <v>Requirement</v>
      </c>
      <c r="L44" s="50" t="s">
        <v>14</v>
      </c>
      <c r="M44" s="76" t="str">
        <f>CONCATENATE(M$6,"-",N$6)</f>
        <v>2007-2012</v>
      </c>
      <c r="N44" s="76" t="str">
        <f>CONCATENATE(N$6,"-",O$6)</f>
        <v>2012-2017</v>
      </c>
      <c r="O44" s="76" t="str">
        <f>CONCATENATE(O$6,"-",P$6)</f>
        <v>2017-2022</v>
      </c>
      <c r="P44" s="76" t="str">
        <f>CONCATENATE(P$6,"-",Q$6)</f>
        <v>2022-2027</v>
      </c>
      <c r="Q44" s="76" t="str">
        <f>CONCATENATE(O$6,"-",Q$6)</f>
        <v>2017-2027</v>
      </c>
      <c r="R44" s="286"/>
      <c r="S44" s="37" t="str">
        <f>S6</f>
        <v>Change</v>
      </c>
      <c r="T44" s="37" t="str">
        <f>T6</f>
        <v>Demand</v>
      </c>
      <c r="U44" s="37" t="str">
        <f>U6</f>
        <v>Requirement</v>
      </c>
      <c r="W44" s="50" t="s">
        <v>14</v>
      </c>
      <c r="X44" s="76" t="str">
        <f>CONCATENATE(X$6,"-",Y$6)</f>
        <v>2007-2012</v>
      </c>
      <c r="Y44" s="76" t="str">
        <f>CONCATENATE(Y$6,"-",Z$6)</f>
        <v>2012-2017</v>
      </c>
      <c r="Z44" s="76" t="str">
        <f>CONCATENATE(Z$6,"-",AA$6)</f>
        <v>2017-2022</v>
      </c>
      <c r="AA44" s="76" t="str">
        <f>CONCATENATE(AA$6,"-",AB$6)</f>
        <v>2022-2027</v>
      </c>
      <c r="AB44" s="76" t="str">
        <f>CONCATENATE(Z$6,"-",AB$6)</f>
        <v>2017-2027</v>
      </c>
      <c r="AC44" s="286"/>
      <c r="AD44" s="37" t="str">
        <f>AD6</f>
        <v>Change</v>
      </c>
      <c r="AE44" s="37" t="str">
        <f>AE6</f>
        <v>Demand</v>
      </c>
      <c r="AF44" s="37" t="str">
        <f>AF6</f>
        <v>Requirement</v>
      </c>
    </row>
    <row r="45" spans="1:32" x14ac:dyDescent="0.2">
      <c r="A45" s="1"/>
      <c r="B45" s="24"/>
      <c r="C45" s="24"/>
      <c r="D45" s="24"/>
      <c r="E45" s="24"/>
      <c r="F45" s="24"/>
      <c r="L45" s="1"/>
      <c r="M45" s="24"/>
      <c r="N45" s="24"/>
      <c r="O45" s="24"/>
      <c r="P45" s="24"/>
      <c r="Q45" s="24"/>
      <c r="R45" s="286"/>
      <c r="S45" s="286"/>
      <c r="T45" s="286"/>
      <c r="U45" s="286"/>
      <c r="W45" s="1"/>
      <c r="X45" s="24"/>
      <c r="Y45" s="24"/>
      <c r="Z45" s="24"/>
      <c r="AA45" s="24"/>
      <c r="AB45" s="24"/>
      <c r="AC45" s="286"/>
      <c r="AD45" s="286"/>
      <c r="AE45" s="286"/>
      <c r="AF45" s="286"/>
    </row>
    <row r="46" spans="1:32" x14ac:dyDescent="0.2">
      <c r="A46" s="18" t="str">
        <f>$A$8</f>
        <v>Managers, directors and senior officials</v>
      </c>
      <c r="B46" s="22">
        <f t="shared" ref="B46:E54" si="42">IF(C$6-B$6 &lt;&gt; 0,(EXP(LN(C8/B8)/(C$6-B$6))-1)*100,0)</f>
        <v>1.1564339602714746</v>
      </c>
      <c r="C46" s="22">
        <f t="shared" si="42"/>
        <v>3.5280689146168775</v>
      </c>
      <c r="D46" s="22">
        <f t="shared" si="42"/>
        <v>1.3019594244971122</v>
      </c>
      <c r="E46" s="22">
        <f t="shared" si="42"/>
        <v>1.0907140563431339</v>
      </c>
      <c r="F46" s="22">
        <f>IF(F$6-D$6 &lt;&gt; 0,(EXP(LN(F8/D8)/(F$6-D$6))-1)*100,0)</f>
        <v>1.1962816190847603</v>
      </c>
      <c r="H46" s="22">
        <f>IF($F$6-$D$6 &lt;&gt; 0,(EXP(LN(1+(H26/100))/($F$6-$D$6))-1)*100,0)</f>
        <v>1.1962816190847603</v>
      </c>
      <c r="I46" s="22">
        <f>IF($F$6-$D$6 &lt;&gt; 0,(EXP(LN(1+(I26/100))/($F$6-$D$6))-1)*100,0)</f>
        <v>3.3283083936731739</v>
      </c>
      <c r="J46" s="22">
        <f>IF($F$6-$D$6 &lt;&gt; 0,(EXP(LN(1+(J26/100))/($F$6-$D$6))-1)*100,0)</f>
        <v>4.2323591385796888</v>
      </c>
      <c r="L46" s="18" t="str">
        <f>$A$8</f>
        <v>Managers, directors and senior officials</v>
      </c>
      <c r="M46" s="22">
        <f t="shared" ref="M46:M54" si="43">IF(N$6-M$6 &lt;&gt; 0,(EXP(LN(N8/M8)/(N$6-M$6))-1)*100,0)</f>
        <v>0.73609742781501897</v>
      </c>
      <c r="N46" s="22">
        <f t="shared" ref="N46:N54" si="44">IF(O$6-N$6 &lt;&gt; 0,(EXP(LN(O8/N8)/(O$6-N$6))-1)*100,0)</f>
        <v>1.5799915675418941</v>
      </c>
      <c r="O46" s="22">
        <f t="shared" ref="O46:O54" si="45">IF(P$6-O$6 &lt;&gt; 0,(EXP(LN(P8/O8)/(P$6-O$6))-1)*100,0)</f>
        <v>0.71721447243273673</v>
      </c>
      <c r="P46" s="22">
        <f t="shared" ref="P46:P54" si="46">IF(Q$6-P$6 &lt;&gt; 0,(EXP(LN(Q8/P8)/(Q$6-P$6))-1)*100,0)</f>
        <v>0.55477090056175182</v>
      </c>
      <c r="Q46" s="22">
        <f>IF(Q$6-O$6 &lt;&gt; 0,(EXP(LN(Q8/O8)/(Q$6-O$6))-1)*100,0)</f>
        <v>0.635959910055095</v>
      </c>
      <c r="R46" s="286"/>
      <c r="S46" s="22">
        <f>IF($F$6-$D$6 &lt;&gt; 0,(EXP(LN(1+(S26/100))/($F$6-$D$6))-1)*100,0)</f>
        <v>0.635959910055095</v>
      </c>
      <c r="T46" s="22">
        <f>IF($F$6-$D$6 &lt;&gt; 0,(EXP(LN(1+(T26/100))/($F$6-$D$6))-1)*100,0)</f>
        <v>2.9591420224774012</v>
      </c>
      <c r="U46" s="22">
        <f>IF($F$6-$D$6 &lt;&gt; 0,(EXP(LN(1+(U26/100))/($F$6-$D$6))-1)*100,0)</f>
        <v>3.4517904667494825</v>
      </c>
      <c r="W46" s="18" t="str">
        <f>$A$8</f>
        <v>Managers, directors and senior officials</v>
      </c>
      <c r="X46" s="22">
        <f t="shared" ref="X46:X54" si="47">IF(Y$6-X$6 &lt;&gt; 0,(EXP(LN(Y8/X8)/(Y$6-X$6))-1)*100,0)</f>
        <v>2.1646379552857642</v>
      </c>
      <c r="Y46" s="22">
        <f t="shared" ref="Y46:Y54" si="48">IF(Z$6-Y$6 &lt;&gt; 0,(EXP(LN(Z8/Y8)/(Z$6-Y$6))-1)*100,0)</f>
        <v>7.5220167495944512</v>
      </c>
      <c r="Z46" s="22">
        <f t="shared" ref="Z46:Z54" si="49">IF(AA$6-Z$6 &lt;&gt; 0,(EXP(LN(AA8/Z8)/(AA$6-Z$6))-1)*100,0)</f>
        <v>2.2831066038688785</v>
      </c>
      <c r="AA46" s="22">
        <f t="shared" ref="AA46:AA54" si="50">IF(AB$6-AA$6 &lt;&gt; 0,(EXP(LN(AB8/AA8)/(AB$6-AA$6))-1)*100,0)</f>
        <v>1.9263684237841527</v>
      </c>
      <c r="AB46" s="22">
        <f>IF(AB$6-Z$6 &lt;&gt; 0,(EXP(LN(AB8/Z8)/(AB$6-Z$6))-1)*100,0)</f>
        <v>2.1045817151959634</v>
      </c>
      <c r="AC46" s="286"/>
      <c r="AD46" s="22">
        <f>IF($F$6-$D$6 &lt;&gt; 0,(EXP(LN(1+(AD26/100))/($F$6-$D$6))-1)*100,0)</f>
        <v>2.1045817151959634</v>
      </c>
      <c r="AE46" s="22">
        <f>IF($F$6-$D$6 &lt;&gt; 0,(EXP(LN(1+(AE26/100))/($F$6-$D$6))-1)*100,0)</f>
        <v>3.9404307962189522</v>
      </c>
      <c r="AF46" s="22">
        <f>IF($F$6-$D$6 &lt;&gt; 0,(EXP(LN(1+(AF26/100))/($F$6-$D$6))-1)*100,0)</f>
        <v>5.4702779701774062</v>
      </c>
    </row>
    <row r="47" spans="1:32" x14ac:dyDescent="0.2">
      <c r="A47" s="18" t="str">
        <f>$A$9</f>
        <v>Professional occupations</v>
      </c>
      <c r="B47" s="22">
        <f t="shared" si="42"/>
        <v>1.4957463265856452</v>
      </c>
      <c r="C47" s="22">
        <f t="shared" si="42"/>
        <v>3.8000493972026872</v>
      </c>
      <c r="D47" s="22">
        <f t="shared" si="42"/>
        <v>1.1863275437107523</v>
      </c>
      <c r="E47" s="22">
        <f t="shared" si="42"/>
        <v>1.3062288163602664</v>
      </c>
      <c r="F47" s="22">
        <f>IF(F$6-D$6 &lt;&gt; 0,(EXP(LN(F9/D9)/(F$6-D$6))-1)*100,0)</f>
        <v>1.2462604308442593</v>
      </c>
      <c r="H47" s="22">
        <f t="shared" ref="H47:J56" si="51">IF($F$6-$D$6 &lt;&gt; 0,(EXP(LN(1+(H27/100))/($F$6-$D$6))-1)*100,0)</f>
        <v>1.2462604308442593</v>
      </c>
      <c r="I47" s="22">
        <f t="shared" si="51"/>
        <v>3.0446846711126296</v>
      </c>
      <c r="J47" s="22">
        <f t="shared" si="51"/>
        <v>4.0095970860677177</v>
      </c>
      <c r="L47" s="18" t="str">
        <f>$A$9</f>
        <v>Professional occupations</v>
      </c>
      <c r="M47" s="22">
        <f t="shared" si="43"/>
        <v>1.2471813463381221</v>
      </c>
      <c r="N47" s="22">
        <f t="shared" si="44"/>
        <v>2.4527430573471509</v>
      </c>
      <c r="O47" s="22">
        <f t="shared" si="45"/>
        <v>0.35355904086387113</v>
      </c>
      <c r="P47" s="22">
        <f t="shared" si="46"/>
        <v>0.55984662132984031</v>
      </c>
      <c r="Q47" s="22">
        <f>IF(Q$6-O$6 &lt;&gt; 0,(EXP(LN(Q9/O9)/(Q$6-O$6))-1)*100,0)</f>
        <v>0.456649879706017</v>
      </c>
      <c r="R47" s="286"/>
      <c r="S47" s="22">
        <f t="shared" ref="S47:U47" si="52">IF($F$6-$D$6 &lt;&gt; 0,(EXP(LN(1+(S27/100))/($F$6-$D$6))-1)*100,0)</f>
        <v>0.456649879706017</v>
      </c>
      <c r="T47" s="22">
        <f t="shared" si="52"/>
        <v>2.3605101758188196</v>
      </c>
      <c r="U47" s="22">
        <f t="shared" si="52"/>
        <v>2.7322377248785834</v>
      </c>
      <c r="W47" s="18" t="str">
        <f>$A$9</f>
        <v>Professional occupations</v>
      </c>
      <c r="X47" s="22">
        <f t="shared" si="47"/>
        <v>1.7022876895045336</v>
      </c>
      <c r="Y47" s="22">
        <f t="shared" si="48"/>
        <v>4.8546567058724177</v>
      </c>
      <c r="Z47" s="22">
        <f t="shared" si="49"/>
        <v>1.7774856045864373</v>
      </c>
      <c r="AA47" s="22">
        <f t="shared" si="50"/>
        <v>1.8018163979532709</v>
      </c>
      <c r="AB47" s="22">
        <f>IF(AB$6-Z$6 &lt;&gt; 0,(EXP(LN(AB9/Z9)/(AB$6-Z$6))-1)*100,0)</f>
        <v>1.7896502742957621</v>
      </c>
      <c r="AC47" s="286"/>
      <c r="AD47" s="22">
        <f t="shared" ref="AD47:AF47" si="53">IF($F$6-$D$6 &lt;&gt; 0,(EXP(LN(1+(AD27/100))/($F$6-$D$6))-1)*100,0)</f>
        <v>1.7896502742957621</v>
      </c>
      <c r="AE47" s="22">
        <f t="shared" si="53"/>
        <v>3.5195881611286728</v>
      </c>
      <c r="AF47" s="22">
        <f t="shared" si="53"/>
        <v>4.8603425863824601</v>
      </c>
    </row>
    <row r="48" spans="1:32" x14ac:dyDescent="0.2">
      <c r="A48" s="18" t="str">
        <f>$A$10</f>
        <v>Associate professional and technical</v>
      </c>
      <c r="B48" s="22">
        <f t="shared" si="42"/>
        <v>-1.7501729404745259E-2</v>
      </c>
      <c r="C48" s="22">
        <f t="shared" si="42"/>
        <v>3.422256204917562</v>
      </c>
      <c r="D48" s="22">
        <f t="shared" si="42"/>
        <v>1.0739139608813453</v>
      </c>
      <c r="E48" s="22">
        <f t="shared" si="42"/>
        <v>0.81275911664560052</v>
      </c>
      <c r="F48" s="22">
        <f t="shared" ref="F48:F56" si="54">IF(F$6-D$6 &lt;&gt; 0,(EXP(LN(F10/D10)/(F$6-D$6))-1)*100,0)</f>
        <v>0.94325208311298869</v>
      </c>
      <c r="H48" s="22">
        <f t="shared" si="51"/>
        <v>0.94325208311298869</v>
      </c>
      <c r="I48" s="22">
        <f t="shared" si="51"/>
        <v>2.8798716390852963</v>
      </c>
      <c r="J48" s="22">
        <f t="shared" si="51"/>
        <v>3.6179419633220578</v>
      </c>
      <c r="L48" s="18" t="str">
        <f>$A$10</f>
        <v>Associate professional and technical</v>
      </c>
      <c r="M48" s="22">
        <f t="shared" si="43"/>
        <v>-0.29550683064972771</v>
      </c>
      <c r="N48" s="22">
        <f t="shared" si="44"/>
        <v>1.7183853025589668</v>
      </c>
      <c r="O48" s="22">
        <f t="shared" si="45"/>
        <v>0.15585868468792619</v>
      </c>
      <c r="P48" s="22">
        <f t="shared" si="46"/>
        <v>8.9546436569043486E-2</v>
      </c>
      <c r="Q48" s="22">
        <f t="shared" ref="Q48:Q54" si="55">IF(Q$6-O$6 &lt;&gt; 0,(EXP(LN(Q10/O10)/(Q$6-O$6))-1)*100,0)</f>
        <v>0.12269707072176672</v>
      </c>
      <c r="R48" s="286"/>
      <c r="S48" s="22">
        <f t="shared" ref="S48:U48" si="56">IF($F$6-$D$6 &lt;&gt; 0,(EXP(LN(1+(S28/100))/($F$6-$D$6))-1)*100,0)</f>
        <v>0.12269707072176672</v>
      </c>
      <c r="T48" s="22">
        <f t="shared" si="56"/>
        <v>2.3279866971744001</v>
      </c>
      <c r="U48" s="22">
        <f t="shared" si="56"/>
        <v>2.4278430175683319</v>
      </c>
      <c r="W48" s="18" t="str">
        <f>$A$10</f>
        <v>Associate professional and technical</v>
      </c>
      <c r="X48" s="22">
        <f t="shared" si="47"/>
        <v>0.38077679511814289</v>
      </c>
      <c r="Y48" s="22">
        <f t="shared" si="48"/>
        <v>5.6396178976119371</v>
      </c>
      <c r="Z48" s="22">
        <f t="shared" si="49"/>
        <v>2.1003971381929665</v>
      </c>
      <c r="AA48" s="22">
        <f t="shared" si="50"/>
        <v>1.5542140150158978</v>
      </c>
      <c r="AB48" s="22">
        <f t="shared" ref="AB48:AB54" si="57">IF(AB$6-Z$6 &lt;&gt; 0,(EXP(LN(AB10/Z10)/(AB$6-Z$6))-1)*100,0)</f>
        <v>1.8269393725951266</v>
      </c>
      <c r="AC48" s="286"/>
      <c r="AD48" s="22">
        <f t="shared" ref="AD48:AF48" si="58">IF($F$6-$D$6 &lt;&gt; 0,(EXP(LN(1+(AD28/100))/($F$6-$D$6))-1)*100,0)</f>
        <v>1.8269393725951266</v>
      </c>
      <c r="AE48" s="22">
        <f t="shared" si="58"/>
        <v>3.4893737578455042</v>
      </c>
      <c r="AF48" s="22">
        <f t="shared" si="58"/>
        <v>4.8620520726789129</v>
      </c>
    </row>
    <row r="49" spans="1:32" x14ac:dyDescent="0.2">
      <c r="A49" s="18" t="str">
        <f>$A$11</f>
        <v>Administrative and secretarial</v>
      </c>
      <c r="B49" s="22">
        <f t="shared" si="42"/>
        <v>-1.6327546299049311</v>
      </c>
      <c r="C49" s="22">
        <f t="shared" si="42"/>
        <v>0.7736601436174162</v>
      </c>
      <c r="D49" s="22">
        <f t="shared" si="42"/>
        <v>-1.5028330173013749</v>
      </c>
      <c r="E49" s="22">
        <f t="shared" si="42"/>
        <v>-1.4072409281634668</v>
      </c>
      <c r="F49" s="22">
        <f t="shared" si="54"/>
        <v>-1.4550485636952715</v>
      </c>
      <c r="H49" s="22">
        <f t="shared" si="51"/>
        <v>-1.4550485636952715</v>
      </c>
      <c r="I49" s="22">
        <f t="shared" si="51"/>
        <v>2.7529053263824821</v>
      </c>
      <c r="J49" s="22">
        <f t="shared" si="51"/>
        <v>1.6316691417497697</v>
      </c>
      <c r="L49" s="18" t="str">
        <f>$A$11</f>
        <v>Administrative and secretarial</v>
      </c>
      <c r="M49" s="22">
        <f t="shared" si="43"/>
        <v>-0.23331631762144589</v>
      </c>
      <c r="N49" s="22">
        <f t="shared" si="44"/>
        <v>0.98047162158012569</v>
      </c>
      <c r="O49" s="22">
        <f t="shared" si="45"/>
        <v>0.14621091461646252</v>
      </c>
      <c r="P49" s="22">
        <f t="shared" si="46"/>
        <v>0.49976175450998639</v>
      </c>
      <c r="Q49" s="22">
        <f t="shared" si="55"/>
        <v>0.32283058973097134</v>
      </c>
      <c r="R49" s="286"/>
      <c r="S49" s="22">
        <f t="shared" ref="S49:U49" si="59">IF($F$6-$D$6 &lt;&gt; 0,(EXP(LN(1+(S29/100))/($F$6-$D$6))-1)*100,0)</f>
        <v>0.32283058973097134</v>
      </c>
      <c r="T49" s="22">
        <f t="shared" si="59"/>
        <v>2.3294080310904519</v>
      </c>
      <c r="U49" s="22">
        <f t="shared" si="59"/>
        <v>2.5925901709193289</v>
      </c>
      <c r="W49" s="18" t="str">
        <f>$A$11</f>
        <v>Administrative and secretarial</v>
      </c>
      <c r="X49" s="22">
        <f t="shared" si="47"/>
        <v>-2.0953462723768967</v>
      </c>
      <c r="Y49" s="22">
        <f t="shared" si="48"/>
        <v>0.70093281232521676</v>
      </c>
      <c r="Z49" s="22">
        <f t="shared" si="49"/>
        <v>-2.1150500032902197</v>
      </c>
      <c r="AA49" s="22">
        <f t="shared" si="50"/>
        <v>-2.2080552038144852</v>
      </c>
      <c r="AB49" s="22">
        <f t="shared" si="57"/>
        <v>-2.1615636548926509</v>
      </c>
      <c r="AC49" s="286"/>
      <c r="AD49" s="22">
        <f t="shared" ref="AD49:AF49" si="60">IF($F$6-$D$6 &lt;&gt; 0,(EXP(LN(1+(AD29/100))/($F$6-$D$6))-1)*100,0)</f>
        <v>-2.1615636548926509</v>
      </c>
      <c r="AE49" s="22">
        <f t="shared" si="60"/>
        <v>2.8993775899817775</v>
      </c>
      <c r="AF49" s="22">
        <f t="shared" si="60"/>
        <v>1.2703353434811993</v>
      </c>
    </row>
    <row r="50" spans="1:32" x14ac:dyDescent="0.2">
      <c r="A50" s="18" t="str">
        <f>$A$12</f>
        <v>Skilled trades occupations</v>
      </c>
      <c r="B50" s="22">
        <f t="shared" si="42"/>
        <v>-2.0542570863401166</v>
      </c>
      <c r="C50" s="22">
        <f t="shared" si="42"/>
        <v>3.3431769027410851</v>
      </c>
      <c r="D50" s="22">
        <f t="shared" si="42"/>
        <v>-0.68821579919716713</v>
      </c>
      <c r="E50" s="22">
        <f t="shared" si="42"/>
        <v>-0.75255562233298434</v>
      </c>
      <c r="F50" s="22">
        <f t="shared" si="54"/>
        <v>-0.72039092282821793</v>
      </c>
      <c r="H50" s="22">
        <f t="shared" si="51"/>
        <v>-0.72039092282822903</v>
      </c>
      <c r="I50" s="22">
        <f t="shared" si="51"/>
        <v>2.4828622957087543</v>
      </c>
      <c r="J50" s="22">
        <f t="shared" si="51"/>
        <v>1.9092968563351853</v>
      </c>
      <c r="L50" s="18" t="str">
        <f>$A$12</f>
        <v>Skilled trades occupations</v>
      </c>
      <c r="M50" s="22">
        <f t="shared" si="43"/>
        <v>-2.1650890282800317</v>
      </c>
      <c r="N50" s="22">
        <f t="shared" si="44"/>
        <v>2.9660742328036838</v>
      </c>
      <c r="O50" s="22">
        <f t="shared" si="45"/>
        <v>-0.80601431359637044</v>
      </c>
      <c r="P50" s="22">
        <f t="shared" si="46"/>
        <v>-0.82183457104939572</v>
      </c>
      <c r="Q50" s="22">
        <f t="shared" si="55"/>
        <v>-0.81392475774083595</v>
      </c>
      <c r="R50" s="286"/>
      <c r="S50" s="22">
        <f t="shared" ref="S50:U50" si="61">IF($F$6-$D$6 &lt;&gt; 0,(EXP(LN(1+(S30/100))/($F$6-$D$6))-1)*100,0)</f>
        <v>-0.81392475774083595</v>
      </c>
      <c r="T50" s="22">
        <f t="shared" si="61"/>
        <v>2.3377141365553467</v>
      </c>
      <c r="U50" s="22">
        <f t="shared" si="61"/>
        <v>1.6817132211758068</v>
      </c>
      <c r="W50" s="18" t="str">
        <f>$A$12</f>
        <v>Skilled trades occupations</v>
      </c>
      <c r="X50" s="22">
        <f t="shared" si="47"/>
        <v>-1.1079828969891792</v>
      </c>
      <c r="Y50" s="22">
        <f t="shared" si="48"/>
        <v>6.2680024427195447</v>
      </c>
      <c r="Z50" s="22">
        <f t="shared" si="49"/>
        <v>0.12802518203127722</v>
      </c>
      <c r="AA50" s="22">
        <f t="shared" si="50"/>
        <v>-0.29076021309661915</v>
      </c>
      <c r="AB50" s="22">
        <f t="shared" si="57"/>
        <v>-8.1586920806953067E-2</v>
      </c>
      <c r="AC50" s="286"/>
      <c r="AD50" s="22">
        <f t="shared" ref="AD50:AF50" si="62">IF($F$6-$D$6 &lt;&gt; 0,(EXP(LN(1+(AD30/100))/($F$6-$D$6))-1)*100,0)</f>
        <v>-8.1586920806953067E-2</v>
      </c>
      <c r="AE50" s="22">
        <f t="shared" si="62"/>
        <v>3.4583413672022445</v>
      </c>
      <c r="AF50" s="22">
        <f t="shared" si="62"/>
        <v>3.3983248979277514</v>
      </c>
    </row>
    <row r="51" spans="1:32" x14ac:dyDescent="0.2">
      <c r="A51" s="18" t="str">
        <f>$A$13</f>
        <v>Caring, leisure and other service</v>
      </c>
      <c r="B51" s="22">
        <f t="shared" si="42"/>
        <v>1.6667603871753256</v>
      </c>
      <c r="C51" s="22">
        <f t="shared" si="42"/>
        <v>4.1756120884495429</v>
      </c>
      <c r="D51" s="22">
        <f t="shared" si="42"/>
        <v>1.0725271364010913</v>
      </c>
      <c r="E51" s="22">
        <f t="shared" si="42"/>
        <v>1.2612285030016324</v>
      </c>
      <c r="F51" s="22">
        <f t="shared" si="54"/>
        <v>1.166833822824298</v>
      </c>
      <c r="H51" s="22">
        <f t="shared" si="51"/>
        <v>1.166833822824298</v>
      </c>
      <c r="I51" s="22">
        <f t="shared" si="51"/>
        <v>3.3231956424349951</v>
      </c>
      <c r="J51" s="22">
        <f t="shared" si="51"/>
        <v>4.2050614422544541</v>
      </c>
      <c r="L51" s="18" t="str">
        <f>$A$13</f>
        <v>Caring, leisure and other service</v>
      </c>
      <c r="M51" s="22">
        <f t="shared" si="43"/>
        <v>1.2349160222644429</v>
      </c>
      <c r="N51" s="22">
        <f t="shared" si="44"/>
        <v>2.0001729217668851</v>
      </c>
      <c r="O51" s="22">
        <f t="shared" si="45"/>
        <v>1.3839061296563981</v>
      </c>
      <c r="P51" s="22">
        <f t="shared" si="46"/>
        <v>1.6279591233096635</v>
      </c>
      <c r="Q51" s="22">
        <f t="shared" si="55"/>
        <v>1.5058592786947766</v>
      </c>
      <c r="R51" s="286"/>
      <c r="S51" s="22">
        <f t="shared" ref="S51:U51" si="63">IF($F$6-$D$6 &lt;&gt; 0,(EXP(LN(1+(S31/100))/($F$6-$D$6))-1)*100,0)</f>
        <v>1.5058592786947766</v>
      </c>
      <c r="T51" s="22">
        <f t="shared" si="63"/>
        <v>2.7936977153839582</v>
      </c>
      <c r="U51" s="22">
        <f t="shared" si="63"/>
        <v>3.9873928838302763</v>
      </c>
      <c r="W51" s="18" t="str">
        <f>$A$13</f>
        <v>Caring, leisure and other service</v>
      </c>
      <c r="X51" s="22">
        <f t="shared" si="47"/>
        <v>1.7631364616993661</v>
      </c>
      <c r="Y51" s="22">
        <f t="shared" si="48"/>
        <v>4.6300505544502935</v>
      </c>
      <c r="Z51" s="22">
        <f t="shared" si="49"/>
        <v>1.0118446890440724</v>
      </c>
      <c r="AA51" s="22">
        <f t="shared" si="50"/>
        <v>1.1883368004634631</v>
      </c>
      <c r="AB51" s="22">
        <f t="shared" si="57"/>
        <v>1.1000522315943062</v>
      </c>
      <c r="AC51" s="286"/>
      <c r="AD51" s="22">
        <f t="shared" ref="AD51:AF51" si="64">IF($F$6-$D$6 &lt;&gt; 0,(EXP(LN(1+(AD31/100))/($F$6-$D$6))-1)*100,0)</f>
        <v>1.1000522315943062</v>
      </c>
      <c r="AE51" s="22">
        <f t="shared" si="64"/>
        <v>3.4228648353866742</v>
      </c>
      <c r="AF51" s="22">
        <f t="shared" si="64"/>
        <v>4.2467015928269625</v>
      </c>
    </row>
    <row r="52" spans="1:32" x14ac:dyDescent="0.2">
      <c r="A52" s="18" t="str">
        <f>$A$14</f>
        <v>Sales and customer service</v>
      </c>
      <c r="B52" s="22">
        <f t="shared" si="42"/>
        <v>-0.86457426346019384</v>
      </c>
      <c r="C52" s="22">
        <f t="shared" si="42"/>
        <v>-2.3915446140299057E-2</v>
      </c>
      <c r="D52" s="22">
        <f t="shared" si="42"/>
        <v>-0.32610402190322851</v>
      </c>
      <c r="E52" s="22">
        <f t="shared" si="42"/>
        <v>-0.24140207707387118</v>
      </c>
      <c r="F52" s="22">
        <f t="shared" si="54"/>
        <v>-0.28376204303273145</v>
      </c>
      <c r="H52" s="22">
        <f t="shared" si="51"/>
        <v>-0.28376204303273145</v>
      </c>
      <c r="I52" s="22">
        <f t="shared" si="51"/>
        <v>2.7982953067652305</v>
      </c>
      <c r="J52" s="22">
        <f t="shared" si="51"/>
        <v>2.5776303384500654</v>
      </c>
      <c r="L52" s="18" t="str">
        <f>$A$14</f>
        <v>Sales and customer service</v>
      </c>
      <c r="M52" s="22">
        <f t="shared" si="43"/>
        <v>-1.1816555930075578</v>
      </c>
      <c r="N52" s="22">
        <f t="shared" si="44"/>
        <v>1.1055951921729701</v>
      </c>
      <c r="O52" s="22">
        <f t="shared" si="45"/>
        <v>0.25500114391083795</v>
      </c>
      <c r="P52" s="22">
        <f t="shared" si="46"/>
        <v>-0.28179912276126151</v>
      </c>
      <c r="Q52" s="22">
        <f t="shared" si="55"/>
        <v>-1.3759231500753977E-2</v>
      </c>
      <c r="R52" s="286"/>
      <c r="S52" s="22">
        <f t="shared" ref="S52:U52" si="65">IF($F$6-$D$6 &lt;&gt; 0,(EXP(LN(1+(S32/100))/($F$6-$D$6))-1)*100,0)</f>
        <v>-1.3759231500753977E-2</v>
      </c>
      <c r="T52" s="22">
        <f t="shared" si="65"/>
        <v>2.0572252046043848</v>
      </c>
      <c r="U52" s="22">
        <f t="shared" si="65"/>
        <v>2.0457713725940296</v>
      </c>
      <c r="W52" s="18" t="str">
        <f>$A$14</f>
        <v>Sales and customer service</v>
      </c>
      <c r="X52" s="22">
        <f t="shared" si="47"/>
        <v>-0.71950935081263045</v>
      </c>
      <c r="Y52" s="22">
        <f t="shared" si="48"/>
        <v>-0.55064613887392255</v>
      </c>
      <c r="Z52" s="22">
        <f t="shared" si="49"/>
        <v>-0.61585096082064084</v>
      </c>
      <c r="AA52" s="22">
        <f t="shared" si="50"/>
        <v>-0.2207512257236699</v>
      </c>
      <c r="AB52" s="22">
        <f t="shared" si="57"/>
        <v>-0.41849704287431067</v>
      </c>
      <c r="AC52" s="286"/>
      <c r="AD52" s="22">
        <f t="shared" ref="AD52:AF52" si="66">IF($F$6-$D$6 &lt;&gt; 0,(EXP(LN(1+(AD32/100))/($F$6-$D$6))-1)*100,0)</f>
        <v>-0.41849704287431067</v>
      </c>
      <c r="AE52" s="22">
        <f t="shared" si="66"/>
        <v>3.1445508153568946</v>
      </c>
      <c r="AF52" s="22">
        <f t="shared" si="66"/>
        <v>2.8294319468048723</v>
      </c>
    </row>
    <row r="53" spans="1:32" x14ac:dyDescent="0.2">
      <c r="A53" s="18" t="str">
        <f>$A$15</f>
        <v>Process, plant and machine operatives</v>
      </c>
      <c r="B53" s="22">
        <f t="shared" si="42"/>
        <v>-2.2960799678991894</v>
      </c>
      <c r="C53" s="22">
        <f t="shared" si="42"/>
        <v>-0.48381108796357042</v>
      </c>
      <c r="D53" s="22">
        <f t="shared" si="42"/>
        <v>-1.2645371958790674</v>
      </c>
      <c r="E53" s="22">
        <f t="shared" si="42"/>
        <v>-0.72609144585896734</v>
      </c>
      <c r="F53" s="22">
        <f t="shared" si="54"/>
        <v>-0.99568036965712592</v>
      </c>
      <c r="H53" s="22">
        <f t="shared" si="51"/>
        <v>-0.99568036965712592</v>
      </c>
      <c r="I53" s="22">
        <f t="shared" si="51"/>
        <v>2.5012300808421539</v>
      </c>
      <c r="J53" s="22">
        <f t="shared" si="51"/>
        <v>1.7120440654635249</v>
      </c>
      <c r="L53" s="18" t="str">
        <f>$A$15</f>
        <v>Process, plant and machine operatives</v>
      </c>
      <c r="M53" s="22">
        <f t="shared" si="43"/>
        <v>-2.3472589543721778</v>
      </c>
      <c r="N53" s="22">
        <f t="shared" si="44"/>
        <v>-0.37852438609519146</v>
      </c>
      <c r="O53" s="22">
        <f t="shared" si="45"/>
        <v>-0.93597360228261373</v>
      </c>
      <c r="P53" s="22">
        <f t="shared" si="46"/>
        <v>-0.47209082279691117</v>
      </c>
      <c r="Q53" s="22">
        <f t="shared" si="55"/>
        <v>-0.70430310411198072</v>
      </c>
      <c r="R53" s="286"/>
      <c r="S53" s="22">
        <f t="shared" ref="S53:U53" si="67">IF($F$6-$D$6 &lt;&gt; 0,(EXP(LN(1+(S33/100))/($F$6-$D$6))-1)*100,0)</f>
        <v>-0.70430310411198072</v>
      </c>
      <c r="T53" s="22">
        <f t="shared" si="67"/>
        <v>2.4780534478978655</v>
      </c>
      <c r="U53" s="22">
        <f t="shared" si="67"/>
        <v>1.9169615294218678</v>
      </c>
      <c r="W53" s="18" t="str">
        <f>$A$15</f>
        <v>Process, plant and machine operatives</v>
      </c>
      <c r="X53" s="22">
        <f t="shared" si="47"/>
        <v>-2.026682563176152</v>
      </c>
      <c r="Y53" s="22">
        <f t="shared" si="48"/>
        <v>-1.0399473923827007</v>
      </c>
      <c r="Z53" s="22">
        <f t="shared" si="49"/>
        <v>-3.1150324591230572</v>
      </c>
      <c r="AA53" s="22">
        <f t="shared" si="50"/>
        <v>-2.3137063654960599</v>
      </c>
      <c r="AB53" s="22">
        <f t="shared" si="57"/>
        <v>-2.7151944650785187</v>
      </c>
      <c r="AC53" s="286"/>
      <c r="AD53" s="22">
        <f t="shared" ref="AD53:AF53" si="68">IF($F$6-$D$6 &lt;&gt; 0,(EXP(LN(1+(AD33/100))/($F$6-$D$6))-1)*100,0)</f>
        <v>-2.7151944650785187</v>
      </c>
      <c r="AE53" s="22">
        <f t="shared" si="68"/>
        <v>2.6253213901093586</v>
      </c>
      <c r="AF53" s="22">
        <f t="shared" si="68"/>
        <v>0.5386170079255459</v>
      </c>
    </row>
    <row r="54" spans="1:32" x14ac:dyDescent="0.2">
      <c r="A54" s="18" t="str">
        <f>$A$16</f>
        <v>Elementary occupations</v>
      </c>
      <c r="B54" s="22">
        <f t="shared" si="42"/>
        <v>-3.5271801507407385</v>
      </c>
      <c r="C54" s="22">
        <f t="shared" si="42"/>
        <v>1.3992115545597539</v>
      </c>
      <c r="D54" s="22">
        <f t="shared" si="42"/>
        <v>5.5177355967384045E-3</v>
      </c>
      <c r="E54" s="22">
        <f t="shared" si="42"/>
        <v>-9.9815957818505385E-2</v>
      </c>
      <c r="F54" s="22">
        <f t="shared" si="54"/>
        <v>-4.7162986637749871E-2</v>
      </c>
      <c r="H54" s="22">
        <f t="shared" si="51"/>
        <v>-4.7162986637749871E-2</v>
      </c>
      <c r="I54" s="22">
        <f t="shared" si="51"/>
        <v>2.7829958480668937</v>
      </c>
      <c r="J54" s="22">
        <f t="shared" si="51"/>
        <v>2.7461754638839153</v>
      </c>
      <c r="L54" s="18" t="str">
        <f>$A$16</f>
        <v>Elementary occupations</v>
      </c>
      <c r="M54" s="22">
        <f t="shared" si="43"/>
        <v>-1.7750623648050246</v>
      </c>
      <c r="N54" s="22">
        <f t="shared" si="44"/>
        <v>1.8784991645348414</v>
      </c>
      <c r="O54" s="22">
        <f t="shared" si="45"/>
        <v>0.517869554160999</v>
      </c>
      <c r="P54" s="22">
        <f t="shared" si="46"/>
        <v>0.51494981628250613</v>
      </c>
      <c r="Q54" s="22">
        <f t="shared" si="55"/>
        <v>0.51640967462041054</v>
      </c>
      <c r="R54" s="286"/>
      <c r="S54" s="22">
        <f t="shared" ref="S54:U54" si="69">IF($F$6-$D$6 &lt;&gt; 0,(EXP(LN(1+(S34/100))/($F$6-$D$6))-1)*100,0)</f>
        <v>0.51640967462041054</v>
      </c>
      <c r="T54" s="22">
        <f t="shared" si="69"/>
        <v>2.3874461125536151</v>
      </c>
      <c r="U54" s="22">
        <f t="shared" si="69"/>
        <v>2.8070742375418067</v>
      </c>
      <c r="W54" s="18" t="str">
        <f>$A$16</f>
        <v>Elementary occupations</v>
      </c>
      <c r="X54" s="22">
        <f t="shared" si="47"/>
        <v>-5.2734768466122901</v>
      </c>
      <c r="Y54" s="22">
        <f t="shared" si="48"/>
        <v>0.85575291459283331</v>
      </c>
      <c r="Z54" s="22">
        <f t="shared" si="49"/>
        <v>-0.60691188278197972</v>
      </c>
      <c r="AA54" s="22">
        <f t="shared" si="50"/>
        <v>-0.88145261260413887</v>
      </c>
      <c r="AB54" s="22">
        <f t="shared" si="57"/>
        <v>-0.74427716989772241</v>
      </c>
      <c r="AC54" s="286"/>
      <c r="AD54" s="22">
        <f t="shared" ref="AD54:AF54" si="70">IF($F$6-$D$6 &lt;&gt; 0,(EXP(LN(1+(AD34/100))/($F$6-$D$6))-1)*100,0)</f>
        <v>-0.74427716989772241</v>
      </c>
      <c r="AE54" s="22">
        <f t="shared" si="70"/>
        <v>3.2285736090830852</v>
      </c>
      <c r="AF54" s="22">
        <f t="shared" si="70"/>
        <v>2.6745863073140752</v>
      </c>
    </row>
    <row r="55" spans="1:32" x14ac:dyDescent="0.2">
      <c r="A55" s="18"/>
      <c r="B55" s="22"/>
      <c r="C55" s="22"/>
      <c r="D55" s="22"/>
      <c r="E55" s="22"/>
      <c r="F55" s="22"/>
      <c r="H55" s="22"/>
      <c r="I55" s="22"/>
      <c r="J55" s="22"/>
      <c r="L55" s="18"/>
      <c r="M55" s="22"/>
      <c r="N55" s="22"/>
      <c r="O55" s="22"/>
      <c r="P55" s="22"/>
      <c r="Q55" s="22"/>
      <c r="R55" s="286"/>
      <c r="S55" s="22"/>
      <c r="T55" s="22"/>
      <c r="U55" s="22"/>
      <c r="W55" s="18"/>
      <c r="X55" s="22"/>
      <c r="Y55" s="22"/>
      <c r="Z55" s="22"/>
      <c r="AA55" s="22"/>
      <c r="AB55" s="22"/>
      <c r="AC55" s="286"/>
      <c r="AD55" s="22"/>
      <c r="AE55" s="22"/>
      <c r="AF55" s="22"/>
    </row>
    <row r="56" spans="1:32" x14ac:dyDescent="0.2">
      <c r="A56" s="28" t="str">
        <f>$A$18</f>
        <v>All occupations</v>
      </c>
      <c r="B56" s="30">
        <f>IF(C$6-B$6 &lt;&gt; 0,(EXP(LN(C18/B18)/(C$6-B$6))-1)*100,0)</f>
        <v>-0.73595101326741075</v>
      </c>
      <c r="C56" s="30">
        <f>IF(D$6-C$6 &lt;&gt; 0,(EXP(LN(D18/C18)/(D$6-C$6))-1)*100,0)</f>
        <v>2.4123919723173071</v>
      </c>
      <c r="D56" s="30">
        <f>IF(E$6-D$6 &lt;&gt; 0,(EXP(LN(E18/D18)/(E$6-D$6))-1)*100,0)</f>
        <v>0.21514536510911508</v>
      </c>
      <c r="E56" s="30">
        <f>IF(F$6-E$6 &lt;&gt; 0,(EXP(LN(F18/E18)/(F$6-E$6))-1)*100,0)</f>
        <v>0.29427525578473723</v>
      </c>
      <c r="F56" s="30">
        <f t="shared" si="54"/>
        <v>0.2547025034074446</v>
      </c>
      <c r="H56" s="30">
        <f t="shared" si="51"/>
        <v>0.2547025034074446</v>
      </c>
      <c r="I56" s="30">
        <f t="shared" ref="I56" si="71">IF($F$6-$D$6 &lt;&gt; 0,(EXP(LN(1+(I36/100))/($F$6-$D$6))-1)*100,0)</f>
        <v>2.8859970074204266</v>
      </c>
      <c r="J56" s="30">
        <f t="shared" ref="J56" si="72">IF($F$6-$D$6 &lt;&gt; 0,(EXP(LN(1+(J36/100))/($F$6-$D$6))-1)*100,0)</f>
        <v>3.0837172129732249</v>
      </c>
      <c r="L56" s="28" t="str">
        <f>$A$18</f>
        <v>All occupations</v>
      </c>
      <c r="M56" s="30">
        <f>IF(N$6-M$6 &lt;&gt; 0,(EXP(LN(N18/M18)/(N$6-M$6))-1)*100,0)</f>
        <v>-0.88266012633907431</v>
      </c>
      <c r="N56" s="30">
        <f>IF(O$6-N$6 &lt;&gt; 0,(EXP(LN(O18/N18)/(O$6-N$6))-1)*100,0)</f>
        <v>1.7740526871361517</v>
      </c>
      <c r="O56" s="30">
        <f>IF(P$6-O$6 &lt;&gt; 0,(EXP(LN(P18/O18)/(P$6-O$6))-1)*100,0)</f>
        <v>-1.4962234621807013E-2</v>
      </c>
      <c r="P56" s="30">
        <f>IF(Q$6-P$6 &lt;&gt; 0,(EXP(LN(Q18/P18)/(Q$6-P$6))-1)*100,0)</f>
        <v>6.523860761509237E-2</v>
      </c>
      <c r="Q56" s="30">
        <f t="shared" ref="Q56" si="73">IF(Q$6-O$6 &lt;&gt; 0,(EXP(LN(Q18/O18)/(Q$6-O$6))-1)*100,0)</f>
        <v>2.5130148298102561E-2</v>
      </c>
      <c r="R56" s="286"/>
      <c r="S56" s="30">
        <f t="shared" ref="S56:U56" si="74">IF($F$6-$D$6 &lt;&gt; 0,(EXP(LN(1+(S36/100))/($F$6-$D$6))-1)*100,0)</f>
        <v>2.5130148298102561E-2</v>
      </c>
      <c r="T56" s="30">
        <f t="shared" si="74"/>
        <v>2.4283134864162115</v>
      </c>
      <c r="U56" s="30">
        <f t="shared" si="74"/>
        <v>2.4485678940073141</v>
      </c>
      <c r="W56" s="28" t="str">
        <f>$A$18</f>
        <v>All occupations</v>
      </c>
      <c r="X56" s="30">
        <f>IF(Y$6-X$6 &lt;&gt; 0,(EXP(LN(Y18/X18)/(Y$6-X$6))-1)*100,0)</f>
        <v>-0.5753098094298803</v>
      </c>
      <c r="Y56" s="30">
        <f>IF(Z$6-Y$6 &lt;&gt; 0,(EXP(LN(Z18/Y18)/(Z$6-Y$6))-1)*100,0)</f>
        <v>3.0873540624387186</v>
      </c>
      <c r="Z56" s="30">
        <f>IF(AA$6-Z$6 &lt;&gt; 0,(EXP(LN(AA18/Z18)/(AA$6-Z$6))-1)*100,0)</f>
        <v>0.44712536211899412</v>
      </c>
      <c r="AA56" s="30">
        <f>IF(AB$6-AA$6 &lt;&gt; 0,(EXP(LN(AB18/AA18)/(AB$6-AA$6))-1)*100,0)</f>
        <v>0.51994800838053301</v>
      </c>
      <c r="AB56" s="30">
        <f t="shared" ref="AB56" si="75">IF(AB$6-Z$6 &lt;&gt; 0,(EXP(LN(AB18/Z18)/(AB$6-Z$6))-1)*100,0)</f>
        <v>0.48353008822632493</v>
      </c>
      <c r="AC56" s="286"/>
      <c r="AD56" s="30">
        <f t="shared" ref="AD56:AF56" si="76">IF($F$6-$D$6 &lt;&gt; 0,(EXP(LN(1+(AD36/100))/($F$6-$D$6))-1)*100,0)</f>
        <v>0.48353008822632493</v>
      </c>
      <c r="AE56" s="30">
        <f t="shared" si="76"/>
        <v>3.3336018410541568</v>
      </c>
      <c r="AF56" s="30">
        <f t="shared" si="76"/>
        <v>3.6957275032018844</v>
      </c>
    </row>
    <row r="57" spans="1:32" x14ac:dyDescent="0.2">
      <c r="A57" s="18"/>
      <c r="B57" s="22"/>
      <c r="C57" s="22"/>
      <c r="D57" s="22"/>
      <c r="E57" s="22"/>
      <c r="F57" s="22"/>
      <c r="L57" s="18"/>
      <c r="M57" s="22"/>
      <c r="N57" s="22"/>
      <c r="O57" s="22"/>
      <c r="P57" s="22"/>
      <c r="Q57" s="22"/>
      <c r="R57" s="286"/>
      <c r="S57" s="286"/>
      <c r="T57" s="286"/>
      <c r="U57" s="286"/>
      <c r="W57" s="18"/>
      <c r="X57" s="22"/>
      <c r="Y57" s="22"/>
      <c r="Z57" s="22"/>
      <c r="AA57" s="22"/>
      <c r="AB57" s="22"/>
      <c r="AC57" s="286"/>
      <c r="AD57" s="286"/>
      <c r="AE57" s="286"/>
      <c r="AF57" s="286"/>
    </row>
    <row r="58" spans="1:32" x14ac:dyDescent="0.2">
      <c r="A58" s="18"/>
      <c r="B58" s="22"/>
      <c r="C58" s="22"/>
      <c r="D58" s="22"/>
      <c r="E58" s="22"/>
      <c r="F58" s="22"/>
      <c r="L58" s="18"/>
      <c r="M58" s="22"/>
      <c r="N58" s="22"/>
      <c r="O58" s="22"/>
      <c r="P58" s="22"/>
      <c r="Q58" s="22"/>
      <c r="R58" s="286"/>
      <c r="S58" s="286"/>
      <c r="T58" s="286"/>
      <c r="U58" s="286"/>
      <c r="W58" s="18"/>
      <c r="X58" s="22"/>
      <c r="Y58" s="22"/>
      <c r="Z58" s="22"/>
      <c r="AA58" s="22"/>
      <c r="AB58" s="22"/>
      <c r="AC58" s="286"/>
      <c r="AD58" s="286"/>
      <c r="AE58" s="286"/>
      <c r="AF58" s="286"/>
    </row>
    <row r="59" spans="1:32" x14ac:dyDescent="0.2">
      <c r="A59" s="18"/>
      <c r="B59" s="22"/>
      <c r="C59" s="22"/>
      <c r="D59" s="22"/>
      <c r="E59" s="22"/>
      <c r="F59" s="19" t="s">
        <v>35</v>
      </c>
      <c r="L59" s="18"/>
      <c r="M59" s="22"/>
      <c r="N59" s="22"/>
      <c r="O59" s="22"/>
      <c r="P59" s="22"/>
      <c r="Q59" s="19" t="s">
        <v>35</v>
      </c>
      <c r="R59" s="286"/>
      <c r="S59" s="286"/>
      <c r="T59" s="286"/>
      <c r="U59" s="286"/>
      <c r="W59" s="18"/>
      <c r="X59" s="22"/>
      <c r="Y59" s="22"/>
      <c r="Z59" s="22"/>
      <c r="AA59" s="22"/>
      <c r="AB59" s="19" t="s">
        <v>35</v>
      </c>
      <c r="AC59" s="286"/>
      <c r="AD59" s="286"/>
      <c r="AE59" s="286"/>
      <c r="AF59" s="286"/>
    </row>
    <row r="60" spans="1:32" x14ac:dyDescent="0.2">
      <c r="A60" s="79"/>
      <c r="B60" s="81"/>
      <c r="C60" s="81"/>
      <c r="D60" s="81"/>
      <c r="E60" s="81"/>
      <c r="F60" s="81"/>
      <c r="L60" s="79"/>
      <c r="M60" s="81"/>
      <c r="N60" s="81"/>
      <c r="O60" s="81"/>
      <c r="P60" s="81"/>
      <c r="Q60" s="81"/>
      <c r="R60" s="286"/>
      <c r="S60" s="286"/>
      <c r="T60" s="286"/>
      <c r="U60" s="286"/>
      <c r="W60" s="79"/>
      <c r="X60" s="81"/>
      <c r="Y60" s="81"/>
      <c r="Z60" s="81"/>
      <c r="AA60" s="81"/>
      <c r="AB60" s="81"/>
      <c r="AC60" s="286"/>
      <c r="AD60" s="286"/>
      <c r="AE60" s="286"/>
      <c r="AF60" s="286"/>
    </row>
    <row r="61" spans="1:32" x14ac:dyDescent="0.2">
      <c r="A61" s="2"/>
      <c r="B61" s="2"/>
      <c r="C61" s="2"/>
      <c r="D61" s="2"/>
      <c r="E61" s="2"/>
      <c r="F61" s="2"/>
      <c r="L61" s="2"/>
      <c r="M61" s="2"/>
      <c r="N61" s="2"/>
      <c r="O61" s="2"/>
      <c r="P61" s="2"/>
      <c r="Q61" s="2"/>
      <c r="R61" s="286"/>
      <c r="S61" s="286"/>
      <c r="T61" s="286"/>
      <c r="U61" s="286"/>
      <c r="W61" s="2"/>
      <c r="X61" s="2"/>
      <c r="Y61" s="2"/>
      <c r="Z61" s="2"/>
      <c r="AA61" s="2"/>
      <c r="AB61" s="2"/>
      <c r="AC61" s="286"/>
      <c r="AD61" s="286"/>
      <c r="AE61" s="286"/>
      <c r="AF61" s="286"/>
    </row>
    <row r="62" spans="1:32" x14ac:dyDescent="0.2">
      <c r="A62" s="50" t="s">
        <v>15</v>
      </c>
      <c r="B62" s="76" t="str">
        <f>CONCATENATE(B$6,"-",C$6)</f>
        <v>2007-2012</v>
      </c>
      <c r="C62" s="76" t="str">
        <f>CONCATENATE(C$6,"-",D$6)</f>
        <v>2012-2017</v>
      </c>
      <c r="D62" s="76" t="str">
        <f>CONCATENATE(D$6,"-",E$6)</f>
        <v>2017-2022</v>
      </c>
      <c r="E62" s="76" t="str">
        <f>CONCATENATE(E$6,"-",F$6)</f>
        <v>2022-2027</v>
      </c>
      <c r="F62" s="76" t="str">
        <f>CONCATENATE(D$6,"-",F$6)</f>
        <v>2017-2027</v>
      </c>
      <c r="L62" s="50" t="s">
        <v>15</v>
      </c>
      <c r="M62" s="76" t="str">
        <f>CONCATENATE(M$6,"-",N$6)</f>
        <v>2007-2012</v>
      </c>
      <c r="N62" s="76" t="str">
        <f>CONCATENATE(N$6,"-",O$6)</f>
        <v>2012-2017</v>
      </c>
      <c r="O62" s="76" t="str">
        <f>CONCATENATE(O$6,"-",P$6)</f>
        <v>2017-2022</v>
      </c>
      <c r="P62" s="76" t="str">
        <f>CONCATENATE(P$6,"-",Q$6)</f>
        <v>2022-2027</v>
      </c>
      <c r="Q62" s="76" t="str">
        <f>CONCATENATE(O$6,"-",Q$6)</f>
        <v>2017-2027</v>
      </c>
      <c r="R62" s="286"/>
      <c r="S62" s="286"/>
      <c r="T62" s="286"/>
      <c r="U62" s="286"/>
      <c r="W62" s="50" t="s">
        <v>15</v>
      </c>
      <c r="X62" s="76" t="str">
        <f>CONCATENATE(X$6,"-",Y$6)</f>
        <v>2007-2012</v>
      </c>
      <c r="Y62" s="76" t="str">
        <f>CONCATENATE(Y$6,"-",Z$6)</f>
        <v>2012-2017</v>
      </c>
      <c r="Z62" s="76" t="str">
        <f>CONCATENATE(Z$6,"-",AA$6)</f>
        <v>2017-2022</v>
      </c>
      <c r="AA62" s="76" t="str">
        <f>CONCATENATE(AA$6,"-",AB$6)</f>
        <v>2022-2027</v>
      </c>
      <c r="AB62" s="76" t="str">
        <f>CONCATENATE(Z$6,"-",AB$6)</f>
        <v>2017-2027</v>
      </c>
      <c r="AC62" s="286"/>
      <c r="AD62" s="286"/>
      <c r="AE62" s="286"/>
      <c r="AF62" s="286"/>
    </row>
    <row r="63" spans="1:32" x14ac:dyDescent="0.2">
      <c r="A63" s="1"/>
      <c r="B63" s="24"/>
      <c r="C63" s="24"/>
      <c r="D63" s="24"/>
      <c r="E63" s="24"/>
      <c r="F63" s="24"/>
      <c r="L63" s="1"/>
      <c r="M63" s="24"/>
      <c r="N63" s="24"/>
      <c r="O63" s="24"/>
      <c r="P63" s="24"/>
      <c r="Q63" s="24"/>
      <c r="R63" s="286"/>
      <c r="S63" s="286"/>
      <c r="T63" s="286"/>
      <c r="U63" s="286"/>
      <c r="W63" s="1"/>
      <c r="X63" s="24"/>
      <c r="Y63" s="24"/>
      <c r="Z63" s="24"/>
      <c r="AA63" s="24"/>
      <c r="AB63" s="24"/>
      <c r="AC63" s="286"/>
      <c r="AD63" s="286"/>
      <c r="AE63" s="286"/>
      <c r="AF63" s="286"/>
    </row>
    <row r="64" spans="1:32" x14ac:dyDescent="0.2">
      <c r="A64" s="18" t="str">
        <f>$A$8</f>
        <v>Managers, directors and senior officials</v>
      </c>
      <c r="B64" s="31">
        <f t="shared" ref="B64:E72" si="77">C8-B8</f>
        <v>5.7024182374732675</v>
      </c>
      <c r="C64" s="31">
        <f t="shared" si="77"/>
        <v>19.321311541718472</v>
      </c>
      <c r="D64" s="31">
        <f t="shared" si="77"/>
        <v>8.110688536849608</v>
      </c>
      <c r="E64" s="31">
        <f t="shared" si="77"/>
        <v>7.2181464563306008</v>
      </c>
      <c r="F64" s="31">
        <f>F8-D8</f>
        <v>15.328834993180209</v>
      </c>
      <c r="L64" s="18" t="str">
        <f>$A$8</f>
        <v>Managers, directors and senior officials</v>
      </c>
      <c r="M64" s="31">
        <f t="shared" ref="M64:M72" si="78">N8-M8</f>
        <v>2.5612497432549475</v>
      </c>
      <c r="N64" s="31">
        <f t="shared" ref="N64:N72" si="79">O8-N8</f>
        <v>5.7999796569268938</v>
      </c>
      <c r="O64" s="31">
        <f t="shared" ref="O64:O72" si="80">P8-O8</f>
        <v>2.7987759517552178</v>
      </c>
      <c r="P64" s="31">
        <f t="shared" ref="P64:P72" si="81">Q8-P8</f>
        <v>2.2363529865343992</v>
      </c>
      <c r="Q64" s="31">
        <f>Q8-O8</f>
        <v>5.0351289382896169</v>
      </c>
      <c r="R64" s="286"/>
      <c r="S64" s="286"/>
      <c r="T64" s="286"/>
      <c r="U64" s="286"/>
      <c r="W64" s="18" t="str">
        <f>$A$8</f>
        <v>Managers, directors and senior officials</v>
      </c>
      <c r="X64" s="31">
        <f t="shared" ref="X64:X72" si="82">Y8-X8</f>
        <v>3.1411684942181495</v>
      </c>
      <c r="Y64" s="31">
        <f t="shared" ref="Y64:Y72" si="83">Z8-Y8</f>
        <v>13.521331884791564</v>
      </c>
      <c r="Z64" s="31">
        <f t="shared" ref="Z64:Z72" si="84">AA8-Z8</f>
        <v>5.3119125850942766</v>
      </c>
      <c r="AA64" s="31">
        <f t="shared" ref="AA64:AA72" si="85">AB8-AA8</f>
        <v>4.981793469796763</v>
      </c>
      <c r="AB64" s="31">
        <f>AB8-Z8</f>
        <v>10.29370605489104</v>
      </c>
      <c r="AC64" s="286"/>
      <c r="AD64" s="286"/>
      <c r="AE64" s="286"/>
      <c r="AF64" s="286"/>
    </row>
    <row r="65" spans="1:32" x14ac:dyDescent="0.2">
      <c r="A65" s="18" t="str">
        <f>$A$9</f>
        <v>Professional occupations</v>
      </c>
      <c r="B65" s="31">
        <f t="shared" si="77"/>
        <v>17.036164616110028</v>
      </c>
      <c r="C65" s="31">
        <f t="shared" si="77"/>
        <v>48.814626588892565</v>
      </c>
      <c r="D65" s="31">
        <f t="shared" si="77"/>
        <v>17.428426027184969</v>
      </c>
      <c r="E65" s="31">
        <f t="shared" si="77"/>
        <v>20.404377636045524</v>
      </c>
      <c r="F65" s="31">
        <f t="shared" ref="F65:F72" si="86">F9-D9</f>
        <v>37.832803663230493</v>
      </c>
      <c r="L65" s="18" t="str">
        <f>$A$9</f>
        <v>Professional occupations</v>
      </c>
      <c r="M65" s="31">
        <f t="shared" si="78"/>
        <v>6.4461690651049537</v>
      </c>
      <c r="N65" s="31">
        <f t="shared" si="79"/>
        <v>13.8168294897783</v>
      </c>
      <c r="O65" s="31">
        <f t="shared" si="80"/>
        <v>2.1557830894074499</v>
      </c>
      <c r="P65" s="31">
        <f t="shared" si="81"/>
        <v>3.4887338928286908</v>
      </c>
      <c r="Q65" s="31">
        <f t="shared" ref="Q65:Q72" si="87">Q9-O9</f>
        <v>5.6445169822361407</v>
      </c>
      <c r="R65" s="286"/>
      <c r="S65" s="286"/>
      <c r="T65" s="286"/>
      <c r="U65" s="286"/>
      <c r="W65" s="18" t="str">
        <f>$A$9</f>
        <v>Professional occupations</v>
      </c>
      <c r="X65" s="31">
        <f t="shared" si="82"/>
        <v>10.589995551005757</v>
      </c>
      <c r="Y65" s="31">
        <f t="shared" si="83"/>
        <v>34.997797099113683</v>
      </c>
      <c r="Z65" s="31">
        <f t="shared" si="84"/>
        <v>15.272642937777817</v>
      </c>
      <c r="AA65" s="31">
        <f t="shared" si="85"/>
        <v>16.915643743216606</v>
      </c>
      <c r="AB65" s="31">
        <f t="shared" ref="AB65:AB72" si="88">AB9-Z9</f>
        <v>32.188286680994423</v>
      </c>
      <c r="AC65" s="286"/>
      <c r="AD65" s="286"/>
      <c r="AE65" s="286"/>
      <c r="AF65" s="286"/>
    </row>
    <row r="66" spans="1:32" x14ac:dyDescent="0.2">
      <c r="A66" s="18" t="str">
        <f>$A$10</f>
        <v>Associate professional and technical</v>
      </c>
      <c r="B66" s="31">
        <f t="shared" si="77"/>
        <v>-0.12732670417048553</v>
      </c>
      <c r="C66" s="31">
        <f t="shared" si="77"/>
        <v>26.646651888700802</v>
      </c>
      <c r="D66" s="31">
        <f t="shared" si="77"/>
        <v>9.4401244551384593</v>
      </c>
      <c r="E66" s="31">
        <f t="shared" si="77"/>
        <v>7.4971679103977635</v>
      </c>
      <c r="F66" s="31">
        <f t="shared" si="86"/>
        <v>16.937292365536223</v>
      </c>
      <c r="L66" s="18" t="str">
        <f>$A$10</f>
        <v>Associate professional and technical</v>
      </c>
      <c r="M66" s="31">
        <f t="shared" si="78"/>
        <v>-1.2660617333459925</v>
      </c>
      <c r="N66" s="31">
        <f t="shared" si="79"/>
        <v>7.5521963527245646</v>
      </c>
      <c r="O66" s="31">
        <f t="shared" si="80"/>
        <v>0.72295257727701312</v>
      </c>
      <c r="P66" s="31">
        <f t="shared" si="81"/>
        <v>0.41805452131320919</v>
      </c>
      <c r="Q66" s="31">
        <f t="shared" si="87"/>
        <v>1.1410070985902223</v>
      </c>
      <c r="R66" s="286"/>
      <c r="S66" s="286"/>
      <c r="T66" s="286"/>
      <c r="U66" s="286"/>
      <c r="W66" s="18" t="str">
        <f>$A$10</f>
        <v>Associate professional and technical</v>
      </c>
      <c r="X66" s="31">
        <f t="shared" si="82"/>
        <v>1.1387350291753862</v>
      </c>
      <c r="Y66" s="31">
        <f t="shared" si="83"/>
        <v>19.09445553597638</v>
      </c>
      <c r="Z66" s="31">
        <f t="shared" si="84"/>
        <v>8.7171718778613183</v>
      </c>
      <c r="AA66" s="31">
        <f t="shared" si="85"/>
        <v>7.0791133890844975</v>
      </c>
      <c r="AB66" s="31">
        <f t="shared" si="88"/>
        <v>15.796285266945816</v>
      </c>
      <c r="AC66" s="286"/>
      <c r="AD66" s="286"/>
      <c r="AE66" s="286"/>
      <c r="AF66" s="286"/>
    </row>
    <row r="67" spans="1:32" x14ac:dyDescent="0.2">
      <c r="A67" s="18" t="str">
        <f>$A$11</f>
        <v>Administrative and secretarial</v>
      </c>
      <c r="B67" s="31">
        <f t="shared" si="77"/>
        <v>-13.260288720514666</v>
      </c>
      <c r="C67" s="31">
        <f t="shared" si="77"/>
        <v>6.0720589516895132</v>
      </c>
      <c r="D67" s="31">
        <f t="shared" si="77"/>
        <v>-11.712749104541189</v>
      </c>
      <c r="E67" s="31">
        <f t="shared" si="77"/>
        <v>-10.187449762970942</v>
      </c>
      <c r="F67" s="31">
        <f t="shared" si="86"/>
        <v>-21.900198867512131</v>
      </c>
      <c r="L67" s="18" t="str">
        <f>$A$11</f>
        <v>Administrative and secretarial</v>
      </c>
      <c r="M67" s="31">
        <f t="shared" si="78"/>
        <v>-0.47046625188234259</v>
      </c>
      <c r="N67" s="31">
        <f t="shared" si="79"/>
        <v>2.0021138120328317</v>
      </c>
      <c r="O67" s="31">
        <f t="shared" si="80"/>
        <v>0.30830057854750237</v>
      </c>
      <c r="P67" s="31">
        <f t="shared" si="81"/>
        <v>1.06905748947662</v>
      </c>
      <c r="Q67" s="31">
        <f t="shared" si="87"/>
        <v>1.3773580680241224</v>
      </c>
      <c r="R67" s="286"/>
      <c r="S67" s="286"/>
      <c r="T67" s="286"/>
      <c r="U67" s="286"/>
      <c r="W67" s="18" t="str">
        <f>$A$11</f>
        <v>Administrative and secretarial</v>
      </c>
      <c r="X67" s="31">
        <f t="shared" si="82"/>
        <v>-12.789822468632082</v>
      </c>
      <c r="Y67" s="31">
        <f t="shared" si="83"/>
        <v>4.0699451396568236</v>
      </c>
      <c r="Z67" s="31">
        <f t="shared" si="84"/>
        <v>-12.021049683088776</v>
      </c>
      <c r="AA67" s="31">
        <f t="shared" si="85"/>
        <v>-11.25650725244752</v>
      </c>
      <c r="AB67" s="31">
        <f t="shared" si="88"/>
        <v>-23.277556935536296</v>
      </c>
      <c r="AC67" s="286"/>
      <c r="AD67" s="286"/>
      <c r="AE67" s="286"/>
      <c r="AF67" s="286"/>
    </row>
    <row r="68" spans="1:32" x14ac:dyDescent="0.2">
      <c r="A68" s="18" t="str">
        <f>$A$12</f>
        <v>Skilled trades occupations</v>
      </c>
      <c r="B68" s="31">
        <f t="shared" si="77"/>
        <v>-18.987987872710562</v>
      </c>
      <c r="C68" s="31">
        <f t="shared" si="77"/>
        <v>31.030321675035708</v>
      </c>
      <c r="D68" s="31">
        <f t="shared" si="77"/>
        <v>-6.9462388948938667</v>
      </c>
      <c r="E68" s="31">
        <f t="shared" si="77"/>
        <v>-7.3283933086638058</v>
      </c>
      <c r="F68" s="31">
        <f t="shared" si="86"/>
        <v>-14.274632203557672</v>
      </c>
      <c r="L68" s="18" t="str">
        <f>$A$12</f>
        <v>Skilled trades occupations</v>
      </c>
      <c r="M68" s="31">
        <f t="shared" si="78"/>
        <v>-17.914688744306204</v>
      </c>
      <c r="N68" s="31">
        <f t="shared" si="79"/>
        <v>24.375207065563075</v>
      </c>
      <c r="O68" s="31">
        <f t="shared" si="80"/>
        <v>-7.1091825729259881</v>
      </c>
      <c r="P68" s="31">
        <f t="shared" si="81"/>
        <v>-6.9590605539931971</v>
      </c>
      <c r="Q68" s="31">
        <f t="shared" si="87"/>
        <v>-14.068243126919185</v>
      </c>
      <c r="R68" s="286"/>
      <c r="S68" s="286"/>
      <c r="T68" s="286"/>
      <c r="U68" s="286"/>
      <c r="W68" s="18" t="str">
        <f>$A$12</f>
        <v>Skilled trades occupations</v>
      </c>
      <c r="X68" s="31">
        <f t="shared" si="82"/>
        <v>-1.0732991284040772</v>
      </c>
      <c r="Y68" s="31">
        <f t="shared" si="83"/>
        <v>6.6551146094724949</v>
      </c>
      <c r="Z68" s="31">
        <f t="shared" si="84"/>
        <v>0.16294367803216403</v>
      </c>
      <c r="AA68" s="31">
        <f t="shared" si="85"/>
        <v>-0.36933275467062288</v>
      </c>
      <c r="AB68" s="31">
        <f t="shared" si="88"/>
        <v>-0.20638907663845885</v>
      </c>
      <c r="AC68" s="286"/>
      <c r="AD68" s="286"/>
      <c r="AE68" s="286"/>
      <c r="AF68" s="286"/>
    </row>
    <row r="69" spans="1:32" x14ac:dyDescent="0.2">
      <c r="A69" s="18" t="str">
        <f>$A$13</f>
        <v>Caring, leisure and other service</v>
      </c>
      <c r="B69" s="31">
        <f t="shared" si="77"/>
        <v>10.869362383332444</v>
      </c>
      <c r="C69" s="31">
        <f t="shared" si="77"/>
        <v>31.097678258588303</v>
      </c>
      <c r="D69" s="31">
        <f t="shared" si="77"/>
        <v>9.2109294976647789</v>
      </c>
      <c r="E69" s="31">
        <f t="shared" si="77"/>
        <v>11.468153499501483</v>
      </c>
      <c r="F69" s="31">
        <f t="shared" si="86"/>
        <v>20.679082997166262</v>
      </c>
      <c r="L69" s="18" t="str">
        <f>$A$13</f>
        <v>Caring, leisure and other service</v>
      </c>
      <c r="M69" s="31">
        <f t="shared" si="78"/>
        <v>1.4691215815213177</v>
      </c>
      <c r="N69" s="31">
        <f t="shared" si="79"/>
        <v>2.5691268886580865</v>
      </c>
      <c r="O69" s="31">
        <f t="shared" si="80"/>
        <v>1.9385505164308015</v>
      </c>
      <c r="P69" s="31">
        <f t="shared" si="81"/>
        <v>2.4545883229957965</v>
      </c>
      <c r="Q69" s="31">
        <f t="shared" si="87"/>
        <v>4.393138839426598</v>
      </c>
      <c r="R69" s="286"/>
      <c r="S69" s="286"/>
      <c r="T69" s="286"/>
      <c r="U69" s="286"/>
      <c r="W69" s="18" t="str">
        <f>$A$13</f>
        <v>Caring, leisure and other service</v>
      </c>
      <c r="X69" s="31">
        <f t="shared" si="82"/>
        <v>9.400240801811151</v>
      </c>
      <c r="Y69" s="31">
        <f t="shared" si="83"/>
        <v>28.528551369930199</v>
      </c>
      <c r="Z69" s="31">
        <f t="shared" si="84"/>
        <v>7.2723789812342829</v>
      </c>
      <c r="AA69" s="31">
        <f t="shared" si="85"/>
        <v>9.0135651765054092</v>
      </c>
      <c r="AB69" s="31">
        <f t="shared" si="88"/>
        <v>16.285944157739692</v>
      </c>
      <c r="AC69" s="286"/>
      <c r="AD69" s="286"/>
      <c r="AE69" s="286"/>
      <c r="AF69" s="286"/>
    </row>
    <row r="70" spans="1:32" x14ac:dyDescent="0.2">
      <c r="A70" s="18" t="str">
        <f>$A$14</f>
        <v>Sales and customer service</v>
      </c>
      <c r="B70" s="31">
        <f t="shared" si="77"/>
        <v>-5.5830176586419213</v>
      </c>
      <c r="C70" s="31">
        <f t="shared" si="77"/>
        <v>-0.1503804364091792</v>
      </c>
      <c r="D70" s="31">
        <f t="shared" si="77"/>
        <v>-2.0357519425971446</v>
      </c>
      <c r="E70" s="31">
        <f t="shared" si="77"/>
        <v>-1.4850893510019318</v>
      </c>
      <c r="F70" s="31">
        <f t="shared" si="86"/>
        <v>-3.5208412935990765</v>
      </c>
      <c r="L70" s="18" t="str">
        <f>$A$14</f>
        <v>Sales and customer service</v>
      </c>
      <c r="M70" s="31">
        <f t="shared" si="78"/>
        <v>-2.3953041117618312</v>
      </c>
      <c r="N70" s="31">
        <f t="shared" si="79"/>
        <v>2.2106507044558015</v>
      </c>
      <c r="O70" s="31">
        <f t="shared" si="80"/>
        <v>0.52960745624260142</v>
      </c>
      <c r="P70" s="31">
        <f t="shared" si="81"/>
        <v>-0.58643414378355629</v>
      </c>
      <c r="Q70" s="31">
        <f t="shared" si="87"/>
        <v>-5.6826687540954879E-2</v>
      </c>
      <c r="R70" s="286"/>
      <c r="S70" s="286"/>
      <c r="T70" s="286"/>
      <c r="U70" s="286"/>
      <c r="W70" s="18" t="str">
        <f>$A$14</f>
        <v>Sales and customer service</v>
      </c>
      <c r="X70" s="31">
        <f t="shared" si="82"/>
        <v>-3.187713546880147</v>
      </c>
      <c r="Y70" s="31">
        <f t="shared" si="83"/>
        <v>-2.3610311408650375</v>
      </c>
      <c r="Z70" s="31">
        <f t="shared" si="84"/>
        <v>-2.5653593988394334</v>
      </c>
      <c r="AA70" s="31">
        <f t="shared" si="85"/>
        <v>-0.89865520721878056</v>
      </c>
      <c r="AB70" s="31">
        <f t="shared" si="88"/>
        <v>-3.464014606058214</v>
      </c>
      <c r="AC70" s="286"/>
      <c r="AD70" s="286"/>
      <c r="AE70" s="286"/>
      <c r="AF70" s="286"/>
    </row>
    <row r="71" spans="1:32" x14ac:dyDescent="0.2">
      <c r="A71" s="18" t="str">
        <f>$A$15</f>
        <v>Process, plant and machine operatives</v>
      </c>
      <c r="B71" s="31">
        <f t="shared" si="77"/>
        <v>-14.362404357201342</v>
      </c>
      <c r="C71" s="31">
        <f t="shared" si="77"/>
        <v>-2.793928629364359</v>
      </c>
      <c r="D71" s="31">
        <f t="shared" si="77"/>
        <v>-7.0171176181444821</v>
      </c>
      <c r="E71" s="31">
        <f t="shared" si="77"/>
        <v>-3.8217382580104413</v>
      </c>
      <c r="F71" s="31">
        <f t="shared" si="86"/>
        <v>-10.838855876154923</v>
      </c>
      <c r="L71" s="18" t="str">
        <f>$A$15</f>
        <v>Process, plant and machine operatives</v>
      </c>
      <c r="M71" s="31">
        <f t="shared" si="78"/>
        <v>-12.338783160980185</v>
      </c>
      <c r="N71" s="31">
        <f t="shared" si="79"/>
        <v>-1.837916186585943</v>
      </c>
      <c r="O71" s="31">
        <f t="shared" si="80"/>
        <v>-4.4097955999622513</v>
      </c>
      <c r="P71" s="31">
        <f t="shared" si="81"/>
        <v>-2.1418518427606443</v>
      </c>
      <c r="Q71" s="31">
        <f t="shared" si="87"/>
        <v>-6.5516474427228957</v>
      </c>
      <c r="R71" s="286"/>
      <c r="S71" s="286"/>
      <c r="T71" s="286"/>
      <c r="U71" s="286"/>
      <c r="W71" s="18" t="str">
        <f>$A$15</f>
        <v>Process, plant and machine operatives</v>
      </c>
      <c r="X71" s="31">
        <f t="shared" si="82"/>
        <v>-2.0236211962210611</v>
      </c>
      <c r="Y71" s="31">
        <f t="shared" si="83"/>
        <v>-0.95601244277846931</v>
      </c>
      <c r="Z71" s="31">
        <f t="shared" si="84"/>
        <v>-2.6073220181820567</v>
      </c>
      <c r="AA71" s="31">
        <f t="shared" si="85"/>
        <v>-1.6798864152498556</v>
      </c>
      <c r="AB71" s="31">
        <f t="shared" si="88"/>
        <v>-4.2872084334319123</v>
      </c>
      <c r="AC71" s="286"/>
      <c r="AD71" s="286"/>
      <c r="AE71" s="286"/>
      <c r="AF71" s="286"/>
    </row>
    <row r="72" spans="1:32" x14ac:dyDescent="0.2">
      <c r="A72" s="18" t="str">
        <f>$A$16</f>
        <v>Elementary occupations</v>
      </c>
      <c r="B72" s="31">
        <f t="shared" si="77"/>
        <v>-32.375919924635809</v>
      </c>
      <c r="C72" s="31">
        <f t="shared" si="77"/>
        <v>11.843660161006653</v>
      </c>
      <c r="D72" s="31">
        <f t="shared" si="77"/>
        <v>4.8689044661870184E-2</v>
      </c>
      <c r="E72" s="31">
        <f t="shared" si="77"/>
        <v>-0.8791748219098281</v>
      </c>
      <c r="F72" s="31">
        <f t="shared" si="86"/>
        <v>-0.83048577724795791</v>
      </c>
      <c r="L72" s="18" t="str">
        <f>$A$16</f>
        <v>Elementary occupations</v>
      </c>
      <c r="M72" s="31">
        <f t="shared" si="78"/>
        <v>-8.1172363878643523</v>
      </c>
      <c r="N72" s="31">
        <f t="shared" si="79"/>
        <v>8.4498122163844869</v>
      </c>
      <c r="O72" s="31">
        <f t="shared" si="80"/>
        <v>2.4880080040447012</v>
      </c>
      <c r="P72" s="31">
        <f t="shared" si="81"/>
        <v>2.5385593275152587</v>
      </c>
      <c r="Q72" s="31">
        <f t="shared" si="87"/>
        <v>5.0265673315599599</v>
      </c>
      <c r="R72" s="286"/>
      <c r="S72" s="286"/>
      <c r="T72" s="286"/>
      <c r="U72" s="286"/>
      <c r="W72" s="18" t="str">
        <f>$A$16</f>
        <v>Elementary occupations</v>
      </c>
      <c r="X72" s="31">
        <f t="shared" si="82"/>
        <v>-24.258683536771954</v>
      </c>
      <c r="Y72" s="31">
        <f t="shared" si="83"/>
        <v>3.3938479446218395</v>
      </c>
      <c r="Z72" s="31">
        <f t="shared" si="84"/>
        <v>-2.4393189593828737</v>
      </c>
      <c r="AA72" s="31">
        <f t="shared" si="85"/>
        <v>-3.4177341494244615</v>
      </c>
      <c r="AB72" s="31">
        <f t="shared" si="88"/>
        <v>-5.8570531088073352</v>
      </c>
      <c r="AC72" s="286"/>
      <c r="AD72" s="286"/>
      <c r="AE72" s="286"/>
      <c r="AF72" s="286"/>
    </row>
    <row r="73" spans="1:32" x14ac:dyDescent="0.2">
      <c r="A73" s="18"/>
      <c r="B73" s="31"/>
      <c r="C73" s="31"/>
      <c r="D73" s="31"/>
      <c r="E73" s="31"/>
      <c r="F73" s="31"/>
      <c r="L73" s="18"/>
      <c r="M73" s="31"/>
      <c r="N73" s="31"/>
      <c r="O73" s="31"/>
      <c r="P73" s="31"/>
      <c r="Q73" s="31"/>
      <c r="R73" s="286"/>
      <c r="S73" s="286"/>
      <c r="T73" s="286"/>
      <c r="U73" s="286"/>
      <c r="W73" s="18"/>
      <c r="X73" s="31"/>
      <c r="Y73" s="31"/>
      <c r="Z73" s="31"/>
      <c r="AA73" s="31"/>
      <c r="AB73" s="31"/>
      <c r="AC73" s="286"/>
      <c r="AD73" s="286"/>
      <c r="AE73" s="286"/>
      <c r="AF73" s="286"/>
    </row>
    <row r="74" spans="1:32" x14ac:dyDescent="0.2">
      <c r="A74" s="28" t="str">
        <f>$A$18</f>
        <v>All occupations</v>
      </c>
      <c r="B74" s="33">
        <f>C18-B18</f>
        <v>-51.089000000959231</v>
      </c>
      <c r="C74" s="33">
        <f t="shared" ref="C74" si="89">D18-C18</f>
        <v>171.88199999985841</v>
      </c>
      <c r="D74" s="33">
        <f>E18-D18</f>
        <v>16.527000001322904</v>
      </c>
      <c r="E74" s="33">
        <f>F18-E18</f>
        <v>22.885999999718479</v>
      </c>
      <c r="F74" s="33">
        <f>F18-D18</f>
        <v>39.413000001041382</v>
      </c>
      <c r="L74" s="28" t="str">
        <f>$A$18</f>
        <v>All occupations</v>
      </c>
      <c r="M74" s="33">
        <f>N18-M18</f>
        <v>-32.026000000259842</v>
      </c>
      <c r="N74" s="33">
        <f t="shared" ref="N74" si="90">O18-N18</f>
        <v>64.937999999938256</v>
      </c>
      <c r="O74" s="33">
        <f>P18-O18</f>
        <v>-0.57699999918293088</v>
      </c>
      <c r="P74" s="33">
        <f>Q18-P18</f>
        <v>2.5180000001265626</v>
      </c>
      <c r="Q74" s="33">
        <f>Q18-O18</f>
        <v>1.9410000009436317</v>
      </c>
      <c r="R74" s="286"/>
      <c r="S74" s="286"/>
      <c r="T74" s="286"/>
      <c r="U74" s="286"/>
      <c r="W74" s="28" t="str">
        <f>$A$18</f>
        <v>All occupations</v>
      </c>
      <c r="X74" s="33">
        <f>Y18-X18</f>
        <v>-19.063000000698821</v>
      </c>
      <c r="Y74" s="33">
        <f t="shared" ref="Y74" si="91">Z18-Y18</f>
        <v>106.94399999991936</v>
      </c>
      <c r="Z74" s="33">
        <f>AA18-Z18</f>
        <v>17.104000000506971</v>
      </c>
      <c r="AA74" s="33">
        <f>AB18-AA18</f>
        <v>20.367999999591802</v>
      </c>
      <c r="AB74" s="33">
        <f>AB18-Z18</f>
        <v>37.472000000098774</v>
      </c>
      <c r="AC74" s="286"/>
      <c r="AD74" s="286"/>
      <c r="AE74" s="286"/>
      <c r="AF74" s="286"/>
    </row>
    <row r="75" spans="1:32" x14ac:dyDescent="0.2"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</row>
    <row r="76" spans="1:32" x14ac:dyDescent="0.2"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</row>
    <row r="77" spans="1:32" x14ac:dyDescent="0.2"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</row>
    <row r="78" spans="1:32" x14ac:dyDescent="0.2">
      <c r="D78" s="1" t="s">
        <v>13</v>
      </c>
      <c r="H78" s="50" t="s">
        <v>41</v>
      </c>
      <c r="L78" s="286"/>
      <c r="M78" s="286"/>
      <c r="N78" s="286"/>
      <c r="O78" s="1" t="s">
        <v>13</v>
      </c>
      <c r="P78" s="286"/>
      <c r="Q78" s="286"/>
      <c r="R78" s="286"/>
      <c r="S78" s="50" t="s">
        <v>41</v>
      </c>
      <c r="T78" s="286"/>
      <c r="U78" s="286"/>
      <c r="W78" s="286"/>
      <c r="X78" s="286"/>
      <c r="Y78" s="286"/>
      <c r="Z78" s="1" t="s">
        <v>13</v>
      </c>
      <c r="AA78" s="286"/>
      <c r="AB78" s="286"/>
      <c r="AC78" s="286"/>
      <c r="AD78" s="50" t="s">
        <v>41</v>
      </c>
      <c r="AE78" s="286"/>
      <c r="AF78" s="286"/>
    </row>
    <row r="79" spans="1:32" x14ac:dyDescent="0.2">
      <c r="A79" s="26"/>
      <c r="B79" s="27">
        <f>B6</f>
        <v>2007</v>
      </c>
      <c r="C79" s="27">
        <f>C6</f>
        <v>2012</v>
      </c>
      <c r="D79" s="27">
        <f>D6</f>
        <v>2017</v>
      </c>
      <c r="E79" s="27">
        <f>E6</f>
        <v>2022</v>
      </c>
      <c r="F79" s="27">
        <f>F6</f>
        <v>2027</v>
      </c>
      <c r="H79" s="96" t="str">
        <f>CONCATENATE(B$6,"-",D$6)</f>
        <v>2007-2017</v>
      </c>
      <c r="I79" s="96" t="str">
        <f>F44</f>
        <v>2017-2027</v>
      </c>
      <c r="L79" s="26"/>
      <c r="M79" s="27">
        <f>M6</f>
        <v>2007</v>
      </c>
      <c r="N79" s="27">
        <f>N6</f>
        <v>2012</v>
      </c>
      <c r="O79" s="27">
        <f>O6</f>
        <v>2017</v>
      </c>
      <c r="P79" s="27">
        <f>P6</f>
        <v>2022</v>
      </c>
      <c r="Q79" s="27">
        <f>Q6</f>
        <v>2027</v>
      </c>
      <c r="R79" s="286"/>
      <c r="S79" s="96" t="str">
        <f>CONCATENATE(M$6,"-",O$6)</f>
        <v>2007-2017</v>
      </c>
      <c r="T79" s="96" t="str">
        <f>Q44</f>
        <v>2017-2027</v>
      </c>
      <c r="U79" s="286"/>
      <c r="W79" s="26"/>
      <c r="X79" s="27">
        <f>X6</f>
        <v>2007</v>
      </c>
      <c r="Y79" s="27">
        <f>Y6</f>
        <v>2012</v>
      </c>
      <c r="Z79" s="27">
        <f>Z6</f>
        <v>2017</v>
      </c>
      <c r="AA79" s="27">
        <f>AA6</f>
        <v>2022</v>
      </c>
      <c r="AB79" s="27">
        <f>AB6</f>
        <v>2027</v>
      </c>
      <c r="AC79" s="286"/>
      <c r="AD79" s="96" t="str">
        <f>CONCATENATE(X$6,"-",Z$6)</f>
        <v>2007-2017</v>
      </c>
      <c r="AE79" s="96" t="str">
        <f>AB44</f>
        <v>2017-2027</v>
      </c>
      <c r="AF79" s="286"/>
    </row>
    <row r="80" spans="1:32" x14ac:dyDescent="0.2">
      <c r="A80" t="str">
        <f t="shared" ref="A80:F88" si="92">A8</f>
        <v>Managers, directors and senior officials</v>
      </c>
      <c r="B80" s="13">
        <f t="shared" si="92"/>
        <v>96.365990659496248</v>
      </c>
      <c r="C80" s="13">
        <f t="shared" si="92"/>
        <v>102.06840889696952</v>
      </c>
      <c r="D80" s="13">
        <f t="shared" si="92"/>
        <v>121.38972043868799</v>
      </c>
      <c r="E80" s="13">
        <f t="shared" si="92"/>
        <v>129.5004089755376</v>
      </c>
      <c r="F80" s="13">
        <f t="shared" si="92"/>
        <v>136.7185554318682</v>
      </c>
      <c r="H80" s="49">
        <f>IF(D$6-B$6 &lt;&gt; 0,(EXP(LN(D8/B8)/(D$6-B$6))-1)*100,0)</f>
        <v>2.3353813018541336</v>
      </c>
      <c r="I80" s="49">
        <f t="shared" ref="I80:I88" si="93">F46</f>
        <v>1.1962816190847603</v>
      </c>
      <c r="L80" s="286" t="str">
        <f t="shared" ref="L80:Q88" si="94">L8</f>
        <v>Managers, directors and senior officials</v>
      </c>
      <c r="M80" s="13">
        <f t="shared" si="94"/>
        <v>68.572979476305207</v>
      </c>
      <c r="N80" s="13">
        <f t="shared" si="94"/>
        <v>71.134229219560154</v>
      </c>
      <c r="O80" s="13">
        <f t="shared" si="94"/>
        <v>76.934208876487048</v>
      </c>
      <c r="P80" s="13">
        <f t="shared" si="94"/>
        <v>79.732984828242266</v>
      </c>
      <c r="Q80" s="13">
        <f t="shared" si="94"/>
        <v>81.969337814776665</v>
      </c>
      <c r="R80" s="286"/>
      <c r="S80" s="49">
        <f t="shared" ref="S80:S88" si="95">IF(O$6-M$6 &lt;&gt; 0,(EXP(LN(O8/M8)/(O$6-M$6))-1)*100,0)</f>
        <v>1.1571644880605136</v>
      </c>
      <c r="T80" s="49">
        <f t="shared" ref="T80:T88" si="96">Q46</f>
        <v>0.635959910055095</v>
      </c>
      <c r="U80" s="286"/>
      <c r="W80" s="286" t="str">
        <f t="shared" ref="W80:AB88" si="97">W8</f>
        <v>Managers, directors and senior officials</v>
      </c>
      <c r="X80" s="13">
        <f t="shared" si="97"/>
        <v>27.793011183191112</v>
      </c>
      <c r="Y80" s="13">
        <f t="shared" si="97"/>
        <v>30.934179677409261</v>
      </c>
      <c r="Z80" s="13">
        <f t="shared" si="97"/>
        <v>44.455511562200826</v>
      </c>
      <c r="AA80" s="13">
        <f t="shared" si="97"/>
        <v>49.767424147295102</v>
      </c>
      <c r="AB80" s="13">
        <f t="shared" si="97"/>
        <v>54.749217617091865</v>
      </c>
      <c r="AC80" s="286"/>
      <c r="AD80" s="49">
        <f t="shared" ref="AD80:AD88" si="98">IF(Z$6-X$6 &lt;&gt; 0,(EXP(LN(Z8/X8)/(Z$6-X$6))-1)*100,0)</f>
        <v>4.809102245198571</v>
      </c>
      <c r="AE80" s="49">
        <f t="shared" ref="AE80:AE88" si="99">AB46</f>
        <v>2.1045817151959634</v>
      </c>
      <c r="AF80" s="286"/>
    </row>
    <row r="81" spans="1:32" x14ac:dyDescent="0.2">
      <c r="A81" t="str">
        <f t="shared" si="92"/>
        <v>Professional occupations</v>
      </c>
      <c r="B81" s="13">
        <f t="shared" si="92"/>
        <v>221.08153495773954</v>
      </c>
      <c r="C81" s="13">
        <f t="shared" si="92"/>
        <v>238.11769957384956</v>
      </c>
      <c r="D81" s="13">
        <f t="shared" si="92"/>
        <v>286.93232616274213</v>
      </c>
      <c r="E81" s="13">
        <f t="shared" si="92"/>
        <v>304.3607521899271</v>
      </c>
      <c r="F81" s="13">
        <f t="shared" si="92"/>
        <v>324.76512982597262</v>
      </c>
      <c r="H81" s="49">
        <f t="shared" ref="H81:H88" si="100">IF(D$6-B$6 &lt;&gt; 0,(EXP(LN(D9/B9)/(D$6-B$6))-1)*100,0)</f>
        <v>2.6414316068591459</v>
      </c>
      <c r="I81" s="49">
        <f t="shared" si="93"/>
        <v>1.2462604308442593</v>
      </c>
      <c r="L81" s="286" t="str">
        <f t="shared" si="94"/>
        <v>Professional occupations</v>
      </c>
      <c r="M81" s="13">
        <f t="shared" si="94"/>
        <v>100.8252900152487</v>
      </c>
      <c r="N81" s="13">
        <f t="shared" si="94"/>
        <v>107.27145908035365</v>
      </c>
      <c r="O81" s="13">
        <f t="shared" si="94"/>
        <v>121.08828857013195</v>
      </c>
      <c r="P81" s="13">
        <f t="shared" si="94"/>
        <v>123.2440716595394</v>
      </c>
      <c r="Q81" s="13">
        <f t="shared" si="94"/>
        <v>126.73280555236809</v>
      </c>
      <c r="R81" s="286"/>
      <c r="S81" s="49">
        <f t="shared" si="95"/>
        <v>1.8481784606726004</v>
      </c>
      <c r="T81" s="49">
        <f t="shared" si="96"/>
        <v>0.456649879706017</v>
      </c>
      <c r="U81" s="286"/>
      <c r="W81" s="286" t="str">
        <f t="shared" si="97"/>
        <v>Professional occupations</v>
      </c>
      <c r="X81" s="13">
        <f t="shared" si="97"/>
        <v>120.2562449424907</v>
      </c>
      <c r="Y81" s="13">
        <f t="shared" si="97"/>
        <v>130.84624049349645</v>
      </c>
      <c r="Z81" s="13">
        <f t="shared" si="97"/>
        <v>165.84403759261014</v>
      </c>
      <c r="AA81" s="13">
        <f t="shared" si="97"/>
        <v>181.11668053038795</v>
      </c>
      <c r="AB81" s="13">
        <f t="shared" si="97"/>
        <v>198.03232427360456</v>
      </c>
      <c r="AC81" s="286"/>
      <c r="AD81" s="49">
        <f t="shared" si="98"/>
        <v>3.2664440265320227</v>
      </c>
      <c r="AE81" s="49">
        <f t="shared" si="99"/>
        <v>1.7896502742957621</v>
      </c>
      <c r="AF81" s="286"/>
    </row>
    <row r="82" spans="1:32" x14ac:dyDescent="0.2">
      <c r="A82" t="str">
        <f t="shared" si="92"/>
        <v>Associate professional and technical</v>
      </c>
      <c r="B82" s="13">
        <f t="shared" si="92"/>
        <v>145.55279398544303</v>
      </c>
      <c r="C82" s="13">
        <f t="shared" si="92"/>
        <v>145.42546728127255</v>
      </c>
      <c r="D82" s="13">
        <f t="shared" si="92"/>
        <v>172.07211916997335</v>
      </c>
      <c r="E82" s="13">
        <f t="shared" si="92"/>
        <v>181.51224362511181</v>
      </c>
      <c r="F82" s="13">
        <f t="shared" si="92"/>
        <v>189.00941153550957</v>
      </c>
      <c r="H82" s="49">
        <f t="shared" si="100"/>
        <v>1.6878338452994468</v>
      </c>
      <c r="I82" s="49">
        <f t="shared" si="93"/>
        <v>0.94325208311298869</v>
      </c>
      <c r="L82" s="286" t="str">
        <f t="shared" si="94"/>
        <v>Associate professional and technical</v>
      </c>
      <c r="M82" s="13">
        <f t="shared" si="94"/>
        <v>86.195400125884049</v>
      </c>
      <c r="N82" s="13">
        <f t="shared" si="94"/>
        <v>84.929338392538057</v>
      </c>
      <c r="O82" s="13">
        <f t="shared" si="94"/>
        <v>92.481534745262621</v>
      </c>
      <c r="P82" s="13">
        <f t="shared" si="94"/>
        <v>93.204487322539634</v>
      </c>
      <c r="Q82" s="13">
        <f t="shared" si="94"/>
        <v>93.622541843852844</v>
      </c>
      <c r="R82" s="286"/>
      <c r="S82" s="49">
        <f t="shared" si="95"/>
        <v>0.70640522129825634</v>
      </c>
      <c r="T82" s="49">
        <f t="shared" si="96"/>
        <v>0.12269707072176672</v>
      </c>
      <c r="U82" s="286"/>
      <c r="W82" s="286" t="str">
        <f t="shared" si="97"/>
        <v>Associate professional and technical</v>
      </c>
      <c r="X82" s="13">
        <f t="shared" si="97"/>
        <v>59.357393859559117</v>
      </c>
      <c r="Y82" s="13">
        <f t="shared" si="97"/>
        <v>60.496128888734503</v>
      </c>
      <c r="Z82" s="13">
        <f t="shared" si="97"/>
        <v>79.590584424710883</v>
      </c>
      <c r="AA82" s="13">
        <f t="shared" si="97"/>
        <v>88.307756302572201</v>
      </c>
      <c r="AB82" s="13">
        <f t="shared" si="97"/>
        <v>95.386869691656699</v>
      </c>
      <c r="AC82" s="286"/>
      <c r="AD82" s="49">
        <f t="shared" si="98"/>
        <v>2.9766328100785611</v>
      </c>
      <c r="AE82" s="49">
        <f t="shared" si="99"/>
        <v>1.8269393725951266</v>
      </c>
      <c r="AF82" s="286"/>
    </row>
    <row r="83" spans="1:32" x14ac:dyDescent="0.2">
      <c r="A83" t="str">
        <f t="shared" si="92"/>
        <v>Administrative and secretarial</v>
      </c>
      <c r="B83" s="13">
        <f t="shared" si="92"/>
        <v>167.81985524773</v>
      </c>
      <c r="C83" s="13">
        <f t="shared" si="92"/>
        <v>154.55956652721534</v>
      </c>
      <c r="D83" s="13">
        <f t="shared" si="92"/>
        <v>160.63162547890485</v>
      </c>
      <c r="E83" s="13">
        <f t="shared" si="92"/>
        <v>148.91887637436366</v>
      </c>
      <c r="F83" s="13">
        <f t="shared" si="92"/>
        <v>138.73142661139272</v>
      </c>
      <c r="H83" s="49">
        <f t="shared" si="100"/>
        <v>-0.43681727571288631</v>
      </c>
      <c r="I83" s="49">
        <f t="shared" si="93"/>
        <v>-1.4550485636952715</v>
      </c>
      <c r="L83" s="286" t="str">
        <f t="shared" si="94"/>
        <v>Administrative and secretarial</v>
      </c>
      <c r="M83" s="13">
        <f t="shared" si="94"/>
        <v>40.517245758908899</v>
      </c>
      <c r="N83" s="13">
        <f t="shared" si="94"/>
        <v>40.046779507026557</v>
      </c>
      <c r="O83" s="13">
        <f t="shared" si="94"/>
        <v>42.048893319059388</v>
      </c>
      <c r="P83" s="13">
        <f t="shared" si="94"/>
        <v>42.357193897606891</v>
      </c>
      <c r="Q83" s="13">
        <f t="shared" si="94"/>
        <v>43.426251387083511</v>
      </c>
      <c r="R83" s="286"/>
      <c r="S83" s="49">
        <f t="shared" si="95"/>
        <v>0.37174288796417709</v>
      </c>
      <c r="T83" s="49">
        <f t="shared" si="96"/>
        <v>0.32283058973097134</v>
      </c>
      <c r="U83" s="286"/>
      <c r="W83" s="286" t="str">
        <f t="shared" si="97"/>
        <v>Administrative and secretarial</v>
      </c>
      <c r="X83" s="13">
        <f t="shared" si="97"/>
        <v>127.30260948882082</v>
      </c>
      <c r="Y83" s="13">
        <f t="shared" si="97"/>
        <v>114.51278702018874</v>
      </c>
      <c r="Z83" s="13">
        <f t="shared" si="97"/>
        <v>118.58273215984556</v>
      </c>
      <c r="AA83" s="13">
        <f t="shared" si="97"/>
        <v>106.56168247675679</v>
      </c>
      <c r="AB83" s="13">
        <f t="shared" si="97"/>
        <v>95.305175224309266</v>
      </c>
      <c r="AC83" s="286"/>
      <c r="AD83" s="49">
        <f t="shared" si="98"/>
        <v>-0.70704981198645989</v>
      </c>
      <c r="AE83" s="49">
        <f t="shared" si="99"/>
        <v>-2.1615636548926509</v>
      </c>
      <c r="AF83" s="286"/>
    </row>
    <row r="84" spans="1:32" x14ac:dyDescent="0.2">
      <c r="A84" t="str">
        <f t="shared" si="92"/>
        <v>Skilled trades occupations</v>
      </c>
      <c r="B84" s="13">
        <f t="shared" si="92"/>
        <v>192.61758234287316</v>
      </c>
      <c r="C84" s="13">
        <f t="shared" si="92"/>
        <v>173.6295944701626</v>
      </c>
      <c r="D84" s="13">
        <f t="shared" si="92"/>
        <v>204.65991614519831</v>
      </c>
      <c r="E84" s="13">
        <f t="shared" si="92"/>
        <v>197.71367725030444</v>
      </c>
      <c r="F84" s="13">
        <f t="shared" si="92"/>
        <v>190.38528394164064</v>
      </c>
      <c r="H84" s="49">
        <f t="shared" si="100"/>
        <v>0.60827121463102873</v>
      </c>
      <c r="I84" s="49">
        <f t="shared" si="93"/>
        <v>-0.72039092282821793</v>
      </c>
      <c r="L84" s="286" t="str">
        <f t="shared" si="94"/>
        <v>Skilled trades occupations</v>
      </c>
      <c r="M84" s="13">
        <f t="shared" si="94"/>
        <v>172.80955008077098</v>
      </c>
      <c r="N84" s="13">
        <f t="shared" si="94"/>
        <v>154.89486133646477</v>
      </c>
      <c r="O84" s="13">
        <f t="shared" si="94"/>
        <v>179.27006840202785</v>
      </c>
      <c r="P84" s="13">
        <f t="shared" si="94"/>
        <v>172.16088582910186</v>
      </c>
      <c r="Q84" s="13">
        <f t="shared" si="94"/>
        <v>165.20182527510866</v>
      </c>
      <c r="R84" s="286"/>
      <c r="S84" s="49">
        <f t="shared" si="95"/>
        <v>0.36770748439887146</v>
      </c>
      <c r="T84" s="49">
        <f t="shared" si="96"/>
        <v>-0.81392475774083595</v>
      </c>
      <c r="U84" s="286"/>
      <c r="W84" s="286" t="str">
        <f t="shared" si="97"/>
        <v>Skilled trades occupations</v>
      </c>
      <c r="X84" s="13">
        <f t="shared" si="97"/>
        <v>19.808032262102039</v>
      </c>
      <c r="Y84" s="13">
        <f t="shared" si="97"/>
        <v>18.734733133697961</v>
      </c>
      <c r="Z84" s="13">
        <f t="shared" si="97"/>
        <v>25.389847743170456</v>
      </c>
      <c r="AA84" s="13">
        <f t="shared" si="97"/>
        <v>25.55279142120262</v>
      </c>
      <c r="AB84" s="13">
        <f t="shared" si="97"/>
        <v>25.183458666531997</v>
      </c>
      <c r="AC84" s="286"/>
      <c r="AD84" s="49">
        <f t="shared" si="98"/>
        <v>2.5136923296991576</v>
      </c>
      <c r="AE84" s="49">
        <f t="shared" si="99"/>
        <v>-8.1586920806953067E-2</v>
      </c>
      <c r="AF84" s="286"/>
    </row>
    <row r="85" spans="1:32" x14ac:dyDescent="0.2">
      <c r="A85" t="str">
        <f t="shared" si="92"/>
        <v>Caring, leisure and other service</v>
      </c>
      <c r="B85" s="13">
        <f t="shared" si="92"/>
        <v>126.14913023603195</v>
      </c>
      <c r="C85" s="13">
        <f t="shared" si="92"/>
        <v>137.01849261936439</v>
      </c>
      <c r="D85" s="13">
        <f t="shared" si="92"/>
        <v>168.1161708779527</v>
      </c>
      <c r="E85" s="13">
        <f t="shared" si="92"/>
        <v>177.32710037561748</v>
      </c>
      <c r="F85" s="13">
        <f t="shared" si="92"/>
        <v>188.79525387511896</v>
      </c>
      <c r="H85" s="49">
        <f t="shared" si="100"/>
        <v>2.9135413460431137</v>
      </c>
      <c r="I85" s="49">
        <f t="shared" si="93"/>
        <v>1.166833822824298</v>
      </c>
      <c r="L85" s="286" t="str">
        <f t="shared" si="94"/>
        <v>Caring, leisure and other service</v>
      </c>
      <c r="M85" s="13">
        <f t="shared" si="94"/>
        <v>23.212623920749294</v>
      </c>
      <c r="N85" s="13">
        <f t="shared" si="94"/>
        <v>24.681745502270612</v>
      </c>
      <c r="O85" s="13">
        <f t="shared" si="94"/>
        <v>27.250872390928699</v>
      </c>
      <c r="P85" s="13">
        <f t="shared" si="94"/>
        <v>29.1894229073595</v>
      </c>
      <c r="Q85" s="13">
        <f t="shared" si="94"/>
        <v>31.644011230355297</v>
      </c>
      <c r="R85" s="286"/>
      <c r="S85" s="49">
        <f t="shared" si="95"/>
        <v>1.6168240991201399</v>
      </c>
      <c r="T85" s="49">
        <f t="shared" si="96"/>
        <v>1.5058592786947766</v>
      </c>
      <c r="U85" s="286"/>
      <c r="W85" s="286" t="str">
        <f t="shared" si="97"/>
        <v>Caring, leisure and other service</v>
      </c>
      <c r="X85" s="13">
        <f t="shared" si="97"/>
        <v>102.9365063152826</v>
      </c>
      <c r="Y85" s="13">
        <f t="shared" si="97"/>
        <v>112.33674711709375</v>
      </c>
      <c r="Z85" s="13">
        <f t="shared" si="97"/>
        <v>140.86529848702395</v>
      </c>
      <c r="AA85" s="13">
        <f t="shared" si="97"/>
        <v>148.13767746825823</v>
      </c>
      <c r="AB85" s="13">
        <f t="shared" si="97"/>
        <v>157.15124264476364</v>
      </c>
      <c r="AC85" s="286"/>
      <c r="AD85" s="49">
        <f t="shared" si="98"/>
        <v>3.1866372771544027</v>
      </c>
      <c r="AE85" s="49">
        <f t="shared" si="99"/>
        <v>1.1000522315943062</v>
      </c>
      <c r="AF85" s="286"/>
    </row>
    <row r="86" spans="1:32" x14ac:dyDescent="0.2">
      <c r="A86" t="str">
        <f t="shared" si="92"/>
        <v>Sales and customer service</v>
      </c>
      <c r="B86" s="13">
        <f t="shared" si="92"/>
        <v>131.40327711366808</v>
      </c>
      <c r="C86" s="13">
        <f t="shared" si="92"/>
        <v>125.82025945502616</v>
      </c>
      <c r="D86" s="13">
        <f t="shared" si="92"/>
        <v>125.66987901861698</v>
      </c>
      <c r="E86" s="13">
        <f t="shared" si="92"/>
        <v>123.63412707601984</v>
      </c>
      <c r="F86" s="13">
        <f t="shared" si="92"/>
        <v>122.14903772501791</v>
      </c>
      <c r="H86" s="49">
        <f t="shared" si="100"/>
        <v>-0.44513218471342597</v>
      </c>
      <c r="I86" s="49">
        <f t="shared" si="93"/>
        <v>-0.28376204303273145</v>
      </c>
      <c r="L86" s="286" t="str">
        <f t="shared" si="94"/>
        <v>Sales and customer service</v>
      </c>
      <c r="M86" s="13">
        <f t="shared" si="94"/>
        <v>41.511003308239935</v>
      </c>
      <c r="N86" s="13">
        <f t="shared" si="94"/>
        <v>39.115699196478104</v>
      </c>
      <c r="O86" s="13">
        <f t="shared" si="94"/>
        <v>41.326349900933906</v>
      </c>
      <c r="P86" s="13">
        <f t="shared" si="94"/>
        <v>41.855957357176507</v>
      </c>
      <c r="Q86" s="13">
        <f t="shared" si="94"/>
        <v>41.269523213392951</v>
      </c>
      <c r="R86" s="286"/>
      <c r="S86" s="49">
        <f t="shared" si="95"/>
        <v>-4.4572297578016062E-2</v>
      </c>
      <c r="T86" s="49">
        <f t="shared" si="96"/>
        <v>-1.3759231500753977E-2</v>
      </c>
      <c r="U86" s="286"/>
      <c r="W86" s="286" t="str">
        <f t="shared" si="97"/>
        <v>Sales and customer service</v>
      </c>
      <c r="X86" s="13">
        <f t="shared" si="97"/>
        <v>89.892273805428218</v>
      </c>
      <c r="Y86" s="13">
        <f t="shared" si="97"/>
        <v>86.704560258548071</v>
      </c>
      <c r="Z86" s="13">
        <f t="shared" si="97"/>
        <v>84.343529117683033</v>
      </c>
      <c r="AA86" s="13">
        <f t="shared" si="97"/>
        <v>81.7781697188436</v>
      </c>
      <c r="AB86" s="13">
        <f t="shared" si="97"/>
        <v>80.879514511624819</v>
      </c>
      <c r="AC86" s="286"/>
      <c r="AD86" s="49">
        <f t="shared" si="98"/>
        <v>-0.63511361614077</v>
      </c>
      <c r="AE86" s="49">
        <f t="shared" si="99"/>
        <v>-0.41849704287431067</v>
      </c>
      <c r="AF86" s="286"/>
    </row>
    <row r="87" spans="1:32" x14ac:dyDescent="0.2">
      <c r="A87" t="str">
        <f t="shared" si="92"/>
        <v>Process, plant and machine operatives</v>
      </c>
      <c r="B87" s="13">
        <f t="shared" si="92"/>
        <v>130.98207204915556</v>
      </c>
      <c r="C87" s="13">
        <f t="shared" si="92"/>
        <v>116.61966769195422</v>
      </c>
      <c r="D87" s="13">
        <f t="shared" si="92"/>
        <v>113.82573906258986</v>
      </c>
      <c r="E87" s="13">
        <f t="shared" si="92"/>
        <v>106.80862144444538</v>
      </c>
      <c r="F87" s="13">
        <f t="shared" si="92"/>
        <v>102.98688318643494</v>
      </c>
      <c r="H87" s="49">
        <f t="shared" si="100"/>
        <v>-1.3941088810559665</v>
      </c>
      <c r="I87" s="49">
        <f t="shared" si="93"/>
        <v>-0.99568036965712592</v>
      </c>
      <c r="L87" s="286" t="str">
        <f t="shared" si="94"/>
        <v>Process, plant and machine operatives</v>
      </c>
      <c r="M87" s="13">
        <f t="shared" si="94"/>
        <v>110.18626373177942</v>
      </c>
      <c r="N87" s="13">
        <f t="shared" si="94"/>
        <v>97.847480570799235</v>
      </c>
      <c r="O87" s="13">
        <f t="shared" si="94"/>
        <v>96.009564384213292</v>
      </c>
      <c r="P87" s="13">
        <f t="shared" si="94"/>
        <v>91.59976878425104</v>
      </c>
      <c r="Q87" s="13">
        <f t="shared" si="94"/>
        <v>89.457916941490396</v>
      </c>
      <c r="R87" s="286"/>
      <c r="S87" s="49">
        <f t="shared" si="95"/>
        <v>-1.367803630315656</v>
      </c>
      <c r="T87" s="49">
        <f t="shared" si="96"/>
        <v>-0.70430310411198072</v>
      </c>
      <c r="U87" s="286"/>
      <c r="W87" s="286" t="str">
        <f t="shared" si="97"/>
        <v>Process, plant and machine operatives</v>
      </c>
      <c r="X87" s="13">
        <f t="shared" si="97"/>
        <v>20.795808317375997</v>
      </c>
      <c r="Y87" s="13">
        <f t="shared" si="97"/>
        <v>18.772187121154936</v>
      </c>
      <c r="Z87" s="13">
        <f t="shared" si="97"/>
        <v>17.816174678376466</v>
      </c>
      <c r="AA87" s="13">
        <f t="shared" si="97"/>
        <v>15.20885266019441</v>
      </c>
      <c r="AB87" s="13">
        <f t="shared" si="97"/>
        <v>13.528966244944554</v>
      </c>
      <c r="AC87" s="286"/>
      <c r="AD87" s="49">
        <f t="shared" si="98"/>
        <v>-1.5345509953319847</v>
      </c>
      <c r="AE87" s="49">
        <f t="shared" si="99"/>
        <v>-2.7151944650785187</v>
      </c>
      <c r="AF87" s="286"/>
    </row>
    <row r="88" spans="1:32" x14ac:dyDescent="0.2">
      <c r="A88" t="str">
        <f t="shared" si="92"/>
        <v>Elementary occupations</v>
      </c>
      <c r="B88" s="13">
        <f t="shared" si="92"/>
        <v>196.99476340980632</v>
      </c>
      <c r="C88" s="13">
        <f t="shared" si="92"/>
        <v>164.61884348517052</v>
      </c>
      <c r="D88" s="13">
        <f t="shared" si="92"/>
        <v>176.46250364617717</v>
      </c>
      <c r="E88" s="13">
        <f t="shared" si="92"/>
        <v>176.51119269083904</v>
      </c>
      <c r="F88" s="13">
        <f t="shared" si="92"/>
        <v>175.63201786892921</v>
      </c>
      <c r="H88" s="49">
        <f t="shared" si="100"/>
        <v>-1.0946519688648459</v>
      </c>
      <c r="I88" s="49">
        <f t="shared" si="93"/>
        <v>-4.7162986637749871E-2</v>
      </c>
      <c r="L88" s="286" t="str">
        <f t="shared" si="94"/>
        <v>Elementary occupations</v>
      </c>
      <c r="M88" s="13">
        <f t="shared" si="94"/>
        <v>94.763643582538947</v>
      </c>
      <c r="N88" s="13">
        <f t="shared" si="94"/>
        <v>86.646407194674595</v>
      </c>
      <c r="O88" s="13">
        <f t="shared" si="94"/>
        <v>95.096219411059081</v>
      </c>
      <c r="P88" s="13">
        <f t="shared" si="94"/>
        <v>97.584227415103783</v>
      </c>
      <c r="Q88" s="13">
        <f t="shared" si="94"/>
        <v>100.12278674261904</v>
      </c>
      <c r="R88" s="286"/>
      <c r="S88" s="49">
        <f t="shared" si="95"/>
        <v>3.5039995012242642E-2</v>
      </c>
      <c r="T88" s="49">
        <f t="shared" si="96"/>
        <v>0.51640967462041054</v>
      </c>
      <c r="U88" s="286"/>
      <c r="W88" s="286" t="str">
        <f t="shared" si="97"/>
        <v>Elementary occupations</v>
      </c>
      <c r="X88" s="13">
        <f t="shared" si="97"/>
        <v>102.23111982726789</v>
      </c>
      <c r="Y88" s="13">
        <f t="shared" si="97"/>
        <v>77.972436290495935</v>
      </c>
      <c r="Z88" s="13">
        <f t="shared" si="97"/>
        <v>81.366284235117774</v>
      </c>
      <c r="AA88" s="13">
        <f t="shared" si="97"/>
        <v>78.926965275734901</v>
      </c>
      <c r="AB88" s="13">
        <f t="shared" si="97"/>
        <v>75.509231126310439</v>
      </c>
      <c r="AC88" s="286"/>
      <c r="AD88" s="49">
        <f t="shared" si="98"/>
        <v>-2.2568937795788724</v>
      </c>
      <c r="AE88" s="49">
        <f t="shared" si="99"/>
        <v>-0.74427716989772241</v>
      </c>
      <c r="AF88" s="286"/>
    </row>
    <row r="89" spans="1:32" x14ac:dyDescent="0.2">
      <c r="B89" s="13"/>
      <c r="C89" s="13"/>
      <c r="D89" s="13"/>
      <c r="E89" s="13"/>
      <c r="F89" s="13"/>
      <c r="H89" s="49"/>
      <c r="I89" s="49"/>
      <c r="L89" s="286"/>
      <c r="M89" s="13"/>
      <c r="N89" s="13"/>
      <c r="O89" s="13"/>
      <c r="P89" s="13"/>
      <c r="Q89" s="13"/>
      <c r="R89" s="286"/>
      <c r="S89" s="49"/>
      <c r="T89" s="49"/>
      <c r="U89" s="286"/>
      <c r="W89" s="286"/>
      <c r="X89" s="13"/>
      <c r="Y89" s="13"/>
      <c r="Z89" s="13"/>
      <c r="AA89" s="13"/>
      <c r="AB89" s="13"/>
      <c r="AC89" s="286"/>
      <c r="AD89" s="49"/>
      <c r="AE89" s="49"/>
      <c r="AF89" s="286"/>
    </row>
    <row r="90" spans="1:32" x14ac:dyDescent="0.2">
      <c r="A90" s="37" t="str">
        <f t="shared" ref="A90:F90" si="101">A18</f>
        <v>All occupations</v>
      </c>
      <c r="B90" s="39">
        <f t="shared" si="101"/>
        <v>1408.9670000019441</v>
      </c>
      <c r="C90" s="39">
        <f t="shared" si="101"/>
        <v>1357.8780000009849</v>
      </c>
      <c r="D90" s="39">
        <f t="shared" si="101"/>
        <v>1529.7600000008433</v>
      </c>
      <c r="E90" s="39">
        <f t="shared" si="101"/>
        <v>1546.2870000021662</v>
      </c>
      <c r="F90" s="39">
        <f t="shared" si="101"/>
        <v>1569.1730000018847</v>
      </c>
      <c r="H90" s="52">
        <f>IF(D$6-B$6 &lt;&gt; 0,(EXP(LN(D18/B18)/(D$6-B$6))-1)*100,0)</f>
        <v>0.82593264427839319</v>
      </c>
      <c r="I90" s="52">
        <f>F56</f>
        <v>0.2547025034074446</v>
      </c>
      <c r="L90" s="37" t="str">
        <f t="shared" ref="L90:Q90" si="102">L18</f>
        <v>All occupations</v>
      </c>
      <c r="M90" s="39">
        <f t="shared" si="102"/>
        <v>738.59400000042547</v>
      </c>
      <c r="N90" s="39">
        <f t="shared" si="102"/>
        <v>706.56800000016563</v>
      </c>
      <c r="O90" s="39">
        <f t="shared" si="102"/>
        <v>771.50600000010388</v>
      </c>
      <c r="P90" s="39">
        <f t="shared" si="102"/>
        <v>770.92900000092095</v>
      </c>
      <c r="Q90" s="39">
        <f t="shared" si="102"/>
        <v>773.44700000104751</v>
      </c>
      <c r="R90" s="286"/>
      <c r="S90" s="52">
        <f>IF(O$6-M$6 &lt;&gt; 0,(EXP(LN(O18/M18)/(O$6-M$6))-1)*100,0)</f>
        <v>0.43691239036944829</v>
      </c>
      <c r="T90" s="52">
        <f>Q56</f>
        <v>2.5130148298102561E-2</v>
      </c>
      <c r="U90" s="286"/>
      <c r="W90" s="37" t="str">
        <f t="shared" ref="W90:AB90" si="103">W18</f>
        <v>All occupations</v>
      </c>
      <c r="X90" s="39">
        <f t="shared" si="103"/>
        <v>670.37300000151845</v>
      </c>
      <c r="Y90" s="39">
        <f t="shared" si="103"/>
        <v>651.31000000081963</v>
      </c>
      <c r="Z90" s="39">
        <f t="shared" si="103"/>
        <v>758.25400000073898</v>
      </c>
      <c r="AA90" s="39">
        <f t="shared" si="103"/>
        <v>775.35800000124595</v>
      </c>
      <c r="AB90" s="39">
        <f t="shared" si="103"/>
        <v>795.72600000083776</v>
      </c>
      <c r="AC90" s="286"/>
      <c r="AD90" s="52">
        <f>IF(Z$6-X$6 &lt;&gt; 0,(EXP(LN(Z18/X18)/(Z$6-X$6))-1)*100,0)</f>
        <v>1.2394598969373227</v>
      </c>
      <c r="AE90" s="52">
        <f>AB56</f>
        <v>0.48353008822632493</v>
      </c>
      <c r="AF90" s="286"/>
    </row>
  </sheetData>
  <phoneticPr fontId="5" type="noConversion"/>
  <pageMargins left="0.39370078740157483" right="0.39370078740157483" top="0.78740157480314965" bottom="0.78740157480314965" header="0.51181102362204722" footer="0.51181102362204722"/>
  <pageSetup paperSize="9" scale="74" orientation="landscape" r:id="rId1"/>
  <headerFooter alignWithMargins="0"/>
  <rowBreaks count="1" manualBreakCount="1">
    <brk id="38" max="31" man="1"/>
  </rowBreaks>
  <colBreaks count="2" manualBreakCount="2">
    <brk id="10" max="89" man="1"/>
    <brk id="21" max="89" man="1"/>
  </colBreaks>
  <ignoredErrors>
    <ignoredError sqref="C45 C57:C61 C63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77"/>
  <sheetViews>
    <sheetView showGridLines="0" zoomScale="85" zoomScaleNormal="85" workbookViewId="0"/>
  </sheetViews>
  <sheetFormatPr defaultColWidth="9.140625" defaultRowHeight="12.75" x14ac:dyDescent="0.2"/>
  <cols>
    <col min="1" max="1" width="55.7109375" style="217" customWidth="1"/>
    <col min="2" max="6" width="10" style="217" customWidth="1"/>
    <col min="7" max="7" width="6.7109375" style="217" customWidth="1"/>
    <col min="8" max="10" width="13" style="217" customWidth="1"/>
    <col min="11" max="11" width="9.140625" style="217"/>
    <col min="12" max="12" width="55.7109375" style="286" customWidth="1"/>
    <col min="13" max="17" width="10" style="286" customWidth="1"/>
    <col min="18" max="18" width="6.7109375" style="286" customWidth="1"/>
    <col min="19" max="21" width="13" style="286" customWidth="1"/>
    <col min="22" max="22" width="9.140625" style="217"/>
    <col min="23" max="23" width="55.7109375" style="286" customWidth="1"/>
    <col min="24" max="28" width="10" style="286" customWidth="1"/>
    <col min="29" max="29" width="6.7109375" style="286" customWidth="1"/>
    <col min="30" max="32" width="13" style="286" customWidth="1"/>
    <col min="33" max="16384" width="9.140625" style="217"/>
  </cols>
  <sheetData>
    <row r="1" spans="1:32" ht="15.75" x14ac:dyDescent="0.25">
      <c r="A1" s="23" t="str">
        <f>CONCATENATE("Occupation Table 2  Employment Change by Occupation (SOC 2010) and Replacement Demand, ",B$6,"-",F$6)</f>
        <v>Occupation Table 2  Employment Change by Occupation (SOC 2010) and Replacement Demand, 2007-2027</v>
      </c>
      <c r="L1" s="23" t="str">
        <f>CONCATENATE("Occupation Table 2.1  Males: Employment Change by Occupation (SOC 2010) and Replacement Demand, ",M$6,"-",Q$6)</f>
        <v>Occupation Table 2.1  Males: Employment Change by Occupation (SOC 2010) and Replacement Demand, 2007-2027</v>
      </c>
      <c r="W1" s="23" t="str">
        <f>CONCATENATE("Occupation Table 2.2  Females: Employment Change by Occupation (SOC 2010) and Replacement Demand, ",X$6,"-",AB$6)</f>
        <v>Occupation Table 2.2  Females: Employment Change by Occupation (SOC 2010) and Replacement Demand, 2007-2027</v>
      </c>
    </row>
    <row r="2" spans="1:32" ht="12.75" customHeight="1" x14ac:dyDescent="0.2">
      <c r="A2" s="112"/>
      <c r="D2" s="487"/>
      <c r="E2" s="286"/>
      <c r="F2" s="286"/>
      <c r="G2" s="112"/>
      <c r="H2" s="286"/>
      <c r="I2" s="286"/>
      <c r="J2" s="112"/>
      <c r="K2" s="286"/>
      <c r="M2" s="112"/>
      <c r="P2" s="112"/>
      <c r="S2" s="112"/>
      <c r="V2" s="112"/>
    </row>
    <row r="3" spans="1:32" x14ac:dyDescent="0.2">
      <c r="F3" s="19" t="s">
        <v>35</v>
      </c>
      <c r="J3" s="19" t="s">
        <v>35</v>
      </c>
      <c r="Q3" s="19" t="s">
        <v>35</v>
      </c>
      <c r="U3" s="19" t="s">
        <v>35</v>
      </c>
      <c r="AB3" s="19" t="s">
        <v>35</v>
      </c>
      <c r="AF3" s="19" t="s">
        <v>35</v>
      </c>
    </row>
    <row r="4" spans="1:32" x14ac:dyDescent="0.2">
      <c r="A4" s="41"/>
      <c r="B4" s="41"/>
      <c r="C4" s="41"/>
      <c r="D4" s="41"/>
      <c r="E4" s="41"/>
      <c r="F4" s="41"/>
      <c r="H4" s="135" t="str">
        <f>CONCATENATE(D6,"-",F6)</f>
        <v>2017-2027</v>
      </c>
      <c r="I4" s="41"/>
      <c r="J4" s="41"/>
      <c r="L4" s="32" t="s">
        <v>98</v>
      </c>
      <c r="M4" s="41"/>
      <c r="N4" s="41"/>
      <c r="O4" s="41"/>
      <c r="P4" s="41"/>
      <c r="Q4" s="41"/>
      <c r="S4" s="135" t="str">
        <f>CONCATENATE(O6,"-",Q6)</f>
        <v>2017-2027</v>
      </c>
      <c r="T4" s="41"/>
      <c r="U4" s="41"/>
      <c r="W4" s="32" t="s">
        <v>99</v>
      </c>
      <c r="X4" s="41"/>
      <c r="Y4" s="41"/>
      <c r="Z4" s="41"/>
      <c r="AA4" s="41"/>
      <c r="AB4" s="41"/>
      <c r="AD4" s="135" t="str">
        <f>CONCATENATE(Z6,"-",AB6)</f>
        <v>2017-2027</v>
      </c>
      <c r="AE4" s="41"/>
      <c r="AF4" s="41"/>
    </row>
    <row r="5" spans="1:32" x14ac:dyDescent="0.2">
      <c r="H5" s="19" t="s">
        <v>29</v>
      </c>
      <c r="I5" s="19" t="s">
        <v>30</v>
      </c>
      <c r="J5" s="19" t="s">
        <v>32</v>
      </c>
      <c r="S5" s="19" t="s">
        <v>29</v>
      </c>
      <c r="T5" s="19" t="s">
        <v>30</v>
      </c>
      <c r="U5" s="19" t="s">
        <v>32</v>
      </c>
      <c r="AD5" s="19" t="s">
        <v>29</v>
      </c>
      <c r="AE5" s="19" t="s">
        <v>30</v>
      </c>
      <c r="AF5" s="19" t="s">
        <v>32</v>
      </c>
    </row>
    <row r="6" spans="1:32" x14ac:dyDescent="0.2">
      <c r="A6" s="78" t="s">
        <v>13</v>
      </c>
      <c r="B6" s="51">
        <v>2007</v>
      </c>
      <c r="C6" s="51">
        <v>2012</v>
      </c>
      <c r="D6" s="51">
        <v>2017</v>
      </c>
      <c r="E6" s="51">
        <v>2022</v>
      </c>
      <c r="F6" s="51">
        <v>2027</v>
      </c>
      <c r="H6" s="75" t="s">
        <v>18</v>
      </c>
      <c r="I6" s="75" t="s">
        <v>31</v>
      </c>
      <c r="J6" s="75" t="s">
        <v>33</v>
      </c>
      <c r="L6" s="78" t="s">
        <v>13</v>
      </c>
      <c r="M6" s="51">
        <v>2007</v>
      </c>
      <c r="N6" s="51">
        <v>2012</v>
      </c>
      <c r="O6" s="51">
        <v>2017</v>
      </c>
      <c r="P6" s="51">
        <v>2022</v>
      </c>
      <c r="Q6" s="51">
        <v>2027</v>
      </c>
      <c r="S6" s="75" t="s">
        <v>18</v>
      </c>
      <c r="T6" s="75" t="s">
        <v>31</v>
      </c>
      <c r="U6" s="75" t="s">
        <v>33</v>
      </c>
      <c r="W6" s="78" t="s">
        <v>13</v>
      </c>
      <c r="X6" s="51">
        <v>2007</v>
      </c>
      <c r="Y6" s="51">
        <v>2012</v>
      </c>
      <c r="Z6" s="51">
        <v>2017</v>
      </c>
      <c r="AA6" s="51">
        <v>2022</v>
      </c>
      <c r="AB6" s="51">
        <v>2027</v>
      </c>
      <c r="AD6" s="75" t="s">
        <v>18</v>
      </c>
      <c r="AE6" s="75" t="s">
        <v>31</v>
      </c>
      <c r="AF6" s="75" t="s">
        <v>33</v>
      </c>
    </row>
    <row r="8" spans="1:32" x14ac:dyDescent="0.2">
      <c r="A8" s="12" t="str">
        <f>name!D4</f>
        <v xml:space="preserve"> 11 Corporate managers and directors</v>
      </c>
      <c r="B8" s="13">
        <v>62.791080673241183</v>
      </c>
      <c r="C8" s="13">
        <v>63.931722947781608</v>
      </c>
      <c r="D8" s="13">
        <v>75.827297635181665</v>
      </c>
      <c r="E8" s="13">
        <v>81.604810249282991</v>
      </c>
      <c r="F8" s="13">
        <v>86.787628928781672</v>
      </c>
      <c r="G8" s="12"/>
      <c r="H8" s="13">
        <f>F8-D8</f>
        <v>10.960331293600007</v>
      </c>
      <c r="I8" s="13">
        <f>'RD T1'!E7</f>
        <v>28.407078797813018</v>
      </c>
      <c r="J8" s="13">
        <f>SUM(H8:I8)</f>
        <v>39.367410091413021</v>
      </c>
      <c r="L8" s="12" t="str">
        <f>name!D4</f>
        <v xml:space="preserve"> 11 Corporate managers and directors</v>
      </c>
      <c r="M8" s="13">
        <v>48.418297678155469</v>
      </c>
      <c r="N8" s="13">
        <v>47.415917469577302</v>
      </c>
      <c r="O8" s="13">
        <v>52.61977804715319</v>
      </c>
      <c r="P8" s="13">
        <v>54.712607417554871</v>
      </c>
      <c r="Q8" s="13">
        <v>56.284734339776804</v>
      </c>
      <c r="R8" s="12"/>
      <c r="S8" s="13">
        <f>Q8-O8</f>
        <v>3.6649562926236143</v>
      </c>
      <c r="T8" s="13">
        <f>'RD T1'!T7</f>
        <v>17.52346479315873</v>
      </c>
      <c r="U8" s="13">
        <f>SUM(S8:T8)</f>
        <v>21.188421085782345</v>
      </c>
      <c r="W8" s="12" t="str">
        <f>name!D4</f>
        <v xml:space="preserve"> 11 Corporate managers and directors</v>
      </c>
      <c r="X8" s="13">
        <v>14.372782995085739</v>
      </c>
      <c r="Y8" s="13">
        <v>16.515805478204189</v>
      </c>
      <c r="Z8" s="13">
        <v>23.207519588028322</v>
      </c>
      <c r="AA8" s="13">
        <v>26.892202831727911</v>
      </c>
      <c r="AB8" s="13">
        <v>30.502894589005177</v>
      </c>
      <c r="AC8" s="12"/>
      <c r="AD8" s="13">
        <f>AB8-Z8</f>
        <v>7.2953750009768541</v>
      </c>
      <c r="AE8" s="13">
        <f>'RD T1'!T35</f>
        <v>10.883614004654282</v>
      </c>
      <c r="AF8" s="13">
        <f>SUM(AD8:AE8)</f>
        <v>18.178989005631138</v>
      </c>
    </row>
    <row r="9" spans="1:32" x14ac:dyDescent="0.2">
      <c r="A9" s="12" t="str">
        <f>name!D5</f>
        <v xml:space="preserve"> 12 Other managers and proprietors</v>
      </c>
      <c r="B9" s="13">
        <v>33.574909986255072</v>
      </c>
      <c r="C9" s="13">
        <v>38.136685949187907</v>
      </c>
      <c r="D9" s="13">
        <v>45.562422803506315</v>
      </c>
      <c r="E9" s="13">
        <v>47.895598726254597</v>
      </c>
      <c r="F9" s="13">
        <v>49.930926503086525</v>
      </c>
      <c r="H9" s="13">
        <f t="shared" ref="H9:H34" si="0">F9-D9</f>
        <v>4.3685036995802093</v>
      </c>
      <c r="I9" s="13">
        <f>'RD T1'!E8</f>
        <v>18.616004705656529</v>
      </c>
      <c r="J9" s="13">
        <f>SUM(H9:I9)</f>
        <v>22.984508405236738</v>
      </c>
      <c r="L9" s="12" t="str">
        <f>name!D5</f>
        <v xml:space="preserve"> 12 Other managers and proprietors</v>
      </c>
      <c r="M9" s="13">
        <v>20.154681798149738</v>
      </c>
      <c r="N9" s="13">
        <v>23.718311749982856</v>
      </c>
      <c r="O9" s="13">
        <v>24.314430829333858</v>
      </c>
      <c r="P9" s="13">
        <v>25.020377410687395</v>
      </c>
      <c r="Q9" s="13">
        <v>25.684603474999857</v>
      </c>
      <c r="S9" s="13">
        <f t="shared" ref="S9:S32" si="1">Q9-O9</f>
        <v>1.3701726456659991</v>
      </c>
      <c r="T9" s="13">
        <f>'RD T1'!T8</f>
        <v>8.526061825323179</v>
      </c>
      <c r="U9" s="13">
        <f>SUM(S9:T9)</f>
        <v>9.8962344709891781</v>
      </c>
      <c r="W9" s="12" t="str">
        <f>name!D5</f>
        <v xml:space="preserve"> 12 Other managers and proprietors</v>
      </c>
      <c r="X9" s="13">
        <v>13.420228188105371</v>
      </c>
      <c r="Y9" s="13">
        <v>14.418374199205072</v>
      </c>
      <c r="Z9" s="13">
        <v>21.2479919741725</v>
      </c>
      <c r="AA9" s="13">
        <v>22.875221315567192</v>
      </c>
      <c r="AB9" s="13">
        <v>24.246323028086689</v>
      </c>
      <c r="AD9" s="13">
        <f t="shared" ref="AD9:AD32" si="2">AB9-Z9</f>
        <v>2.998331053914189</v>
      </c>
      <c r="AE9" s="13">
        <f>'RD T1'!T36</f>
        <v>10.089942880333348</v>
      </c>
      <c r="AF9" s="13">
        <f>SUM(AD9:AE9)</f>
        <v>13.088273934247537</v>
      </c>
    </row>
    <row r="10" spans="1:32" x14ac:dyDescent="0.2">
      <c r="A10" s="12" t="str">
        <f>name!D6</f>
        <v xml:space="preserve"> 21 Science, research, engineering and technology professionals</v>
      </c>
      <c r="B10" s="13">
        <v>39.404062516743629</v>
      </c>
      <c r="C10" s="13">
        <v>40.310454710373008</v>
      </c>
      <c r="D10" s="13">
        <v>48.951367989588107</v>
      </c>
      <c r="E10" s="13">
        <v>51.330824580438318</v>
      </c>
      <c r="F10" s="13">
        <v>53.238061977314004</v>
      </c>
      <c r="G10" s="13"/>
      <c r="H10" s="13">
        <f t="shared" si="0"/>
        <v>4.2866939877258972</v>
      </c>
      <c r="I10" s="13">
        <f>'RD T1'!E9</f>
        <v>12.736222592761298</v>
      </c>
      <c r="J10" s="13">
        <f t="shared" ref="J10:J32" si="3">SUM(H10:I10)</f>
        <v>17.022916580487195</v>
      </c>
      <c r="L10" s="12" t="str">
        <f>name!D6</f>
        <v xml:space="preserve"> 21 Science, research, engineering and technology professionals</v>
      </c>
      <c r="M10" s="13">
        <v>32.85514132114313</v>
      </c>
      <c r="N10" s="13">
        <v>32.918372463483301</v>
      </c>
      <c r="O10" s="13">
        <v>38.566205916195614</v>
      </c>
      <c r="P10" s="13">
        <v>39.471630001100067</v>
      </c>
      <c r="Q10" s="13">
        <v>40.006152322875977</v>
      </c>
      <c r="R10" s="13"/>
      <c r="S10" s="13">
        <f t="shared" si="1"/>
        <v>1.4399464066803631</v>
      </c>
      <c r="T10" s="13">
        <f>'RD T1'!T9</f>
        <v>8.6565494643301104</v>
      </c>
      <c r="U10" s="13">
        <f t="shared" ref="U10:U32" si="4">SUM(S10:T10)</f>
        <v>10.096495871010474</v>
      </c>
      <c r="W10" s="12" t="str">
        <f>name!D6</f>
        <v xml:space="preserve"> 21 Science, research, engineering and technology professionals</v>
      </c>
      <c r="X10" s="13">
        <v>6.5489211956003803</v>
      </c>
      <c r="Y10" s="13">
        <v>7.3920822468897791</v>
      </c>
      <c r="Z10" s="13">
        <v>10.385162073392438</v>
      </c>
      <c r="AA10" s="13">
        <v>11.859194579338242</v>
      </c>
      <c r="AB10" s="13">
        <v>13.231909654438017</v>
      </c>
      <c r="AC10" s="13"/>
      <c r="AD10" s="13">
        <f t="shared" si="2"/>
        <v>2.8467475810455785</v>
      </c>
      <c r="AE10" s="13">
        <f>'RD T1'!T37</f>
        <v>4.0796731284311871</v>
      </c>
      <c r="AF10" s="13">
        <f t="shared" ref="AF10:AF32" si="5">SUM(AD10:AE10)</f>
        <v>6.9264207094767656</v>
      </c>
    </row>
    <row r="11" spans="1:32" x14ac:dyDescent="0.2">
      <c r="A11" s="12" t="str">
        <f>name!D7</f>
        <v xml:space="preserve"> 22 Health professionals</v>
      </c>
      <c r="B11" s="13">
        <v>65.918325380874236</v>
      </c>
      <c r="C11" s="13">
        <v>73.932405683303031</v>
      </c>
      <c r="D11" s="13">
        <v>96.439442296228563</v>
      </c>
      <c r="E11" s="13">
        <v>104.33498800884813</v>
      </c>
      <c r="F11" s="13">
        <v>112.3717737309305</v>
      </c>
      <c r="G11" s="13"/>
      <c r="H11" s="13">
        <f t="shared" si="0"/>
        <v>15.932331434701936</v>
      </c>
      <c r="I11" s="13">
        <f>'RD T1'!E10</f>
        <v>37.061941360139045</v>
      </c>
      <c r="J11" s="13">
        <f t="shared" si="3"/>
        <v>52.994272794840981</v>
      </c>
      <c r="L11" s="12" t="str">
        <f>name!D7</f>
        <v xml:space="preserve"> 22 Health professionals</v>
      </c>
      <c r="M11" s="13">
        <v>19.142633155119171</v>
      </c>
      <c r="N11" s="13">
        <v>24.086591417072942</v>
      </c>
      <c r="O11" s="13">
        <v>28.336553949905682</v>
      </c>
      <c r="P11" s="13">
        <v>29.437707223363059</v>
      </c>
      <c r="Q11" s="13">
        <v>31.198246186391458</v>
      </c>
      <c r="R11" s="13"/>
      <c r="S11" s="13">
        <f t="shared" si="1"/>
        <v>2.8616922364857764</v>
      </c>
      <c r="T11" s="13">
        <f>'RD T1'!T10</f>
        <v>7.8474393533924989</v>
      </c>
      <c r="U11" s="13">
        <f t="shared" si="4"/>
        <v>10.709131589878275</v>
      </c>
      <c r="W11" s="12" t="str">
        <f>name!D7</f>
        <v xml:space="preserve"> 22 Health professionals</v>
      </c>
      <c r="X11" s="13">
        <v>46.775692225755037</v>
      </c>
      <c r="Y11" s="13">
        <v>49.845814266230278</v>
      </c>
      <c r="Z11" s="13">
        <v>68.102888346322899</v>
      </c>
      <c r="AA11" s="13">
        <v>74.897280785485165</v>
      </c>
      <c r="AB11" s="13">
        <v>81.173527544539041</v>
      </c>
      <c r="AC11" s="13"/>
      <c r="AD11" s="13">
        <f t="shared" si="2"/>
        <v>13.070639198216142</v>
      </c>
      <c r="AE11" s="13">
        <f>'RD T1'!T38</f>
        <v>29.214502006746553</v>
      </c>
      <c r="AF11" s="13">
        <f t="shared" si="5"/>
        <v>42.285141204962699</v>
      </c>
    </row>
    <row r="12" spans="1:32" x14ac:dyDescent="0.2">
      <c r="A12" s="12" t="str">
        <f>name!D8</f>
        <v xml:space="preserve"> 23 Teaching and educational professionals</v>
      </c>
      <c r="B12" s="13">
        <v>73.917574240407916</v>
      </c>
      <c r="C12" s="13">
        <v>83.824240112476602</v>
      </c>
      <c r="D12" s="13">
        <v>93.711316882436563</v>
      </c>
      <c r="E12" s="13">
        <v>96.639242989237744</v>
      </c>
      <c r="F12" s="13">
        <v>104.26072423736112</v>
      </c>
      <c r="G12" s="13"/>
      <c r="H12" s="13">
        <f t="shared" si="0"/>
        <v>10.549407354924554</v>
      </c>
      <c r="I12" s="13">
        <f>'RD T1'!E11</f>
        <v>33.268221952342721</v>
      </c>
      <c r="J12" s="13">
        <f t="shared" si="3"/>
        <v>43.817629307267275</v>
      </c>
      <c r="L12" s="12" t="str">
        <f>name!D8</f>
        <v xml:space="preserve"> 23 Teaching and educational professionals</v>
      </c>
      <c r="M12" s="13">
        <v>24.563249491157372</v>
      </c>
      <c r="N12" s="13">
        <v>29.108742173996582</v>
      </c>
      <c r="O12" s="13">
        <v>32.32617902029677</v>
      </c>
      <c r="P12" s="13">
        <v>31.965915657150685</v>
      </c>
      <c r="Q12" s="13">
        <v>33.518277486137045</v>
      </c>
      <c r="R12" s="13"/>
      <c r="S12" s="13">
        <f t="shared" si="1"/>
        <v>1.1920984658402745</v>
      </c>
      <c r="T12" s="13">
        <f>'RD T1'!T11</f>
        <v>9.0718656792754135</v>
      </c>
      <c r="U12" s="13">
        <f t="shared" si="4"/>
        <v>10.263964145115688</v>
      </c>
      <c r="W12" s="12" t="str">
        <f>name!D8</f>
        <v xml:space="preserve"> 23 Teaching and educational professionals</v>
      </c>
      <c r="X12" s="13">
        <v>49.35432474925058</v>
      </c>
      <c r="Y12" s="13">
        <v>54.715497938480262</v>
      </c>
      <c r="Z12" s="13">
        <v>61.385137862139736</v>
      </c>
      <c r="AA12" s="13">
        <v>64.673327332087055</v>
      </c>
      <c r="AB12" s="13">
        <v>70.742446751224151</v>
      </c>
      <c r="AC12" s="13"/>
      <c r="AD12" s="13">
        <f t="shared" si="2"/>
        <v>9.3573088890844147</v>
      </c>
      <c r="AE12" s="13">
        <f>'RD T1'!T39</f>
        <v>24.196356273067313</v>
      </c>
      <c r="AF12" s="13">
        <f t="shared" si="5"/>
        <v>33.553665162151731</v>
      </c>
    </row>
    <row r="13" spans="1:32" x14ac:dyDescent="0.2">
      <c r="A13" s="12" t="str">
        <f>name!D9</f>
        <v xml:space="preserve"> 24 Business, media and public service professionals</v>
      </c>
      <c r="B13" s="13">
        <v>41.841572819713782</v>
      </c>
      <c r="C13" s="13">
        <v>40.050599067696901</v>
      </c>
      <c r="D13" s="13">
        <v>47.830198994488903</v>
      </c>
      <c r="E13" s="13">
        <v>52.055696611402929</v>
      </c>
      <c r="F13" s="13">
        <v>54.894569880366987</v>
      </c>
      <c r="G13" s="13"/>
      <c r="H13" s="13">
        <f t="shared" si="0"/>
        <v>7.064370885878084</v>
      </c>
      <c r="I13" s="13">
        <f>'RD T1'!E12</f>
        <v>17.290522424876478</v>
      </c>
      <c r="J13" s="13">
        <f t="shared" si="3"/>
        <v>24.354893310754562</v>
      </c>
      <c r="L13" s="12" t="str">
        <f>name!D9</f>
        <v xml:space="preserve"> 24 Business, media and public service professionals</v>
      </c>
      <c r="M13" s="13">
        <v>24.264266047829025</v>
      </c>
      <c r="N13" s="13">
        <v>21.157753025800819</v>
      </c>
      <c r="O13" s="13">
        <v>21.859349683733893</v>
      </c>
      <c r="P13" s="13">
        <v>22.368818777925583</v>
      </c>
      <c r="Q13" s="13">
        <v>22.010129556963619</v>
      </c>
      <c r="R13" s="13"/>
      <c r="S13" s="13">
        <f t="shared" si="1"/>
        <v>0.15077987322972675</v>
      </c>
      <c r="T13" s="13">
        <f>'RD T1'!T12</f>
        <v>6.2425722087006639</v>
      </c>
      <c r="U13" s="13">
        <f t="shared" si="4"/>
        <v>6.3933520819303906</v>
      </c>
      <c r="W13" s="12" t="str">
        <f>name!D9</f>
        <v xml:space="preserve"> 24 Business, media and public service professionals</v>
      </c>
      <c r="X13" s="13">
        <v>17.577306771884707</v>
      </c>
      <c r="Y13" s="13">
        <v>18.892846041896142</v>
      </c>
      <c r="Z13" s="13">
        <v>25.97084931075506</v>
      </c>
      <c r="AA13" s="13">
        <v>29.686877833477499</v>
      </c>
      <c r="AB13" s="13">
        <v>32.884440323403325</v>
      </c>
      <c r="AC13" s="13"/>
      <c r="AD13" s="13">
        <f t="shared" si="2"/>
        <v>6.9135910126482649</v>
      </c>
      <c r="AE13" s="13">
        <f>'RD T1'!T40</f>
        <v>11.047950216175806</v>
      </c>
      <c r="AF13" s="13">
        <f t="shared" si="5"/>
        <v>17.961541228824071</v>
      </c>
    </row>
    <row r="14" spans="1:32" x14ac:dyDescent="0.2">
      <c r="A14" s="12" t="str">
        <f>name!D10</f>
        <v xml:space="preserve"> 31 Science, engineering and technology associate professionals</v>
      </c>
      <c r="B14" s="13">
        <v>23.969208752827978</v>
      </c>
      <c r="C14" s="13">
        <v>22.082241601988173</v>
      </c>
      <c r="D14" s="13">
        <v>25.153076673906533</v>
      </c>
      <c r="E14" s="13">
        <v>25.133794864033277</v>
      </c>
      <c r="F14" s="13">
        <v>25.291027134911744</v>
      </c>
      <c r="G14" s="13"/>
      <c r="H14" s="13">
        <f t="shared" si="0"/>
        <v>0.13795046100521091</v>
      </c>
      <c r="I14" s="13">
        <f>'RD T1'!E13</f>
        <v>6.7151101066635102</v>
      </c>
      <c r="J14" s="13">
        <f t="shared" si="3"/>
        <v>6.8530605676687211</v>
      </c>
      <c r="L14" s="12" t="str">
        <f>name!D10</f>
        <v xml:space="preserve"> 31 Science, engineering and technology associate professionals</v>
      </c>
      <c r="M14" s="13">
        <v>18.500234166713323</v>
      </c>
      <c r="N14" s="13">
        <v>16.84279092894101</v>
      </c>
      <c r="O14" s="13">
        <v>19.101619639066506</v>
      </c>
      <c r="P14" s="13">
        <v>19.120412228436219</v>
      </c>
      <c r="Q14" s="13">
        <v>19.279374227958979</v>
      </c>
      <c r="R14" s="13"/>
      <c r="S14" s="13">
        <f t="shared" si="1"/>
        <v>0.17775458889247275</v>
      </c>
      <c r="T14" s="13">
        <f>'RD T1'!T13</f>
        <v>4.680529360856454</v>
      </c>
      <c r="U14" s="13">
        <f t="shared" si="4"/>
        <v>4.8582839497489267</v>
      </c>
      <c r="W14" s="12" t="str">
        <f>name!D10</f>
        <v xml:space="preserve"> 31 Science, engineering and technology associate professionals</v>
      </c>
      <c r="X14" s="13">
        <v>5.4689745861146513</v>
      </c>
      <c r="Y14" s="13">
        <v>5.239450673047144</v>
      </c>
      <c r="Z14" s="13">
        <v>6.0514570348399603</v>
      </c>
      <c r="AA14" s="13">
        <v>6.0133826355970879</v>
      </c>
      <c r="AB14" s="13">
        <v>6.0116529069527269</v>
      </c>
      <c r="AC14" s="13"/>
      <c r="AD14" s="13">
        <f t="shared" si="2"/>
        <v>-3.980412788723342E-2</v>
      </c>
      <c r="AE14" s="13">
        <f>'RD T1'!T41</f>
        <v>2.0345807458070548</v>
      </c>
      <c r="AF14" s="13">
        <f t="shared" si="5"/>
        <v>1.9947766179198214</v>
      </c>
    </row>
    <row r="15" spans="1:32" x14ac:dyDescent="0.2">
      <c r="A15" s="12" t="str">
        <f>name!D11</f>
        <v xml:space="preserve"> 32 Health and social care associate professionals</v>
      </c>
      <c r="B15" s="13">
        <v>22.021237095591832</v>
      </c>
      <c r="C15" s="13">
        <v>24.271169744617566</v>
      </c>
      <c r="D15" s="13">
        <v>31.236630799272728</v>
      </c>
      <c r="E15" s="13">
        <v>33.858640696036062</v>
      </c>
      <c r="F15" s="13">
        <v>36.336353610236586</v>
      </c>
      <c r="G15" s="13"/>
      <c r="H15" s="13">
        <f t="shared" si="0"/>
        <v>5.0997228109638577</v>
      </c>
      <c r="I15" s="13">
        <f>'RD T1'!E14</f>
        <v>12.861763111419821</v>
      </c>
      <c r="J15" s="13">
        <f t="shared" si="3"/>
        <v>17.96148592238368</v>
      </c>
      <c r="L15" s="12" t="str">
        <f>name!D11</f>
        <v xml:space="preserve"> 32 Health and social care associate professionals</v>
      </c>
      <c r="M15" s="13">
        <v>6.7370099437551998</v>
      </c>
      <c r="N15" s="13">
        <v>8.7801524016772809</v>
      </c>
      <c r="O15" s="13">
        <v>10.113734440959385</v>
      </c>
      <c r="P15" s="13">
        <v>10.501692106814589</v>
      </c>
      <c r="Q15" s="13">
        <v>11.118969015117107</v>
      </c>
      <c r="R15" s="13"/>
      <c r="S15" s="13">
        <f t="shared" si="1"/>
        <v>1.005234574157722</v>
      </c>
      <c r="T15" s="13">
        <f>'RD T1'!T14</f>
        <v>3.4995781381560969</v>
      </c>
      <c r="U15" s="13">
        <f t="shared" si="4"/>
        <v>4.5048127123138189</v>
      </c>
      <c r="W15" s="12" t="str">
        <f>name!D11</f>
        <v xml:space="preserve"> 32 Health and social care associate professionals</v>
      </c>
      <c r="X15" s="13">
        <v>15.284227151836662</v>
      </c>
      <c r="Y15" s="13">
        <v>15.491017342940316</v>
      </c>
      <c r="Z15" s="13">
        <v>21.122896358313348</v>
      </c>
      <c r="AA15" s="13">
        <v>23.356948589221588</v>
      </c>
      <c r="AB15" s="13">
        <v>25.217384595119452</v>
      </c>
      <c r="AC15" s="13"/>
      <c r="AD15" s="13">
        <f t="shared" si="2"/>
        <v>4.0944882368061037</v>
      </c>
      <c r="AE15" s="13">
        <f>'RD T1'!T42</f>
        <v>9.3621849732637283</v>
      </c>
      <c r="AF15" s="13">
        <f t="shared" si="5"/>
        <v>13.456673210069832</v>
      </c>
    </row>
    <row r="16" spans="1:32" x14ac:dyDescent="0.2">
      <c r="A16" s="12" t="str">
        <f>name!D12</f>
        <v xml:space="preserve"> 33 Protective service occupations</v>
      </c>
      <c r="B16" s="13">
        <v>18.193573896604018</v>
      </c>
      <c r="C16" s="13">
        <v>16.088909587826628</v>
      </c>
      <c r="D16" s="13">
        <v>16.715828527620712</v>
      </c>
      <c r="E16" s="13">
        <v>16.17133108976617</v>
      </c>
      <c r="F16" s="13">
        <v>15.812025383532305</v>
      </c>
      <c r="G16" s="13"/>
      <c r="H16" s="13">
        <f t="shared" si="0"/>
        <v>-0.9038031440884069</v>
      </c>
      <c r="I16" s="13">
        <f>'RD T1'!E15</f>
        <v>3.6209489892123918</v>
      </c>
      <c r="J16" s="13">
        <f t="shared" si="3"/>
        <v>2.7171458451239849</v>
      </c>
      <c r="L16" s="12" t="str">
        <f>name!D12</f>
        <v xml:space="preserve"> 33 Protective service occupations</v>
      </c>
      <c r="M16" s="13">
        <v>14.989787794035438</v>
      </c>
      <c r="N16" s="13">
        <v>12.765147869636181</v>
      </c>
      <c r="O16" s="13">
        <v>12.839479722247431</v>
      </c>
      <c r="P16" s="13">
        <v>11.825453591814771</v>
      </c>
      <c r="Q16" s="13">
        <v>10.978205915059863</v>
      </c>
      <c r="R16" s="13"/>
      <c r="S16" s="13">
        <f t="shared" si="1"/>
        <v>-1.8612738071875672</v>
      </c>
      <c r="T16" s="13">
        <f>'RD T1'!T15</f>
        <v>2.2204036003493548</v>
      </c>
      <c r="U16" s="13">
        <f t="shared" si="4"/>
        <v>0.35912979316178761</v>
      </c>
      <c r="W16" s="12" t="str">
        <f>name!D12</f>
        <v xml:space="preserve"> 33 Protective service occupations</v>
      </c>
      <c r="X16" s="13">
        <v>3.203786102568603</v>
      </c>
      <c r="Y16" s="13">
        <v>3.3237617181904318</v>
      </c>
      <c r="Z16" s="13">
        <v>3.8763488053733042</v>
      </c>
      <c r="AA16" s="13">
        <v>4.3458774979514097</v>
      </c>
      <c r="AB16" s="13">
        <v>4.8338194684724112</v>
      </c>
      <c r="AC16" s="13"/>
      <c r="AD16" s="13">
        <f t="shared" si="2"/>
        <v>0.957470663099107</v>
      </c>
      <c r="AE16" s="13">
        <f>'RD T1'!T43</f>
        <v>1.4005453888630366</v>
      </c>
      <c r="AF16" s="13">
        <f t="shared" si="5"/>
        <v>2.3580160519621436</v>
      </c>
    </row>
    <row r="17" spans="1:32" x14ac:dyDescent="0.2">
      <c r="A17" s="12" t="str">
        <f>name!D13</f>
        <v xml:space="preserve"> 34 Culture, media and sports occupations</v>
      </c>
      <c r="B17" s="13">
        <v>17.306171623307954</v>
      </c>
      <c r="C17" s="13">
        <v>21.245999474288546</v>
      </c>
      <c r="D17" s="13">
        <v>26.053726016084362</v>
      </c>
      <c r="E17" s="13">
        <v>28.046718468437099</v>
      </c>
      <c r="F17" s="13">
        <v>28.887592472886212</v>
      </c>
      <c r="G17" s="13"/>
      <c r="H17" s="13">
        <f t="shared" si="0"/>
        <v>2.8338664568018501</v>
      </c>
      <c r="I17" s="13">
        <f>'RD T1'!E16</f>
        <v>8.8884516086995369</v>
      </c>
      <c r="J17" s="13">
        <f t="shared" si="3"/>
        <v>11.722318065501387</v>
      </c>
      <c r="L17" s="12" t="str">
        <f>name!D13</f>
        <v xml:space="preserve"> 34 Culture, media and sports occupations</v>
      </c>
      <c r="M17" s="13">
        <v>8.2943436082555362</v>
      </c>
      <c r="N17" s="13">
        <v>11.532838967776714</v>
      </c>
      <c r="O17" s="13">
        <v>12.279237058956587</v>
      </c>
      <c r="P17" s="13">
        <v>12.805925575914964</v>
      </c>
      <c r="Q17" s="13">
        <v>12.982121304074246</v>
      </c>
      <c r="R17" s="13"/>
      <c r="S17" s="13">
        <f t="shared" si="1"/>
        <v>0.70288424511765868</v>
      </c>
      <c r="T17" s="13">
        <f>'RD T1'!T16</f>
        <v>3.4662507400524336</v>
      </c>
      <c r="U17" s="13">
        <f t="shared" si="4"/>
        <v>4.1691349851700927</v>
      </c>
      <c r="W17" s="12" t="str">
        <f>name!D13</f>
        <v xml:space="preserve"> 34 Culture, media and sports occupations</v>
      </c>
      <c r="X17" s="13">
        <v>9.0118280150524246</v>
      </c>
      <c r="Y17" s="13">
        <v>9.7131605065118176</v>
      </c>
      <c r="Z17" s="13">
        <v>13.774488957127767</v>
      </c>
      <c r="AA17" s="13">
        <v>15.240792892522137</v>
      </c>
      <c r="AB17" s="13">
        <v>15.905471168811967</v>
      </c>
      <c r="AC17" s="13"/>
      <c r="AD17" s="13">
        <f t="shared" si="2"/>
        <v>2.1309822116842003</v>
      </c>
      <c r="AE17" s="13">
        <f>'RD T1'!T44</f>
        <v>5.4222008686471028</v>
      </c>
      <c r="AF17" s="13">
        <f t="shared" si="5"/>
        <v>7.5531830803313031</v>
      </c>
    </row>
    <row r="18" spans="1:32" x14ac:dyDescent="0.2">
      <c r="A18" s="12" t="str">
        <f>name!D14</f>
        <v xml:space="preserve"> 35 Business and public service associate professionals</v>
      </c>
      <c r="B18" s="13">
        <v>64.062602617111267</v>
      </c>
      <c r="C18" s="13">
        <v>61.737146872551641</v>
      </c>
      <c r="D18" s="13">
        <v>72.912857153089021</v>
      </c>
      <c r="E18" s="13">
        <v>78.301758506839192</v>
      </c>
      <c r="F18" s="13">
        <v>82.682412933942729</v>
      </c>
      <c r="G18" s="13"/>
      <c r="H18" s="13">
        <f t="shared" si="0"/>
        <v>9.7695557808537075</v>
      </c>
      <c r="I18" s="13">
        <f>'RD T1'!E17</f>
        <v>24.409194590016877</v>
      </c>
      <c r="J18" s="13">
        <f t="shared" si="3"/>
        <v>34.178750370870588</v>
      </c>
      <c r="L18" s="12" t="str">
        <f>name!D14</f>
        <v xml:space="preserve"> 35 Business and public service associate professionals</v>
      </c>
      <c r="M18" s="13">
        <v>37.674024613124558</v>
      </c>
      <c r="N18" s="13">
        <v>35.00840822450688</v>
      </c>
      <c r="O18" s="13">
        <v>38.147463884032717</v>
      </c>
      <c r="P18" s="13">
        <v>38.951003819559091</v>
      </c>
      <c r="Q18" s="13">
        <v>39.263871381642652</v>
      </c>
      <c r="R18" s="13"/>
      <c r="S18" s="13">
        <f t="shared" si="1"/>
        <v>1.1164074976099343</v>
      </c>
      <c r="T18" s="13">
        <f>'RD T1'!T17</f>
        <v>10.064124888046234</v>
      </c>
      <c r="U18" s="13">
        <f t="shared" si="4"/>
        <v>11.180532385656168</v>
      </c>
      <c r="W18" s="12" t="str">
        <f>name!D14</f>
        <v xml:space="preserve"> 35 Business and public service associate professionals</v>
      </c>
      <c r="X18" s="13">
        <v>26.388578003986773</v>
      </c>
      <c r="Y18" s="13">
        <v>26.7287386480448</v>
      </c>
      <c r="Z18" s="13">
        <v>34.765393269056503</v>
      </c>
      <c r="AA18" s="13">
        <v>39.350754687279974</v>
      </c>
      <c r="AB18" s="13">
        <v>43.418541552300141</v>
      </c>
      <c r="AC18" s="13"/>
      <c r="AD18" s="13">
        <f t="shared" si="2"/>
        <v>8.6531482832436382</v>
      </c>
      <c r="AE18" s="13">
        <f>'RD T1'!T45</f>
        <v>14.345069701970651</v>
      </c>
      <c r="AF18" s="13">
        <f t="shared" si="5"/>
        <v>22.998217985214289</v>
      </c>
    </row>
    <row r="19" spans="1:32" x14ac:dyDescent="0.2">
      <c r="A19" s="12" t="str">
        <f>name!D15</f>
        <v xml:space="preserve"> 41 Administrative occupations</v>
      </c>
      <c r="B19" s="13">
        <v>128.76139674940373</v>
      </c>
      <c r="C19" s="13">
        <v>119.92922229333625</v>
      </c>
      <c r="D19" s="13">
        <v>127.5213345098998</v>
      </c>
      <c r="E19" s="13">
        <v>123.6717396969581</v>
      </c>
      <c r="F19" s="13">
        <v>120.00823804562896</v>
      </c>
      <c r="G19" s="13"/>
      <c r="H19" s="13">
        <f t="shared" si="0"/>
        <v>-7.5130964642708449</v>
      </c>
      <c r="I19" s="13">
        <f>'RD T1'!E18</f>
        <v>41.449780755109266</v>
      </c>
      <c r="J19" s="13">
        <f t="shared" si="3"/>
        <v>33.936684290838421</v>
      </c>
      <c r="L19" s="12" t="str">
        <f>name!D15</f>
        <v xml:space="preserve"> 41 Administrative occupations</v>
      </c>
      <c r="M19" s="13">
        <v>38.430660663971736</v>
      </c>
      <c r="N19" s="13">
        <v>37.880163361766456</v>
      </c>
      <c r="O19" s="13">
        <v>39.816274262878977</v>
      </c>
      <c r="P19" s="13">
        <v>40.07744822680629</v>
      </c>
      <c r="Q19" s="13">
        <v>41.035457469735661</v>
      </c>
      <c r="R19" s="13"/>
      <c r="S19" s="13">
        <f t="shared" si="1"/>
        <v>1.2191832068566839</v>
      </c>
      <c r="T19" s="13">
        <f>'RD T1'!T18</f>
        <v>10.362650389324752</v>
      </c>
      <c r="U19" s="13">
        <f t="shared" si="4"/>
        <v>11.581833596181436</v>
      </c>
      <c r="W19" s="12" t="str">
        <f>name!D15</f>
        <v xml:space="preserve"> 41 Administrative occupations</v>
      </c>
      <c r="X19" s="13">
        <v>90.330736085431752</v>
      </c>
      <c r="Y19" s="13">
        <v>82.049058931569704</v>
      </c>
      <c r="Z19" s="13">
        <v>87.705060247020924</v>
      </c>
      <c r="AA19" s="13">
        <v>83.594291470151816</v>
      </c>
      <c r="AB19" s="13">
        <v>78.972780575893367</v>
      </c>
      <c r="AC19" s="13"/>
      <c r="AD19" s="13">
        <f t="shared" si="2"/>
        <v>-8.7322796711275572</v>
      </c>
      <c r="AE19" s="13">
        <f>'RD T1'!T46</f>
        <v>31.087130365784507</v>
      </c>
      <c r="AF19" s="13">
        <f t="shared" si="5"/>
        <v>22.35485069465695</v>
      </c>
    </row>
    <row r="20" spans="1:32" x14ac:dyDescent="0.2">
      <c r="A20" s="12" t="str">
        <f>name!D16</f>
        <v xml:space="preserve"> 42 Secretarial and related occupations</v>
      </c>
      <c r="B20" s="13">
        <v>39.05845849832626</v>
      </c>
      <c r="C20" s="13">
        <v>34.630344233879086</v>
      </c>
      <c r="D20" s="13">
        <v>33.110290969005057</v>
      </c>
      <c r="E20" s="13">
        <v>25.247136677405564</v>
      </c>
      <c r="F20" s="13">
        <v>18.72318856576376</v>
      </c>
      <c r="G20" s="13"/>
      <c r="H20" s="13">
        <f t="shared" si="0"/>
        <v>-14.387102403241297</v>
      </c>
      <c r="I20" s="13">
        <f>'RD T1'!E19</f>
        <v>8.6708135537080917</v>
      </c>
      <c r="J20" s="13">
        <f t="shared" si="3"/>
        <v>-5.7162888495332052</v>
      </c>
      <c r="L20" s="12" t="str">
        <f>name!D16</f>
        <v xml:space="preserve"> 42 Secretarial and related occupations</v>
      </c>
      <c r="M20" s="13">
        <v>2.086585094937166</v>
      </c>
      <c r="N20" s="13">
        <v>2.1666161452600967</v>
      </c>
      <c r="O20" s="13">
        <v>2.2326190561804076</v>
      </c>
      <c r="P20" s="13">
        <v>2.2797456708006041</v>
      </c>
      <c r="Q20" s="13">
        <v>2.390793917347847</v>
      </c>
      <c r="R20" s="13"/>
      <c r="S20" s="13">
        <f t="shared" si="1"/>
        <v>0.1581748611674394</v>
      </c>
      <c r="T20" s="13">
        <f>'RD T1'!T19</f>
        <v>0.52543948516248062</v>
      </c>
      <c r="U20" s="13">
        <f t="shared" si="4"/>
        <v>0.68361434632992002</v>
      </c>
      <c r="W20" s="12" t="str">
        <f>name!D16</f>
        <v xml:space="preserve"> 42 Secretarial and related occupations</v>
      </c>
      <c r="X20" s="13">
        <v>36.971873403389068</v>
      </c>
      <c r="Y20" s="13">
        <v>32.463728088619028</v>
      </c>
      <c r="Z20" s="13">
        <v>30.877671912824646</v>
      </c>
      <c r="AA20" s="13">
        <v>22.96739100660497</v>
      </c>
      <c r="AB20" s="13">
        <v>16.332394648415899</v>
      </c>
      <c r="AC20" s="13"/>
      <c r="AD20" s="13">
        <f t="shared" si="2"/>
        <v>-14.545277264408746</v>
      </c>
      <c r="AE20" s="13">
        <f>'RD T1'!T47</f>
        <v>8.1453740685456122</v>
      </c>
      <c r="AF20" s="13">
        <f t="shared" si="5"/>
        <v>-6.3999031958631338</v>
      </c>
    </row>
    <row r="21" spans="1:32" x14ac:dyDescent="0.2">
      <c r="A21" s="12" t="str">
        <f>name!D17</f>
        <v xml:space="preserve"> 51 Skilled agricultural and related trades</v>
      </c>
      <c r="B21" s="13">
        <v>27.01228324618716</v>
      </c>
      <c r="C21" s="13">
        <v>27.852633214650783</v>
      </c>
      <c r="D21" s="13">
        <v>44.641992580529916</v>
      </c>
      <c r="E21" s="13">
        <v>43.978336219184072</v>
      </c>
      <c r="F21" s="13">
        <v>43.56237546948261</v>
      </c>
      <c r="G21" s="13"/>
      <c r="H21" s="13">
        <f t="shared" si="0"/>
        <v>-1.0796171110473054</v>
      </c>
      <c r="I21" s="13">
        <f>'RD T1'!E20</f>
        <v>15.398997808756077</v>
      </c>
      <c r="J21" s="13">
        <f t="shared" si="3"/>
        <v>14.319380697708771</v>
      </c>
      <c r="L21" s="12" t="str">
        <f>name!D17</f>
        <v xml:space="preserve"> 51 Skilled agricultural and related trades</v>
      </c>
      <c r="M21" s="13">
        <v>22.466448016828103</v>
      </c>
      <c r="N21" s="13">
        <v>21.431548564877392</v>
      </c>
      <c r="O21" s="13">
        <v>34.933712388819252</v>
      </c>
      <c r="P21" s="13">
        <v>33.933115053708306</v>
      </c>
      <c r="Q21" s="13">
        <v>33.484558147791688</v>
      </c>
      <c r="R21" s="13"/>
      <c r="S21" s="13">
        <f t="shared" si="1"/>
        <v>-1.4491542410275642</v>
      </c>
      <c r="T21" s="13">
        <f>'RD T1'!T20</f>
        <v>10.993949026211986</v>
      </c>
      <c r="U21" s="13">
        <f t="shared" si="4"/>
        <v>9.5447947851844219</v>
      </c>
      <c r="W21" s="12" t="str">
        <f>name!D17</f>
        <v xml:space="preserve"> 51 Skilled agricultural and related trades</v>
      </c>
      <c r="X21" s="13">
        <v>4.5458352293590005</v>
      </c>
      <c r="Y21" s="13">
        <v>6.4210846497733955</v>
      </c>
      <c r="Z21" s="13">
        <v>9.7082801917104877</v>
      </c>
      <c r="AA21" s="13">
        <v>10.045221165475807</v>
      </c>
      <c r="AB21" s="13">
        <v>10.077817321691011</v>
      </c>
      <c r="AC21" s="13"/>
      <c r="AD21" s="13">
        <f t="shared" si="2"/>
        <v>0.36953712998052346</v>
      </c>
      <c r="AE21" s="13">
        <f>'RD T1'!T48</f>
        <v>4.4050487825440889</v>
      </c>
      <c r="AF21" s="13">
        <f t="shared" si="5"/>
        <v>4.7745859125246124</v>
      </c>
    </row>
    <row r="22" spans="1:32" x14ac:dyDescent="0.2">
      <c r="A22" s="12" t="str">
        <f>name!D18</f>
        <v xml:space="preserve"> 52 Skilled metal, electrical and electronic trades</v>
      </c>
      <c r="B22" s="13">
        <v>64.57909849455713</v>
      </c>
      <c r="C22" s="13">
        <v>56.496204507904956</v>
      </c>
      <c r="D22" s="13">
        <v>60.298327113758923</v>
      </c>
      <c r="E22" s="13">
        <v>55.865669083490999</v>
      </c>
      <c r="F22" s="13">
        <v>52.816651683092545</v>
      </c>
      <c r="G22" s="13"/>
      <c r="H22" s="13">
        <f t="shared" si="0"/>
        <v>-7.4816754306663782</v>
      </c>
      <c r="I22" s="13">
        <f>'RD T1'!E21</f>
        <v>14.417831472063908</v>
      </c>
      <c r="J22" s="13">
        <f t="shared" si="3"/>
        <v>6.9361560413975294</v>
      </c>
      <c r="L22" s="12" t="str">
        <f>name!D18</f>
        <v xml:space="preserve"> 52 Skilled metal, electrical and electronic trades</v>
      </c>
      <c r="M22" s="13">
        <v>63.317857613980728</v>
      </c>
      <c r="N22" s="13">
        <v>55.421472042532301</v>
      </c>
      <c r="O22" s="13">
        <v>59.210764333162246</v>
      </c>
      <c r="P22" s="13">
        <v>54.827497317034918</v>
      </c>
      <c r="Q22" s="13">
        <v>51.837402223886173</v>
      </c>
      <c r="R22" s="13"/>
      <c r="S22" s="13">
        <f t="shared" si="1"/>
        <v>-7.3733621092760728</v>
      </c>
      <c r="T22" s="13">
        <f>'RD T1'!T21</f>
        <v>14.02853757588367</v>
      </c>
      <c r="U22" s="13">
        <f t="shared" si="4"/>
        <v>6.6551754666075968</v>
      </c>
      <c r="W22" s="12" t="str">
        <f>name!D18</f>
        <v xml:space="preserve"> 52 Skilled metal, electrical and electronic trades</v>
      </c>
      <c r="X22" s="13">
        <v>1.2612408805764528</v>
      </c>
      <c r="Y22" s="13">
        <v>1.0747324653727246</v>
      </c>
      <c r="Z22" s="13">
        <v>1.0875627805966419</v>
      </c>
      <c r="AA22" s="13">
        <v>1.0381717664561341</v>
      </c>
      <c r="AB22" s="13">
        <v>0.97924945920635431</v>
      </c>
      <c r="AC22" s="13"/>
      <c r="AD22" s="13">
        <f t="shared" si="2"/>
        <v>-0.1083133213902876</v>
      </c>
      <c r="AE22" s="13">
        <f>'RD T1'!T49</f>
        <v>0.38929389618024335</v>
      </c>
      <c r="AF22" s="13">
        <f t="shared" si="5"/>
        <v>0.28098057478995575</v>
      </c>
    </row>
    <row r="23" spans="1:32" x14ac:dyDescent="0.2">
      <c r="A23" s="12" t="str">
        <f>name!D19</f>
        <v xml:space="preserve"> 53 Skilled construction and building trades</v>
      </c>
      <c r="B23" s="13">
        <v>62.17438600693751</v>
      </c>
      <c r="C23" s="13">
        <v>48.321987318260412</v>
      </c>
      <c r="D23" s="13">
        <v>55.607063035219241</v>
      </c>
      <c r="E23" s="13">
        <v>56.441055319271051</v>
      </c>
      <c r="F23" s="13">
        <v>55.864658178180079</v>
      </c>
      <c r="G23" s="13"/>
      <c r="H23" s="13">
        <f t="shared" si="0"/>
        <v>0.25759514296083807</v>
      </c>
      <c r="I23" s="13">
        <f>'RD T1'!E22</f>
        <v>15.865782267656909</v>
      </c>
      <c r="J23" s="13">
        <f t="shared" si="3"/>
        <v>16.123377410617749</v>
      </c>
      <c r="L23" s="12" t="str">
        <f>name!D19</f>
        <v xml:space="preserve"> 53 Skilled construction and building trades</v>
      </c>
      <c r="M23" s="13">
        <v>60.939244934991528</v>
      </c>
      <c r="N23" s="13">
        <v>47.489909579694597</v>
      </c>
      <c r="O23" s="13">
        <v>54.230288974199759</v>
      </c>
      <c r="P23" s="13">
        <v>54.814446473218638</v>
      </c>
      <c r="Q23" s="13">
        <v>54.072896462494526</v>
      </c>
      <c r="R23" s="13"/>
      <c r="S23" s="13">
        <f t="shared" si="1"/>
        <v>-0.15739251170523261</v>
      </c>
      <c r="T23" s="13">
        <f>'RD T1'!T22</f>
        <v>15.28502624713906</v>
      </c>
      <c r="U23" s="13">
        <f t="shared" si="4"/>
        <v>15.127633735433827</v>
      </c>
      <c r="W23" s="12" t="str">
        <f>name!D19</f>
        <v xml:space="preserve"> 53 Skilled construction and building trades</v>
      </c>
      <c r="X23" s="13">
        <v>1.2351410719458547</v>
      </c>
      <c r="Y23" s="13">
        <v>0.83207773856580569</v>
      </c>
      <c r="Z23" s="13">
        <v>1.3767740610194503</v>
      </c>
      <c r="AA23" s="13">
        <v>1.6266088460523322</v>
      </c>
      <c r="AB23" s="13">
        <v>1.7917617156855457</v>
      </c>
      <c r="AC23" s="13"/>
      <c r="AD23" s="13">
        <f t="shared" si="2"/>
        <v>0.41498765466609533</v>
      </c>
      <c r="AE23" s="13">
        <f>'RD T1'!T50</f>
        <v>0.58075602051785336</v>
      </c>
      <c r="AF23" s="13">
        <f t="shared" si="5"/>
        <v>0.99574367518394868</v>
      </c>
    </row>
    <row r="24" spans="1:32" x14ac:dyDescent="0.2">
      <c r="A24" s="12" t="str">
        <f>name!D20</f>
        <v xml:space="preserve"> 54 Textiles, printing and other skilled trades</v>
      </c>
      <c r="B24" s="13">
        <v>38.851814595191357</v>
      </c>
      <c r="C24" s="13">
        <v>40.958769429346432</v>
      </c>
      <c r="D24" s="13">
        <v>44.112533415690251</v>
      </c>
      <c r="E24" s="13">
        <v>41.428616628358341</v>
      </c>
      <c r="F24" s="13">
        <v>38.141598610885424</v>
      </c>
      <c r="G24" s="13"/>
      <c r="H24" s="13">
        <f t="shared" si="0"/>
        <v>-5.970934804804827</v>
      </c>
      <c r="I24" s="13">
        <f>'RD T1'!E23</f>
        <v>11.20177086040197</v>
      </c>
      <c r="J24" s="13">
        <f t="shared" si="3"/>
        <v>5.2308360555971429</v>
      </c>
      <c r="L24" s="12" t="str">
        <f>name!D20</f>
        <v xml:space="preserve"> 54 Textiles, printing and other skilled trades</v>
      </c>
      <c r="M24" s="13">
        <v>26.085999514970602</v>
      </c>
      <c r="N24" s="13">
        <v>30.551931149360481</v>
      </c>
      <c r="O24" s="13">
        <v>30.895302705846561</v>
      </c>
      <c r="P24" s="13">
        <v>28.585826985139999</v>
      </c>
      <c r="Q24" s="13">
        <v>25.80696844093627</v>
      </c>
      <c r="R24" s="13"/>
      <c r="S24" s="13">
        <f t="shared" si="1"/>
        <v>-5.0883342649102907</v>
      </c>
      <c r="T24" s="13">
        <f>'RD T1'!T23</f>
        <v>6.295723242517842</v>
      </c>
      <c r="U24" s="13">
        <f t="shared" si="4"/>
        <v>1.2073889776075513</v>
      </c>
      <c r="W24" s="12" t="str">
        <f>name!D20</f>
        <v xml:space="preserve"> 54 Textiles, printing and other skilled trades</v>
      </c>
      <c r="X24" s="13">
        <v>12.76581508022073</v>
      </c>
      <c r="Y24" s="13">
        <v>10.406838279986037</v>
      </c>
      <c r="Z24" s="13">
        <v>13.217230709843877</v>
      </c>
      <c r="AA24" s="13">
        <v>12.842789643218344</v>
      </c>
      <c r="AB24" s="13">
        <v>12.334630169949087</v>
      </c>
      <c r="AC24" s="13"/>
      <c r="AD24" s="13">
        <f t="shared" si="2"/>
        <v>-0.88260053989479026</v>
      </c>
      <c r="AE24" s="13">
        <f>'RD T1'!T51</f>
        <v>4.9060476178841288</v>
      </c>
      <c r="AF24" s="13">
        <f t="shared" si="5"/>
        <v>4.0234470779893385</v>
      </c>
    </row>
    <row r="25" spans="1:32" x14ac:dyDescent="0.2">
      <c r="A25" s="12" t="str">
        <f>name!D21</f>
        <v xml:space="preserve"> 61 Caring personal service occupations</v>
      </c>
      <c r="B25" s="13">
        <v>99.187958703714813</v>
      </c>
      <c r="C25" s="13">
        <v>108.78205721203497</v>
      </c>
      <c r="D25" s="13">
        <v>134.03418747801385</v>
      </c>
      <c r="E25" s="13">
        <v>144.11345945912691</v>
      </c>
      <c r="F25" s="13">
        <v>156.37297615871555</v>
      </c>
      <c r="G25" s="13"/>
      <c r="H25" s="13">
        <f t="shared" si="0"/>
        <v>22.338788680701697</v>
      </c>
      <c r="I25" s="13">
        <f>'RD T1'!E24</f>
        <v>53.911126723434762</v>
      </c>
      <c r="J25" s="13">
        <f t="shared" si="3"/>
        <v>76.249915404136459</v>
      </c>
      <c r="L25" s="12" t="str">
        <f>name!D21</f>
        <v xml:space="preserve"> 61 Caring personal service occupations</v>
      </c>
      <c r="M25" s="13">
        <v>11.556847989456879</v>
      </c>
      <c r="N25" s="13">
        <v>13.527559362139923</v>
      </c>
      <c r="O25" s="13">
        <v>16.633369389372817</v>
      </c>
      <c r="P25" s="13">
        <v>18.51415438727663</v>
      </c>
      <c r="Q25" s="13">
        <v>20.657142748310594</v>
      </c>
      <c r="R25" s="13"/>
      <c r="S25" s="13">
        <f t="shared" si="1"/>
        <v>4.0237733589377775</v>
      </c>
      <c r="T25" s="13">
        <f>'RD T1'!T24</f>
        <v>5.4747160238523804</v>
      </c>
      <c r="U25" s="13">
        <f t="shared" si="4"/>
        <v>9.498489382790158</v>
      </c>
      <c r="W25" s="12" t="str">
        <f>name!D21</f>
        <v xml:space="preserve"> 61 Caring personal service occupations</v>
      </c>
      <c r="X25" s="13">
        <v>87.631110714257915</v>
      </c>
      <c r="Y25" s="13">
        <v>95.254497849895088</v>
      </c>
      <c r="Z25" s="13">
        <v>117.40081808864105</v>
      </c>
      <c r="AA25" s="13">
        <v>125.59930507185052</v>
      </c>
      <c r="AB25" s="13">
        <v>135.71583341040497</v>
      </c>
      <c r="AC25" s="13"/>
      <c r="AD25" s="13">
        <f t="shared" si="2"/>
        <v>18.315015321763923</v>
      </c>
      <c r="AE25" s="13">
        <f>'RD T1'!T52</f>
        <v>48.436410699582382</v>
      </c>
      <c r="AF25" s="13">
        <f t="shared" si="5"/>
        <v>66.751426021346305</v>
      </c>
    </row>
    <row r="26" spans="1:32" x14ac:dyDescent="0.2">
      <c r="A26" s="12" t="str">
        <f>name!D22</f>
        <v xml:space="preserve"> 62 Leisure, travel and related personal service occupations</v>
      </c>
      <c r="B26" s="13">
        <v>26.961171532317142</v>
      </c>
      <c r="C26" s="13">
        <v>28.236435407329424</v>
      </c>
      <c r="D26" s="13">
        <v>34.081983399938842</v>
      </c>
      <c r="E26" s="13">
        <v>33.213640916490561</v>
      </c>
      <c r="F26" s="13">
        <v>32.422277716403407</v>
      </c>
      <c r="G26" s="13"/>
      <c r="H26" s="13">
        <f t="shared" si="0"/>
        <v>-1.6597056835354351</v>
      </c>
      <c r="I26" s="13">
        <f>'RD T1'!E25</f>
        <v>11.097132780750684</v>
      </c>
      <c r="J26" s="13">
        <f t="shared" si="3"/>
        <v>9.4374270972152488</v>
      </c>
      <c r="L26" s="12" t="str">
        <f>name!D22</f>
        <v xml:space="preserve"> 62 Leisure, travel and related personal service occupations</v>
      </c>
      <c r="M26" s="13">
        <v>11.655775931292418</v>
      </c>
      <c r="N26" s="13">
        <v>11.154186140130689</v>
      </c>
      <c r="O26" s="13">
        <v>10.617503001555884</v>
      </c>
      <c r="P26" s="13">
        <v>10.675268520082868</v>
      </c>
      <c r="Q26" s="13">
        <v>10.986868482044702</v>
      </c>
      <c r="R26" s="13"/>
      <c r="S26" s="13">
        <f t="shared" si="1"/>
        <v>0.36936548048881868</v>
      </c>
      <c r="T26" s="13">
        <f>'RD T1'!T25</f>
        <v>3.1703489503417654</v>
      </c>
      <c r="U26" s="13">
        <f t="shared" si="4"/>
        <v>3.5397144308305841</v>
      </c>
      <c r="W26" s="12" t="str">
        <f>name!D22</f>
        <v xml:space="preserve"> 62 Leisure, travel and related personal service occupations</v>
      </c>
      <c r="X26" s="13">
        <v>15.305395601024689</v>
      </c>
      <c r="Y26" s="13">
        <v>17.082249267198669</v>
      </c>
      <c r="Z26" s="13">
        <v>23.464480398382918</v>
      </c>
      <c r="AA26" s="13">
        <v>22.538372396407709</v>
      </c>
      <c r="AB26" s="13">
        <v>21.435409234358666</v>
      </c>
      <c r="AC26" s="13"/>
      <c r="AD26" s="13">
        <f t="shared" si="2"/>
        <v>-2.029071164024252</v>
      </c>
      <c r="AE26" s="13">
        <f>'RD T1'!T53</f>
        <v>7.9267838304089207</v>
      </c>
      <c r="AF26" s="13">
        <f t="shared" si="5"/>
        <v>5.8977126663846686</v>
      </c>
    </row>
    <row r="27" spans="1:32" x14ac:dyDescent="0.2">
      <c r="A27" s="12" t="str">
        <f>name!D23</f>
        <v xml:space="preserve"> 71 Sales occupations</v>
      </c>
      <c r="B27" s="13">
        <v>109.72479758960813</v>
      </c>
      <c r="C27" s="13">
        <v>101.02984488381639</v>
      </c>
      <c r="D27" s="13">
        <v>96.72865813780345</v>
      </c>
      <c r="E27" s="13">
        <v>92.221847071554265</v>
      </c>
      <c r="F27" s="13">
        <v>88.415327050932888</v>
      </c>
      <c r="G27" s="13"/>
      <c r="H27" s="13">
        <f t="shared" si="0"/>
        <v>-8.3133310868705621</v>
      </c>
      <c r="I27" s="13">
        <f>'RD T1'!E26</f>
        <v>30.22010082612551</v>
      </c>
      <c r="J27" s="13">
        <f t="shared" si="3"/>
        <v>21.906769739254948</v>
      </c>
      <c r="L27" s="12" t="str">
        <f>name!D23</f>
        <v xml:space="preserve"> 71 Sales occupations</v>
      </c>
      <c r="M27" s="13">
        <v>33.041792857953027</v>
      </c>
      <c r="N27" s="13">
        <v>28.757225080479714</v>
      </c>
      <c r="O27" s="13">
        <v>29.276767635043839</v>
      </c>
      <c r="P27" s="13">
        <v>28.48143913651613</v>
      </c>
      <c r="Q27" s="13">
        <v>26.815234263357201</v>
      </c>
      <c r="R27" s="13"/>
      <c r="S27" s="13">
        <f t="shared" si="1"/>
        <v>-2.4615333716866381</v>
      </c>
      <c r="T27" s="13">
        <f>'RD T1'!T26</f>
        <v>6.2134454086208279</v>
      </c>
      <c r="U27" s="13">
        <f t="shared" si="4"/>
        <v>3.7519120369341898</v>
      </c>
      <c r="W27" s="12" t="str">
        <f>name!D23</f>
        <v xml:space="preserve"> 71 Sales occupations</v>
      </c>
      <c r="X27" s="13">
        <v>76.683004731655217</v>
      </c>
      <c r="Y27" s="13">
        <v>72.272619803336681</v>
      </c>
      <c r="Z27" s="13">
        <v>67.451890502759596</v>
      </c>
      <c r="AA27" s="13">
        <v>63.740407935038398</v>
      </c>
      <c r="AB27" s="13">
        <v>61.600092787575456</v>
      </c>
      <c r="AC27" s="13"/>
      <c r="AD27" s="13">
        <f t="shared" si="2"/>
        <v>-5.8517977151841407</v>
      </c>
      <c r="AE27" s="13">
        <f>'RD T1'!T54</f>
        <v>24.006655417504671</v>
      </c>
      <c r="AF27" s="13">
        <f t="shared" si="5"/>
        <v>18.15485770232053</v>
      </c>
    </row>
    <row r="28" spans="1:32" x14ac:dyDescent="0.2">
      <c r="A28" s="12" t="str">
        <f>name!D24</f>
        <v xml:space="preserve"> 72 Customer service occupations</v>
      </c>
      <c r="B28" s="13">
        <v>21.678479524059966</v>
      </c>
      <c r="C28" s="13">
        <v>24.790414571209773</v>
      </c>
      <c r="D28" s="13">
        <v>28.941220880813535</v>
      </c>
      <c r="E28" s="13">
        <v>31.412280004465572</v>
      </c>
      <c r="F28" s="13">
        <v>33.733710674085017</v>
      </c>
      <c r="G28" s="13"/>
      <c r="H28" s="13">
        <f t="shared" si="0"/>
        <v>4.7924897932714821</v>
      </c>
      <c r="I28" s="13">
        <f>'RD T1'!E27</f>
        <v>9.7214571758243657</v>
      </c>
      <c r="J28" s="13">
        <f t="shared" si="3"/>
        <v>14.513946969095848</v>
      </c>
      <c r="L28" s="12" t="str">
        <f>name!D24</f>
        <v xml:space="preserve"> 72 Customer service occupations</v>
      </c>
      <c r="M28" s="13">
        <v>8.4692104502869103</v>
      </c>
      <c r="N28" s="13">
        <v>10.358474115998387</v>
      </c>
      <c r="O28" s="13">
        <v>12.049582265890068</v>
      </c>
      <c r="P28" s="13">
        <v>13.374518220660377</v>
      </c>
      <c r="Q28" s="13">
        <v>14.454288950035748</v>
      </c>
      <c r="R28" s="13"/>
      <c r="S28" s="13">
        <f t="shared" si="1"/>
        <v>2.4047066841456797</v>
      </c>
      <c r="T28" s="13">
        <f>'RD T1'!T27</f>
        <v>3.1201377192470416</v>
      </c>
      <c r="U28" s="13">
        <f t="shared" si="4"/>
        <v>5.5248444033927218</v>
      </c>
      <c r="W28" s="12" t="str">
        <f>name!D24</f>
        <v xml:space="preserve"> 72 Customer service occupations</v>
      </c>
      <c r="X28" s="13">
        <v>13.209269073772996</v>
      </c>
      <c r="Y28" s="13">
        <v>14.431940455211395</v>
      </c>
      <c r="Z28" s="13">
        <v>16.891638614923433</v>
      </c>
      <c r="AA28" s="13">
        <v>18.037761783805198</v>
      </c>
      <c r="AB28" s="13">
        <v>19.279421724049367</v>
      </c>
      <c r="AC28" s="13"/>
      <c r="AD28" s="13">
        <f t="shared" si="2"/>
        <v>2.3877831091259338</v>
      </c>
      <c r="AE28" s="13">
        <f>'RD T1'!T55</f>
        <v>6.6013194565773246</v>
      </c>
      <c r="AF28" s="13">
        <f t="shared" si="5"/>
        <v>8.9891025657032593</v>
      </c>
    </row>
    <row r="29" spans="1:32" x14ac:dyDescent="0.2">
      <c r="A29" s="12" t="str">
        <f>name!D25</f>
        <v xml:space="preserve"> 81 Process, plant and machine operatives</v>
      </c>
      <c r="B29" s="13">
        <v>85.70514998203177</v>
      </c>
      <c r="C29" s="13">
        <v>78.222128118878317</v>
      </c>
      <c r="D29" s="13">
        <v>78.332378779529421</v>
      </c>
      <c r="E29" s="13">
        <v>70.793393427315365</v>
      </c>
      <c r="F29" s="13">
        <v>66.345882238047054</v>
      </c>
      <c r="G29" s="13"/>
      <c r="H29" s="13">
        <f t="shared" si="0"/>
        <v>-11.986496541482367</v>
      </c>
      <c r="I29" s="13">
        <f>'RD T1'!E28</f>
        <v>18.942177275746971</v>
      </c>
      <c r="J29" s="13">
        <f t="shared" si="3"/>
        <v>6.9556807342646039</v>
      </c>
      <c r="L29" s="12" t="str">
        <f>name!D25</f>
        <v xml:space="preserve"> 81 Process, plant and machine operatives</v>
      </c>
      <c r="M29" s="13">
        <v>66.124397648601686</v>
      </c>
      <c r="N29" s="13">
        <v>60.992261841240186</v>
      </c>
      <c r="O29" s="13">
        <v>62.163698672874382</v>
      </c>
      <c r="P29" s="13">
        <v>57.4136581376615</v>
      </c>
      <c r="Q29" s="13">
        <v>54.779522015684179</v>
      </c>
      <c r="R29" s="13"/>
      <c r="S29" s="13">
        <f t="shared" si="1"/>
        <v>-7.3841766571902028</v>
      </c>
      <c r="T29" s="13">
        <f>'RD T1'!T28</f>
        <v>14.436339081023972</v>
      </c>
      <c r="U29" s="13">
        <f t="shared" si="4"/>
        <v>7.052162423833769</v>
      </c>
      <c r="W29" s="12" t="str">
        <f>name!D25</f>
        <v xml:space="preserve"> 81 Process, plant and machine operatives</v>
      </c>
      <c r="X29" s="13">
        <v>19.580752333430024</v>
      </c>
      <c r="Y29" s="13">
        <v>17.229866277638081</v>
      </c>
      <c r="Z29" s="13">
        <v>16.168680106654961</v>
      </c>
      <c r="AA29" s="13">
        <v>13.379735289653951</v>
      </c>
      <c r="AB29" s="13">
        <v>11.566360222362864</v>
      </c>
      <c r="AC29" s="13"/>
      <c r="AD29" s="13">
        <f t="shared" si="2"/>
        <v>-4.6023198842920969</v>
      </c>
      <c r="AE29" s="13">
        <f>'RD T1'!T56</f>
        <v>4.5058381947230037</v>
      </c>
      <c r="AF29" s="13">
        <f t="shared" si="5"/>
        <v>-9.6481689569093199E-2</v>
      </c>
    </row>
    <row r="30" spans="1:32" x14ac:dyDescent="0.2">
      <c r="A30" s="12" t="str">
        <f>name!D26</f>
        <v xml:space="preserve"> 82 Transport and mobile machine drivers and operatives</v>
      </c>
      <c r="B30" s="13">
        <v>45.276922067123785</v>
      </c>
      <c r="C30" s="13">
        <v>38.39753957307591</v>
      </c>
      <c r="D30" s="13">
        <v>35.493360283060447</v>
      </c>
      <c r="E30" s="13">
        <v>36.015228017130013</v>
      </c>
      <c r="F30" s="13">
        <v>36.641000948387891</v>
      </c>
      <c r="G30" s="13"/>
      <c r="H30" s="13">
        <f t="shared" si="0"/>
        <v>1.1476406653274438</v>
      </c>
      <c r="I30" s="13">
        <f>'RD T1'!E29</f>
        <v>12.956139849255276</v>
      </c>
      <c r="J30" s="13">
        <f t="shared" si="3"/>
        <v>14.10378051458272</v>
      </c>
      <c r="L30" s="12" t="str">
        <f>name!D26</f>
        <v xml:space="preserve"> 82 Transport and mobile machine drivers and operatives</v>
      </c>
      <c r="M30" s="13">
        <v>44.061866083177733</v>
      </c>
      <c r="N30" s="13">
        <v>36.855218729559049</v>
      </c>
      <c r="O30" s="13">
        <v>33.845865711338917</v>
      </c>
      <c r="P30" s="13">
        <v>34.186110646589547</v>
      </c>
      <c r="Q30" s="13">
        <v>34.678394925806217</v>
      </c>
      <c r="R30" s="13"/>
      <c r="S30" s="13">
        <f t="shared" si="1"/>
        <v>0.83252921446729999</v>
      </c>
      <c r="T30" s="13">
        <f>'RD T1'!T29</f>
        <v>12.191564113495359</v>
      </c>
      <c r="U30" s="13">
        <f t="shared" si="4"/>
        <v>13.024093327962659</v>
      </c>
      <c r="W30" s="12" t="str">
        <f>name!D26</f>
        <v xml:space="preserve"> 82 Transport and mobile machine drivers and operatives</v>
      </c>
      <c r="X30" s="13">
        <v>1.2150559839459716</v>
      </c>
      <c r="Y30" s="13">
        <v>1.5423208435168554</v>
      </c>
      <c r="Z30" s="13">
        <v>1.6474945717215048</v>
      </c>
      <c r="AA30" s="13">
        <v>1.8291173705404598</v>
      </c>
      <c r="AB30" s="13">
        <v>1.9626060225816908</v>
      </c>
      <c r="AC30" s="13"/>
      <c r="AD30" s="13">
        <f t="shared" si="2"/>
        <v>0.31511145086018599</v>
      </c>
      <c r="AE30" s="13">
        <f>'RD T1'!T57</f>
        <v>0.76457573575991689</v>
      </c>
      <c r="AF30" s="13">
        <f t="shared" si="5"/>
        <v>1.0796871866201028</v>
      </c>
    </row>
    <row r="31" spans="1:32" x14ac:dyDescent="0.2">
      <c r="A31" s="12" t="str">
        <f>name!D27</f>
        <v xml:space="preserve"> 91 Elementary trades and related occupations</v>
      </c>
      <c r="B31" s="13">
        <v>31.655920531721669</v>
      </c>
      <c r="C31" s="13">
        <v>28.077506117493837</v>
      </c>
      <c r="D31" s="13">
        <v>30.003578616580025</v>
      </c>
      <c r="E31" s="13">
        <v>29.820583339074787</v>
      </c>
      <c r="F31" s="13">
        <v>30.056216538126861</v>
      </c>
      <c r="G31" s="13"/>
      <c r="H31" s="13">
        <f t="shared" si="0"/>
        <v>5.2637921546835997E-2</v>
      </c>
      <c r="I31" s="13">
        <f>'RD T1'!E30</f>
        <v>8.4606130720032287</v>
      </c>
      <c r="J31" s="13">
        <f t="shared" si="3"/>
        <v>8.5132509935500646</v>
      </c>
      <c r="L31" s="12" t="str">
        <f>name!D27</f>
        <v xml:space="preserve"> 91 Elementary trades and related occupations</v>
      </c>
      <c r="M31" s="13">
        <v>26.120935311690349</v>
      </c>
      <c r="N31" s="13">
        <v>22.349928639389312</v>
      </c>
      <c r="O31" s="13">
        <v>23.217129742088186</v>
      </c>
      <c r="P31" s="13">
        <v>22.321798958465315</v>
      </c>
      <c r="Q31" s="13">
        <v>21.889988303979774</v>
      </c>
      <c r="R31" s="13"/>
      <c r="S31" s="13">
        <f t="shared" si="1"/>
        <v>-1.3271414381084128</v>
      </c>
      <c r="T31" s="13">
        <f>'RD T1'!T30</f>
        <v>5.1643388258542409</v>
      </c>
      <c r="U31" s="13">
        <f t="shared" si="4"/>
        <v>3.8371973877458281</v>
      </c>
      <c r="W31" s="12" t="str">
        <f>name!D27</f>
        <v xml:space="preserve"> 91 Elementary trades and related occupations</v>
      </c>
      <c r="X31" s="13">
        <v>5.5349852200313538</v>
      </c>
      <c r="Y31" s="13">
        <v>5.7275774781045525</v>
      </c>
      <c r="Z31" s="13">
        <v>6.7864488744918505</v>
      </c>
      <c r="AA31" s="13">
        <v>7.4987843806094272</v>
      </c>
      <c r="AB31" s="13">
        <v>8.1662282341471144</v>
      </c>
      <c r="AC31" s="13"/>
      <c r="AD31" s="13">
        <f t="shared" si="2"/>
        <v>1.3797793596552639</v>
      </c>
      <c r="AE31" s="13">
        <f>'RD T1'!T58</f>
        <v>3.2962742461489878</v>
      </c>
      <c r="AF31" s="13">
        <f t="shared" si="5"/>
        <v>4.6760536058042517</v>
      </c>
    </row>
    <row r="32" spans="1:32" x14ac:dyDescent="0.2">
      <c r="A32" s="12" t="str">
        <f>name!D28</f>
        <v xml:space="preserve"> 92 Elementary administration and service occupations</v>
      </c>
      <c r="B32" s="13">
        <v>165.33884287808465</v>
      </c>
      <c r="C32" s="13">
        <v>136.54133736767668</v>
      </c>
      <c r="D32" s="13">
        <v>146.45892502959714</v>
      </c>
      <c r="E32" s="13">
        <v>146.69060935176427</v>
      </c>
      <c r="F32" s="13">
        <v>145.57580133080234</v>
      </c>
      <c r="G32" s="13"/>
      <c r="H32" s="13">
        <f t="shared" si="0"/>
        <v>-0.88312369879480457</v>
      </c>
      <c r="I32" s="13">
        <f>'RD T1'!E31</f>
        <v>47.278456149293206</v>
      </c>
      <c r="J32" s="13">
        <f t="shared" si="3"/>
        <v>46.395332450498401</v>
      </c>
      <c r="L32" s="12" t="str">
        <f>name!D28</f>
        <v xml:space="preserve"> 92 Elementary administration and service occupations</v>
      </c>
      <c r="M32" s="13">
        <v>68.642708270848601</v>
      </c>
      <c r="N32" s="13">
        <v>64.296478555285276</v>
      </c>
      <c r="O32" s="13">
        <v>71.879089668970892</v>
      </c>
      <c r="P32" s="13">
        <v>75.262428456638474</v>
      </c>
      <c r="Q32" s="13">
        <v>78.232798438639264</v>
      </c>
      <c r="R32" s="13"/>
      <c r="S32" s="13">
        <f t="shared" si="1"/>
        <v>6.3537087696683727</v>
      </c>
      <c r="T32" s="13">
        <f>'RD T1'!T31</f>
        <v>20.140514231584721</v>
      </c>
      <c r="U32" s="13">
        <f t="shared" si="4"/>
        <v>26.494223001253093</v>
      </c>
      <c r="W32" s="12" t="str">
        <f>name!D28</f>
        <v xml:space="preserve"> 92 Elementary administration and service occupations</v>
      </c>
      <c r="X32" s="13">
        <v>96.69613460723653</v>
      </c>
      <c r="Y32" s="13">
        <v>72.244858812391385</v>
      </c>
      <c r="Z32" s="13">
        <v>74.579835360625921</v>
      </c>
      <c r="AA32" s="13">
        <v>71.428180895125479</v>
      </c>
      <c r="AB32" s="13">
        <v>67.343002892163327</v>
      </c>
      <c r="AC32" s="13"/>
      <c r="AD32" s="13">
        <f t="shared" si="2"/>
        <v>-7.2368324684625946</v>
      </c>
      <c r="AE32" s="13">
        <f>'RD T1'!T59</f>
        <v>27.137941917708492</v>
      </c>
      <c r="AF32" s="13">
        <f t="shared" si="5"/>
        <v>19.901109449245897</v>
      </c>
    </row>
    <row r="33" spans="1:32" x14ac:dyDescent="0.2">
      <c r="H33" s="13"/>
      <c r="L33" s="12"/>
      <c r="S33" s="13"/>
      <c r="W33" s="12"/>
      <c r="AD33" s="13"/>
    </row>
    <row r="34" spans="1:32" x14ac:dyDescent="0.2">
      <c r="A34" s="336" t="str">
        <f>name!D3</f>
        <v>All occupations</v>
      </c>
      <c r="B34" s="39">
        <f>SUM(B8:B32)</f>
        <v>1408.9670000019439</v>
      </c>
      <c r="C34" s="39">
        <f>SUM(C8:C32)</f>
        <v>1357.8780000009851</v>
      </c>
      <c r="D34" s="39">
        <f>SUM(D8:D32)</f>
        <v>1529.7600000008429</v>
      </c>
      <c r="E34" s="39">
        <f>SUM(E8:E32)</f>
        <v>1546.2870000021665</v>
      </c>
      <c r="F34" s="39">
        <f>SUM(F8:F32)</f>
        <v>1569.1730000018847</v>
      </c>
      <c r="G34" s="13"/>
      <c r="H34" s="39">
        <f t="shared" si="0"/>
        <v>39.413000001041837</v>
      </c>
      <c r="I34" s="39">
        <f>SUM(I8:I32)</f>
        <v>503.46764080973156</v>
      </c>
      <c r="J34" s="39">
        <f>SUM(J8:J32)</f>
        <v>542.88064081077277</v>
      </c>
      <c r="L34" s="336" t="str">
        <f>name!D3</f>
        <v>All occupations</v>
      </c>
      <c r="M34" s="39">
        <f>SUM(M8:M32)</f>
        <v>738.59400000042535</v>
      </c>
      <c r="N34" s="39">
        <f t="shared" ref="N34:Q34" si="6">SUM(N8:N32)</f>
        <v>706.56800000016574</v>
      </c>
      <c r="O34" s="39">
        <f t="shared" si="6"/>
        <v>771.50600000010377</v>
      </c>
      <c r="P34" s="39">
        <f t="shared" si="6"/>
        <v>770.92900000092095</v>
      </c>
      <c r="Q34" s="39">
        <f t="shared" si="6"/>
        <v>773.4470000010474</v>
      </c>
      <c r="R34" s="13"/>
      <c r="S34" s="39">
        <f t="shared" ref="S34" si="7">Q34-O34</f>
        <v>1.9410000009436317</v>
      </c>
      <c r="T34" s="39">
        <f>SUM(T8:T32)</f>
        <v>209.20157037190131</v>
      </c>
      <c r="U34" s="39">
        <f>SUM(U8:U32)</f>
        <v>211.14257037284489</v>
      </c>
      <c r="W34" s="336" t="str">
        <f>name!D3</f>
        <v>All occupations</v>
      </c>
      <c r="X34" s="39">
        <f>SUM(X8:X32)</f>
        <v>670.37300000151856</v>
      </c>
      <c r="Y34" s="39">
        <f t="shared" ref="Y34:AA34" si="8">SUM(Y8:Y32)</f>
        <v>651.31000000081963</v>
      </c>
      <c r="Z34" s="39">
        <f t="shared" si="8"/>
        <v>758.2540000007391</v>
      </c>
      <c r="AA34" s="39">
        <f t="shared" si="8"/>
        <v>775.35800000124573</v>
      </c>
      <c r="AB34" s="39">
        <f>SUM(AB8:AB32)</f>
        <v>795.72600000083776</v>
      </c>
      <c r="AC34" s="13"/>
      <c r="AD34" s="39">
        <f t="shared" ref="AD34" si="9">AB34-Z34</f>
        <v>37.47200000009866</v>
      </c>
      <c r="AE34" s="39">
        <f>SUM(AE8:AE32)</f>
        <v>294.26607043783019</v>
      </c>
      <c r="AF34" s="39">
        <f>SUM(AF8:AF32)</f>
        <v>331.73807043792903</v>
      </c>
    </row>
    <row r="35" spans="1:32" x14ac:dyDescent="0.2">
      <c r="A35" s="18"/>
      <c r="B35" s="13"/>
      <c r="C35" s="13"/>
      <c r="D35" s="13"/>
      <c r="E35" s="13"/>
      <c r="F35" s="13"/>
      <c r="G35" s="13"/>
      <c r="L35" s="18"/>
      <c r="M35" s="13"/>
      <c r="N35" s="13"/>
      <c r="O35" s="13"/>
      <c r="P35" s="13"/>
      <c r="Q35" s="13"/>
      <c r="R35" s="13"/>
      <c r="W35" s="18"/>
      <c r="X35" s="13"/>
      <c r="Y35" s="13"/>
      <c r="Z35" s="13"/>
      <c r="AA35" s="13"/>
      <c r="AB35" s="13"/>
      <c r="AC35" s="13"/>
    </row>
    <row r="36" spans="1:32" x14ac:dyDescent="0.2">
      <c r="A36" s="18"/>
      <c r="B36" s="13"/>
      <c r="C36" s="13"/>
      <c r="D36" s="13"/>
      <c r="E36" s="13"/>
      <c r="F36" s="13"/>
      <c r="G36" s="13"/>
      <c r="H36" s="13"/>
      <c r="I36" s="13"/>
      <c r="J36" s="13"/>
      <c r="L36" s="18"/>
      <c r="M36" s="13"/>
      <c r="N36" s="13"/>
      <c r="O36" s="13"/>
      <c r="P36" s="13"/>
      <c r="Q36" s="13"/>
      <c r="R36" s="13"/>
      <c r="S36" s="13"/>
      <c r="T36" s="13"/>
      <c r="U36" s="13"/>
      <c r="W36" s="18"/>
      <c r="X36" s="13"/>
      <c r="Y36" s="13"/>
      <c r="Z36" s="13"/>
      <c r="AA36" s="13"/>
      <c r="AB36" s="13"/>
      <c r="AC36" s="13"/>
      <c r="AD36" s="13"/>
      <c r="AE36" s="13"/>
      <c r="AF36" s="13"/>
    </row>
    <row r="37" spans="1:32" ht="15.75" x14ac:dyDescent="0.25">
      <c r="A37" s="23" t="str">
        <f>CONCATENATE(A$1," (Continued)")</f>
        <v>Occupation Table 2  Employment Change by Occupation (SOC 2010) and Replacement Demand, 2007-2027 (Continued)</v>
      </c>
      <c r="L37" s="23" t="str">
        <f>CONCATENATE(L$1," (Continued)")</f>
        <v>Occupation Table 2.1  Males: Employment Change by Occupation (SOC 2010) and Replacement Demand, 2007-2027 (Continued)</v>
      </c>
      <c r="W37" s="23" t="str">
        <f>CONCATENATE(W$1," (Continued)")</f>
        <v>Occupation Table 2.2  Females: Employment Change by Occupation (SOC 2010) and Replacement Demand, 2007-2027 (Continued)</v>
      </c>
    </row>
    <row r="39" spans="1:32" x14ac:dyDescent="0.2">
      <c r="F39" s="19" t="s">
        <v>34</v>
      </c>
      <c r="J39" s="19" t="s">
        <v>34</v>
      </c>
      <c r="Q39" s="19" t="s">
        <v>34</v>
      </c>
      <c r="U39" s="19" t="s">
        <v>34</v>
      </c>
      <c r="AB39" s="19" t="s">
        <v>34</v>
      </c>
      <c r="AF39" s="19" t="s">
        <v>34</v>
      </c>
    </row>
    <row r="40" spans="1:32" x14ac:dyDescent="0.2">
      <c r="A40" s="41"/>
      <c r="B40" s="41"/>
      <c r="C40" s="41"/>
      <c r="D40" s="41"/>
      <c r="E40" s="41"/>
      <c r="F40" s="41"/>
      <c r="H40" s="135" t="str">
        <f>$H$4</f>
        <v>2017-2027</v>
      </c>
      <c r="I40" s="41"/>
      <c r="J40" s="41"/>
      <c r="L40" s="41"/>
      <c r="M40" s="41"/>
      <c r="N40" s="41"/>
      <c r="O40" s="41"/>
      <c r="P40" s="41"/>
      <c r="Q40" s="41"/>
      <c r="S40" s="135" t="str">
        <f>$H$4</f>
        <v>2017-2027</v>
      </c>
      <c r="T40" s="41"/>
      <c r="U40" s="41"/>
      <c r="W40" s="41"/>
      <c r="X40" s="41"/>
      <c r="Y40" s="41"/>
      <c r="Z40" s="41"/>
      <c r="AA40" s="41"/>
      <c r="AB40" s="41"/>
      <c r="AD40" s="135" t="str">
        <f>$H$4</f>
        <v>2017-2027</v>
      </c>
      <c r="AE40" s="41"/>
      <c r="AF40" s="41"/>
    </row>
    <row r="41" spans="1:32" x14ac:dyDescent="0.2">
      <c r="A41" s="2"/>
      <c r="B41" s="2"/>
      <c r="C41" s="2"/>
      <c r="D41" s="2"/>
      <c r="E41" s="2"/>
      <c r="F41" s="2"/>
      <c r="H41" s="19" t="str">
        <f t="shared" ref="H41:J42" si="10">H5</f>
        <v>Net</v>
      </c>
      <c r="I41" s="19" t="str">
        <f t="shared" si="10"/>
        <v>Replacement</v>
      </c>
      <c r="J41" s="19" t="str">
        <f t="shared" si="10"/>
        <v>Total</v>
      </c>
      <c r="L41" s="2"/>
      <c r="M41" s="2"/>
      <c r="N41" s="2"/>
      <c r="O41" s="2"/>
      <c r="P41" s="2"/>
      <c r="Q41" s="2"/>
      <c r="S41" s="19" t="str">
        <f t="shared" ref="S41:U41" si="11">S5</f>
        <v>Net</v>
      </c>
      <c r="T41" s="19" t="str">
        <f t="shared" si="11"/>
        <v>Replacement</v>
      </c>
      <c r="U41" s="19" t="str">
        <f t="shared" si="11"/>
        <v>Total</v>
      </c>
      <c r="W41" s="2"/>
      <c r="X41" s="2"/>
      <c r="Y41" s="2"/>
      <c r="Z41" s="2"/>
      <c r="AA41" s="2"/>
      <c r="AB41" s="2"/>
      <c r="AD41" s="19" t="str">
        <f t="shared" ref="AD41:AF41" si="12">AD5</f>
        <v>Net</v>
      </c>
      <c r="AE41" s="19" t="str">
        <f t="shared" si="12"/>
        <v>Replacement</v>
      </c>
      <c r="AF41" s="19" t="str">
        <f t="shared" si="12"/>
        <v>Total</v>
      </c>
    </row>
    <row r="42" spans="1:32" x14ac:dyDescent="0.2">
      <c r="A42" s="78" t="s">
        <v>511</v>
      </c>
      <c r="B42" s="40">
        <f>B$6</f>
        <v>2007</v>
      </c>
      <c r="C42" s="40">
        <f>C$6</f>
        <v>2012</v>
      </c>
      <c r="D42" s="40">
        <f>D$6</f>
        <v>2017</v>
      </c>
      <c r="E42" s="40">
        <f>E$6</f>
        <v>2022</v>
      </c>
      <c r="F42" s="40">
        <f>F$6</f>
        <v>2027</v>
      </c>
      <c r="H42" s="75" t="str">
        <f t="shared" si="10"/>
        <v>Change</v>
      </c>
      <c r="I42" s="75" t="str">
        <f t="shared" si="10"/>
        <v>Demand</v>
      </c>
      <c r="J42" s="75" t="str">
        <f t="shared" si="10"/>
        <v>Requirement</v>
      </c>
      <c r="L42" s="78" t="s">
        <v>511</v>
      </c>
      <c r="M42" s="40">
        <f>M$6</f>
        <v>2007</v>
      </c>
      <c r="N42" s="40">
        <f>N$6</f>
        <v>2012</v>
      </c>
      <c r="O42" s="40">
        <f>O$6</f>
        <v>2017</v>
      </c>
      <c r="P42" s="40">
        <f>P$6</f>
        <v>2022</v>
      </c>
      <c r="Q42" s="40">
        <f>Q$6</f>
        <v>2027</v>
      </c>
      <c r="S42" s="75" t="str">
        <f t="shared" ref="S42:U42" si="13">S6</f>
        <v>Change</v>
      </c>
      <c r="T42" s="75" t="str">
        <f t="shared" si="13"/>
        <v>Demand</v>
      </c>
      <c r="U42" s="75" t="str">
        <f t="shared" si="13"/>
        <v>Requirement</v>
      </c>
      <c r="W42" s="78" t="s">
        <v>511</v>
      </c>
      <c r="X42" s="40">
        <f>X$6</f>
        <v>2007</v>
      </c>
      <c r="Y42" s="40">
        <f>Y$6</f>
        <v>2012</v>
      </c>
      <c r="Z42" s="40">
        <f>Z$6</f>
        <v>2017</v>
      </c>
      <c r="AA42" s="40">
        <f>AA$6</f>
        <v>2022</v>
      </c>
      <c r="AB42" s="40">
        <f>AB$6</f>
        <v>2027</v>
      </c>
      <c r="AD42" s="75" t="str">
        <f t="shared" ref="AD42:AF42" si="14">AD6</f>
        <v>Change</v>
      </c>
      <c r="AE42" s="75" t="str">
        <f t="shared" si="14"/>
        <v>Demand</v>
      </c>
      <c r="AF42" s="75" t="str">
        <f t="shared" si="14"/>
        <v>Requirement</v>
      </c>
    </row>
    <row r="43" spans="1:32" x14ac:dyDescent="0.2">
      <c r="G43" s="13"/>
      <c r="R43" s="13"/>
      <c r="AC43" s="13"/>
    </row>
    <row r="44" spans="1:32" x14ac:dyDescent="0.2">
      <c r="A44" s="217" t="str">
        <f t="shared" ref="A44:A68" si="15">A8</f>
        <v xml:space="preserve"> 11 Corporate managers and directors</v>
      </c>
      <c r="B44" s="249">
        <f t="shared" ref="B44:F53" si="16">B8/B$34*100</f>
        <v>4.4565330964568055</v>
      </c>
      <c r="C44" s="249">
        <f t="shared" si="16"/>
        <v>4.7082081709649337</v>
      </c>
      <c r="D44" s="249">
        <f t="shared" si="16"/>
        <v>4.9568100640061115</v>
      </c>
      <c r="E44" s="249">
        <f t="shared" si="16"/>
        <v>5.2774685584997263</v>
      </c>
      <c r="F44" s="249">
        <f t="shared" si="16"/>
        <v>5.5307878053393367</v>
      </c>
      <c r="H44" s="83">
        <f>IF(D8&gt;0,(H8/D8)*100,0)</f>
        <v>14.454334567390321</v>
      </c>
      <c r="I44" s="84">
        <f>IF(D8&gt;0,I8/D8*100,0)</f>
        <v>37.462865859316814</v>
      </c>
      <c r="J44" s="84">
        <f>IF(D8&gt;0,(J8/D8)*100,0)</f>
        <v>51.917200426707133</v>
      </c>
      <c r="L44" s="286" t="str">
        <f t="shared" ref="L44:L68" si="17">L8</f>
        <v xml:space="preserve"> 11 Corporate managers and directors</v>
      </c>
      <c r="M44" s="249">
        <f t="shared" ref="M44:Q44" si="18">M8/M$34*100</f>
        <v>6.5554685900681005</v>
      </c>
      <c r="N44" s="249">
        <f t="shared" si="18"/>
        <v>6.7107366126920809</v>
      </c>
      <c r="O44" s="249">
        <f t="shared" si="18"/>
        <v>6.8203977735942569</v>
      </c>
      <c r="P44" s="249">
        <f t="shared" si="18"/>
        <v>7.0969709814379156</v>
      </c>
      <c r="Q44" s="249">
        <f t="shared" si="18"/>
        <v>7.2771287935308546</v>
      </c>
      <c r="S44" s="83">
        <f>IF(O8&gt;0,(S8/O8)*100,0)</f>
        <v>6.9649786233218327</v>
      </c>
      <c r="T44" s="84">
        <f>IF(O8&gt;0,T8/O8*100,0)</f>
        <v>33.302049996211977</v>
      </c>
      <c r="U44" s="84">
        <f>IF(O8&gt;0,(U8/O8)*100,0)</f>
        <v>40.267028619533811</v>
      </c>
      <c r="W44" s="286" t="str">
        <f t="shared" ref="W44:W68" si="19">W8</f>
        <v xml:space="preserve"> 11 Corporate managers and directors</v>
      </c>
      <c r="X44" s="249">
        <f t="shared" ref="X44:AB44" si="20">X8/X$34*100</f>
        <v>2.1439978929719992</v>
      </c>
      <c r="Y44" s="249">
        <f t="shared" si="20"/>
        <v>2.5357825733035586</v>
      </c>
      <c r="Z44" s="249">
        <f t="shared" si="20"/>
        <v>3.060652444696065</v>
      </c>
      <c r="AA44" s="249">
        <f t="shared" si="20"/>
        <v>3.4683594973785916</v>
      </c>
      <c r="AB44" s="249">
        <f t="shared" si="20"/>
        <v>3.8333414503199674</v>
      </c>
      <c r="AD44" s="83">
        <f>IF(Z8&gt;0,(AD8/Z8)*100,0)</f>
        <v>31.435393055706818</v>
      </c>
      <c r="AE44" s="84">
        <f>IF(Z8&gt;0,AE8/Z8*100,0)</f>
        <v>46.896929089606935</v>
      </c>
      <c r="AF44" s="84">
        <f>IF(Z8&gt;0,(AF8/Z8)*100,0)</f>
        <v>78.332322145313753</v>
      </c>
    </row>
    <row r="45" spans="1:32" x14ac:dyDescent="0.2">
      <c r="A45" s="243" t="str">
        <f t="shared" si="15"/>
        <v xml:space="preserve"> 12 Other managers and proprietors</v>
      </c>
      <c r="B45" s="249">
        <f t="shared" si="16"/>
        <v>2.3829450928381393</v>
      </c>
      <c r="C45" s="249">
        <f t="shared" si="16"/>
        <v>2.8085502489295973</v>
      </c>
      <c r="D45" s="249">
        <f t="shared" si="16"/>
        <v>2.9784033314690679</v>
      </c>
      <c r="E45" s="249">
        <f t="shared" si="16"/>
        <v>3.0974585394682546</v>
      </c>
      <c r="F45" s="249">
        <f t="shared" si="16"/>
        <v>3.1819899082527261</v>
      </c>
      <c r="H45" s="83">
        <f t="shared" ref="H45:H70" si="21">IF(D9&gt;0,(H9/D9)*100,0)</f>
        <v>9.587953034060396</v>
      </c>
      <c r="I45" s="84">
        <f t="shared" ref="I45:I70" si="22">IF(D9&gt;0,I9/D9*100,0)</f>
        <v>40.858241419558375</v>
      </c>
      <c r="J45" s="84">
        <f t="shared" ref="J45:J70" si="23">IF(D9&gt;0,(J9/D9)*100,0)</f>
        <v>50.446194453618773</v>
      </c>
      <c r="L45" s="286" t="str">
        <f t="shared" si="17"/>
        <v xml:space="preserve"> 12 Other managers and proprietors</v>
      </c>
      <c r="M45" s="249">
        <f t="shared" ref="M45:Q45" si="24">M9/M$34*100</f>
        <v>2.7287903500621629</v>
      </c>
      <c r="N45" s="249">
        <f t="shared" si="24"/>
        <v>3.3568335602485946</v>
      </c>
      <c r="O45" s="249">
        <f t="shared" si="24"/>
        <v>3.1515543403849855</v>
      </c>
      <c r="P45" s="249">
        <f t="shared" si="24"/>
        <v>3.245484008340263</v>
      </c>
      <c r="Q45" s="249">
        <f t="shared" si="24"/>
        <v>3.320796832228333</v>
      </c>
      <c r="S45" s="83">
        <f t="shared" ref="S45:S68" si="25">IF(O9&gt;0,(S9/O9)*100,0)</f>
        <v>5.6352240168952275</v>
      </c>
      <c r="T45" s="84">
        <f t="shared" ref="T45:T68" si="26">IF(O9&gt;0,T9/O9*100,0)</f>
        <v>35.065849927430804</v>
      </c>
      <c r="U45" s="84">
        <f t="shared" ref="U45:U68" si="27">IF(O9&gt;0,(U9/O9)*100,0)</f>
        <v>40.701073944326026</v>
      </c>
      <c r="W45" s="286" t="str">
        <f t="shared" si="19"/>
        <v xml:space="preserve"> 12 Other managers and proprietors</v>
      </c>
      <c r="X45" s="249">
        <f t="shared" ref="X45:AB45" si="28">X9/X$34*100</f>
        <v>2.0019046393686755</v>
      </c>
      <c r="Y45" s="249">
        <f t="shared" si="28"/>
        <v>2.2137498578536992</v>
      </c>
      <c r="Z45" s="249">
        <f t="shared" si="28"/>
        <v>2.8022261635483345</v>
      </c>
      <c r="AA45" s="249">
        <f t="shared" si="28"/>
        <v>2.950278621685781</v>
      </c>
      <c r="AB45" s="249">
        <f t="shared" si="28"/>
        <v>3.0470693464912748</v>
      </c>
      <c r="AD45" s="83">
        <f t="shared" ref="AD45:AD68" si="29">IF(Z9&gt;0,(AD9/Z9)*100,0)</f>
        <v>14.111126630501087</v>
      </c>
      <c r="AE45" s="84">
        <f t="shared" ref="AE45:AE68" si="30">IF(Z9&gt;0,AE9/Z9*100,0)</f>
        <v>47.486571402125634</v>
      </c>
      <c r="AF45" s="84">
        <f t="shared" ref="AF45:AF68" si="31">IF(Z9&gt;0,(AF9/Z9)*100,0)</f>
        <v>61.597698032626724</v>
      </c>
    </row>
    <row r="46" spans="1:32" x14ac:dyDescent="0.2">
      <c r="A46" s="243" t="str">
        <f t="shared" si="15"/>
        <v xml:space="preserve"> 21 Science, research, engineering and technology professionals</v>
      </c>
      <c r="B46" s="249">
        <f t="shared" si="16"/>
        <v>2.7966632658315822</v>
      </c>
      <c r="C46" s="249">
        <f t="shared" si="16"/>
        <v>2.9686359680577907</v>
      </c>
      <c r="D46" s="249">
        <f t="shared" si="16"/>
        <v>3.1999377673335121</v>
      </c>
      <c r="E46" s="249">
        <f t="shared" si="16"/>
        <v>3.3196181938001419</v>
      </c>
      <c r="F46" s="249">
        <f t="shared" si="16"/>
        <v>3.3927464962276348</v>
      </c>
      <c r="H46" s="83">
        <f t="shared" si="21"/>
        <v>8.7570463580050948</v>
      </c>
      <c r="I46" s="84">
        <f t="shared" si="22"/>
        <v>26.01811372354349</v>
      </c>
      <c r="J46" s="84">
        <f t="shared" si="23"/>
        <v>34.775160081548584</v>
      </c>
      <c r="L46" s="286" t="str">
        <f t="shared" si="17"/>
        <v xml:space="preserve"> 21 Science, research, engineering and technology professionals</v>
      </c>
      <c r="M46" s="249">
        <f t="shared" ref="M46:Q46" si="32">M10/M$34*100</f>
        <v>4.4483358003347186</v>
      </c>
      <c r="N46" s="249">
        <f t="shared" si="32"/>
        <v>4.6589107436900026</v>
      </c>
      <c r="O46" s="249">
        <f t="shared" si="32"/>
        <v>4.9988212555949572</v>
      </c>
      <c r="P46" s="249">
        <f t="shared" si="32"/>
        <v>5.1200084574653326</v>
      </c>
      <c r="Q46" s="249">
        <f t="shared" si="32"/>
        <v>5.1724490912527683</v>
      </c>
      <c r="S46" s="83">
        <f t="shared" si="25"/>
        <v>3.7336999387737735</v>
      </c>
      <c r="T46" s="84">
        <f t="shared" si="26"/>
        <v>22.4459452483887</v>
      </c>
      <c r="U46" s="84">
        <f t="shared" si="27"/>
        <v>26.179645187162471</v>
      </c>
      <c r="W46" s="286" t="str">
        <f t="shared" si="19"/>
        <v xml:space="preserve"> 21 Science, research, engineering and technology professionals</v>
      </c>
      <c r="X46" s="249">
        <f t="shared" ref="X46:AB46" si="33">X10/X$34*100</f>
        <v>0.97690706451267362</v>
      </c>
      <c r="Y46" s="249">
        <f t="shared" si="33"/>
        <v>1.1349560496354236</v>
      </c>
      <c r="Z46" s="249">
        <f t="shared" si="33"/>
        <v>1.3696152045861039</v>
      </c>
      <c r="AA46" s="249">
        <f t="shared" si="33"/>
        <v>1.5295121194750281</v>
      </c>
      <c r="AB46" s="249">
        <f t="shared" si="33"/>
        <v>1.6628726036882151</v>
      </c>
      <c r="AD46" s="83">
        <f t="shared" si="29"/>
        <v>27.411681791073427</v>
      </c>
      <c r="AE46" s="84">
        <f t="shared" si="30"/>
        <v>39.283673182950267</v>
      </c>
      <c r="AF46" s="84">
        <f t="shared" si="31"/>
        <v>66.695354974023687</v>
      </c>
    </row>
    <row r="47" spans="1:32" x14ac:dyDescent="0.2">
      <c r="A47" s="243" t="str">
        <f t="shared" si="15"/>
        <v xml:space="preserve"> 22 Health professionals</v>
      </c>
      <c r="B47" s="249">
        <f t="shared" si="16"/>
        <v>4.6784861093824972</v>
      </c>
      <c r="C47" s="249">
        <f t="shared" si="16"/>
        <v>5.4447016361741918</v>
      </c>
      <c r="D47" s="249">
        <f t="shared" si="16"/>
        <v>6.3042204199466214</v>
      </c>
      <c r="E47" s="249">
        <f t="shared" si="16"/>
        <v>6.7474529636931528</v>
      </c>
      <c r="F47" s="249">
        <f t="shared" si="16"/>
        <v>7.1612099960167246</v>
      </c>
      <c r="H47" s="83">
        <f t="shared" si="21"/>
        <v>16.52055534058703</v>
      </c>
      <c r="I47" s="84">
        <f t="shared" si="22"/>
        <v>38.430273421011293</v>
      </c>
      <c r="J47" s="84">
        <f t="shared" si="23"/>
        <v>54.950828761598324</v>
      </c>
      <c r="L47" s="286" t="str">
        <f t="shared" si="17"/>
        <v xml:space="preserve"> 22 Health professionals</v>
      </c>
      <c r="M47" s="249">
        <f t="shared" ref="M47:Q47" si="34">M11/M$34*100</f>
        <v>2.5917666749402444</v>
      </c>
      <c r="N47" s="249">
        <f t="shared" si="34"/>
        <v>3.4089558849349659</v>
      </c>
      <c r="O47" s="249">
        <f t="shared" si="34"/>
        <v>3.6728883443423475</v>
      </c>
      <c r="P47" s="249">
        <f t="shared" si="34"/>
        <v>3.8184718986220383</v>
      </c>
      <c r="Q47" s="249">
        <f t="shared" si="34"/>
        <v>4.0336630934439217</v>
      </c>
      <c r="S47" s="83">
        <f t="shared" si="25"/>
        <v>10.098942311562558</v>
      </c>
      <c r="T47" s="84">
        <f t="shared" si="26"/>
        <v>27.693696866829566</v>
      </c>
      <c r="U47" s="84">
        <f t="shared" si="27"/>
        <v>37.792639178392122</v>
      </c>
      <c r="W47" s="286" t="str">
        <f t="shared" si="19"/>
        <v xml:space="preserve"> 22 Health professionals</v>
      </c>
      <c r="X47" s="249">
        <f t="shared" ref="X47:AB47" si="35">X11/X$34*100</f>
        <v>6.977562077477625</v>
      </c>
      <c r="Y47" s="249">
        <f t="shared" si="35"/>
        <v>7.653162743726881</v>
      </c>
      <c r="Z47" s="249">
        <f t="shared" si="35"/>
        <v>8.9815402683344256</v>
      </c>
      <c r="AA47" s="249">
        <f t="shared" si="35"/>
        <v>9.6597031030007852</v>
      </c>
      <c r="AB47" s="249">
        <f t="shared" si="35"/>
        <v>10.201190804932047</v>
      </c>
      <c r="AD47" s="83">
        <f t="shared" si="29"/>
        <v>19.192488770444154</v>
      </c>
      <c r="AE47" s="84">
        <f t="shared" si="30"/>
        <v>42.897596146263808</v>
      </c>
      <c r="AF47" s="84">
        <f t="shared" si="31"/>
        <v>62.090084916707966</v>
      </c>
    </row>
    <row r="48" spans="1:32" x14ac:dyDescent="0.2">
      <c r="A48" s="243" t="str">
        <f t="shared" si="15"/>
        <v xml:space="preserve"> 23 Teaching and educational professionals</v>
      </c>
      <c r="B48" s="249">
        <f t="shared" si="16"/>
        <v>5.2462246624871938</v>
      </c>
      <c r="C48" s="249">
        <f t="shared" si="16"/>
        <v>6.1731790420358665</v>
      </c>
      <c r="D48" s="249">
        <f t="shared" si="16"/>
        <v>6.12588359496816</v>
      </c>
      <c r="E48" s="249">
        <f t="shared" si="16"/>
        <v>6.2497610721103092</v>
      </c>
      <c r="F48" s="249">
        <f t="shared" si="16"/>
        <v>6.6443103620337522</v>
      </c>
      <c r="H48" s="83">
        <f t="shared" si="21"/>
        <v>11.257346183875612</v>
      </c>
      <c r="I48" s="84">
        <f t="shared" si="22"/>
        <v>35.500751733196353</v>
      </c>
      <c r="J48" s="84">
        <f t="shared" si="23"/>
        <v>46.758097917071964</v>
      </c>
      <c r="L48" s="286" t="str">
        <f t="shared" si="17"/>
        <v xml:space="preserve"> 23 Teaching and educational professionals</v>
      </c>
      <c r="M48" s="249">
        <f t="shared" ref="M48:Q48" si="36">M12/M$34*100</f>
        <v>3.3256768253117714</v>
      </c>
      <c r="N48" s="249">
        <f t="shared" si="36"/>
        <v>4.1197368369342726</v>
      </c>
      <c r="O48" s="249">
        <f t="shared" si="36"/>
        <v>4.1900100608799447</v>
      </c>
      <c r="P48" s="249">
        <f t="shared" si="36"/>
        <v>4.1464149950400753</v>
      </c>
      <c r="Q48" s="249">
        <f t="shared" si="36"/>
        <v>4.3336230518822436</v>
      </c>
      <c r="S48" s="83">
        <f t="shared" si="25"/>
        <v>3.6877184435926891</v>
      </c>
      <c r="T48" s="84">
        <f t="shared" si="26"/>
        <v>28.063526077670435</v>
      </c>
      <c r="U48" s="84">
        <f t="shared" si="27"/>
        <v>31.751244521263121</v>
      </c>
      <c r="W48" s="286" t="str">
        <f t="shared" si="19"/>
        <v xml:space="preserve"> 23 Teaching and educational professionals</v>
      </c>
      <c r="X48" s="249">
        <f t="shared" ref="X48:AB48" si="37">X12/X$34*100</f>
        <v>7.3622184588488473</v>
      </c>
      <c r="Y48" s="249">
        <f t="shared" si="37"/>
        <v>8.4008379939524058</v>
      </c>
      <c r="Z48" s="249">
        <f t="shared" si="37"/>
        <v>8.095590377641253</v>
      </c>
      <c r="AA48" s="249">
        <f t="shared" si="37"/>
        <v>8.3410924156303459</v>
      </c>
      <c r="AB48" s="249">
        <f t="shared" si="37"/>
        <v>8.890302283845152</v>
      </c>
      <c r="AD48" s="83">
        <f t="shared" si="29"/>
        <v>15.243606538930141</v>
      </c>
      <c r="AE48" s="84">
        <f t="shared" si="30"/>
        <v>39.417287499472735</v>
      </c>
      <c r="AF48" s="84">
        <f t="shared" si="31"/>
        <v>54.660894038402887</v>
      </c>
    </row>
    <row r="49" spans="1:32" x14ac:dyDescent="0.2">
      <c r="A49" s="243" t="str">
        <f t="shared" si="15"/>
        <v xml:space="preserve"> 24 Business, media and public service professionals</v>
      </c>
      <c r="B49" s="249">
        <f t="shared" si="16"/>
        <v>2.9696630808000508</v>
      </c>
      <c r="C49" s="249">
        <f t="shared" si="16"/>
        <v>2.949499076328495</v>
      </c>
      <c r="D49" s="249">
        <f t="shared" si="16"/>
        <v>3.1266472514945187</v>
      </c>
      <c r="E49" s="249">
        <f t="shared" si="16"/>
        <v>3.3664964273339941</v>
      </c>
      <c r="F49" s="249">
        <f t="shared" si="16"/>
        <v>3.4983121606286276</v>
      </c>
      <c r="H49" s="83">
        <f t="shared" si="21"/>
        <v>14.769687424240189</v>
      </c>
      <c r="I49" s="84">
        <f t="shared" si="22"/>
        <v>36.149802401760297</v>
      </c>
      <c r="J49" s="84">
        <f t="shared" si="23"/>
        <v>50.919489826000486</v>
      </c>
      <c r="L49" s="286" t="str">
        <f t="shared" si="17"/>
        <v xml:space="preserve"> 24 Business, media and public service professionals</v>
      </c>
      <c r="M49" s="249">
        <f t="shared" ref="M49:Q49" si="38">M13/M$34*100</f>
        <v>3.2851967451421284</v>
      </c>
      <c r="N49" s="249">
        <f t="shared" si="38"/>
        <v>2.9944397461809555</v>
      </c>
      <c r="O49" s="249">
        <f t="shared" si="38"/>
        <v>2.8333350205612078</v>
      </c>
      <c r="P49" s="249">
        <f t="shared" si="38"/>
        <v>2.9015407097020427</v>
      </c>
      <c r="Q49" s="249">
        <f t="shared" si="38"/>
        <v>2.8457191710529375</v>
      </c>
      <c r="S49" s="83">
        <f t="shared" si="25"/>
        <v>0.68977291370166405</v>
      </c>
      <c r="T49" s="84">
        <f t="shared" si="26"/>
        <v>28.557904507771898</v>
      </c>
      <c r="U49" s="84">
        <f t="shared" si="27"/>
        <v>29.247677421473561</v>
      </c>
      <c r="W49" s="286" t="str">
        <f t="shared" si="19"/>
        <v xml:space="preserve"> 24 Business, media and public service professionals</v>
      </c>
      <c r="X49" s="249">
        <f t="shared" ref="X49:AB49" si="39">X13/X$34*100</f>
        <v>2.6220189016927726</v>
      </c>
      <c r="Y49" s="249">
        <f t="shared" si="39"/>
        <v>2.9007455807330405</v>
      </c>
      <c r="Z49" s="249">
        <f t="shared" si="39"/>
        <v>3.4250856982923592</v>
      </c>
      <c r="AA49" s="249">
        <f t="shared" si="39"/>
        <v>3.8287962248960867</v>
      </c>
      <c r="AB49" s="249">
        <f t="shared" si="39"/>
        <v>4.132633635619384</v>
      </c>
      <c r="AD49" s="83">
        <f t="shared" si="29"/>
        <v>26.620581136656185</v>
      </c>
      <c r="AE49" s="84">
        <f t="shared" si="30"/>
        <v>42.539811016502355</v>
      </c>
      <c r="AF49" s="84">
        <f t="shared" si="31"/>
        <v>69.16039215315854</v>
      </c>
    </row>
    <row r="50" spans="1:32" x14ac:dyDescent="0.2">
      <c r="A50" s="243" t="str">
        <f t="shared" si="15"/>
        <v xml:space="preserve"> 31 Science, engineering and technology associate professionals</v>
      </c>
      <c r="B50" s="249">
        <f t="shared" si="16"/>
        <v>1.701190216150904</v>
      </c>
      <c r="C50" s="249">
        <f t="shared" si="16"/>
        <v>1.6262316350932966</v>
      </c>
      <c r="D50" s="249">
        <f t="shared" si="16"/>
        <v>1.6442498610169356</v>
      </c>
      <c r="E50" s="249">
        <f t="shared" si="16"/>
        <v>1.6254288410882369</v>
      </c>
      <c r="F50" s="249">
        <f t="shared" si="16"/>
        <v>1.6117424359762351</v>
      </c>
      <c r="H50" s="83">
        <f t="shared" si="21"/>
        <v>0.54844368660601628</v>
      </c>
      <c r="I50" s="84">
        <f t="shared" si="22"/>
        <v>26.696973072998563</v>
      </c>
      <c r="J50" s="84">
        <f t="shared" si="23"/>
        <v>27.245416759604581</v>
      </c>
      <c r="L50" s="286" t="str">
        <f t="shared" si="17"/>
        <v xml:space="preserve"> 31 Science, engineering and technology associate professionals</v>
      </c>
      <c r="M50" s="249">
        <f t="shared" ref="M50:Q50" si="40">M14/M$34*100</f>
        <v>2.5047907465674877</v>
      </c>
      <c r="N50" s="249">
        <f t="shared" si="40"/>
        <v>2.3837466357006063</v>
      </c>
      <c r="O50" s="249">
        <f t="shared" si="40"/>
        <v>2.475887373405254</v>
      </c>
      <c r="P50" s="249">
        <f t="shared" si="40"/>
        <v>2.4801781005012624</v>
      </c>
      <c r="Q50" s="249">
        <f t="shared" si="40"/>
        <v>2.4926561519965649</v>
      </c>
      <c r="S50" s="83">
        <f t="shared" si="25"/>
        <v>0.93057338723743743</v>
      </c>
      <c r="T50" s="84">
        <f t="shared" si="26"/>
        <v>24.503311495554371</v>
      </c>
      <c r="U50" s="84">
        <f t="shared" si="27"/>
        <v>25.433884882791808</v>
      </c>
      <c r="W50" s="286" t="str">
        <f t="shared" si="19"/>
        <v xml:space="preserve"> 31 Science, engineering and technology associate professionals</v>
      </c>
      <c r="X50" s="249">
        <f t="shared" ref="X50:AB50" si="41">X14/X$34*100</f>
        <v>0.81581068839321724</v>
      </c>
      <c r="Y50" s="249">
        <f t="shared" si="41"/>
        <v>0.80444806206576758</v>
      </c>
      <c r="Z50" s="249">
        <f t="shared" si="41"/>
        <v>0.79807782548249817</v>
      </c>
      <c r="AA50" s="249">
        <f t="shared" si="41"/>
        <v>0.77556208043090114</v>
      </c>
      <c r="AB50" s="249">
        <f t="shared" si="41"/>
        <v>0.75549283383305288</v>
      </c>
      <c r="AD50" s="83">
        <f t="shared" si="29"/>
        <v>-0.65776105916425964</v>
      </c>
      <c r="AE50" s="84">
        <f t="shared" si="30"/>
        <v>33.621336714338291</v>
      </c>
      <c r="AF50" s="84">
        <f t="shared" si="31"/>
        <v>32.963575655174033</v>
      </c>
    </row>
    <row r="51" spans="1:32" x14ac:dyDescent="0.2">
      <c r="A51" s="243" t="str">
        <f t="shared" si="15"/>
        <v xml:space="preserve"> 32 Health and social care associate professionals</v>
      </c>
      <c r="B51" s="249">
        <f t="shared" si="16"/>
        <v>1.5629349087353677</v>
      </c>
      <c r="C51" s="249">
        <f t="shared" si="16"/>
        <v>1.7874337565377714</v>
      </c>
      <c r="D51" s="249">
        <f t="shared" si="16"/>
        <v>2.0419301589305197</v>
      </c>
      <c r="E51" s="249">
        <f t="shared" si="16"/>
        <v>2.1896737601744451</v>
      </c>
      <c r="F51" s="249">
        <f t="shared" si="16"/>
        <v>2.3156371929795467</v>
      </c>
      <c r="H51" s="83">
        <f t="shared" si="21"/>
        <v>16.326097535085612</v>
      </c>
      <c r="I51" s="84">
        <f t="shared" si="22"/>
        <v>41.175257325509243</v>
      </c>
      <c r="J51" s="84">
        <f t="shared" si="23"/>
        <v>57.501354860594866</v>
      </c>
      <c r="L51" s="286" t="str">
        <f t="shared" si="17"/>
        <v xml:space="preserve"> 32 Health and social care associate professionals</v>
      </c>
      <c r="M51" s="249">
        <f t="shared" ref="M51:Q51" si="42">M15/M$34*100</f>
        <v>0.91213981480371076</v>
      </c>
      <c r="N51" s="249">
        <f t="shared" si="42"/>
        <v>1.242647898245494</v>
      </c>
      <c r="O51" s="249">
        <f t="shared" si="42"/>
        <v>1.3109080734249667</v>
      </c>
      <c r="P51" s="249">
        <f t="shared" si="42"/>
        <v>1.3622126170895172</v>
      </c>
      <c r="Q51" s="249">
        <f t="shared" si="42"/>
        <v>1.4375864170527588</v>
      </c>
      <c r="S51" s="83">
        <f t="shared" si="25"/>
        <v>9.9393016499093072</v>
      </c>
      <c r="T51" s="84">
        <f t="shared" si="26"/>
        <v>34.602234798485846</v>
      </c>
      <c r="U51" s="84">
        <f t="shared" si="27"/>
        <v>44.541536448395156</v>
      </c>
      <c r="W51" s="286" t="str">
        <f t="shared" si="19"/>
        <v xml:space="preserve"> 32 Health and social care associate professionals</v>
      </c>
      <c r="X51" s="249">
        <f t="shared" ref="X51:AB51" si="43">X15/X$34*100</f>
        <v>2.2799586426962359</v>
      </c>
      <c r="Y51" s="249">
        <f t="shared" si="43"/>
        <v>2.3784399660562281</v>
      </c>
      <c r="Z51" s="249">
        <f t="shared" si="43"/>
        <v>2.7857283124510728</v>
      </c>
      <c r="AA51" s="249">
        <f t="shared" si="43"/>
        <v>3.0124082796829414</v>
      </c>
      <c r="AB51" s="249">
        <f t="shared" si="43"/>
        <v>3.1691040125737882</v>
      </c>
      <c r="AD51" s="83">
        <f t="shared" si="29"/>
        <v>19.384123120949909</v>
      </c>
      <c r="AE51" s="84">
        <f t="shared" si="30"/>
        <v>44.322449035636389</v>
      </c>
      <c r="AF51" s="84">
        <f t="shared" si="31"/>
        <v>63.706572156586297</v>
      </c>
    </row>
    <row r="52" spans="1:32" x14ac:dyDescent="0.2">
      <c r="A52" s="243" t="str">
        <f t="shared" si="15"/>
        <v xml:space="preserve"> 33 Protective service occupations</v>
      </c>
      <c r="B52" s="249">
        <f t="shared" si="16"/>
        <v>1.2912704056644986</v>
      </c>
      <c r="C52" s="249">
        <f t="shared" si="16"/>
        <v>1.1848567829963337</v>
      </c>
      <c r="D52" s="249">
        <f t="shared" si="16"/>
        <v>1.0927092176296611</v>
      </c>
      <c r="E52" s="249">
        <f t="shared" si="16"/>
        <v>1.0458169207749604</v>
      </c>
      <c r="F52" s="249">
        <f t="shared" si="16"/>
        <v>1.0076661645027867</v>
      </c>
      <c r="H52" s="83">
        <f t="shared" si="21"/>
        <v>-5.4068701566003199</v>
      </c>
      <c r="I52" s="84">
        <f t="shared" si="22"/>
        <v>21.661797877558083</v>
      </c>
      <c r="J52" s="84">
        <f t="shared" si="23"/>
        <v>16.254927720957763</v>
      </c>
      <c r="L52" s="286" t="str">
        <f t="shared" si="17"/>
        <v xml:space="preserve"> 33 Protective service occupations</v>
      </c>
      <c r="M52" s="249">
        <f t="shared" ref="M52:Q52" si="44">M16/M$34*100</f>
        <v>2.0295030549973068</v>
      </c>
      <c r="N52" s="249">
        <f t="shared" si="44"/>
        <v>1.8066410974786835</v>
      </c>
      <c r="O52" s="249">
        <f t="shared" si="44"/>
        <v>1.6642099636614238</v>
      </c>
      <c r="P52" s="249">
        <f t="shared" si="44"/>
        <v>1.5339225261730516</v>
      </c>
      <c r="Q52" s="249">
        <f t="shared" si="44"/>
        <v>1.4193869670507477</v>
      </c>
      <c r="S52" s="83">
        <f t="shared" si="25"/>
        <v>-14.496489323959683</v>
      </c>
      <c r="T52" s="84">
        <f t="shared" si="26"/>
        <v>17.293563667552519</v>
      </c>
      <c r="U52" s="84">
        <f t="shared" si="27"/>
        <v>2.7970743435928362</v>
      </c>
      <c r="W52" s="286" t="str">
        <f t="shared" si="19"/>
        <v xml:space="preserve"> 33 Protective service occupations</v>
      </c>
      <c r="X52" s="249">
        <f t="shared" ref="X52:AB52" si="45">X16/X$34*100</f>
        <v>0.47791096935009997</v>
      </c>
      <c r="Y52" s="249">
        <f t="shared" si="45"/>
        <v>0.51031946664203665</v>
      </c>
      <c r="Z52" s="249">
        <f t="shared" si="45"/>
        <v>0.51122035694760926</v>
      </c>
      <c r="AA52" s="249">
        <f t="shared" si="45"/>
        <v>0.560499472236622</v>
      </c>
      <c r="AB52" s="249">
        <f t="shared" si="45"/>
        <v>0.60747285729853262</v>
      </c>
      <c r="AD52" s="83">
        <f t="shared" si="29"/>
        <v>24.70032267921513</v>
      </c>
      <c r="AE52" s="84">
        <f t="shared" si="30"/>
        <v>36.130530537438567</v>
      </c>
      <c r="AF52" s="84">
        <f t="shared" si="31"/>
        <v>60.830853216653693</v>
      </c>
    </row>
    <row r="53" spans="1:32" x14ac:dyDescent="0.2">
      <c r="A53" s="243" t="str">
        <f t="shared" si="15"/>
        <v xml:space="preserve"> 34 Culture, media and sports occupations</v>
      </c>
      <c r="B53" s="249">
        <f t="shared" si="16"/>
        <v>1.2282879317460293</v>
      </c>
      <c r="C53" s="249">
        <f t="shared" si="16"/>
        <v>1.5646471534462691</v>
      </c>
      <c r="D53" s="249">
        <f t="shared" si="16"/>
        <v>1.7031250664202233</v>
      </c>
      <c r="E53" s="249">
        <f t="shared" si="16"/>
        <v>1.8138106618239564</v>
      </c>
      <c r="F53" s="249">
        <f t="shared" si="16"/>
        <v>1.8409437629153393</v>
      </c>
      <c r="H53" s="83">
        <f t="shared" si="21"/>
        <v>10.877010278884304</v>
      </c>
      <c r="I53" s="84">
        <f t="shared" si="22"/>
        <v>34.115855840397721</v>
      </c>
      <c r="J53" s="84">
        <f t="shared" si="23"/>
        <v>44.992866119282027</v>
      </c>
      <c r="L53" s="286" t="str">
        <f t="shared" si="17"/>
        <v xml:space="preserve"> 34 Culture, media and sports occupations</v>
      </c>
      <c r="M53" s="249">
        <f t="shared" ref="M53:Q53" si="46">M17/M$34*100</f>
        <v>1.1229909271197382</v>
      </c>
      <c r="N53" s="249">
        <f t="shared" si="46"/>
        <v>1.6322334110480532</v>
      </c>
      <c r="O53" s="249">
        <f t="shared" si="46"/>
        <v>1.5915932032874578</v>
      </c>
      <c r="P53" s="249">
        <f t="shared" si="46"/>
        <v>1.6611031075364484</v>
      </c>
      <c r="Q53" s="249">
        <f t="shared" si="46"/>
        <v>1.6784758754066751</v>
      </c>
      <c r="S53" s="83">
        <f t="shared" si="25"/>
        <v>5.7241687064341553</v>
      </c>
      <c r="T53" s="84">
        <f t="shared" si="26"/>
        <v>28.228551362025534</v>
      </c>
      <c r="U53" s="84">
        <f t="shared" si="27"/>
        <v>33.952720068459691</v>
      </c>
      <c r="W53" s="286" t="str">
        <f t="shared" si="19"/>
        <v xml:space="preserve"> 34 Culture, media and sports occupations</v>
      </c>
      <c r="X53" s="249">
        <f t="shared" ref="X53:AB53" si="47">X17/X$34*100</f>
        <v>1.3443005632732838</v>
      </c>
      <c r="Y53" s="249">
        <f t="shared" si="47"/>
        <v>1.4913267885491692</v>
      </c>
      <c r="Z53" s="249">
        <f t="shared" si="47"/>
        <v>1.8166061711661712</v>
      </c>
      <c r="AA53" s="249">
        <f t="shared" si="47"/>
        <v>1.9656459200134195</v>
      </c>
      <c r="AB53" s="249">
        <f t="shared" si="47"/>
        <v>1.9988628207190946</v>
      </c>
      <c r="AD53" s="83">
        <f t="shared" si="29"/>
        <v>15.470499256391642</v>
      </c>
      <c r="AE53" s="84">
        <f t="shared" si="30"/>
        <v>39.364080115954671</v>
      </c>
      <c r="AF53" s="84">
        <f t="shared" si="31"/>
        <v>54.834579372346312</v>
      </c>
    </row>
    <row r="54" spans="1:32" x14ac:dyDescent="0.2">
      <c r="A54" s="243" t="str">
        <f t="shared" si="15"/>
        <v xml:space="preserve"> 35 Business and public service associate professionals</v>
      </c>
      <c r="B54" s="249">
        <f t="shared" ref="B54:F63" si="48">B18/B$34*100</f>
        <v>4.5467780733702696</v>
      </c>
      <c r="C54" s="249">
        <f t="shared" si="48"/>
        <v>4.5465901113728071</v>
      </c>
      <c r="D54" s="249">
        <f t="shared" si="48"/>
        <v>4.7662938730943969</v>
      </c>
      <c r="E54" s="249">
        <f t="shared" si="48"/>
        <v>5.0638567424242389</v>
      </c>
      <c r="F54" s="249">
        <f t="shared" si="48"/>
        <v>5.2691712726285385</v>
      </c>
      <c r="H54" s="83">
        <f t="shared" si="21"/>
        <v>13.398947952816318</v>
      </c>
      <c r="I54" s="84">
        <f t="shared" si="22"/>
        <v>33.477215875338608</v>
      </c>
      <c r="J54" s="84">
        <f t="shared" si="23"/>
        <v>46.87616382815493</v>
      </c>
      <c r="L54" s="286" t="str">
        <f t="shared" si="17"/>
        <v xml:space="preserve"> 35 Business and public service associate professionals</v>
      </c>
      <c r="M54" s="249">
        <f t="shared" ref="M54:Q54" si="49">M18/M$34*100</f>
        <v>5.1007758813506285</v>
      </c>
      <c r="N54" s="249">
        <f t="shared" si="49"/>
        <v>4.9547118217211459</v>
      </c>
      <c r="O54" s="249">
        <f t="shared" si="49"/>
        <v>4.944545328750209</v>
      </c>
      <c r="P54" s="249">
        <f t="shared" si="49"/>
        <v>5.0524761449514237</v>
      </c>
      <c r="Q54" s="249">
        <f t="shared" si="49"/>
        <v>5.0764785927916822</v>
      </c>
      <c r="S54" s="83">
        <f t="shared" si="25"/>
        <v>2.9265575845455509</v>
      </c>
      <c r="T54" s="84">
        <f t="shared" si="26"/>
        <v>26.382159817074356</v>
      </c>
      <c r="U54" s="84">
        <f t="shared" si="27"/>
        <v>29.308717401619909</v>
      </c>
      <c r="W54" s="286" t="str">
        <f t="shared" si="19"/>
        <v xml:space="preserve"> 35 Business and public service associate professionals</v>
      </c>
      <c r="X54" s="249">
        <f t="shared" ref="X54:AB54" si="50">X18/X$34*100</f>
        <v>3.9364022721569927</v>
      </c>
      <c r="Y54" s="249">
        <f t="shared" si="50"/>
        <v>4.1038428164792746</v>
      </c>
      <c r="Z54" s="249">
        <f t="shared" si="50"/>
        <v>4.5849271179608175</v>
      </c>
      <c r="AA54" s="249">
        <f t="shared" si="50"/>
        <v>5.0751723316476713</v>
      </c>
      <c r="AB54" s="249">
        <f t="shared" si="50"/>
        <v>5.4564688790179572</v>
      </c>
      <c r="AD54" s="83">
        <f t="shared" si="29"/>
        <v>24.890120518054118</v>
      </c>
      <c r="AE54" s="84">
        <f t="shared" si="30"/>
        <v>41.262497998947453</v>
      </c>
      <c r="AF54" s="84">
        <f t="shared" si="31"/>
        <v>66.152618517001571</v>
      </c>
    </row>
    <row r="55" spans="1:32" x14ac:dyDescent="0.2">
      <c r="A55" s="243" t="str">
        <f t="shared" si="15"/>
        <v xml:space="preserve"> 41 Administrative occupations</v>
      </c>
      <c r="B55" s="249">
        <f t="shared" si="48"/>
        <v>9.1387091925663331</v>
      </c>
      <c r="C55" s="249">
        <f t="shared" si="48"/>
        <v>8.832105851427686</v>
      </c>
      <c r="D55" s="249">
        <f t="shared" si="48"/>
        <v>8.336035359130161</v>
      </c>
      <c r="E55" s="249">
        <f t="shared" si="48"/>
        <v>7.9979809502883246</v>
      </c>
      <c r="F55" s="249">
        <f t="shared" si="48"/>
        <v>7.6478653434315289</v>
      </c>
      <c r="H55" s="83">
        <f t="shared" si="21"/>
        <v>-5.8916388329417808</v>
      </c>
      <c r="I55" s="84">
        <f t="shared" si="22"/>
        <v>32.504193054764038</v>
      </c>
      <c r="J55" s="84">
        <f t="shared" si="23"/>
        <v>26.612554221822254</v>
      </c>
      <c r="L55" s="286" t="str">
        <f t="shared" si="17"/>
        <v xml:space="preserve"> 41 Administrative occupations</v>
      </c>
      <c r="M55" s="249">
        <f t="shared" ref="M55:Q55" si="51">M19/M$34*100</f>
        <v>5.203218637566728</v>
      </c>
      <c r="N55" s="249">
        <f t="shared" si="51"/>
        <v>5.3611490135072026</v>
      </c>
      <c r="O55" s="249">
        <f t="shared" si="51"/>
        <v>5.160850889412866</v>
      </c>
      <c r="P55" s="249">
        <f t="shared" si="51"/>
        <v>5.1985913393786474</v>
      </c>
      <c r="Q55" s="249">
        <f t="shared" si="51"/>
        <v>5.3055293342245937</v>
      </c>
      <c r="S55" s="83">
        <f t="shared" si="25"/>
        <v>3.0620223248596061</v>
      </c>
      <c r="T55" s="84">
        <f t="shared" si="26"/>
        <v>26.026167895337039</v>
      </c>
      <c r="U55" s="84">
        <f t="shared" si="27"/>
        <v>29.088190220196648</v>
      </c>
      <c r="W55" s="286" t="str">
        <f t="shared" si="19"/>
        <v xml:space="preserve"> 41 Administrative occupations</v>
      </c>
      <c r="X55" s="249">
        <f t="shared" ref="X55:AB55" si="52">X19/X$34*100</f>
        <v>13.474697830197089</v>
      </c>
      <c r="Y55" s="249">
        <f t="shared" si="52"/>
        <v>12.597543248447968</v>
      </c>
      <c r="Z55" s="249">
        <f t="shared" si="52"/>
        <v>11.566712506222906</v>
      </c>
      <c r="AA55" s="249">
        <f t="shared" si="52"/>
        <v>10.781379887744437</v>
      </c>
      <c r="AB55" s="249">
        <f t="shared" si="52"/>
        <v>9.9246198535438346</v>
      </c>
      <c r="AD55" s="83">
        <f t="shared" si="29"/>
        <v>-9.9564148824858325</v>
      </c>
      <c r="AE55" s="84">
        <f t="shared" si="30"/>
        <v>35.445081821080493</v>
      </c>
      <c r="AF55" s="84">
        <f t="shared" si="31"/>
        <v>25.488666938594662</v>
      </c>
    </row>
    <row r="56" spans="1:32" x14ac:dyDescent="0.2">
      <c r="A56" s="243" t="str">
        <f t="shared" si="15"/>
        <v xml:space="preserve"> 42 Secretarial and related occupations</v>
      </c>
      <c r="B56" s="249">
        <f t="shared" si="48"/>
        <v>2.7721343720805649</v>
      </c>
      <c r="C56" s="249">
        <f t="shared" si="48"/>
        <v>2.5503281026612084</v>
      </c>
      <c r="D56" s="249">
        <f t="shared" si="48"/>
        <v>2.164410820585374</v>
      </c>
      <c r="E56" s="249">
        <f t="shared" si="48"/>
        <v>1.6327587748826828</v>
      </c>
      <c r="F56" s="249">
        <f t="shared" si="48"/>
        <v>1.1931882950918269</v>
      </c>
      <c r="H56" s="83">
        <f t="shared" si="21"/>
        <v>-43.45205669351936</v>
      </c>
      <c r="I56" s="84">
        <f t="shared" si="22"/>
        <v>26.187669452451946</v>
      </c>
      <c r="J56" s="84">
        <f t="shared" si="23"/>
        <v>-17.264387241067414</v>
      </c>
      <c r="L56" s="286" t="str">
        <f t="shared" si="17"/>
        <v xml:space="preserve"> 42 Secretarial and related occupations</v>
      </c>
      <c r="M56" s="249">
        <f t="shared" ref="M56:Q56" si="53">M20/M$34*100</f>
        <v>0.28250772344968472</v>
      </c>
      <c r="N56" s="249">
        <f t="shared" si="53"/>
        <v>0.30663943813753075</v>
      </c>
      <c r="O56" s="249">
        <f t="shared" si="53"/>
        <v>0.28938453572365053</v>
      </c>
      <c r="P56" s="249">
        <f t="shared" si="53"/>
        <v>0.29571408920897785</v>
      </c>
      <c r="Q56" s="249">
        <f t="shared" si="53"/>
        <v>0.30910895217702172</v>
      </c>
      <c r="S56" s="83">
        <f t="shared" si="25"/>
        <v>7.0847223456941606</v>
      </c>
      <c r="T56" s="84">
        <f t="shared" si="26"/>
        <v>23.534668115814124</v>
      </c>
      <c r="U56" s="84">
        <f t="shared" si="27"/>
        <v>30.619390461508285</v>
      </c>
      <c r="W56" s="286" t="str">
        <f t="shared" si="19"/>
        <v xml:space="preserve"> 42 Secretarial and related occupations</v>
      </c>
      <c r="X56" s="249">
        <f t="shared" ref="X56:AB56" si="54">X20/X$34*100</f>
        <v>5.5151197025096952</v>
      </c>
      <c r="Y56" s="249">
        <f t="shared" si="54"/>
        <v>4.9843742747045461</v>
      </c>
      <c r="Z56" s="249">
        <f t="shared" si="54"/>
        <v>4.0722069270712122</v>
      </c>
      <c r="AA56" s="249">
        <f t="shared" si="54"/>
        <v>2.9621659938464644</v>
      </c>
      <c r="AB56" s="249">
        <f t="shared" si="54"/>
        <v>2.0525148918595981</v>
      </c>
      <c r="AD56" s="83">
        <f t="shared" si="29"/>
        <v>-47.106133213260655</v>
      </c>
      <c r="AE56" s="84">
        <f t="shared" si="30"/>
        <v>26.3794954863891</v>
      </c>
      <c r="AF56" s="84">
        <f t="shared" si="31"/>
        <v>-20.726637726871552</v>
      </c>
    </row>
    <row r="57" spans="1:32" x14ac:dyDescent="0.2">
      <c r="A57" s="243" t="str">
        <f t="shared" si="15"/>
        <v xml:space="preserve"> 51 Skilled agricultural and related trades</v>
      </c>
      <c r="B57" s="249">
        <f t="shared" si="48"/>
        <v>1.9171693337139826</v>
      </c>
      <c r="C57" s="249">
        <f t="shared" si="48"/>
        <v>2.0511881932419982</v>
      </c>
      <c r="D57" s="249">
        <f t="shared" si="48"/>
        <v>2.9182350552050855</v>
      </c>
      <c r="E57" s="249">
        <f t="shared" si="48"/>
        <v>2.8441250698688183</v>
      </c>
      <c r="F57" s="249">
        <f t="shared" si="48"/>
        <v>2.7761359308011473</v>
      </c>
      <c r="H57" s="83">
        <f t="shared" si="21"/>
        <v>-2.4183891637448278</v>
      </c>
      <c r="I57" s="84">
        <f t="shared" si="22"/>
        <v>34.494423117377096</v>
      </c>
      <c r="J57" s="84">
        <f t="shared" si="23"/>
        <v>32.076033953632262</v>
      </c>
      <c r="L57" s="286" t="str">
        <f t="shared" si="17"/>
        <v xml:space="preserve"> 51 Skilled agricultural and related trades</v>
      </c>
      <c r="M57" s="249">
        <f t="shared" ref="M57:Q57" si="55">M21/M$34*100</f>
        <v>3.0417858819344818</v>
      </c>
      <c r="N57" s="249">
        <f t="shared" si="55"/>
        <v>3.0331898083231006</v>
      </c>
      <c r="O57" s="249">
        <f t="shared" si="55"/>
        <v>4.5279897225445493</v>
      </c>
      <c r="P57" s="249">
        <f t="shared" si="55"/>
        <v>4.4015875720938986</v>
      </c>
      <c r="Q57" s="249">
        <f t="shared" si="55"/>
        <v>4.329263433402204</v>
      </c>
      <c r="S57" s="83">
        <f t="shared" si="25"/>
        <v>-4.1482972805700857</v>
      </c>
      <c r="T57" s="84">
        <f t="shared" si="26"/>
        <v>31.470886643386535</v>
      </c>
      <c r="U57" s="84">
        <f t="shared" si="27"/>
        <v>27.322589362816451</v>
      </c>
      <c r="W57" s="286" t="str">
        <f t="shared" si="19"/>
        <v xml:space="preserve"> 51 Skilled agricultural and related trades</v>
      </c>
      <c r="X57" s="249">
        <f t="shared" ref="X57:AB57" si="56">X21/X$34*100</f>
        <v>0.67810535766635927</v>
      </c>
      <c r="Y57" s="249">
        <f t="shared" si="56"/>
        <v>0.98587226509117243</v>
      </c>
      <c r="Z57" s="249">
        <f t="shared" si="56"/>
        <v>1.2803467164961906</v>
      </c>
      <c r="AA57" s="249">
        <f t="shared" si="56"/>
        <v>1.2955591050146729</v>
      </c>
      <c r="AB57" s="249">
        <f t="shared" si="56"/>
        <v>1.266493406232849</v>
      </c>
      <c r="AD57" s="83">
        <f t="shared" si="29"/>
        <v>3.8064118740212751</v>
      </c>
      <c r="AE57" s="84">
        <f t="shared" si="30"/>
        <v>45.374141408746979</v>
      </c>
      <c r="AF57" s="84">
        <f t="shared" si="31"/>
        <v>49.180553282768251</v>
      </c>
    </row>
    <row r="58" spans="1:32" x14ac:dyDescent="0.2">
      <c r="A58" s="243" t="str">
        <f t="shared" si="15"/>
        <v xml:space="preserve"> 52 Skilled metal, electrical and electronic trades</v>
      </c>
      <c r="B58" s="249">
        <f t="shared" si="48"/>
        <v>4.5834358430302506</v>
      </c>
      <c r="C58" s="249">
        <f t="shared" si="48"/>
        <v>4.1606244823072442</v>
      </c>
      <c r="D58" s="249">
        <f t="shared" si="48"/>
        <v>3.9416854352137398</v>
      </c>
      <c r="E58" s="249">
        <f t="shared" si="48"/>
        <v>3.6128913379865915</v>
      </c>
      <c r="F58" s="249">
        <f t="shared" si="48"/>
        <v>3.3658909300012878</v>
      </c>
      <c r="H58" s="83">
        <f t="shared" si="21"/>
        <v>-12.407766166632513</v>
      </c>
      <c r="I58" s="84">
        <f t="shared" si="22"/>
        <v>23.910831630309083</v>
      </c>
      <c r="J58" s="84">
        <f t="shared" si="23"/>
        <v>11.503065463676574</v>
      </c>
      <c r="L58" s="286" t="str">
        <f t="shared" si="17"/>
        <v xml:space="preserve"> 52 Skilled metal, electrical and electronic trades</v>
      </c>
      <c r="M58" s="249">
        <f t="shared" ref="M58:Q58" si="57">M22/M$34*100</f>
        <v>8.5727554805406303</v>
      </c>
      <c r="N58" s="249">
        <f t="shared" si="57"/>
        <v>7.8437563040668845</v>
      </c>
      <c r="O58" s="249">
        <f t="shared" si="57"/>
        <v>7.6746991381990908</v>
      </c>
      <c r="P58" s="249">
        <f t="shared" si="57"/>
        <v>7.1118737674895378</v>
      </c>
      <c r="Q58" s="249">
        <f t="shared" si="57"/>
        <v>6.7021272593747181</v>
      </c>
      <c r="S58" s="83">
        <f t="shared" si="25"/>
        <v>-12.452739281979619</v>
      </c>
      <c r="T58" s="84">
        <f t="shared" si="26"/>
        <v>23.692545998813749</v>
      </c>
      <c r="U58" s="84">
        <f t="shared" si="27"/>
        <v>11.23980671683413</v>
      </c>
      <c r="W58" s="286" t="str">
        <f t="shared" si="19"/>
        <v xml:space="preserve"> 52 Skilled metal, electrical and electronic trades</v>
      </c>
      <c r="X58" s="249">
        <f t="shared" ref="X58:AB58" si="58">X22/X$34*100</f>
        <v>0.188140166828556</v>
      </c>
      <c r="Y58" s="249">
        <f t="shared" si="58"/>
        <v>0.16501089579023387</v>
      </c>
      <c r="Z58" s="249">
        <f t="shared" si="58"/>
        <v>0.14342987713821248</v>
      </c>
      <c r="AA58" s="249">
        <f t="shared" si="58"/>
        <v>0.1338957960651036</v>
      </c>
      <c r="AB58" s="249">
        <f t="shared" si="58"/>
        <v>0.1230636499505261</v>
      </c>
      <c r="AD58" s="83">
        <f t="shared" si="29"/>
        <v>-9.9592707035143686</v>
      </c>
      <c r="AE58" s="84">
        <f t="shared" si="30"/>
        <v>35.795073454672192</v>
      </c>
      <c r="AF58" s="84">
        <f t="shared" si="31"/>
        <v>25.835802751157829</v>
      </c>
    </row>
    <row r="59" spans="1:32" x14ac:dyDescent="0.2">
      <c r="A59" s="243" t="str">
        <f t="shared" si="15"/>
        <v xml:space="preserve"> 53 Skilled construction and building trades</v>
      </c>
      <c r="B59" s="249">
        <f t="shared" si="48"/>
        <v>4.4127638196531027</v>
      </c>
      <c r="C59" s="249">
        <f t="shared" si="48"/>
        <v>3.5586398276005173</v>
      </c>
      <c r="D59" s="249">
        <f t="shared" si="48"/>
        <v>3.6350187634131239</v>
      </c>
      <c r="E59" s="249">
        <f t="shared" si="48"/>
        <v>3.650102168561979</v>
      </c>
      <c r="F59" s="249">
        <f t="shared" si="48"/>
        <v>3.5601337888246216</v>
      </c>
      <c r="H59" s="83">
        <f t="shared" si="21"/>
        <v>0.46324176984079857</v>
      </c>
      <c r="I59" s="84">
        <f t="shared" si="22"/>
        <v>28.53195511801832</v>
      </c>
      <c r="J59" s="84">
        <f t="shared" si="23"/>
        <v>28.99519688785912</v>
      </c>
      <c r="L59" s="286" t="str">
        <f t="shared" si="17"/>
        <v xml:space="preserve"> 53 Skilled construction and building trades</v>
      </c>
      <c r="M59" s="249">
        <f t="shared" ref="M59:Q59" si="59">M23/M$34*100</f>
        <v>8.2507094472682461</v>
      </c>
      <c r="N59" s="249">
        <f t="shared" si="59"/>
        <v>6.7212086564468612</v>
      </c>
      <c r="O59" s="249">
        <f t="shared" si="59"/>
        <v>7.0291467563690331</v>
      </c>
      <c r="P59" s="249">
        <f t="shared" si="59"/>
        <v>7.1101808951476926</v>
      </c>
      <c r="Q59" s="249">
        <f t="shared" si="59"/>
        <v>6.9911573077950138</v>
      </c>
      <c r="S59" s="83">
        <f t="shared" si="25"/>
        <v>-0.29022989676509492</v>
      </c>
      <c r="T59" s="84">
        <f t="shared" si="26"/>
        <v>28.185404386118911</v>
      </c>
      <c r="U59" s="84">
        <f t="shared" si="27"/>
        <v>27.89517448935382</v>
      </c>
      <c r="W59" s="286" t="str">
        <f t="shared" si="19"/>
        <v xml:space="preserve"> 53 Skilled construction and building trades</v>
      </c>
      <c r="X59" s="249">
        <f t="shared" ref="X59:AB59" si="60">X23/X$34*100</f>
        <v>0.18424684048179996</v>
      </c>
      <c r="Y59" s="249">
        <f t="shared" si="60"/>
        <v>0.12775448535486306</v>
      </c>
      <c r="Z59" s="249">
        <f t="shared" si="60"/>
        <v>0.18157161861567606</v>
      </c>
      <c r="AA59" s="249">
        <f t="shared" si="60"/>
        <v>0.20978810382426166</v>
      </c>
      <c r="AB59" s="249">
        <f t="shared" si="60"/>
        <v>0.22517320229371154</v>
      </c>
      <c r="AD59" s="83">
        <f t="shared" si="29"/>
        <v>30.142030302256877</v>
      </c>
      <c r="AE59" s="84">
        <f t="shared" si="30"/>
        <v>42.182376684800772</v>
      </c>
      <c r="AF59" s="84">
        <f t="shared" si="31"/>
        <v>72.324406987057657</v>
      </c>
    </row>
    <row r="60" spans="1:32" x14ac:dyDescent="0.2">
      <c r="A60" s="243" t="str">
        <f t="shared" si="15"/>
        <v xml:space="preserve"> 54 Textiles, printing and other skilled trades</v>
      </c>
      <c r="B60" s="249">
        <f t="shared" si="48"/>
        <v>2.757468031198584</v>
      </c>
      <c r="C60" s="249">
        <f t="shared" si="48"/>
        <v>3.0163806637501098</v>
      </c>
      <c r="D60" s="249">
        <f t="shared" si="48"/>
        <v>2.8836244519183367</v>
      </c>
      <c r="E60" s="249">
        <f t="shared" si="48"/>
        <v>2.6792320331413442</v>
      </c>
      <c r="F60" s="249">
        <f t="shared" si="48"/>
        <v>2.4306815507811832</v>
      </c>
      <c r="H60" s="83">
        <f t="shared" si="21"/>
        <v>-13.535687802235913</v>
      </c>
      <c r="I60" s="84">
        <f t="shared" si="22"/>
        <v>25.393623972677222</v>
      </c>
      <c r="J60" s="84">
        <f t="shared" si="23"/>
        <v>11.857936170441308</v>
      </c>
      <c r="L60" s="286" t="str">
        <f t="shared" si="17"/>
        <v xml:space="preserve"> 54 Textiles, printing and other skilled trades</v>
      </c>
      <c r="M60" s="249">
        <f t="shared" ref="M60:Q60" si="61">M24/M$34*100</f>
        <v>3.5318455761833398</v>
      </c>
      <c r="N60" s="249">
        <f t="shared" si="61"/>
        <v>4.3239902103340819</v>
      </c>
      <c r="O60" s="249">
        <f t="shared" si="61"/>
        <v>4.0045447094179965</v>
      </c>
      <c r="P60" s="249">
        <f t="shared" si="61"/>
        <v>3.707971419560796</v>
      </c>
      <c r="Q60" s="249">
        <f t="shared" si="61"/>
        <v>3.3366175627937431</v>
      </c>
      <c r="S60" s="83">
        <f t="shared" si="25"/>
        <v>-16.469604824255001</v>
      </c>
      <c r="T60" s="84">
        <f t="shared" si="26"/>
        <v>20.377606597544204</v>
      </c>
      <c r="U60" s="84">
        <f t="shared" si="27"/>
        <v>3.9080017732892047</v>
      </c>
      <c r="W60" s="286" t="str">
        <f t="shared" si="19"/>
        <v xml:space="preserve"> 54 Textiles, printing and other skilled trades</v>
      </c>
      <c r="X60" s="249">
        <f t="shared" ref="X60:AB60" si="62">X24/X$34*100</f>
        <v>1.9042853874174246</v>
      </c>
      <c r="Y60" s="249">
        <f t="shared" si="62"/>
        <v>1.5978317974502065</v>
      </c>
      <c r="Z60" s="249">
        <f t="shared" si="62"/>
        <v>1.7431138787043647</v>
      </c>
      <c r="AA60" s="249">
        <f t="shared" si="62"/>
        <v>1.6563690118884065</v>
      </c>
      <c r="AB60" s="249">
        <f t="shared" si="62"/>
        <v>1.5501102351734266</v>
      </c>
      <c r="AD60" s="83">
        <f t="shared" si="29"/>
        <v>-6.677651009280261</v>
      </c>
      <c r="AE60" s="84">
        <f t="shared" si="30"/>
        <v>37.118574424445974</v>
      </c>
      <c r="AF60" s="84">
        <f t="shared" si="31"/>
        <v>30.440923415165717</v>
      </c>
    </row>
    <row r="61" spans="1:32" x14ac:dyDescent="0.2">
      <c r="A61" s="243" t="str">
        <f t="shared" si="15"/>
        <v xml:space="preserve"> 61 Caring personal service occupations</v>
      </c>
      <c r="B61" s="249">
        <f t="shared" si="48"/>
        <v>7.0397645014807271</v>
      </c>
      <c r="C61" s="249">
        <f t="shared" si="48"/>
        <v>8.0111804751204492</v>
      </c>
      <c r="D61" s="249">
        <f t="shared" si="48"/>
        <v>8.7617788069984837</v>
      </c>
      <c r="E61" s="249">
        <f t="shared" si="48"/>
        <v>9.3199683796685218</v>
      </c>
      <c r="F61" s="249">
        <f t="shared" si="48"/>
        <v>9.9653114193608818</v>
      </c>
      <c r="H61" s="83">
        <f t="shared" si="21"/>
        <v>16.666485693708566</v>
      </c>
      <c r="I61" s="84">
        <f t="shared" si="22"/>
        <v>40.221922285519888</v>
      </c>
      <c r="J61" s="84">
        <f t="shared" si="23"/>
        <v>56.888407979228461</v>
      </c>
      <c r="L61" s="286" t="str">
        <f t="shared" si="17"/>
        <v xml:space="preserve"> 61 Caring personal service occupations</v>
      </c>
      <c r="M61" s="249">
        <f t="shared" ref="M61:Q61" si="63">M25/M$34*100</f>
        <v>1.5647091621987483</v>
      </c>
      <c r="N61" s="249">
        <f t="shared" si="63"/>
        <v>1.9145445819987248</v>
      </c>
      <c r="O61" s="249">
        <f t="shared" si="63"/>
        <v>2.1559611188209269</v>
      </c>
      <c r="P61" s="249">
        <f t="shared" si="63"/>
        <v>2.4015381944711525</v>
      </c>
      <c r="Q61" s="249">
        <f t="shared" si="63"/>
        <v>2.6707896918964869</v>
      </c>
      <c r="S61" s="83">
        <f t="shared" si="25"/>
        <v>24.190969759311642</v>
      </c>
      <c r="T61" s="84">
        <f t="shared" si="26"/>
        <v>32.914053044178878</v>
      </c>
      <c r="U61" s="84">
        <f t="shared" si="27"/>
        <v>57.105022803490513</v>
      </c>
      <c r="W61" s="286" t="str">
        <f t="shared" si="19"/>
        <v xml:space="preserve"> 61 Caring personal service occupations</v>
      </c>
      <c r="X61" s="249">
        <f t="shared" ref="X61:AB61" si="64">X25/X$34*100</f>
        <v>13.071992862788239</v>
      </c>
      <c r="Y61" s="249">
        <f t="shared" si="64"/>
        <v>14.625063003757843</v>
      </c>
      <c r="Z61" s="249">
        <f t="shared" si="64"/>
        <v>15.483046325970799</v>
      </c>
      <c r="AA61" s="249">
        <f t="shared" si="64"/>
        <v>16.198879107670098</v>
      </c>
      <c r="AB61" s="249">
        <f t="shared" si="64"/>
        <v>17.055598712403778</v>
      </c>
      <c r="AD61" s="83">
        <f t="shared" si="29"/>
        <v>15.600415414427141</v>
      </c>
      <c r="AE61" s="84">
        <f t="shared" si="30"/>
        <v>41.257302536862625</v>
      </c>
      <c r="AF61" s="84">
        <f t="shared" si="31"/>
        <v>56.857717951289764</v>
      </c>
    </row>
    <row r="62" spans="1:32" x14ac:dyDescent="0.2">
      <c r="A62" s="243" t="str">
        <f t="shared" si="15"/>
        <v xml:space="preserve"> 62 Leisure, travel and related personal service occupations</v>
      </c>
      <c r="B62" s="249">
        <f t="shared" si="48"/>
        <v>1.9135417317992502</v>
      </c>
      <c r="C62" s="249">
        <f t="shared" si="48"/>
        <v>2.0794530441843038</v>
      </c>
      <c r="D62" s="249">
        <f t="shared" si="48"/>
        <v>2.2279300936042299</v>
      </c>
      <c r="E62" s="249">
        <f t="shared" si="48"/>
        <v>2.1479609488047191</v>
      </c>
      <c r="F62" s="249">
        <f t="shared" si="48"/>
        <v>2.0662016053274219</v>
      </c>
      <c r="H62" s="83">
        <f t="shared" si="21"/>
        <v>-4.8697450029812916</v>
      </c>
      <c r="I62" s="84">
        <f t="shared" si="22"/>
        <v>32.560114388092202</v>
      </c>
      <c r="J62" s="84">
        <f t="shared" si="23"/>
        <v>27.690369385110913</v>
      </c>
      <c r="L62" s="286" t="str">
        <f t="shared" si="17"/>
        <v xml:space="preserve"> 62 Leisure, travel and related personal service occupations</v>
      </c>
      <c r="M62" s="249">
        <f t="shared" ref="M62:Q62" si="65">M26/M$34*100</f>
        <v>1.5781032517574887</v>
      </c>
      <c r="N62" s="249">
        <f t="shared" si="65"/>
        <v>1.5786429813023053</v>
      </c>
      <c r="O62" s="249">
        <f t="shared" si="65"/>
        <v>1.3762048514923351</v>
      </c>
      <c r="P62" s="249">
        <f t="shared" si="65"/>
        <v>1.3847278439480308</v>
      </c>
      <c r="Q62" s="249">
        <f t="shared" si="65"/>
        <v>1.4205069619547073</v>
      </c>
      <c r="S62" s="83">
        <f t="shared" si="25"/>
        <v>3.4788356587673395</v>
      </c>
      <c r="T62" s="84">
        <f t="shared" si="26"/>
        <v>29.859647318933501</v>
      </c>
      <c r="U62" s="84">
        <f t="shared" si="27"/>
        <v>33.338482977700842</v>
      </c>
      <c r="W62" s="286" t="str">
        <f t="shared" si="19"/>
        <v xml:space="preserve"> 62 Leisure, travel and related personal service occupations</v>
      </c>
      <c r="X62" s="249">
        <f t="shared" ref="X62:AB62" si="66">X26/X$34*100</f>
        <v>2.2831163547741355</v>
      </c>
      <c r="Y62" s="249">
        <f t="shared" si="66"/>
        <v>2.6227524937705811</v>
      </c>
      <c r="Z62" s="249">
        <f t="shared" si="66"/>
        <v>3.0945409319779449</v>
      </c>
      <c r="AA62" s="249">
        <f t="shared" si="66"/>
        <v>2.9068343134876402</v>
      </c>
      <c r="AB62" s="249">
        <f t="shared" si="66"/>
        <v>2.6938178762961242</v>
      </c>
      <c r="AD62" s="83">
        <f t="shared" si="29"/>
        <v>-8.6474157090820896</v>
      </c>
      <c r="AE62" s="84">
        <f t="shared" si="30"/>
        <v>33.782055668086322</v>
      </c>
      <c r="AF62" s="84">
        <f t="shared" si="31"/>
        <v>25.134639959004236</v>
      </c>
    </row>
    <row r="63" spans="1:32" x14ac:dyDescent="0.2">
      <c r="A63" s="243" t="str">
        <f t="shared" si="15"/>
        <v xml:space="preserve"> 71 Sales occupations</v>
      </c>
      <c r="B63" s="249">
        <f t="shared" si="48"/>
        <v>7.7876059261470818</v>
      </c>
      <c r="C63" s="249">
        <f t="shared" si="48"/>
        <v>7.4402740808631629</v>
      </c>
      <c r="D63" s="249">
        <f t="shared" si="48"/>
        <v>6.3231263817690451</v>
      </c>
      <c r="E63" s="249">
        <f t="shared" si="48"/>
        <v>5.9640834509651217</v>
      </c>
      <c r="F63" s="249">
        <f t="shared" si="48"/>
        <v>5.6345174847404778</v>
      </c>
      <c r="H63" s="83">
        <f t="shared" si="21"/>
        <v>-8.5944861087880113</v>
      </c>
      <c r="I63" s="84">
        <f t="shared" si="22"/>
        <v>31.242137963986604</v>
      </c>
      <c r="J63" s="84">
        <f t="shared" si="23"/>
        <v>22.647651855198593</v>
      </c>
      <c r="L63" s="286" t="str">
        <f t="shared" si="17"/>
        <v xml:space="preserve"> 71 Sales occupations</v>
      </c>
      <c r="M63" s="249">
        <f t="shared" ref="M63:Q63" si="67">M27/M$34*100</f>
        <v>4.473606996256942</v>
      </c>
      <c r="N63" s="249">
        <f t="shared" si="67"/>
        <v>4.06998690578585</v>
      </c>
      <c r="O63" s="249">
        <f t="shared" si="67"/>
        <v>3.7947556642514639</v>
      </c>
      <c r="P63" s="249">
        <f t="shared" si="67"/>
        <v>3.6944308926609466</v>
      </c>
      <c r="Q63" s="249">
        <f t="shared" si="67"/>
        <v>3.4669776032903208</v>
      </c>
      <c r="S63" s="83">
        <f t="shared" si="25"/>
        <v>-8.4078044488088253</v>
      </c>
      <c r="T63" s="84">
        <f t="shared" si="26"/>
        <v>21.223126425963191</v>
      </c>
      <c r="U63" s="84">
        <f t="shared" si="27"/>
        <v>12.815321977154367</v>
      </c>
      <c r="W63" s="286" t="str">
        <f t="shared" si="19"/>
        <v xml:space="preserve"> 71 Sales occupations</v>
      </c>
      <c r="X63" s="249">
        <f t="shared" ref="X63:AB63" si="68">X27/X$34*100</f>
        <v>11.438856387635168</v>
      </c>
      <c r="Y63" s="249">
        <f t="shared" si="68"/>
        <v>11.096500867980797</v>
      </c>
      <c r="Z63" s="249">
        <f t="shared" si="68"/>
        <v>8.8956854171153523</v>
      </c>
      <c r="AA63" s="249">
        <f t="shared" si="68"/>
        <v>8.2207712998300124</v>
      </c>
      <c r="AB63" s="249">
        <f t="shared" si="68"/>
        <v>7.7413698669530211</v>
      </c>
      <c r="AD63" s="83">
        <f t="shared" si="29"/>
        <v>-8.6755132755615367</v>
      </c>
      <c r="AE63" s="84">
        <f t="shared" si="30"/>
        <v>35.590782168696236</v>
      </c>
      <c r="AF63" s="84">
        <f t="shared" si="31"/>
        <v>26.915268893134698</v>
      </c>
    </row>
    <row r="64" spans="1:32" x14ac:dyDescent="0.2">
      <c r="A64" s="243" t="str">
        <f t="shared" si="15"/>
        <v xml:space="preserve"> 72 Customer service occupations</v>
      </c>
      <c r="B64" s="249">
        <f t="shared" ref="B64:F68" si="69">B28/B$34*100</f>
        <v>1.5386080386574035</v>
      </c>
      <c r="C64" s="249">
        <f t="shared" si="69"/>
        <v>1.8256731879588439</v>
      </c>
      <c r="D64" s="249">
        <f t="shared" si="69"/>
        <v>1.8918798295678791</v>
      </c>
      <c r="E64" s="249">
        <f t="shared" si="69"/>
        <v>2.031465051728532</v>
      </c>
      <c r="F64" s="249">
        <f t="shared" si="69"/>
        <v>2.1497763901140603</v>
      </c>
      <c r="H64" s="83">
        <f t="shared" si="21"/>
        <v>16.559390541981745</v>
      </c>
      <c r="I64" s="84">
        <f t="shared" si="22"/>
        <v>33.590349266395897</v>
      </c>
      <c r="J64" s="84">
        <f t="shared" si="23"/>
        <v>50.149739808377646</v>
      </c>
      <c r="L64" s="286" t="str">
        <f t="shared" si="17"/>
        <v xml:space="preserve"> 72 Customer service occupations</v>
      </c>
      <c r="M64" s="249">
        <f t="shared" ref="M64:Q64" si="70">M28/M$34*100</f>
        <v>1.1466665651605663</v>
      </c>
      <c r="N64" s="249">
        <f t="shared" si="70"/>
        <v>1.4660264993597159</v>
      </c>
      <c r="O64" s="249">
        <f t="shared" si="70"/>
        <v>1.5618261252522272</v>
      </c>
      <c r="P64" s="249">
        <f t="shared" si="70"/>
        <v>1.7348573241692038</v>
      </c>
      <c r="Q64" s="249">
        <f t="shared" si="70"/>
        <v>1.8688144048675828</v>
      </c>
      <c r="S64" s="83">
        <f t="shared" si="25"/>
        <v>19.956763903367158</v>
      </c>
      <c r="T64" s="84">
        <f t="shared" si="26"/>
        <v>25.894156746657686</v>
      </c>
      <c r="U64" s="84">
        <f t="shared" si="27"/>
        <v>45.850920650024854</v>
      </c>
      <c r="W64" s="286" t="str">
        <f t="shared" si="19"/>
        <v xml:space="preserve"> 72 Customer service occupations</v>
      </c>
      <c r="X64" s="249">
        <f t="shared" ref="X64:AB64" si="71">X28/X$34*100</f>
        <v>1.9704357236557966</v>
      </c>
      <c r="Y64" s="249">
        <f t="shared" si="71"/>
        <v>2.2158327762806089</v>
      </c>
      <c r="Z64" s="249">
        <f t="shared" si="71"/>
        <v>2.227701880228389</v>
      </c>
      <c r="AA64" s="249">
        <f t="shared" si="71"/>
        <v>2.3263784966139793</v>
      </c>
      <c r="AB64" s="249">
        <f t="shared" si="71"/>
        <v>2.4228719086757335</v>
      </c>
      <c r="AD64" s="83">
        <f t="shared" si="29"/>
        <v>14.135887959480581</v>
      </c>
      <c r="AE64" s="84">
        <f t="shared" si="30"/>
        <v>39.080397154277193</v>
      </c>
      <c r="AF64" s="84">
        <f t="shared" si="31"/>
        <v>53.216285113757777</v>
      </c>
    </row>
    <row r="65" spans="1:32" x14ac:dyDescent="0.2">
      <c r="A65" s="243" t="str">
        <f t="shared" si="15"/>
        <v xml:space="preserve"> 81 Process, plant and machine operatives</v>
      </c>
      <c r="B65" s="249">
        <f t="shared" si="69"/>
        <v>6.0828358635733499</v>
      </c>
      <c r="C65" s="249">
        <f t="shared" si="69"/>
        <v>5.7606153217609801</v>
      </c>
      <c r="D65" s="249">
        <f t="shared" si="69"/>
        <v>5.1205665450453841</v>
      </c>
      <c r="E65" s="249">
        <f t="shared" si="69"/>
        <v>4.5782829078441569</v>
      </c>
      <c r="F65" s="249">
        <f t="shared" si="69"/>
        <v>4.2280795194645444</v>
      </c>
      <c r="H65" s="83">
        <f t="shared" si="21"/>
        <v>-15.302096946677683</v>
      </c>
      <c r="I65" s="84">
        <f t="shared" si="22"/>
        <v>24.181797579594409</v>
      </c>
      <c r="J65" s="84">
        <f t="shared" si="23"/>
        <v>8.8797006329167285</v>
      </c>
      <c r="L65" s="286" t="str">
        <f t="shared" si="17"/>
        <v xml:space="preserve"> 81 Process, plant and machine operatives</v>
      </c>
      <c r="M65" s="249">
        <f t="shared" ref="M65:Q65" si="72">M29/M$34*100</f>
        <v>8.9527396172408125</v>
      </c>
      <c r="N65" s="249">
        <f t="shared" si="72"/>
        <v>8.6321856977992031</v>
      </c>
      <c r="O65" s="249">
        <f t="shared" si="72"/>
        <v>8.0574485062807053</v>
      </c>
      <c r="P65" s="249">
        <f t="shared" si="72"/>
        <v>7.4473340784421023</v>
      </c>
      <c r="Q65" s="249">
        <f t="shared" si="72"/>
        <v>7.0825178733138792</v>
      </c>
      <c r="S65" s="83">
        <f t="shared" si="25"/>
        <v>-11.87859927069035</v>
      </c>
      <c r="T65" s="84">
        <f t="shared" si="26"/>
        <v>23.223101889404436</v>
      </c>
      <c r="U65" s="84">
        <f t="shared" si="27"/>
        <v>11.344502618714088</v>
      </c>
      <c r="W65" s="286" t="str">
        <f t="shared" si="19"/>
        <v xml:space="preserve"> 81 Process, plant and machine operatives</v>
      </c>
      <c r="X65" s="249">
        <f t="shared" ref="X65:AB65" si="73">X29/X$34*100</f>
        <v>2.9208742496171043</v>
      </c>
      <c r="Y65" s="249">
        <f t="shared" si="73"/>
        <v>2.6454171251195895</v>
      </c>
      <c r="Z65" s="249">
        <f t="shared" si="73"/>
        <v>2.1323567177541034</v>
      </c>
      <c r="AA65" s="249">
        <f t="shared" si="73"/>
        <v>1.725620331463976</v>
      </c>
      <c r="AB65" s="249">
        <f t="shared" si="73"/>
        <v>1.4535606757037833</v>
      </c>
      <c r="AD65" s="83">
        <f t="shared" si="29"/>
        <v>-28.464413012895228</v>
      </c>
      <c r="AE65" s="84">
        <f t="shared" si="30"/>
        <v>27.867693373860615</v>
      </c>
      <c r="AF65" s="84">
        <f t="shared" si="31"/>
        <v>-0.59671963903461578</v>
      </c>
    </row>
    <row r="66" spans="1:32" x14ac:dyDescent="0.2">
      <c r="A66" s="243" t="str">
        <f t="shared" si="15"/>
        <v xml:space="preserve"> 82 Transport and mobile machine drivers and operatives</v>
      </c>
      <c r="B66" s="249">
        <f t="shared" si="69"/>
        <v>3.2134835001147168</v>
      </c>
      <c r="C66" s="249">
        <f t="shared" si="69"/>
        <v>2.8277606363051802</v>
      </c>
      <c r="D66" s="249">
        <f t="shared" si="69"/>
        <v>2.3201914210752594</v>
      </c>
      <c r="E66" s="249">
        <f t="shared" si="69"/>
        <v>2.3291425212188654</v>
      </c>
      <c r="F66" s="249">
        <f t="shared" si="69"/>
        <v>2.3350517086607967</v>
      </c>
      <c r="H66" s="83">
        <f t="shared" si="21"/>
        <v>3.2333953623296878</v>
      </c>
      <c r="I66" s="84">
        <f t="shared" si="22"/>
        <v>36.50299590100721</v>
      </c>
      <c r="J66" s="84">
        <f t="shared" si="23"/>
        <v>39.736391263336898</v>
      </c>
      <c r="L66" s="286" t="str">
        <f t="shared" si="17"/>
        <v xml:space="preserve"> 82 Transport and mobile machine drivers and operatives</v>
      </c>
      <c r="M66" s="249">
        <f t="shared" ref="M66:Q66" si="74">M30/M$34*100</f>
        <v>5.9656409452489942</v>
      </c>
      <c r="N66" s="249">
        <f t="shared" si="74"/>
        <v>5.2160894251580032</v>
      </c>
      <c r="O66" s="249">
        <f t="shared" si="74"/>
        <v>4.3869867131732434</v>
      </c>
      <c r="P66" s="249">
        <f t="shared" si="74"/>
        <v>4.4344045491282218</v>
      </c>
      <c r="Q66" s="249">
        <f t="shared" si="74"/>
        <v>4.4836161916407011</v>
      </c>
      <c r="S66" s="83">
        <f t="shared" si="25"/>
        <v>2.4597663465537805</v>
      </c>
      <c r="T66" s="84">
        <f t="shared" si="26"/>
        <v>36.020836983380768</v>
      </c>
      <c r="U66" s="84">
        <f t="shared" si="27"/>
        <v>38.480603329934546</v>
      </c>
      <c r="W66" s="286" t="str">
        <f t="shared" si="19"/>
        <v xml:space="preserve"> 82 Transport and mobile machine drivers and operatives</v>
      </c>
      <c r="X66" s="249">
        <f t="shared" ref="X66:AB66" si="75">X30/X$34*100</f>
        <v>0.18125073413505902</v>
      </c>
      <c r="Y66" s="249">
        <f t="shared" si="75"/>
        <v>0.23680288088850387</v>
      </c>
      <c r="Z66" s="249">
        <f t="shared" si="75"/>
        <v>0.21727476171835544</v>
      </c>
      <c r="AA66" s="249">
        <f t="shared" si="75"/>
        <v>0.23590617115416632</v>
      </c>
      <c r="AB66" s="249">
        <f t="shared" si="75"/>
        <v>0.24664344542966102</v>
      </c>
      <c r="AD66" s="83">
        <f t="shared" si="29"/>
        <v>19.126706471082258</v>
      </c>
      <c r="AE66" s="84">
        <f t="shared" si="30"/>
        <v>46.408391801922249</v>
      </c>
      <c r="AF66" s="84">
        <f t="shared" si="31"/>
        <v>65.535098273004493</v>
      </c>
    </row>
    <row r="67" spans="1:32" x14ac:dyDescent="0.2">
      <c r="A67" s="243" t="str">
        <f t="shared" si="15"/>
        <v xml:space="preserve"> 91 Elementary trades and related occupations</v>
      </c>
      <c r="B67" s="249">
        <f t="shared" si="69"/>
        <v>2.2467467677864699</v>
      </c>
      <c r="C67" s="249">
        <f t="shared" si="69"/>
        <v>2.0677488049348667</v>
      </c>
      <c r="D67" s="249">
        <f t="shared" si="69"/>
        <v>1.9613258691927815</v>
      </c>
      <c r="E67" s="249">
        <f t="shared" si="69"/>
        <v>1.9285283611019821</v>
      </c>
      <c r="F67" s="249">
        <f t="shared" si="69"/>
        <v>1.9154176459887318</v>
      </c>
      <c r="H67" s="83">
        <f t="shared" si="21"/>
        <v>0.17543881088153998</v>
      </c>
      <c r="I67" s="84">
        <f t="shared" si="22"/>
        <v>28.198679831238131</v>
      </c>
      <c r="J67" s="84">
        <f t="shared" si="23"/>
        <v>28.374118642119672</v>
      </c>
      <c r="L67" s="286" t="str">
        <f t="shared" si="17"/>
        <v xml:space="preserve"> 91 Elementary trades and related occupations</v>
      </c>
      <c r="M67" s="249">
        <f t="shared" ref="M67:Q67" si="76">M31/M$34*100</f>
        <v>3.5365756168714215</v>
      </c>
      <c r="N67" s="249">
        <f t="shared" si="76"/>
        <v>3.1631674006442503</v>
      </c>
      <c r="O67" s="249">
        <f t="shared" si="76"/>
        <v>3.0093258823761659</v>
      </c>
      <c r="P67" s="249">
        <f t="shared" si="76"/>
        <v>2.8954415981807209</v>
      </c>
      <c r="Q67" s="249">
        <f t="shared" si="76"/>
        <v>2.8301859473176738</v>
      </c>
      <c r="S67" s="83">
        <f t="shared" si="25"/>
        <v>-5.716216659213309</v>
      </c>
      <c r="T67" s="84">
        <f t="shared" si="26"/>
        <v>22.243657520215727</v>
      </c>
      <c r="U67" s="84">
        <f t="shared" si="27"/>
        <v>16.527440861002418</v>
      </c>
      <c r="W67" s="286" t="str">
        <f t="shared" si="19"/>
        <v xml:space="preserve"> 91 Elementary trades and related occupations</v>
      </c>
      <c r="X67" s="249">
        <f t="shared" ref="X67:AB67" si="77">X31/X$34*100</f>
        <v>0.82565753990969437</v>
      </c>
      <c r="Y67" s="249">
        <f t="shared" si="77"/>
        <v>0.87939344983146961</v>
      </c>
      <c r="Z67" s="249">
        <f t="shared" si="77"/>
        <v>0.8950099669088768</v>
      </c>
      <c r="AA67" s="249">
        <f t="shared" si="77"/>
        <v>0.96713832585687898</v>
      </c>
      <c r="AB67" s="249">
        <f t="shared" si="77"/>
        <v>1.0262613304251107</v>
      </c>
      <c r="AD67" s="83">
        <f t="shared" si="29"/>
        <v>20.331389584933369</v>
      </c>
      <c r="AE67" s="84">
        <f t="shared" si="30"/>
        <v>48.571414993468188</v>
      </c>
      <c r="AF67" s="84">
        <f t="shared" si="31"/>
        <v>68.902804578401557</v>
      </c>
    </row>
    <row r="68" spans="1:32" x14ac:dyDescent="0.2">
      <c r="A68" s="243" t="str">
        <f t="shared" si="15"/>
        <v xml:space="preserve"> 92 Elementary administration and service occupations</v>
      </c>
      <c r="B68" s="249">
        <f t="shared" si="69"/>
        <v>11.734756234734848</v>
      </c>
      <c r="C68" s="249">
        <f t="shared" si="69"/>
        <v>10.055493745946073</v>
      </c>
      <c r="D68" s="249">
        <f t="shared" si="69"/>
        <v>9.5739805609714228</v>
      </c>
      <c r="E68" s="249">
        <f t="shared" si="69"/>
        <v>9.486635362746938</v>
      </c>
      <c r="F68" s="249">
        <f t="shared" si="69"/>
        <v>9.2772308299102448</v>
      </c>
      <c r="H68" s="83">
        <f t="shared" si="21"/>
        <v>-0.60298387320290558</v>
      </c>
      <c r="I68" s="84">
        <f t="shared" si="22"/>
        <v>32.281034521958254</v>
      </c>
      <c r="J68" s="84">
        <f t="shared" si="23"/>
        <v>31.678050648755345</v>
      </c>
      <c r="L68" s="286" t="str">
        <f t="shared" si="17"/>
        <v xml:space="preserve"> 92 Elementary administration and service occupations</v>
      </c>
      <c r="M68" s="249">
        <f t="shared" ref="M68:Q68" si="78">M32/M$34*100</f>
        <v>9.2936996876239277</v>
      </c>
      <c r="N68" s="249">
        <f t="shared" si="78"/>
        <v>9.0998288282614261</v>
      </c>
      <c r="O68" s="249">
        <f t="shared" si="78"/>
        <v>9.3167246487987416</v>
      </c>
      <c r="P68" s="249">
        <f t="shared" si="78"/>
        <v>9.7625628892606926</v>
      </c>
      <c r="Q68" s="249">
        <f t="shared" si="78"/>
        <v>10.114823438261874</v>
      </c>
      <c r="S68" s="83">
        <f t="shared" si="25"/>
        <v>8.8394396742216568</v>
      </c>
      <c r="T68" s="84">
        <f t="shared" si="26"/>
        <v>28.019990687610331</v>
      </c>
      <c r="U68" s="84">
        <f t="shared" si="27"/>
        <v>36.859430361831983</v>
      </c>
      <c r="W68" s="286" t="str">
        <f t="shared" si="19"/>
        <v xml:space="preserve"> 92 Elementary administration and service occupations</v>
      </c>
      <c r="X68" s="249">
        <f t="shared" ref="X68:AB68" si="79">X32/X$34*100</f>
        <v>14.424228691641444</v>
      </c>
      <c r="Y68" s="249">
        <f t="shared" si="79"/>
        <v>11.092238536534134</v>
      </c>
      <c r="Z68" s="249">
        <f t="shared" si="79"/>
        <v>9.8357325329709067</v>
      </c>
      <c r="AA68" s="249">
        <f t="shared" si="79"/>
        <v>9.212283989461735</v>
      </c>
      <c r="AB68" s="249">
        <f t="shared" si="79"/>
        <v>8.4630894167203827</v>
      </c>
      <c r="AD68" s="83">
        <f t="shared" si="29"/>
        <v>-9.7034706948190017</v>
      </c>
      <c r="AE68" s="84">
        <f t="shared" si="30"/>
        <v>36.38777396931053</v>
      </c>
      <c r="AF68" s="84">
        <f t="shared" si="31"/>
        <v>26.684303274491533</v>
      </c>
    </row>
    <row r="69" spans="1:32" x14ac:dyDescent="0.2">
      <c r="H69" s="83"/>
      <c r="I69" s="84"/>
      <c r="J69" s="84"/>
      <c r="S69" s="83"/>
      <c r="T69" s="84"/>
      <c r="U69" s="84"/>
      <c r="AD69" s="83"/>
      <c r="AE69" s="84"/>
      <c r="AF69" s="84"/>
    </row>
    <row r="70" spans="1:32" x14ac:dyDescent="0.2">
      <c r="A70" s="28" t="str">
        <f>A34</f>
        <v>All occupations</v>
      </c>
      <c r="B70" s="30">
        <f>B34/B$34*100</f>
        <v>100</v>
      </c>
      <c r="C70" s="30">
        <f>C34/C$34*100</f>
        <v>100</v>
      </c>
      <c r="D70" s="30">
        <f>D34/D$34*100</f>
        <v>100</v>
      </c>
      <c r="E70" s="30">
        <f>E34/E$34*100</f>
        <v>100</v>
      </c>
      <c r="F70" s="30">
        <f>F34/F$34*100</f>
        <v>100</v>
      </c>
      <c r="H70" s="85">
        <f t="shared" si="21"/>
        <v>2.5764172158390939</v>
      </c>
      <c r="I70" s="82">
        <f t="shared" si="22"/>
        <v>32.911544347443659</v>
      </c>
      <c r="J70" s="82">
        <f t="shared" si="23"/>
        <v>35.487961563282717</v>
      </c>
      <c r="L70" s="28" t="str">
        <f>L34</f>
        <v>All occupations</v>
      </c>
      <c r="M70" s="30">
        <f>M34/M$34*100</f>
        <v>100</v>
      </c>
      <c r="N70" s="30">
        <f>N34/N$34*100</f>
        <v>100</v>
      </c>
      <c r="O70" s="30">
        <f>O34/O$34*100</f>
        <v>100</v>
      </c>
      <c r="P70" s="30">
        <f>P34/P$34*100</f>
        <v>100</v>
      </c>
      <c r="Q70" s="30">
        <f>Q34/Q$34*100</f>
        <v>100</v>
      </c>
      <c r="S70" s="85">
        <f t="shared" ref="S70" si="80">IF(O34&gt;0,(S34/O34)*100,0)</f>
        <v>0.25158585946750522</v>
      </c>
      <c r="T70" s="82">
        <f t="shared" ref="T70" si="81">IF(O34&gt;0,T34/O34*100,0)</f>
        <v>27.116000442235467</v>
      </c>
      <c r="U70" s="82">
        <f t="shared" ref="U70" si="82">IF(O34&gt;0,(U34/O34)*100,0)</f>
        <v>27.367586301702968</v>
      </c>
      <c r="W70" s="28" t="str">
        <f>W34</f>
        <v>All occupations</v>
      </c>
      <c r="X70" s="30">
        <f>X34/X$34*100</f>
        <v>100</v>
      </c>
      <c r="Y70" s="30">
        <f>Y34/Y$34*100</f>
        <v>100</v>
      </c>
      <c r="Z70" s="30">
        <f>Z34/Z$34*100</f>
        <v>100</v>
      </c>
      <c r="AA70" s="30">
        <f>AA34/AA$34*100</f>
        <v>100</v>
      </c>
      <c r="AB70" s="30">
        <f>AB34/AB$34*100</f>
        <v>100</v>
      </c>
      <c r="AD70" s="85">
        <f t="shared" ref="AD70" si="83">IF(Z34&gt;0,(AD34/Z34)*100,0)</f>
        <v>4.9418796340094655</v>
      </c>
      <c r="AE70" s="82">
        <f t="shared" ref="AE70" si="84">IF(Z34&gt;0,AE34/Z34*100,0)</f>
        <v>38.808376934054209</v>
      </c>
      <c r="AF70" s="82">
        <f t="shared" ref="AF70" si="85">IF(Z34&gt;0,(AF34/Z34)*100,0)</f>
        <v>43.750256568063698</v>
      </c>
    </row>
    <row r="71" spans="1:32" x14ac:dyDescent="0.2">
      <c r="A71" s="44"/>
      <c r="B71" s="45"/>
      <c r="C71" s="45"/>
      <c r="D71" s="45"/>
      <c r="E71" s="45"/>
      <c r="F71" s="45"/>
      <c r="L71" s="44"/>
      <c r="M71" s="45"/>
      <c r="N71" s="45"/>
      <c r="O71" s="45"/>
      <c r="P71" s="45"/>
      <c r="Q71" s="45"/>
      <c r="W71" s="44"/>
      <c r="X71" s="45"/>
      <c r="Y71" s="45"/>
      <c r="Z71" s="45"/>
      <c r="AA71" s="45"/>
      <c r="AB71" s="45"/>
    </row>
    <row r="72" spans="1:32" x14ac:dyDescent="0.2">
      <c r="A72" s="44"/>
      <c r="B72" s="45"/>
      <c r="C72" s="45"/>
      <c r="D72" s="45"/>
      <c r="E72" s="45"/>
      <c r="F72" s="45"/>
      <c r="L72" s="44"/>
      <c r="M72" s="45"/>
      <c r="N72" s="45"/>
      <c r="O72" s="45"/>
      <c r="P72" s="45"/>
      <c r="Q72" s="45"/>
      <c r="W72" s="44"/>
      <c r="X72" s="45"/>
      <c r="Y72" s="45"/>
      <c r="Z72" s="45"/>
      <c r="AA72" s="45"/>
      <c r="AB72" s="45"/>
    </row>
    <row r="73" spans="1:32" ht="15.75" x14ac:dyDescent="0.25">
      <c r="A73" s="23" t="str">
        <f>CONCATENATE(A$1," (Continued)")</f>
        <v>Occupation Table 2  Employment Change by Occupation (SOC 2010) and Replacement Demand, 2007-2027 (Continued)</v>
      </c>
      <c r="B73" s="22"/>
      <c r="C73" s="22"/>
      <c r="D73" s="22"/>
      <c r="E73" s="22"/>
      <c r="F73" s="22"/>
      <c r="L73" s="23" t="str">
        <f>CONCATENATE(L$1," (Continued)")</f>
        <v>Occupation Table 2.1  Males: Employment Change by Occupation (SOC 2010) and Replacement Demand, 2007-2027 (Continued)</v>
      </c>
      <c r="M73" s="22"/>
      <c r="N73" s="22"/>
      <c r="O73" s="22"/>
      <c r="P73" s="22"/>
      <c r="Q73" s="22"/>
      <c r="W73" s="23" t="str">
        <f>CONCATENATE(W$1," (Continued)")</f>
        <v>Occupation Table 2.2  Females: Employment Change by Occupation (SOC 2010) and Replacement Demand, 2007-2027 (Continued)</v>
      </c>
      <c r="X73" s="22"/>
      <c r="Y73" s="22"/>
      <c r="Z73" s="22"/>
      <c r="AA73" s="22"/>
      <c r="AB73" s="22"/>
    </row>
    <row r="75" spans="1:32" x14ac:dyDescent="0.2">
      <c r="F75" s="19" t="s">
        <v>36</v>
      </c>
      <c r="J75" s="19" t="s">
        <v>36</v>
      </c>
      <c r="Q75" s="19" t="s">
        <v>36</v>
      </c>
      <c r="U75" s="19" t="s">
        <v>36</v>
      </c>
      <c r="AB75" s="19" t="s">
        <v>36</v>
      </c>
      <c r="AF75" s="19" t="s">
        <v>36</v>
      </c>
    </row>
    <row r="76" spans="1:32" x14ac:dyDescent="0.2">
      <c r="A76" s="41"/>
      <c r="B76" s="41"/>
      <c r="C76" s="41"/>
      <c r="D76" s="41"/>
      <c r="E76" s="41"/>
      <c r="F76" s="41"/>
      <c r="H76" s="135" t="str">
        <f>$H$4</f>
        <v>2017-2027</v>
      </c>
      <c r="I76" s="41"/>
      <c r="J76" s="41"/>
      <c r="L76" s="41"/>
      <c r="M76" s="41"/>
      <c r="N76" s="41"/>
      <c r="O76" s="41"/>
      <c r="P76" s="41"/>
      <c r="Q76" s="41"/>
      <c r="S76" s="135" t="str">
        <f>$H$4</f>
        <v>2017-2027</v>
      </c>
      <c r="T76" s="41"/>
      <c r="U76" s="41"/>
      <c r="W76" s="41"/>
      <c r="X76" s="41"/>
      <c r="Y76" s="41"/>
      <c r="Z76" s="41"/>
      <c r="AA76" s="41"/>
      <c r="AB76" s="41"/>
      <c r="AD76" s="135" t="str">
        <f>$H$4</f>
        <v>2017-2027</v>
      </c>
      <c r="AE76" s="41"/>
      <c r="AF76" s="41"/>
    </row>
    <row r="77" spans="1:32" x14ac:dyDescent="0.2">
      <c r="A77" s="2"/>
      <c r="B77" s="2"/>
      <c r="C77" s="2"/>
      <c r="D77" s="2"/>
      <c r="E77" s="2"/>
      <c r="F77" s="2"/>
      <c r="H77" s="19" t="str">
        <f t="shared" ref="H77:J78" si="86">H41</f>
        <v>Net</v>
      </c>
      <c r="I77" s="19" t="str">
        <f t="shared" si="86"/>
        <v>Replacement</v>
      </c>
      <c r="J77" s="19" t="str">
        <f t="shared" si="86"/>
        <v>Total</v>
      </c>
      <c r="L77" s="2"/>
      <c r="M77" s="2"/>
      <c r="N77" s="2"/>
      <c r="O77" s="2"/>
      <c r="P77" s="2"/>
      <c r="Q77" s="2"/>
      <c r="S77" s="19" t="str">
        <f t="shared" ref="S77:U77" si="87">S41</f>
        <v>Net</v>
      </c>
      <c r="T77" s="19" t="str">
        <f t="shared" si="87"/>
        <v>Replacement</v>
      </c>
      <c r="U77" s="19" t="str">
        <f t="shared" si="87"/>
        <v>Total</v>
      </c>
      <c r="W77" s="2"/>
      <c r="X77" s="2"/>
      <c r="Y77" s="2"/>
      <c r="Z77" s="2"/>
      <c r="AA77" s="2"/>
      <c r="AB77" s="2"/>
      <c r="AD77" s="19" t="str">
        <f t="shared" ref="AD77:AF77" si="88">AD41</f>
        <v>Net</v>
      </c>
      <c r="AE77" s="19" t="str">
        <f t="shared" si="88"/>
        <v>Replacement</v>
      </c>
      <c r="AF77" s="19" t="str">
        <f t="shared" si="88"/>
        <v>Total</v>
      </c>
    </row>
    <row r="78" spans="1:32" x14ac:dyDescent="0.2">
      <c r="A78" s="50" t="s">
        <v>14</v>
      </c>
      <c r="B78" s="76" t="str">
        <f>CONCATENATE(B$6,"-",C$6)</f>
        <v>2007-2012</v>
      </c>
      <c r="C78" s="76" t="str">
        <f>CONCATENATE(C$6,"-",D$6)</f>
        <v>2012-2017</v>
      </c>
      <c r="D78" s="76" t="str">
        <f>CONCATENATE(D$6,"-",E$6)</f>
        <v>2017-2022</v>
      </c>
      <c r="E78" s="76" t="str">
        <f>CONCATENATE(E$6,"-",F$6)</f>
        <v>2022-2027</v>
      </c>
      <c r="F78" s="76" t="str">
        <f>CONCATENATE(D$6,"-",F$6)</f>
        <v>2017-2027</v>
      </c>
      <c r="H78" s="75" t="str">
        <f t="shared" si="86"/>
        <v>Change</v>
      </c>
      <c r="I78" s="75" t="str">
        <f t="shared" si="86"/>
        <v>Demand</v>
      </c>
      <c r="J78" s="75" t="str">
        <f t="shared" si="86"/>
        <v>Requirement</v>
      </c>
      <c r="L78" s="50" t="s">
        <v>14</v>
      </c>
      <c r="M78" s="76" t="str">
        <f>CONCATENATE(M$6,"-",N$6)</f>
        <v>2007-2012</v>
      </c>
      <c r="N78" s="76" t="str">
        <f>CONCATENATE(N$6,"-",O$6)</f>
        <v>2012-2017</v>
      </c>
      <c r="O78" s="76" t="str">
        <f>CONCATENATE(O$6,"-",P$6)</f>
        <v>2017-2022</v>
      </c>
      <c r="P78" s="76" t="str">
        <f>CONCATENATE(P$6,"-",Q$6)</f>
        <v>2022-2027</v>
      </c>
      <c r="Q78" s="76" t="str">
        <f>CONCATENATE(O$6,"-",Q$6)</f>
        <v>2017-2027</v>
      </c>
      <c r="S78" s="75" t="str">
        <f t="shared" ref="S78:U78" si="89">S42</f>
        <v>Change</v>
      </c>
      <c r="T78" s="75" t="str">
        <f t="shared" si="89"/>
        <v>Demand</v>
      </c>
      <c r="U78" s="75" t="str">
        <f t="shared" si="89"/>
        <v>Requirement</v>
      </c>
      <c r="W78" s="50" t="s">
        <v>14</v>
      </c>
      <c r="X78" s="76" t="str">
        <f>CONCATENATE(X$6,"-",Y$6)</f>
        <v>2007-2012</v>
      </c>
      <c r="Y78" s="76" t="str">
        <f>CONCATENATE(Y$6,"-",Z$6)</f>
        <v>2012-2017</v>
      </c>
      <c r="Z78" s="76" t="str">
        <f>CONCATENATE(Z$6,"-",AA$6)</f>
        <v>2017-2022</v>
      </c>
      <c r="AA78" s="76" t="str">
        <f>CONCATENATE(AA$6,"-",AB$6)</f>
        <v>2022-2027</v>
      </c>
      <c r="AB78" s="76" t="str">
        <f>CONCATENATE(Z$6,"-",AB$6)</f>
        <v>2017-2027</v>
      </c>
      <c r="AD78" s="75" t="str">
        <f t="shared" ref="AD78:AF78" si="90">AD42</f>
        <v>Change</v>
      </c>
      <c r="AE78" s="75" t="str">
        <f t="shared" si="90"/>
        <v>Demand</v>
      </c>
      <c r="AF78" s="75" t="str">
        <f t="shared" si="90"/>
        <v>Requirement</v>
      </c>
    </row>
    <row r="80" spans="1:32" x14ac:dyDescent="0.2">
      <c r="A80" s="217" t="str">
        <f t="shared" ref="A80:A104" si="91">A8</f>
        <v xml:space="preserve"> 11 Corporate managers and directors</v>
      </c>
      <c r="B80" s="22">
        <f t="shared" ref="B80:E104" si="92">IF(AND(C$6-B$6 &lt;&gt; 0,B8&lt;&gt;0,C8&lt;&gt;0),(EXP(LN(C8/B8)/(C$6-B$6))-1)*100,0)</f>
        <v>0.36070195060211585</v>
      </c>
      <c r="C80" s="22">
        <f t="shared" si="92"/>
        <v>3.4717594568288934</v>
      </c>
      <c r="D80" s="22">
        <f t="shared" si="92"/>
        <v>1.4794339607459683</v>
      </c>
      <c r="E80" s="22">
        <f t="shared" si="92"/>
        <v>1.2391319686546165</v>
      </c>
      <c r="F80" s="22">
        <f>IF(AND(F$6-D$6 &lt;&gt; 0,D8&lt;&gt;0,F8&lt;&gt;0),(EXP(LN(F8/D8)/(F$6-D$6))-1)*100,0)</f>
        <v>1.3592117513565372</v>
      </c>
      <c r="H80" s="22">
        <f>IF($F$6-$D$6 &lt;&gt; 0,(EXP(LN(1+(H44/100))/($F$6-$D$6))-1)*100,0)</f>
        <v>1.3592117513565372</v>
      </c>
      <c r="I80" s="22">
        <f>IF(D8&gt;0,((1+(I8/D8))^(1/($F$6-$D$6))-1)*100,0)</f>
        <v>3.2329978765088585</v>
      </c>
      <c r="J80" s="22">
        <f>IF($F$6-$D$6 &lt;&gt; 0,(EXP(LN(1+(J44/100))/($F$6-$D$6))-1)*100,0)</f>
        <v>4.2703172343226514</v>
      </c>
      <c r="L80" s="286" t="str">
        <f t="shared" ref="L80:L104" si="93">L8</f>
        <v xml:space="preserve"> 11 Corporate managers and directors</v>
      </c>
      <c r="M80" s="22">
        <f t="shared" ref="M80:M104" si="94">IF(AND(N$6-M$6 &lt;&gt; 0,M8&lt;&gt;0,N8&lt;&gt;0),(EXP(LN(N8/M8)/(N$6-M$6))-1)*100,0)</f>
        <v>-0.41752213371674118</v>
      </c>
      <c r="N80" s="22">
        <f t="shared" ref="N80:N104" si="95">IF(AND(O$6-N$6 &lt;&gt; 0,N8&lt;&gt;0,O8&lt;&gt;0),(EXP(LN(O8/N8)/(O$6-N$6))-1)*100,0)</f>
        <v>2.1045206334279198</v>
      </c>
      <c r="O80" s="22">
        <f t="shared" ref="O80:O104" si="96">IF(AND(P$6-O$6 &lt;&gt; 0,O8&lt;&gt;0,P8&lt;&gt;0),(EXP(LN(P8/O8)/(P$6-O$6))-1)*100,0)</f>
        <v>0.78309241989140688</v>
      </c>
      <c r="P80" s="22">
        <f t="shared" ref="P80:P104" si="97">IF(AND(Q$6-P$6 &lt;&gt; 0,P8&lt;&gt;0,Q8&lt;&gt;0),(EXP(LN(Q8/P8)/(Q$6-P$6))-1)*100,0)</f>
        <v>0.56819180221672205</v>
      </c>
      <c r="Q80" s="22">
        <f>IF(AND(Q$6-O$6 &lt;&gt; 0,O8&lt;&gt;0,Q8&lt;&gt;0),(EXP(LN(Q8/O8)/(Q$6-O$6))-1)*100,0)</f>
        <v>0.67558477060947197</v>
      </c>
      <c r="S80" s="22">
        <f>IF($F$6-$D$6 &lt;&gt; 0,(EXP(LN(1+(S44/100))/($F$6-$D$6))-1)*100,0)</f>
        <v>0.67558477060947197</v>
      </c>
      <c r="T80" s="22">
        <f>IF(O8&gt;0,((1+(T8/O8))^(1/($F$6-$D$6))-1)*100,0)</f>
        <v>2.9161859135222068</v>
      </c>
      <c r="U80" s="22">
        <f>IF($F$6-$D$6 &lt;&gt; 0,(EXP(LN(1+(U44/100))/($F$6-$D$6))-1)*100,0)</f>
        <v>3.4416786635041774</v>
      </c>
      <c r="W80" s="286" t="str">
        <f t="shared" ref="W80:W104" si="98">W8</f>
        <v xml:space="preserve"> 11 Corporate managers and directors</v>
      </c>
      <c r="X80" s="22">
        <f t="shared" ref="X80:X104" si="99">IF(AND(Y$6-X$6 &lt;&gt; 0,X8&lt;&gt;0,Y8&lt;&gt;0),(EXP(LN(Y8/X8)/(Y$6-X$6))-1)*100,0)</f>
        <v>2.8186217815540759</v>
      </c>
      <c r="Y80" s="22">
        <f t="shared" ref="Y80:Y104" si="100">IF(AND(Z$6-Y$6 &lt;&gt; 0,Y8&lt;&gt;0,Z8&lt;&gt;0),(EXP(LN(Z8/Y8)/(Z$6-Y$6))-1)*100,0)</f>
        <v>7.0399243055251581</v>
      </c>
      <c r="Z80" s="22">
        <f t="shared" ref="Z80:Z104" si="101">IF(AND(AA$6-Z$6 &lt;&gt; 0,Z8&lt;&gt;0,AA8&lt;&gt;0),(EXP(LN(AA8/Z8)/(AA$6-Z$6))-1)*100,0)</f>
        <v>2.9910605955745018</v>
      </c>
      <c r="AA80" s="22">
        <f t="shared" ref="AA80:AA104" si="102">IF(AND(AB$6-AA$6 &lt;&gt; 0,AA8&lt;&gt;0,AB8&lt;&gt;0),(EXP(LN(AB8/AA8)/(AB$6-AA$6))-1)*100,0)</f>
        <v>2.5517167830384713</v>
      </c>
      <c r="AB80" s="22">
        <f>IF(AND(AB$6-Z$6 &lt;&gt; 0,Z8&lt;&gt;0,AB8&lt;&gt;0),(EXP(LN(AB8/Z8)/(AB$6-Z$6))-1)*100,0)</f>
        <v>2.7711539167587063</v>
      </c>
      <c r="AD80" s="22">
        <f>IF($F$6-$D$6 &lt;&gt; 0,(EXP(LN(1+(AD44/100))/($F$6-$D$6))-1)*100,0)</f>
        <v>2.7711539167587063</v>
      </c>
      <c r="AE80" s="22">
        <f>IF(Z8&gt;0,((1+(AE8/Z8))^(1/($F$6-$D$6))-1)*100,0)</f>
        <v>3.9205105442403854</v>
      </c>
      <c r="AF80" s="22">
        <f>IF($F$6-$D$6 &lt;&gt; 0,(EXP(LN(1+(AF44/100))/($F$6-$D$6))-1)*100,0)</f>
        <v>5.9553783147634043</v>
      </c>
    </row>
    <row r="81" spans="1:32" x14ac:dyDescent="0.2">
      <c r="A81" s="243" t="str">
        <f t="shared" si="91"/>
        <v xml:space="preserve"> 12 Other managers and proprietors</v>
      </c>
      <c r="B81" s="22">
        <f t="shared" si="92"/>
        <v>2.5806906399285401</v>
      </c>
      <c r="C81" s="22">
        <f t="shared" si="92"/>
        <v>3.6221912507477194</v>
      </c>
      <c r="D81" s="22">
        <f t="shared" si="92"/>
        <v>1.0038107176833844</v>
      </c>
      <c r="E81" s="22">
        <f t="shared" si="92"/>
        <v>0.83581287043330565</v>
      </c>
      <c r="F81" s="22">
        <f t="shared" ref="F81:F106" si="103">IF(AND(F$6-D$6 &lt;&gt; 0,D9&lt;&gt;0,F9&lt;&gt;0),(EXP(LN(F9/D9)/(F$6-D$6))-1)*100,0)</f>
        <v>0.9197768365001302</v>
      </c>
      <c r="H81" s="22">
        <f t="shared" ref="H81:H106" si="104">IF($F$6-$D$6 &lt;&gt; 0,(EXP(LN(1+(H45/100))/($F$6-$D$6))-1)*100,0)</f>
        <v>0.9197768365001302</v>
      </c>
      <c r="I81" s="22">
        <f t="shared" ref="I81:I106" si="105">IF(D9&gt;0,((1+(I9/D9))^(1/($F$6-$D$6))-1)*100,0)</f>
        <v>3.4851959166687152</v>
      </c>
      <c r="J81" s="22">
        <f t="shared" ref="J81:J106" si="106">IF($F$6-$D$6 &lt;&gt; 0,(EXP(LN(1+(J45/100))/($F$6-$D$6))-1)*100,0)</f>
        <v>4.168910202697429</v>
      </c>
      <c r="L81" s="286" t="str">
        <f t="shared" si="93"/>
        <v xml:space="preserve"> 12 Other managers and proprietors</v>
      </c>
      <c r="M81" s="22">
        <f t="shared" si="94"/>
        <v>3.3098106207088973</v>
      </c>
      <c r="N81" s="22">
        <f t="shared" si="95"/>
        <v>0.49768712632363155</v>
      </c>
      <c r="O81" s="22">
        <f t="shared" si="96"/>
        <v>0.57405248087256666</v>
      </c>
      <c r="P81" s="22">
        <f t="shared" si="97"/>
        <v>0.52539813085488163</v>
      </c>
      <c r="Q81" s="22">
        <f t="shared" ref="Q81:Q104" si="107">IF(AND(Q$6-O$6 &lt;&gt; 0,O9&lt;&gt;0,Q9&lt;&gt;0),(EXP(LN(Q9/O9)/(Q$6-O$6))-1)*100,0)</f>
        <v>0.5497223629842285</v>
      </c>
      <c r="S81" s="22">
        <f t="shared" ref="S81:S106" si="108">IF($F$6-$D$6 &lt;&gt; 0,(EXP(LN(1+(S45/100))/($F$6-$D$6))-1)*100,0)</f>
        <v>0.5497223629842285</v>
      </c>
      <c r="T81" s="22">
        <f t="shared" ref="T81:T104" si="109">IF(O9&gt;0,((1+(T9/O9))^(1/($F$6-$D$6))-1)*100,0)</f>
        <v>3.0515564509466575</v>
      </c>
      <c r="U81" s="22">
        <f t="shared" ref="U81:U106" si="110">IF($F$6-$D$6 &lt;&gt; 0,(EXP(LN(1+(U45/100))/($F$6-$D$6))-1)*100,0)</f>
        <v>3.4736433947590184</v>
      </c>
      <c r="W81" s="286" t="str">
        <f t="shared" si="98"/>
        <v xml:space="preserve"> 12 Other managers and proprietors</v>
      </c>
      <c r="X81" s="22">
        <f t="shared" si="99"/>
        <v>1.4451476176226441</v>
      </c>
      <c r="Y81" s="22">
        <f t="shared" si="100"/>
        <v>8.0638211593628597</v>
      </c>
      <c r="Z81" s="22">
        <f t="shared" si="101"/>
        <v>1.4867820705764867</v>
      </c>
      <c r="AA81" s="22">
        <f t="shared" si="102"/>
        <v>1.171017186874157</v>
      </c>
      <c r="AB81" s="22">
        <f t="shared" ref="AB81:AB104" si="111">IF(AND(AB$6-Z$6 &lt;&gt; 0,Z9&lt;&gt;0,AB9&lt;&gt;0),(EXP(LN(AB9/Z9)/(AB$6-Z$6))-1)*100,0)</f>
        <v>1.3287766288671232</v>
      </c>
      <c r="AD81" s="22">
        <f t="shared" ref="AD81:AD106" si="112">IF($F$6-$D$6 &lt;&gt; 0,(EXP(LN(1+(AD45/100))/($F$6-$D$6))-1)*100,0)</f>
        <v>1.3287766288671232</v>
      </c>
      <c r="AE81" s="22">
        <f t="shared" ref="AE81:AE104" si="113">IF(Z9&gt;0,((1+(AE9/Z9))^(1/($F$6-$D$6))-1)*100,0)</f>
        <v>3.9621489425032852</v>
      </c>
      <c r="AF81" s="22">
        <f t="shared" ref="AF81:AF106" si="114">IF($F$6-$D$6 &lt;&gt; 0,(EXP(LN(1+(AF45/100))/($F$6-$D$6))-1)*100,0)</f>
        <v>4.9164330433960179</v>
      </c>
    </row>
    <row r="82" spans="1:32" x14ac:dyDescent="0.2">
      <c r="A82" s="243" t="str">
        <f t="shared" si="91"/>
        <v xml:space="preserve"> 21 Science, research, engineering and technology professionals</v>
      </c>
      <c r="B82" s="22">
        <f t="shared" si="92"/>
        <v>0.45587469847301332</v>
      </c>
      <c r="C82" s="22">
        <f t="shared" si="92"/>
        <v>3.9607555617725998</v>
      </c>
      <c r="D82" s="22">
        <f t="shared" si="92"/>
        <v>0.95380248722098937</v>
      </c>
      <c r="E82" s="22">
        <f t="shared" si="92"/>
        <v>0.73231139043612448</v>
      </c>
      <c r="F82" s="22">
        <f t="shared" si="103"/>
        <v>0.84299612859253248</v>
      </c>
      <c r="H82" s="22">
        <f t="shared" si="104"/>
        <v>0.84299612859253248</v>
      </c>
      <c r="I82" s="22">
        <f t="shared" si="105"/>
        <v>2.3395015691144661</v>
      </c>
      <c r="J82" s="22">
        <f t="shared" si="106"/>
        <v>3.0293560998405189</v>
      </c>
      <c r="L82" s="286" t="str">
        <f t="shared" si="93"/>
        <v xml:space="preserve"> 21 Science, research, engineering and technology professionals</v>
      </c>
      <c r="M82" s="22">
        <f t="shared" si="94"/>
        <v>3.8461269380163365E-2</v>
      </c>
      <c r="N82" s="22">
        <f t="shared" si="95"/>
        <v>3.2175894178297026</v>
      </c>
      <c r="O82" s="22">
        <f t="shared" si="96"/>
        <v>0.46519443397816662</v>
      </c>
      <c r="P82" s="22">
        <f t="shared" si="97"/>
        <v>0.26938347339517943</v>
      </c>
      <c r="Q82" s="22">
        <f t="shared" si="107"/>
        <v>0.36724120164788321</v>
      </c>
      <c r="S82" s="22">
        <f t="shared" si="108"/>
        <v>0.36724120164788321</v>
      </c>
      <c r="T82" s="22">
        <f t="shared" si="109"/>
        <v>2.0456369522090734</v>
      </c>
      <c r="U82" s="22">
        <f t="shared" si="110"/>
        <v>2.3526120032894449</v>
      </c>
      <c r="W82" s="286" t="str">
        <f t="shared" si="98"/>
        <v xml:space="preserve"> 21 Science, research, engineering and technology professionals</v>
      </c>
      <c r="X82" s="22">
        <f t="shared" si="99"/>
        <v>2.4517556831993748</v>
      </c>
      <c r="Y82" s="22">
        <f t="shared" si="100"/>
        <v>7.035858723619115</v>
      </c>
      <c r="Z82" s="22">
        <f t="shared" si="101"/>
        <v>2.6900542363034852</v>
      </c>
      <c r="AA82" s="22">
        <f t="shared" si="102"/>
        <v>2.2147254431376329</v>
      </c>
      <c r="AB82" s="22">
        <f t="shared" si="111"/>
        <v>2.4521141778180988</v>
      </c>
      <c r="AD82" s="22">
        <f t="shared" si="112"/>
        <v>2.4521141778180988</v>
      </c>
      <c r="AE82" s="22">
        <f t="shared" si="113"/>
        <v>3.3689300831687197</v>
      </c>
      <c r="AF82" s="22">
        <f t="shared" si="114"/>
        <v>5.242789285903604</v>
      </c>
    </row>
    <row r="83" spans="1:32" x14ac:dyDescent="0.2">
      <c r="A83" s="243" t="str">
        <f t="shared" si="91"/>
        <v xml:space="preserve"> 22 Health professionals</v>
      </c>
      <c r="B83" s="22">
        <f t="shared" si="92"/>
        <v>2.3212258249482032</v>
      </c>
      <c r="C83" s="22">
        <f t="shared" si="92"/>
        <v>5.4590780887667112</v>
      </c>
      <c r="D83" s="22">
        <f t="shared" si="92"/>
        <v>1.5862797466676071</v>
      </c>
      <c r="E83" s="22">
        <f t="shared" si="92"/>
        <v>1.4951881778586751</v>
      </c>
      <c r="F83" s="22">
        <f t="shared" si="103"/>
        <v>1.5407237475517643</v>
      </c>
      <c r="H83" s="22">
        <f t="shared" si="104"/>
        <v>1.5407237475517643</v>
      </c>
      <c r="I83" s="22">
        <f t="shared" si="105"/>
        <v>3.3054199883643109</v>
      </c>
      <c r="J83" s="22">
        <f t="shared" si="106"/>
        <v>4.4766864840281029</v>
      </c>
      <c r="L83" s="286" t="str">
        <f t="shared" si="93"/>
        <v xml:space="preserve"> 22 Health professionals</v>
      </c>
      <c r="M83" s="22">
        <f t="shared" si="94"/>
        <v>4.7019412295192131</v>
      </c>
      <c r="N83" s="22">
        <f t="shared" si="95"/>
        <v>3.3033338870672724</v>
      </c>
      <c r="O83" s="22">
        <f t="shared" si="96"/>
        <v>0.76538986753826865</v>
      </c>
      <c r="P83" s="22">
        <f t="shared" si="97"/>
        <v>1.1684834513276288</v>
      </c>
      <c r="Q83" s="22">
        <f t="shared" si="107"/>
        <v>0.96673549878010245</v>
      </c>
      <c r="S83" s="22">
        <f t="shared" si="108"/>
        <v>0.96673549878010245</v>
      </c>
      <c r="T83" s="22">
        <f t="shared" si="109"/>
        <v>2.4747685389158836</v>
      </c>
      <c r="U83" s="22">
        <f t="shared" si="110"/>
        <v>3.257736770347841</v>
      </c>
      <c r="W83" s="286" t="str">
        <f t="shared" si="98"/>
        <v xml:space="preserve"> 22 Health professionals</v>
      </c>
      <c r="X83" s="22">
        <f t="shared" si="99"/>
        <v>1.2795339745966139</v>
      </c>
      <c r="Y83" s="22">
        <f t="shared" si="100"/>
        <v>6.4406130674359297</v>
      </c>
      <c r="Z83" s="22">
        <f t="shared" si="101"/>
        <v>1.9201616558666146</v>
      </c>
      <c r="AA83" s="22">
        <f t="shared" si="102"/>
        <v>1.622452981937883</v>
      </c>
      <c r="AB83" s="22">
        <f t="shared" si="111"/>
        <v>1.7711984590179197</v>
      </c>
      <c r="AD83" s="22">
        <f t="shared" si="112"/>
        <v>1.7711984590179197</v>
      </c>
      <c r="AE83" s="22">
        <f t="shared" si="113"/>
        <v>3.6340551709441282</v>
      </c>
      <c r="AF83" s="22">
        <f t="shared" si="114"/>
        <v>4.9483572476820781</v>
      </c>
    </row>
    <row r="84" spans="1:32" x14ac:dyDescent="0.2">
      <c r="A84" s="243" t="str">
        <f t="shared" si="91"/>
        <v xml:space="preserve"> 23 Teaching and educational professionals</v>
      </c>
      <c r="B84" s="22">
        <f t="shared" si="92"/>
        <v>2.5473362719028447</v>
      </c>
      <c r="C84" s="22">
        <f t="shared" si="92"/>
        <v>2.2549835402099871</v>
      </c>
      <c r="D84" s="22">
        <f t="shared" si="92"/>
        <v>0.61721579648439384</v>
      </c>
      <c r="E84" s="22">
        <f t="shared" si="92"/>
        <v>1.5297796455413737</v>
      </c>
      <c r="F84" s="22">
        <f t="shared" si="103"/>
        <v>1.0724678058517956</v>
      </c>
      <c r="H84" s="22">
        <f t="shared" si="104"/>
        <v>1.0724678058517956</v>
      </c>
      <c r="I84" s="22">
        <f t="shared" si="105"/>
        <v>3.0846902900186324</v>
      </c>
      <c r="J84" s="22">
        <f t="shared" si="106"/>
        <v>3.9106849161973711</v>
      </c>
      <c r="L84" s="286" t="str">
        <f t="shared" si="93"/>
        <v xml:space="preserve"> 23 Teaching and educational professionals</v>
      </c>
      <c r="M84" s="22">
        <f t="shared" si="94"/>
        <v>3.4540564284104569</v>
      </c>
      <c r="N84" s="22">
        <f t="shared" si="95"/>
        <v>2.1189138288889353</v>
      </c>
      <c r="O84" s="22">
        <f t="shared" si="96"/>
        <v>-0.22389295524322117</v>
      </c>
      <c r="P84" s="22">
        <f t="shared" si="97"/>
        <v>0.95292543951011055</v>
      </c>
      <c r="Q84" s="22">
        <f t="shared" si="107"/>
        <v>0.3627913877145561</v>
      </c>
      <c r="S84" s="22">
        <f t="shared" si="108"/>
        <v>0.3627913877145561</v>
      </c>
      <c r="T84" s="22">
        <f t="shared" si="109"/>
        <v>2.5044088903644957</v>
      </c>
      <c r="U84" s="22">
        <f t="shared" si="110"/>
        <v>2.7958241138242634</v>
      </c>
      <c r="W84" s="286" t="str">
        <f t="shared" si="98"/>
        <v xml:space="preserve"> 23 Teaching and educational professionals</v>
      </c>
      <c r="X84" s="22">
        <f t="shared" si="99"/>
        <v>2.0838470818629329</v>
      </c>
      <c r="Y84" s="22">
        <f t="shared" si="100"/>
        <v>2.3270787355888833</v>
      </c>
      <c r="Z84" s="22">
        <f t="shared" si="101"/>
        <v>1.0490870026910182</v>
      </c>
      <c r="AA84" s="22">
        <f t="shared" si="102"/>
        <v>1.8101258453262714</v>
      </c>
      <c r="AB84" s="22">
        <f t="shared" si="111"/>
        <v>1.4288926504637312</v>
      </c>
      <c r="AD84" s="22">
        <f t="shared" si="112"/>
        <v>1.4288926504637312</v>
      </c>
      <c r="AE84" s="22">
        <f t="shared" si="113"/>
        <v>3.3788419486607602</v>
      </c>
      <c r="AF84" s="22">
        <f t="shared" si="114"/>
        <v>4.4571209512351828</v>
      </c>
    </row>
    <row r="85" spans="1:32" x14ac:dyDescent="0.2">
      <c r="A85" s="243" t="str">
        <f t="shared" si="91"/>
        <v xml:space="preserve"> 24 Business, media and public service professionals</v>
      </c>
      <c r="B85" s="22">
        <f t="shared" si="92"/>
        <v>-0.87111915610906809</v>
      </c>
      <c r="C85" s="22">
        <f t="shared" si="92"/>
        <v>3.6140463678369317</v>
      </c>
      <c r="D85" s="22">
        <f t="shared" si="92"/>
        <v>1.7075551787568255</v>
      </c>
      <c r="E85" s="22">
        <f t="shared" si="92"/>
        <v>1.0676632844135003</v>
      </c>
      <c r="F85" s="22">
        <f t="shared" si="103"/>
        <v>1.3871044082407025</v>
      </c>
      <c r="H85" s="22">
        <f t="shared" si="104"/>
        <v>1.3871044082407025</v>
      </c>
      <c r="I85" s="22">
        <f t="shared" si="105"/>
        <v>3.133961901722504</v>
      </c>
      <c r="J85" s="22">
        <f t="shared" si="106"/>
        <v>4.2016348625163014</v>
      </c>
      <c r="L85" s="286" t="str">
        <f t="shared" si="93"/>
        <v xml:space="preserve"> 24 Business, media and public service professionals</v>
      </c>
      <c r="M85" s="22">
        <f t="shared" si="94"/>
        <v>-2.7027698855940474</v>
      </c>
      <c r="N85" s="22">
        <f t="shared" si="95"/>
        <v>0.65457949860674436</v>
      </c>
      <c r="O85" s="22">
        <f t="shared" si="96"/>
        <v>0.46184798730020127</v>
      </c>
      <c r="P85" s="22">
        <f t="shared" si="97"/>
        <v>-0.32278170536788053</v>
      </c>
      <c r="Q85" s="22">
        <f t="shared" si="107"/>
        <v>6.8764118041708677E-2</v>
      </c>
      <c r="S85" s="22">
        <f t="shared" si="108"/>
        <v>6.8764118041708677E-2</v>
      </c>
      <c r="T85" s="22">
        <f t="shared" si="109"/>
        <v>2.5439112774188866</v>
      </c>
      <c r="U85" s="22">
        <f t="shared" si="110"/>
        <v>2.5987984593942581</v>
      </c>
      <c r="W85" s="286" t="str">
        <f t="shared" si="98"/>
        <v xml:space="preserve"> 24 Business, media and public service professionals</v>
      </c>
      <c r="X85" s="22">
        <f t="shared" si="99"/>
        <v>1.4539617116741121</v>
      </c>
      <c r="Y85" s="22">
        <f t="shared" si="100"/>
        <v>6.5706840396596577</v>
      </c>
      <c r="Z85" s="22">
        <f t="shared" si="101"/>
        <v>2.7106965767751401</v>
      </c>
      <c r="AA85" s="22">
        <f t="shared" si="102"/>
        <v>2.0669614392637481</v>
      </c>
      <c r="AB85" s="22">
        <f t="shared" si="111"/>
        <v>2.3883230983964721</v>
      </c>
      <c r="AD85" s="22">
        <f t="shared" si="112"/>
        <v>2.3883230983964721</v>
      </c>
      <c r="AE85" s="22">
        <f t="shared" si="113"/>
        <v>3.6080781300450449</v>
      </c>
      <c r="AF85" s="22">
        <f t="shared" si="114"/>
        <v>5.3973928964197837</v>
      </c>
    </row>
    <row r="86" spans="1:32" x14ac:dyDescent="0.2">
      <c r="A86" s="243" t="str">
        <f t="shared" si="91"/>
        <v xml:space="preserve"> 31 Science, engineering and technology associate professionals</v>
      </c>
      <c r="B86" s="22">
        <f t="shared" si="92"/>
        <v>-1.6265524174427504</v>
      </c>
      <c r="C86" s="22">
        <f t="shared" si="92"/>
        <v>2.6383333932600506</v>
      </c>
      <c r="D86" s="22">
        <f t="shared" si="92"/>
        <v>-1.5336274964017349E-2</v>
      </c>
      <c r="E86" s="22">
        <f t="shared" si="92"/>
        <v>0.12480430904784345</v>
      </c>
      <c r="F86" s="22">
        <f t="shared" si="103"/>
        <v>5.4709481239223479E-2</v>
      </c>
      <c r="H86" s="22">
        <f t="shared" si="104"/>
        <v>5.4709481239223479E-2</v>
      </c>
      <c r="I86" s="22">
        <f t="shared" si="105"/>
        <v>2.3944986501861276</v>
      </c>
      <c r="J86" s="22">
        <f t="shared" si="106"/>
        <v>2.4387368995925529</v>
      </c>
      <c r="L86" s="286" t="str">
        <f t="shared" si="93"/>
        <v xml:space="preserve"> 31 Science, engineering and technology associate professionals</v>
      </c>
      <c r="M86" s="22">
        <f t="shared" si="94"/>
        <v>-1.8597033385868156</v>
      </c>
      <c r="N86" s="22">
        <f t="shared" si="95"/>
        <v>2.5489521383438518</v>
      </c>
      <c r="O86" s="22">
        <f t="shared" si="96"/>
        <v>1.9668696857810808E-2</v>
      </c>
      <c r="P86" s="22">
        <f t="shared" si="97"/>
        <v>0.16572445432547767</v>
      </c>
      <c r="Q86" s="22">
        <f t="shared" si="107"/>
        <v>9.2669934927713804E-2</v>
      </c>
      <c r="S86" s="22">
        <f t="shared" si="108"/>
        <v>9.2669934927713804E-2</v>
      </c>
      <c r="T86" s="22">
        <f t="shared" si="109"/>
        <v>2.2158137106051523</v>
      </c>
      <c r="U86" s="22">
        <f t="shared" si="110"/>
        <v>2.291956982693355</v>
      </c>
      <c r="W86" s="286" t="str">
        <f t="shared" si="98"/>
        <v xml:space="preserve"> 31 Science, engineering and technology associate professionals</v>
      </c>
      <c r="X86" s="22">
        <f t="shared" si="99"/>
        <v>-0.85382360427507242</v>
      </c>
      <c r="Y86" s="22">
        <f t="shared" si="100"/>
        <v>2.9235695060729094</v>
      </c>
      <c r="Z86" s="22">
        <f t="shared" si="101"/>
        <v>-0.12615336955388301</v>
      </c>
      <c r="AA86" s="22">
        <f t="shared" si="102"/>
        <v>-5.7535926240692703E-3</v>
      </c>
      <c r="AB86" s="22">
        <f t="shared" si="111"/>
        <v>-6.5971613182214117E-2</v>
      </c>
      <c r="AD86" s="22">
        <f t="shared" si="112"/>
        <v>-6.5971613182214117E-2</v>
      </c>
      <c r="AE86" s="22">
        <f t="shared" si="113"/>
        <v>2.9408099962870082</v>
      </c>
      <c r="AF86" s="22">
        <f t="shared" si="114"/>
        <v>2.8900240091226825</v>
      </c>
    </row>
    <row r="87" spans="1:32" x14ac:dyDescent="0.2">
      <c r="A87" s="243" t="str">
        <f t="shared" si="91"/>
        <v xml:space="preserve"> 32 Health and social care associate professionals</v>
      </c>
      <c r="B87" s="22">
        <f t="shared" si="92"/>
        <v>1.9646890006198348</v>
      </c>
      <c r="C87" s="22">
        <f t="shared" si="92"/>
        <v>5.1755266558689783</v>
      </c>
      <c r="D87" s="22">
        <f t="shared" si="92"/>
        <v>1.6251189307647129</v>
      </c>
      <c r="E87" s="22">
        <f t="shared" si="92"/>
        <v>1.422512489124439</v>
      </c>
      <c r="F87" s="22">
        <f t="shared" si="103"/>
        <v>1.5237651683793763</v>
      </c>
      <c r="H87" s="22">
        <f t="shared" si="104"/>
        <v>1.5237651683793763</v>
      </c>
      <c r="I87" s="22">
        <f t="shared" si="105"/>
        <v>3.50846276613348</v>
      </c>
      <c r="J87" s="22">
        <f t="shared" si="106"/>
        <v>4.6473968164402413</v>
      </c>
      <c r="L87" s="286" t="str">
        <f t="shared" si="93"/>
        <v xml:space="preserve"> 32 Health and social care associate professionals</v>
      </c>
      <c r="M87" s="22">
        <f t="shared" si="94"/>
        <v>5.4403826112199738</v>
      </c>
      <c r="N87" s="22">
        <f t="shared" si="95"/>
        <v>2.8683794942759855</v>
      </c>
      <c r="O87" s="22">
        <f t="shared" si="96"/>
        <v>0.75568200245352823</v>
      </c>
      <c r="P87" s="22">
        <f t="shared" si="97"/>
        <v>1.1488728861309472</v>
      </c>
      <c r="Q87" s="22">
        <f t="shared" si="107"/>
        <v>0.95208601817797778</v>
      </c>
      <c r="S87" s="22">
        <f t="shared" si="108"/>
        <v>0.95208601817797778</v>
      </c>
      <c r="T87" s="22">
        <f t="shared" si="109"/>
        <v>3.0161291255735412</v>
      </c>
      <c r="U87" s="22">
        <f t="shared" si="110"/>
        <v>3.7526663937149651</v>
      </c>
      <c r="W87" s="286" t="str">
        <f t="shared" si="98"/>
        <v xml:space="preserve"> 32 Health and social care associate professionals</v>
      </c>
      <c r="X87" s="22">
        <f t="shared" si="99"/>
        <v>0.26914029658282601</v>
      </c>
      <c r="Y87" s="22">
        <f t="shared" si="100"/>
        <v>6.3983040686528936</v>
      </c>
      <c r="Z87" s="22">
        <f t="shared" si="101"/>
        <v>2.0310902546864629</v>
      </c>
      <c r="AA87" s="22">
        <f t="shared" si="102"/>
        <v>1.5445893041980963</v>
      </c>
      <c r="AB87" s="22">
        <f t="shared" si="111"/>
        <v>1.7875491215487704</v>
      </c>
      <c r="AD87" s="22">
        <f t="shared" si="112"/>
        <v>1.7875491215487704</v>
      </c>
      <c r="AE87" s="22">
        <f t="shared" si="113"/>
        <v>3.7369294484254523</v>
      </c>
      <c r="AF87" s="22">
        <f t="shared" si="114"/>
        <v>5.0525530834458099</v>
      </c>
    </row>
    <row r="88" spans="1:32" x14ac:dyDescent="0.2">
      <c r="A88" s="243" t="str">
        <f t="shared" si="91"/>
        <v xml:space="preserve"> 33 Protective service occupations</v>
      </c>
      <c r="B88" s="22">
        <f t="shared" si="92"/>
        <v>-2.4287837948262281</v>
      </c>
      <c r="C88" s="22">
        <f t="shared" si="92"/>
        <v>0.76744784830620194</v>
      </c>
      <c r="D88" s="22">
        <f t="shared" si="92"/>
        <v>-0.66013343999204999</v>
      </c>
      <c r="E88" s="22">
        <f t="shared" si="92"/>
        <v>-0.44837653574724134</v>
      </c>
      <c r="F88" s="22">
        <f t="shared" si="103"/>
        <v>-0.55431135151697841</v>
      </c>
      <c r="H88" s="22">
        <f t="shared" si="104"/>
        <v>-0.55431135151697841</v>
      </c>
      <c r="I88" s="22">
        <f t="shared" si="105"/>
        <v>1.9800975366929929</v>
      </c>
      <c r="J88" s="22">
        <f t="shared" si="106"/>
        <v>1.517552102098052</v>
      </c>
      <c r="L88" s="286" t="str">
        <f t="shared" si="93"/>
        <v xml:space="preserve"> 33 Protective service occupations</v>
      </c>
      <c r="M88" s="22">
        <f t="shared" si="94"/>
        <v>-3.1619416478003814</v>
      </c>
      <c r="N88" s="22">
        <f t="shared" si="95"/>
        <v>0.11619030369280914</v>
      </c>
      <c r="O88" s="22">
        <f t="shared" si="96"/>
        <v>-1.6319467759864037</v>
      </c>
      <c r="P88" s="22">
        <f t="shared" si="97"/>
        <v>-1.47584634200153</v>
      </c>
      <c r="Q88" s="22">
        <f t="shared" si="107"/>
        <v>-1.5539274989556207</v>
      </c>
      <c r="S88" s="22">
        <f t="shared" si="108"/>
        <v>-1.5539274989556207</v>
      </c>
      <c r="T88" s="22">
        <f t="shared" si="109"/>
        <v>1.6078865581073964</v>
      </c>
      <c r="U88" s="22">
        <f t="shared" si="110"/>
        <v>0.27624793269787062</v>
      </c>
      <c r="W88" s="286" t="str">
        <f t="shared" si="98"/>
        <v xml:space="preserve"> 33 Protective service occupations</v>
      </c>
      <c r="X88" s="22">
        <f t="shared" si="99"/>
        <v>0.73798824299995402</v>
      </c>
      <c r="Y88" s="22">
        <f t="shared" si="100"/>
        <v>3.1237253529732278</v>
      </c>
      <c r="Z88" s="22">
        <f t="shared" si="101"/>
        <v>2.3130252198015455</v>
      </c>
      <c r="AA88" s="22">
        <f t="shared" si="102"/>
        <v>2.1509921853117842</v>
      </c>
      <c r="AB88" s="22">
        <f t="shared" si="111"/>
        <v>2.2319766006877018</v>
      </c>
      <c r="AD88" s="22">
        <f t="shared" si="112"/>
        <v>2.2319766006877018</v>
      </c>
      <c r="AE88" s="22">
        <f t="shared" si="113"/>
        <v>3.1325019581161184</v>
      </c>
      <c r="AF88" s="22">
        <f t="shared" si="114"/>
        <v>4.8665394205824386</v>
      </c>
    </row>
    <row r="89" spans="1:32" x14ac:dyDescent="0.2">
      <c r="A89" s="243" t="str">
        <f t="shared" si="91"/>
        <v xml:space="preserve"> 34 Culture, media and sports occupations</v>
      </c>
      <c r="B89" s="22">
        <f t="shared" si="92"/>
        <v>4.1874076040823605</v>
      </c>
      <c r="C89" s="22">
        <f t="shared" si="92"/>
        <v>4.1642125498056126</v>
      </c>
      <c r="D89" s="22">
        <f t="shared" si="92"/>
        <v>1.4851370789650264</v>
      </c>
      <c r="E89" s="22">
        <f t="shared" si="92"/>
        <v>0.59255953436114783</v>
      </c>
      <c r="F89" s="22">
        <f t="shared" si="103"/>
        <v>1.0378626727059803</v>
      </c>
      <c r="H89" s="22">
        <f t="shared" si="104"/>
        <v>1.0378626727059803</v>
      </c>
      <c r="I89" s="22">
        <f t="shared" si="105"/>
        <v>2.9788440553695672</v>
      </c>
      <c r="J89" s="22">
        <f t="shared" si="106"/>
        <v>3.7850176407206115</v>
      </c>
      <c r="L89" s="286" t="str">
        <f t="shared" si="93"/>
        <v xml:space="preserve"> 34 Culture, media and sports occupations</v>
      </c>
      <c r="M89" s="22">
        <f t="shared" si="94"/>
        <v>6.8146547390442791</v>
      </c>
      <c r="N89" s="22">
        <f t="shared" si="95"/>
        <v>1.2621236644020817</v>
      </c>
      <c r="O89" s="22">
        <f t="shared" si="96"/>
        <v>0.84350174441454318</v>
      </c>
      <c r="P89" s="22">
        <f t="shared" si="97"/>
        <v>0.27367635518587008</v>
      </c>
      <c r="Q89" s="22">
        <f t="shared" si="107"/>
        <v>0.5581854273586595</v>
      </c>
      <c r="S89" s="22">
        <f t="shared" si="108"/>
        <v>0.5581854273586595</v>
      </c>
      <c r="T89" s="22">
        <f t="shared" si="109"/>
        <v>2.5176101652383709</v>
      </c>
      <c r="U89" s="22">
        <f t="shared" si="110"/>
        <v>2.9663110585986807</v>
      </c>
      <c r="W89" s="286" t="str">
        <f t="shared" si="98"/>
        <v xml:space="preserve"> 34 Culture, media and sports occupations</v>
      </c>
      <c r="X89" s="22">
        <f t="shared" si="99"/>
        <v>1.5101650912088926</v>
      </c>
      <c r="Y89" s="22">
        <f t="shared" si="100"/>
        <v>7.2365876550015251</v>
      </c>
      <c r="Z89" s="22">
        <f t="shared" si="101"/>
        <v>2.0437507429311053</v>
      </c>
      <c r="AA89" s="22">
        <f t="shared" si="102"/>
        <v>0.85740630607735735</v>
      </c>
      <c r="AB89" s="22">
        <f t="shared" si="111"/>
        <v>1.4488443979323362</v>
      </c>
      <c r="AD89" s="22">
        <f t="shared" si="112"/>
        <v>1.4488443979323362</v>
      </c>
      <c r="AE89" s="22">
        <f t="shared" si="113"/>
        <v>3.3748959082025021</v>
      </c>
      <c r="AF89" s="22">
        <f t="shared" si="114"/>
        <v>4.4688456396928755</v>
      </c>
    </row>
    <row r="90" spans="1:32" x14ac:dyDescent="0.2">
      <c r="A90" s="243" t="str">
        <f t="shared" si="91"/>
        <v xml:space="preserve"> 35 Business and public service associate professionals</v>
      </c>
      <c r="B90" s="22">
        <f t="shared" si="92"/>
        <v>-0.73677173410109376</v>
      </c>
      <c r="C90" s="22">
        <f t="shared" si="92"/>
        <v>3.3835669924018541</v>
      </c>
      <c r="D90" s="22">
        <f t="shared" si="92"/>
        <v>1.4363187559130131</v>
      </c>
      <c r="E90" s="22">
        <f t="shared" si="92"/>
        <v>1.0946854518265603</v>
      </c>
      <c r="F90" s="22">
        <f t="shared" si="103"/>
        <v>1.2653580353135352</v>
      </c>
      <c r="H90" s="22">
        <f t="shared" si="104"/>
        <v>1.2653580353135352</v>
      </c>
      <c r="I90" s="22">
        <f t="shared" si="105"/>
        <v>2.9297016494140404</v>
      </c>
      <c r="J90" s="22">
        <f t="shared" si="106"/>
        <v>3.9190414367053172</v>
      </c>
      <c r="L90" s="286" t="str">
        <f t="shared" si="93"/>
        <v xml:space="preserve"> 35 Business and public service associate professionals</v>
      </c>
      <c r="M90" s="22">
        <f t="shared" si="94"/>
        <v>-1.4569342289136533</v>
      </c>
      <c r="N90" s="22">
        <f t="shared" si="95"/>
        <v>1.7322526593221754</v>
      </c>
      <c r="O90" s="22">
        <f t="shared" si="96"/>
        <v>0.41777557820583677</v>
      </c>
      <c r="P90" s="22">
        <f t="shared" si="97"/>
        <v>0.16013305230166974</v>
      </c>
      <c r="Q90" s="22">
        <f t="shared" si="107"/>
        <v>0.28887157969854638</v>
      </c>
      <c r="S90" s="22">
        <f t="shared" si="108"/>
        <v>0.28887157969854638</v>
      </c>
      <c r="T90" s="22">
        <f t="shared" si="109"/>
        <v>2.3690274449844617</v>
      </c>
      <c r="U90" s="22">
        <f t="shared" si="110"/>
        <v>2.6036428776435638</v>
      </c>
      <c r="W90" s="286" t="str">
        <f t="shared" si="98"/>
        <v xml:space="preserve"> 35 Business and public service associate professionals</v>
      </c>
      <c r="X90" s="22">
        <f t="shared" si="99"/>
        <v>0.25648987880320107</v>
      </c>
      <c r="Y90" s="22">
        <f t="shared" si="100"/>
        <v>5.3983316300960205</v>
      </c>
      <c r="Z90" s="22">
        <f t="shared" si="101"/>
        <v>2.5088080981949146</v>
      </c>
      <c r="AA90" s="22">
        <f t="shared" si="102"/>
        <v>1.9869098454801781</v>
      </c>
      <c r="AB90" s="22">
        <f t="shared" si="111"/>
        <v>2.2475259841441497</v>
      </c>
      <c r="AD90" s="22">
        <f t="shared" si="112"/>
        <v>2.2475259841441497</v>
      </c>
      <c r="AE90" s="22">
        <f t="shared" si="113"/>
        <v>3.5148573979051578</v>
      </c>
      <c r="AF90" s="22">
        <f t="shared" si="114"/>
        <v>5.2084734173962977</v>
      </c>
    </row>
    <row r="91" spans="1:32" x14ac:dyDescent="0.2">
      <c r="A91" s="243" t="str">
        <f t="shared" si="91"/>
        <v xml:space="preserve"> 41 Administrative occupations</v>
      </c>
      <c r="B91" s="22">
        <f t="shared" si="92"/>
        <v>-1.4111348138919566</v>
      </c>
      <c r="C91" s="22">
        <f t="shared" si="92"/>
        <v>1.235204923372768</v>
      </c>
      <c r="D91" s="22">
        <f t="shared" si="92"/>
        <v>-0.61118233924494225</v>
      </c>
      <c r="E91" s="22">
        <f t="shared" si="92"/>
        <v>-0.59960324356083117</v>
      </c>
      <c r="F91" s="22">
        <f t="shared" si="103"/>
        <v>-0.60539296001799192</v>
      </c>
      <c r="H91" s="22">
        <f t="shared" si="104"/>
        <v>-0.60539296001799192</v>
      </c>
      <c r="I91" s="22">
        <f t="shared" si="105"/>
        <v>2.8544206242545167</v>
      </c>
      <c r="J91" s="22">
        <f t="shared" si="106"/>
        <v>2.387674005027618</v>
      </c>
      <c r="L91" s="286" t="str">
        <f t="shared" si="93"/>
        <v xml:space="preserve"> 41 Administrative occupations</v>
      </c>
      <c r="M91" s="22">
        <f t="shared" si="94"/>
        <v>-0.28814436230368834</v>
      </c>
      <c r="N91" s="22">
        <f t="shared" si="95"/>
        <v>1.0019492097982585</v>
      </c>
      <c r="O91" s="22">
        <f t="shared" si="96"/>
        <v>0.13084668894844942</v>
      </c>
      <c r="P91" s="22">
        <f t="shared" si="97"/>
        <v>0.47357225660309421</v>
      </c>
      <c r="Q91" s="22">
        <f t="shared" si="107"/>
        <v>0.30206308903575341</v>
      </c>
      <c r="S91" s="22">
        <f t="shared" si="108"/>
        <v>0.30206308903575341</v>
      </c>
      <c r="T91" s="22">
        <f t="shared" si="109"/>
        <v>2.3401556308181082</v>
      </c>
      <c r="U91" s="22">
        <f t="shared" si="110"/>
        <v>2.5861310839454976</v>
      </c>
      <c r="W91" s="286" t="str">
        <f t="shared" si="98"/>
        <v xml:space="preserve"> 41 Administrative occupations</v>
      </c>
      <c r="X91" s="22">
        <f t="shared" si="99"/>
        <v>-1.9048329711537693</v>
      </c>
      <c r="Y91" s="22">
        <f t="shared" si="100"/>
        <v>1.3421723253399964</v>
      </c>
      <c r="Z91" s="22">
        <f t="shared" si="101"/>
        <v>-0.9554931427760871</v>
      </c>
      <c r="AA91" s="22">
        <f t="shared" si="102"/>
        <v>-1.1309954199324679</v>
      </c>
      <c r="AB91" s="22">
        <f t="shared" si="111"/>
        <v>-1.043283188570765</v>
      </c>
      <c r="AD91" s="22">
        <f t="shared" si="112"/>
        <v>-1.043283188570765</v>
      </c>
      <c r="AE91" s="22">
        <f t="shared" si="113"/>
        <v>3.0804543158053033</v>
      </c>
      <c r="AF91" s="22">
        <f t="shared" si="114"/>
        <v>2.2964236088204748</v>
      </c>
    </row>
    <row r="92" spans="1:32" x14ac:dyDescent="0.2">
      <c r="A92" s="243" t="str">
        <f t="shared" si="91"/>
        <v xml:space="preserve"> 42 Secretarial and related occupations</v>
      </c>
      <c r="B92" s="22">
        <f t="shared" si="92"/>
        <v>-2.3778559162489166</v>
      </c>
      <c r="C92" s="22">
        <f t="shared" si="92"/>
        <v>-0.89370568107192128</v>
      </c>
      <c r="D92" s="22">
        <f t="shared" si="92"/>
        <v>-5.2782252115385786</v>
      </c>
      <c r="E92" s="22">
        <f t="shared" si="92"/>
        <v>-5.8037668401589526</v>
      </c>
      <c r="F92" s="22">
        <f t="shared" si="103"/>
        <v>-5.5413615210982208</v>
      </c>
      <c r="H92" s="22">
        <f t="shared" si="104"/>
        <v>-5.5413615210982208</v>
      </c>
      <c r="I92" s="22">
        <f t="shared" si="105"/>
        <v>2.3532628856152149</v>
      </c>
      <c r="J92" s="22">
        <f t="shared" si="106"/>
        <v>-1.8773545000863479</v>
      </c>
      <c r="L92" s="286" t="str">
        <f t="shared" si="93"/>
        <v xml:space="preserve"> 42 Secretarial and related occupations</v>
      </c>
      <c r="M92" s="22">
        <f t="shared" si="94"/>
        <v>0.75559565722984612</v>
      </c>
      <c r="N92" s="22">
        <f t="shared" si="95"/>
        <v>0.6019804754736624</v>
      </c>
      <c r="O92" s="22">
        <f t="shared" si="96"/>
        <v>0.41864443504593396</v>
      </c>
      <c r="P92" s="22">
        <f t="shared" si="97"/>
        <v>0.95577069043186746</v>
      </c>
      <c r="Q92" s="22">
        <f t="shared" si="107"/>
        <v>0.68684939270127199</v>
      </c>
      <c r="S92" s="22">
        <f t="shared" si="108"/>
        <v>0.68684939270127199</v>
      </c>
      <c r="T92" s="22">
        <f t="shared" si="109"/>
        <v>2.1360093850330664</v>
      </c>
      <c r="U92" s="22">
        <f t="shared" si="110"/>
        <v>2.7071705846866134</v>
      </c>
      <c r="W92" s="286" t="str">
        <f t="shared" si="98"/>
        <v xml:space="preserve"> 42 Secretarial and related occupations</v>
      </c>
      <c r="X92" s="22">
        <f t="shared" si="99"/>
        <v>-2.5671543253955043</v>
      </c>
      <c r="Y92" s="22">
        <f t="shared" si="100"/>
        <v>-0.9968002110416152</v>
      </c>
      <c r="Z92" s="22">
        <f t="shared" si="101"/>
        <v>-5.7473817926447124</v>
      </c>
      <c r="AA92" s="22">
        <f t="shared" si="102"/>
        <v>-6.5912328133222786</v>
      </c>
      <c r="AB92" s="22">
        <f t="shared" si="111"/>
        <v>-6.1702559373325805</v>
      </c>
      <c r="AD92" s="22">
        <f t="shared" si="112"/>
        <v>-6.1702559373325805</v>
      </c>
      <c r="AE92" s="22">
        <f t="shared" si="113"/>
        <v>2.3688116332520881</v>
      </c>
      <c r="AF92" s="22">
        <f t="shared" si="114"/>
        <v>-2.295913662751059</v>
      </c>
    </row>
    <row r="93" spans="1:32" x14ac:dyDescent="0.2">
      <c r="A93" s="243" t="str">
        <f t="shared" si="91"/>
        <v xml:space="preserve"> 51 Skilled agricultural and related trades</v>
      </c>
      <c r="B93" s="22">
        <f t="shared" si="92"/>
        <v>0.61459722997625477</v>
      </c>
      <c r="C93" s="22">
        <f t="shared" si="92"/>
        <v>9.8943746889061721</v>
      </c>
      <c r="D93" s="22">
        <f t="shared" si="92"/>
        <v>-0.29910777314966497</v>
      </c>
      <c r="E93" s="22">
        <f t="shared" si="92"/>
        <v>-0.1898859712744061</v>
      </c>
      <c r="F93" s="22">
        <f t="shared" si="103"/>
        <v>-0.24451182051379305</v>
      </c>
      <c r="H93" s="22">
        <f t="shared" si="104"/>
        <v>-0.24451182051379305</v>
      </c>
      <c r="I93" s="22">
        <f t="shared" si="105"/>
        <v>3.0078749184892395</v>
      </c>
      <c r="J93" s="22">
        <f t="shared" si="106"/>
        <v>2.8211369813431419</v>
      </c>
      <c r="L93" s="286" t="str">
        <f t="shared" si="93"/>
        <v xml:space="preserve"> 51 Skilled agricultural and related trades</v>
      </c>
      <c r="M93" s="22">
        <f t="shared" si="94"/>
        <v>-0.93874459388496589</v>
      </c>
      <c r="N93" s="22">
        <f t="shared" si="95"/>
        <v>10.265141095985664</v>
      </c>
      <c r="O93" s="22">
        <f t="shared" si="96"/>
        <v>-0.57953321308442662</v>
      </c>
      <c r="P93" s="22">
        <f t="shared" si="97"/>
        <v>-0.26578618296345669</v>
      </c>
      <c r="Q93" s="22">
        <f t="shared" si="107"/>
        <v>-0.42278326687466006</v>
      </c>
      <c r="S93" s="22">
        <f t="shared" si="108"/>
        <v>-0.42278326687466006</v>
      </c>
      <c r="T93" s="22">
        <f t="shared" si="109"/>
        <v>2.7739288723323652</v>
      </c>
      <c r="U93" s="22">
        <f t="shared" si="110"/>
        <v>2.4449479738110735</v>
      </c>
      <c r="W93" s="286" t="str">
        <f t="shared" si="98"/>
        <v xml:space="preserve"> 51 Skilled agricultural and related trades</v>
      </c>
      <c r="X93" s="22">
        <f t="shared" si="99"/>
        <v>7.1516692547450633</v>
      </c>
      <c r="Y93" s="22">
        <f t="shared" si="100"/>
        <v>8.6192454042744124</v>
      </c>
      <c r="Z93" s="22">
        <f t="shared" si="101"/>
        <v>0.68469068396330712</v>
      </c>
      <c r="AA93" s="22">
        <f t="shared" si="102"/>
        <v>6.4814758813125373E-2</v>
      </c>
      <c r="AB93" s="22">
        <f t="shared" si="111"/>
        <v>0.37427420579032589</v>
      </c>
      <c r="AD93" s="22">
        <f t="shared" si="112"/>
        <v>0.37427420579032589</v>
      </c>
      <c r="AE93" s="22">
        <f t="shared" si="113"/>
        <v>3.812276854589447</v>
      </c>
      <c r="AF93" s="22">
        <f t="shared" si="114"/>
        <v>4.080943710098528</v>
      </c>
    </row>
    <row r="94" spans="1:32" x14ac:dyDescent="0.2">
      <c r="A94" s="243" t="str">
        <f t="shared" si="91"/>
        <v xml:space="preserve"> 52 Skilled metal, electrical and electronic trades</v>
      </c>
      <c r="B94" s="22">
        <f t="shared" si="92"/>
        <v>-2.6389029438600775</v>
      </c>
      <c r="C94" s="22">
        <f t="shared" si="92"/>
        <v>1.3111390588939065</v>
      </c>
      <c r="D94" s="22">
        <f t="shared" si="92"/>
        <v>-1.5154855210430918</v>
      </c>
      <c r="E94" s="22">
        <f t="shared" si="92"/>
        <v>-1.116194382589708</v>
      </c>
      <c r="F94" s="22">
        <f t="shared" si="103"/>
        <v>-1.3160419011164493</v>
      </c>
      <c r="H94" s="22">
        <f t="shared" si="104"/>
        <v>-1.3160419011164493</v>
      </c>
      <c r="I94" s="22">
        <f t="shared" si="105"/>
        <v>2.167067303660275</v>
      </c>
      <c r="J94" s="22">
        <f t="shared" si="106"/>
        <v>1.0947681810419496</v>
      </c>
      <c r="L94" s="286" t="str">
        <f t="shared" si="93"/>
        <v xml:space="preserve"> 52 Skilled metal, electrical and electronic trades</v>
      </c>
      <c r="M94" s="22">
        <f t="shared" si="94"/>
        <v>-2.6288343674971348</v>
      </c>
      <c r="N94" s="22">
        <f t="shared" si="95"/>
        <v>1.3315118000455373</v>
      </c>
      <c r="O94" s="22">
        <f t="shared" si="96"/>
        <v>-1.5264598946920338</v>
      </c>
      <c r="P94" s="22">
        <f t="shared" si="97"/>
        <v>-1.1153316306200867</v>
      </c>
      <c r="Q94" s="22">
        <f t="shared" si="107"/>
        <v>-1.32110987413665</v>
      </c>
      <c r="S94" s="22">
        <f t="shared" si="108"/>
        <v>-1.32110987413665</v>
      </c>
      <c r="T94" s="22">
        <f t="shared" si="109"/>
        <v>2.1490549139954851</v>
      </c>
      <c r="U94" s="22">
        <f t="shared" si="110"/>
        <v>1.0708743083855499</v>
      </c>
      <c r="W94" s="286" t="str">
        <f t="shared" si="98"/>
        <v xml:space="preserve"> 52 Skilled metal, electrical and electronic trades</v>
      </c>
      <c r="X94" s="22">
        <f t="shared" si="99"/>
        <v>-3.1498125046819259</v>
      </c>
      <c r="Y94" s="22">
        <f t="shared" si="100"/>
        <v>0.23763090399862019</v>
      </c>
      <c r="Z94" s="22">
        <f t="shared" si="101"/>
        <v>-0.92525219916588242</v>
      </c>
      <c r="AA94" s="22">
        <f t="shared" si="102"/>
        <v>-1.161800525903911</v>
      </c>
      <c r="AB94" s="22">
        <f t="shared" si="111"/>
        <v>-1.0435970440284992</v>
      </c>
      <c r="AD94" s="22">
        <f t="shared" si="112"/>
        <v>-1.0435970440284992</v>
      </c>
      <c r="AE94" s="22">
        <f t="shared" si="113"/>
        <v>3.1070595005587398</v>
      </c>
      <c r="AF94" s="22">
        <f t="shared" si="114"/>
        <v>2.324686419880706</v>
      </c>
    </row>
    <row r="95" spans="1:32" x14ac:dyDescent="0.2">
      <c r="A95" s="243" t="str">
        <f t="shared" si="91"/>
        <v xml:space="preserve"> 53 Skilled construction and building trades</v>
      </c>
      <c r="B95" s="22">
        <f t="shared" si="92"/>
        <v>-4.9161723038229077</v>
      </c>
      <c r="C95" s="22">
        <f t="shared" si="92"/>
        <v>2.8482802510043204</v>
      </c>
      <c r="D95" s="22">
        <f t="shared" si="92"/>
        <v>0.2981756355851406</v>
      </c>
      <c r="E95" s="22">
        <f t="shared" si="92"/>
        <v>-0.20508696099885704</v>
      </c>
      <c r="F95" s="22">
        <f t="shared" si="103"/>
        <v>4.6227892528172276E-2</v>
      </c>
      <c r="H95" s="22">
        <f t="shared" si="104"/>
        <v>4.6227892528172276E-2</v>
      </c>
      <c r="I95" s="22">
        <f t="shared" si="105"/>
        <v>2.5418412423927395</v>
      </c>
      <c r="J95" s="22">
        <f t="shared" si="106"/>
        <v>2.5787385253097872</v>
      </c>
      <c r="L95" s="286" t="str">
        <f t="shared" si="93"/>
        <v xml:space="preserve"> 53 Skilled construction and building trades</v>
      </c>
      <c r="M95" s="22">
        <f t="shared" si="94"/>
        <v>-4.8648834048906746</v>
      </c>
      <c r="N95" s="22">
        <f t="shared" si="95"/>
        <v>2.6899908571617503</v>
      </c>
      <c r="O95" s="22">
        <f t="shared" si="96"/>
        <v>0.21451358126136633</v>
      </c>
      <c r="P95" s="22">
        <f t="shared" si="97"/>
        <v>-0.27204349467051525</v>
      </c>
      <c r="Q95" s="22">
        <f t="shared" si="107"/>
        <v>-2.9060964524374455E-2</v>
      </c>
      <c r="S95" s="22">
        <f t="shared" si="108"/>
        <v>-2.9060964524374455E-2</v>
      </c>
      <c r="T95" s="22">
        <f t="shared" si="109"/>
        <v>2.5141600796501296</v>
      </c>
      <c r="U95" s="22">
        <f t="shared" si="110"/>
        <v>2.490925740530936</v>
      </c>
      <c r="W95" s="286" t="str">
        <f t="shared" si="98"/>
        <v xml:space="preserve"> 53 Skilled construction and building trades</v>
      </c>
      <c r="X95" s="22">
        <f t="shared" si="99"/>
        <v>-7.5962773489228201</v>
      </c>
      <c r="Y95" s="22">
        <f t="shared" si="100"/>
        <v>10.596085203927297</v>
      </c>
      <c r="Z95" s="22">
        <f t="shared" si="101"/>
        <v>3.3913226015666487</v>
      </c>
      <c r="AA95" s="22">
        <f t="shared" si="102"/>
        <v>1.9528626796867732</v>
      </c>
      <c r="AB95" s="22">
        <f t="shared" si="111"/>
        <v>2.6695734649205605</v>
      </c>
      <c r="AD95" s="22">
        <f t="shared" si="112"/>
        <v>2.6695734649205605</v>
      </c>
      <c r="AE95" s="22">
        <f t="shared" si="113"/>
        <v>3.5820678951235863</v>
      </c>
      <c r="AF95" s="22">
        <f t="shared" si="114"/>
        <v>5.5928907054829891</v>
      </c>
    </row>
    <row r="96" spans="1:32" x14ac:dyDescent="0.2">
      <c r="A96" s="243" t="str">
        <f t="shared" si="91"/>
        <v xml:space="preserve"> 54 Textiles, printing and other skilled trades</v>
      </c>
      <c r="B96" s="22">
        <f t="shared" si="92"/>
        <v>1.0618207987162398</v>
      </c>
      <c r="C96" s="22">
        <f t="shared" si="92"/>
        <v>1.494619566547617</v>
      </c>
      <c r="D96" s="22">
        <f t="shared" si="92"/>
        <v>-1.2475938385258734</v>
      </c>
      <c r="E96" s="22">
        <f t="shared" si="92"/>
        <v>-1.6397345884231918</v>
      </c>
      <c r="F96" s="22">
        <f t="shared" si="103"/>
        <v>-1.4438592472573175</v>
      </c>
      <c r="H96" s="22">
        <f t="shared" si="104"/>
        <v>-1.4438592472573175</v>
      </c>
      <c r="I96" s="22">
        <f t="shared" si="105"/>
        <v>2.2886732111202068</v>
      </c>
      <c r="J96" s="22">
        <f t="shared" si="106"/>
        <v>1.12689671037145</v>
      </c>
      <c r="L96" s="286" t="str">
        <f t="shared" si="93"/>
        <v xml:space="preserve"> 54 Textiles, printing and other skilled trades</v>
      </c>
      <c r="M96" s="22">
        <f t="shared" si="94"/>
        <v>3.2110596637775712</v>
      </c>
      <c r="N96" s="22">
        <f t="shared" si="95"/>
        <v>0.22377520363972003</v>
      </c>
      <c r="O96" s="22">
        <f t="shared" si="96"/>
        <v>-1.5418522717763672</v>
      </c>
      <c r="P96" s="22">
        <f t="shared" si="97"/>
        <v>-2.0245547115238405</v>
      </c>
      <c r="Q96" s="22">
        <f t="shared" si="107"/>
        <v>-1.7835000320654992</v>
      </c>
      <c r="S96" s="22">
        <f t="shared" si="108"/>
        <v>-1.7835000320654992</v>
      </c>
      <c r="T96" s="22">
        <f t="shared" si="109"/>
        <v>1.8719385203429084</v>
      </c>
      <c r="U96" s="22">
        <f t="shared" si="110"/>
        <v>0.38409298704489281</v>
      </c>
      <c r="W96" s="286" t="str">
        <f t="shared" si="98"/>
        <v xml:space="preserve"> 54 Textiles, printing and other skilled trades</v>
      </c>
      <c r="X96" s="22">
        <f t="shared" si="99"/>
        <v>-4.0037979114381788</v>
      </c>
      <c r="Y96" s="22">
        <f t="shared" si="100"/>
        <v>4.8973055962282519</v>
      </c>
      <c r="Z96" s="22">
        <f t="shared" si="101"/>
        <v>-0.573127294447906</v>
      </c>
      <c r="AA96" s="22">
        <f t="shared" si="102"/>
        <v>-0.80418438097241696</v>
      </c>
      <c r="AB96" s="22">
        <f t="shared" si="111"/>
        <v>-0.6887230347103479</v>
      </c>
      <c r="AD96" s="22">
        <f t="shared" si="112"/>
        <v>-0.6887230347103479</v>
      </c>
      <c r="AE96" s="22">
        <f t="shared" si="113"/>
        <v>3.2071128062271637</v>
      </c>
      <c r="AF96" s="22">
        <f t="shared" si="114"/>
        <v>2.6931289289936711</v>
      </c>
    </row>
    <row r="97" spans="1:32" x14ac:dyDescent="0.2">
      <c r="A97" s="243" t="str">
        <f t="shared" si="91"/>
        <v xml:space="preserve"> 61 Caring personal service occupations</v>
      </c>
      <c r="B97" s="22">
        <f t="shared" si="92"/>
        <v>1.8637506614356703</v>
      </c>
      <c r="C97" s="22">
        <f t="shared" si="92"/>
        <v>4.2633473333986593</v>
      </c>
      <c r="D97" s="22">
        <f t="shared" si="92"/>
        <v>1.4606853372264972</v>
      </c>
      <c r="E97" s="22">
        <f t="shared" si="92"/>
        <v>1.6462665412242172</v>
      </c>
      <c r="F97" s="22">
        <f t="shared" si="103"/>
        <v>1.553433547285854</v>
      </c>
      <c r="H97" s="22">
        <f t="shared" si="104"/>
        <v>1.553433547285854</v>
      </c>
      <c r="I97" s="22">
        <f t="shared" si="105"/>
        <v>3.4383517588961299</v>
      </c>
      <c r="J97" s="22">
        <f t="shared" si="106"/>
        <v>4.6065997674689774</v>
      </c>
      <c r="L97" s="286" t="str">
        <f t="shared" si="93"/>
        <v xml:space="preserve"> 61 Caring personal service occupations</v>
      </c>
      <c r="M97" s="22">
        <f t="shared" si="94"/>
        <v>3.1991236848912807</v>
      </c>
      <c r="N97" s="22">
        <f t="shared" si="95"/>
        <v>4.2202610826464815</v>
      </c>
      <c r="O97" s="22">
        <f t="shared" si="96"/>
        <v>2.1656093732681514</v>
      </c>
      <c r="P97" s="22">
        <f t="shared" si="97"/>
        <v>2.2146801411157213</v>
      </c>
      <c r="Q97" s="22">
        <f t="shared" si="107"/>
        <v>2.190141811775459</v>
      </c>
      <c r="S97" s="22">
        <f t="shared" si="108"/>
        <v>2.190141811775459</v>
      </c>
      <c r="T97" s="22">
        <f t="shared" si="109"/>
        <v>2.8861912024196412</v>
      </c>
      <c r="U97" s="22">
        <f t="shared" si="110"/>
        <v>4.6210337682294877</v>
      </c>
      <c r="W97" s="286" t="str">
        <f t="shared" si="98"/>
        <v xml:space="preserve"> 61 Caring personal service occupations</v>
      </c>
      <c r="X97" s="22">
        <f t="shared" si="99"/>
        <v>1.6823173118651447</v>
      </c>
      <c r="Y97" s="22">
        <f t="shared" si="100"/>
        <v>4.2694604516223755</v>
      </c>
      <c r="Z97" s="22">
        <f t="shared" si="101"/>
        <v>1.3592113263943162</v>
      </c>
      <c r="AA97" s="22">
        <f t="shared" si="102"/>
        <v>1.5613947159463404</v>
      </c>
      <c r="AB97" s="22">
        <f t="shared" si="111"/>
        <v>1.4602526589449827</v>
      </c>
      <c r="AD97" s="22">
        <f t="shared" si="112"/>
        <v>1.4602526589449827</v>
      </c>
      <c r="AE97" s="22">
        <f t="shared" si="113"/>
        <v>3.5144766766057378</v>
      </c>
      <c r="AF97" s="22">
        <f t="shared" si="114"/>
        <v>4.6045533051791043</v>
      </c>
    </row>
    <row r="98" spans="1:32" x14ac:dyDescent="0.2">
      <c r="A98" s="243" t="str">
        <f t="shared" si="91"/>
        <v xml:space="preserve"> 62 Leisure, travel and related personal service occupations</v>
      </c>
      <c r="B98" s="22">
        <f t="shared" si="92"/>
        <v>0.92859372846720856</v>
      </c>
      <c r="C98" s="22">
        <f t="shared" si="92"/>
        <v>3.8348161059551078</v>
      </c>
      <c r="D98" s="22">
        <f t="shared" si="92"/>
        <v>-0.5148348810580905</v>
      </c>
      <c r="E98" s="22">
        <f t="shared" si="92"/>
        <v>-0.48113665462391486</v>
      </c>
      <c r="F98" s="22">
        <f t="shared" si="103"/>
        <v>-0.49798719440820038</v>
      </c>
      <c r="H98" s="22">
        <f t="shared" si="104"/>
        <v>-0.49798719440820038</v>
      </c>
      <c r="I98" s="22">
        <f t="shared" si="105"/>
        <v>2.8587606109006902</v>
      </c>
      <c r="J98" s="22">
        <f t="shared" si="106"/>
        <v>2.4745015038735829</v>
      </c>
      <c r="L98" s="286" t="str">
        <f t="shared" si="93"/>
        <v xml:space="preserve"> 62 Leisure, travel and related personal service occupations</v>
      </c>
      <c r="M98" s="22">
        <f t="shared" si="94"/>
        <v>-0.87588119858523772</v>
      </c>
      <c r="N98" s="22">
        <f t="shared" si="95"/>
        <v>-0.98137280069794386</v>
      </c>
      <c r="O98" s="22">
        <f t="shared" si="96"/>
        <v>0.10857584094072781</v>
      </c>
      <c r="P98" s="22">
        <f t="shared" si="97"/>
        <v>0.5770801776141754</v>
      </c>
      <c r="Q98" s="22">
        <f t="shared" si="107"/>
        <v>0.34255457591791938</v>
      </c>
      <c r="S98" s="22">
        <f t="shared" si="108"/>
        <v>0.34255457591791938</v>
      </c>
      <c r="T98" s="22">
        <f t="shared" si="109"/>
        <v>2.6472743754998085</v>
      </c>
      <c r="U98" s="22">
        <f t="shared" si="110"/>
        <v>2.9189983852127899</v>
      </c>
      <c r="W98" s="286" t="str">
        <f t="shared" si="98"/>
        <v xml:space="preserve"> 62 Leisure, travel and related personal service occupations</v>
      </c>
      <c r="X98" s="22">
        <f t="shared" si="99"/>
        <v>2.2209938521600137</v>
      </c>
      <c r="Y98" s="22">
        <f t="shared" si="100"/>
        <v>6.5548390296373604</v>
      </c>
      <c r="Z98" s="22">
        <f t="shared" si="101"/>
        <v>-0.80213576071217485</v>
      </c>
      <c r="AA98" s="22">
        <f t="shared" si="102"/>
        <v>-0.99848381187372937</v>
      </c>
      <c r="AB98" s="22">
        <f t="shared" si="111"/>
        <v>-0.90035841480855527</v>
      </c>
      <c r="AD98" s="22">
        <f t="shared" si="112"/>
        <v>-0.90035841480855527</v>
      </c>
      <c r="AE98" s="22">
        <f t="shared" si="113"/>
        <v>2.9531849594848447</v>
      </c>
      <c r="AF98" s="22">
        <f t="shared" si="114"/>
        <v>2.2675271720873358</v>
      </c>
    </row>
    <row r="99" spans="1:32" x14ac:dyDescent="0.2">
      <c r="A99" s="243" t="str">
        <f t="shared" si="91"/>
        <v xml:space="preserve"> 71 Sales occupations</v>
      </c>
      <c r="B99" s="22">
        <f t="shared" si="92"/>
        <v>-1.6376310805481409</v>
      </c>
      <c r="C99" s="22">
        <f t="shared" si="92"/>
        <v>-0.86635031357558123</v>
      </c>
      <c r="D99" s="22">
        <f t="shared" si="92"/>
        <v>-0.94971473734996037</v>
      </c>
      <c r="E99" s="22">
        <f t="shared" si="92"/>
        <v>-0.83949079024191464</v>
      </c>
      <c r="F99" s="22">
        <f t="shared" si="103"/>
        <v>-0.89461808753181771</v>
      </c>
      <c r="H99" s="22">
        <f t="shared" si="104"/>
        <v>-0.89461808753181771</v>
      </c>
      <c r="I99" s="22">
        <f t="shared" si="105"/>
        <v>2.7560330260208987</v>
      </c>
      <c r="J99" s="22">
        <f t="shared" si="106"/>
        <v>2.0624345985871706</v>
      </c>
      <c r="L99" s="286" t="str">
        <f t="shared" si="93"/>
        <v xml:space="preserve"> 71 Sales occupations</v>
      </c>
      <c r="M99" s="22">
        <f t="shared" si="94"/>
        <v>-2.7394604497316677</v>
      </c>
      <c r="N99" s="22">
        <f t="shared" si="95"/>
        <v>0.35874686574153269</v>
      </c>
      <c r="O99" s="22">
        <f t="shared" si="96"/>
        <v>-0.54931911990089288</v>
      </c>
      <c r="P99" s="22">
        <f t="shared" si="97"/>
        <v>-1.1984101351026899</v>
      </c>
      <c r="Q99" s="22">
        <f t="shared" si="107"/>
        <v>-0.87439592062837912</v>
      </c>
      <c r="S99" s="22">
        <f t="shared" si="108"/>
        <v>-0.87439592062837912</v>
      </c>
      <c r="T99" s="22">
        <f t="shared" si="109"/>
        <v>1.9432671508829102</v>
      </c>
      <c r="U99" s="22">
        <f t="shared" si="110"/>
        <v>1.2131190857683993</v>
      </c>
      <c r="W99" s="286" t="str">
        <f t="shared" si="98"/>
        <v xml:space="preserve"> 71 Sales occupations</v>
      </c>
      <c r="X99" s="22">
        <f t="shared" si="99"/>
        <v>-1.1777050772330933</v>
      </c>
      <c r="Y99" s="22">
        <f t="shared" si="100"/>
        <v>-1.3711281091898897</v>
      </c>
      <c r="Z99" s="22">
        <f t="shared" si="101"/>
        <v>-1.12553594091227</v>
      </c>
      <c r="AA99" s="22">
        <f t="shared" si="102"/>
        <v>-0.68077877267167519</v>
      </c>
      <c r="AB99" s="22">
        <f t="shared" si="111"/>
        <v>-0.90340687178969148</v>
      </c>
      <c r="AD99" s="22">
        <f t="shared" si="112"/>
        <v>-0.90340687178969148</v>
      </c>
      <c r="AE99" s="22">
        <f t="shared" si="113"/>
        <v>3.0915374740615009</v>
      </c>
      <c r="AF99" s="22">
        <f t="shared" si="114"/>
        <v>2.4121273107617025</v>
      </c>
    </row>
    <row r="100" spans="1:32" x14ac:dyDescent="0.2">
      <c r="A100" s="243" t="str">
        <f t="shared" si="91"/>
        <v xml:space="preserve"> 72 Customer service occupations</v>
      </c>
      <c r="B100" s="22">
        <f t="shared" si="92"/>
        <v>2.7190500088642544</v>
      </c>
      <c r="C100" s="22">
        <f t="shared" si="92"/>
        <v>3.1446274701967925</v>
      </c>
      <c r="D100" s="22">
        <f t="shared" si="92"/>
        <v>1.6521391865836677</v>
      </c>
      <c r="E100" s="22">
        <f t="shared" si="92"/>
        <v>1.4361906181805884</v>
      </c>
      <c r="F100" s="22">
        <f t="shared" si="103"/>
        <v>1.5441074965757196</v>
      </c>
      <c r="H100" s="22">
        <f t="shared" si="104"/>
        <v>1.5441074965757196</v>
      </c>
      <c r="I100" s="22">
        <f t="shared" si="105"/>
        <v>2.9384224988973529</v>
      </c>
      <c r="J100" s="22">
        <f t="shared" si="106"/>
        <v>4.1483654657802349</v>
      </c>
      <c r="L100" s="286" t="str">
        <f t="shared" si="93"/>
        <v xml:space="preserve"> 72 Customer service occupations</v>
      </c>
      <c r="M100" s="22">
        <f t="shared" si="94"/>
        <v>4.1095506679304172</v>
      </c>
      <c r="N100" s="22">
        <f t="shared" si="95"/>
        <v>3.0707037111464608</v>
      </c>
      <c r="O100" s="22">
        <f t="shared" si="96"/>
        <v>2.1083436002635958</v>
      </c>
      <c r="P100" s="22">
        <f t="shared" si="97"/>
        <v>1.5649168047536133</v>
      </c>
      <c r="Q100" s="22">
        <f t="shared" si="107"/>
        <v>1.8362677184899923</v>
      </c>
      <c r="S100" s="22">
        <f t="shared" si="108"/>
        <v>1.8362677184899923</v>
      </c>
      <c r="T100" s="22">
        <f t="shared" si="109"/>
        <v>2.3294305455525244</v>
      </c>
      <c r="U100" s="22">
        <f t="shared" si="110"/>
        <v>3.846273713601378</v>
      </c>
      <c r="W100" s="286" t="str">
        <f t="shared" si="98"/>
        <v xml:space="preserve"> 72 Customer service occupations</v>
      </c>
      <c r="X100" s="22">
        <f t="shared" si="99"/>
        <v>1.7862673135652818</v>
      </c>
      <c r="Y100" s="22">
        <f t="shared" si="100"/>
        <v>3.1975556391305116</v>
      </c>
      <c r="Z100" s="22">
        <f t="shared" si="101"/>
        <v>1.3216312366237437</v>
      </c>
      <c r="AA100" s="22">
        <f t="shared" si="102"/>
        <v>1.3403199828720291</v>
      </c>
      <c r="AB100" s="22">
        <f t="shared" si="111"/>
        <v>1.3309751788958657</v>
      </c>
      <c r="AD100" s="22">
        <f t="shared" si="112"/>
        <v>1.3309751788958657</v>
      </c>
      <c r="AE100" s="22">
        <f t="shared" si="113"/>
        <v>3.3538341011751571</v>
      </c>
      <c r="AF100" s="22">
        <f t="shared" si="114"/>
        <v>4.3591403126061357</v>
      </c>
    </row>
    <row r="101" spans="1:32" x14ac:dyDescent="0.2">
      <c r="A101" s="243" t="str">
        <f t="shared" si="91"/>
        <v xml:space="preserve"> 81 Process, plant and machine operatives</v>
      </c>
      <c r="B101" s="22">
        <f t="shared" si="92"/>
        <v>-1.8106146106751431</v>
      </c>
      <c r="C101" s="22">
        <f t="shared" si="92"/>
        <v>2.8173244176477041E-2</v>
      </c>
      <c r="D101" s="22">
        <f t="shared" si="92"/>
        <v>-2.0035636042416316</v>
      </c>
      <c r="E101" s="22">
        <f t="shared" si="92"/>
        <v>-1.2892961507413814</v>
      </c>
      <c r="F101" s="22">
        <f t="shared" si="103"/>
        <v>-1.6470782775396486</v>
      </c>
      <c r="H101" s="22">
        <f t="shared" si="104"/>
        <v>-1.6470782775396486</v>
      </c>
      <c r="I101" s="22">
        <f t="shared" si="105"/>
        <v>2.1893870568197471</v>
      </c>
      <c r="J101" s="22">
        <f t="shared" si="106"/>
        <v>0.85436325583641004</v>
      </c>
      <c r="L101" s="286" t="str">
        <f t="shared" si="93"/>
        <v xml:space="preserve"> 81 Process, plant and machine operatives</v>
      </c>
      <c r="M101" s="22">
        <f t="shared" si="94"/>
        <v>-1.6028313235962655</v>
      </c>
      <c r="N101" s="22">
        <f t="shared" si="95"/>
        <v>0.38120887338415343</v>
      </c>
      <c r="O101" s="22">
        <f t="shared" si="96"/>
        <v>-1.5772094055711672</v>
      </c>
      <c r="P101" s="22">
        <f t="shared" si="97"/>
        <v>-0.93491787883909216</v>
      </c>
      <c r="Q101" s="22">
        <f t="shared" si="107"/>
        <v>-1.2565858761663162</v>
      </c>
      <c r="S101" s="22">
        <f t="shared" si="108"/>
        <v>-1.2565858761663162</v>
      </c>
      <c r="T101" s="22">
        <f t="shared" si="109"/>
        <v>2.1102204258612201</v>
      </c>
      <c r="U101" s="22">
        <f t="shared" si="110"/>
        <v>1.0803827997017068</v>
      </c>
      <c r="W101" s="286" t="str">
        <f t="shared" si="98"/>
        <v xml:space="preserve"> 81 Process, plant and machine operatives</v>
      </c>
      <c r="X101" s="22">
        <f t="shared" si="99"/>
        <v>-2.5256143799277653</v>
      </c>
      <c r="Y101" s="22">
        <f t="shared" si="100"/>
        <v>-1.2633172035099061</v>
      </c>
      <c r="Z101" s="22">
        <f t="shared" si="101"/>
        <v>-3.7158966199717258</v>
      </c>
      <c r="AA101" s="22">
        <f t="shared" si="102"/>
        <v>-2.8707940036829305</v>
      </c>
      <c r="AB101" s="22">
        <f t="shared" si="111"/>
        <v>-3.2942684668098132</v>
      </c>
      <c r="AD101" s="22">
        <f t="shared" si="112"/>
        <v>-3.2942684668098132</v>
      </c>
      <c r="AE101" s="22">
        <f t="shared" si="113"/>
        <v>2.4887232826538153</v>
      </c>
      <c r="AF101" s="22">
        <f t="shared" si="114"/>
        <v>-5.9832805541071288E-2</v>
      </c>
    </row>
    <row r="102" spans="1:32" x14ac:dyDescent="0.2">
      <c r="A102" s="243" t="str">
        <f t="shared" si="91"/>
        <v xml:space="preserve"> 82 Transport and mobile machine drivers and operatives</v>
      </c>
      <c r="B102" s="22">
        <f t="shared" si="92"/>
        <v>-3.2423526110824885</v>
      </c>
      <c r="C102" s="22">
        <f t="shared" si="92"/>
        <v>-1.5606484593267855</v>
      </c>
      <c r="D102" s="22">
        <f t="shared" si="92"/>
        <v>0.29235060900238974</v>
      </c>
      <c r="E102" s="22">
        <f t="shared" si="92"/>
        <v>0.3451143208742069</v>
      </c>
      <c r="F102" s="22">
        <f t="shared" si="103"/>
        <v>0.31872899598330839</v>
      </c>
      <c r="H102" s="22">
        <f t="shared" si="104"/>
        <v>0.31872899598330839</v>
      </c>
      <c r="I102" s="22">
        <f t="shared" si="105"/>
        <v>3.1606852543183184</v>
      </c>
      <c r="J102" s="22">
        <f t="shared" si="106"/>
        <v>3.4024793682623455</v>
      </c>
      <c r="L102" s="286" t="str">
        <f t="shared" si="93"/>
        <v xml:space="preserve"> 82 Transport and mobile machine drivers and operatives</v>
      </c>
      <c r="M102" s="22">
        <f t="shared" si="94"/>
        <v>-3.5089080055610955</v>
      </c>
      <c r="N102" s="22">
        <f t="shared" si="95"/>
        <v>-1.6891781270263917</v>
      </c>
      <c r="O102" s="22">
        <f t="shared" si="96"/>
        <v>0.20025191274266607</v>
      </c>
      <c r="P102" s="22">
        <f t="shared" si="97"/>
        <v>0.28635778869250395</v>
      </c>
      <c r="Q102" s="22">
        <f t="shared" si="107"/>
        <v>0.24329560543403517</v>
      </c>
      <c r="S102" s="22">
        <f t="shared" si="108"/>
        <v>0.24329560543403517</v>
      </c>
      <c r="T102" s="22">
        <f t="shared" si="109"/>
        <v>3.1241885585363116</v>
      </c>
      <c r="U102" s="22">
        <f t="shared" si="110"/>
        <v>3.3091753099316668</v>
      </c>
      <c r="W102" s="286" t="str">
        <f t="shared" si="98"/>
        <v xml:space="preserve"> 82 Transport and mobile machine drivers and operatives</v>
      </c>
      <c r="X102" s="22">
        <f t="shared" si="99"/>
        <v>4.8855567490379226</v>
      </c>
      <c r="Y102" s="22">
        <f t="shared" si="100"/>
        <v>1.328089176339553</v>
      </c>
      <c r="Z102" s="22">
        <f t="shared" si="101"/>
        <v>2.1135832844434876</v>
      </c>
      <c r="AA102" s="22">
        <f t="shared" si="102"/>
        <v>1.4187633375547737</v>
      </c>
      <c r="AB102" s="22">
        <f t="shared" si="111"/>
        <v>1.7655803141448212</v>
      </c>
      <c r="AD102" s="22">
        <f t="shared" si="112"/>
        <v>1.7655803141448212</v>
      </c>
      <c r="AE102" s="22">
        <f t="shared" si="113"/>
        <v>3.8858977142751217</v>
      </c>
      <c r="AF102" s="22">
        <f t="shared" si="114"/>
        <v>5.1693062490473229</v>
      </c>
    </row>
    <row r="103" spans="1:32" x14ac:dyDescent="0.2">
      <c r="A103" s="243" t="str">
        <f t="shared" si="91"/>
        <v xml:space="preserve"> 91 Elementary trades and related occupations</v>
      </c>
      <c r="B103" s="22">
        <f t="shared" si="92"/>
        <v>-2.3705783237160993</v>
      </c>
      <c r="C103" s="22">
        <f t="shared" si="92"/>
        <v>1.335801160058625</v>
      </c>
      <c r="D103" s="22">
        <f t="shared" si="92"/>
        <v>-0.12228098808042542</v>
      </c>
      <c r="E103" s="22">
        <f t="shared" si="92"/>
        <v>0.15753679066707882</v>
      </c>
      <c r="F103" s="22">
        <f t="shared" si="103"/>
        <v>1.7530046008640277E-2</v>
      </c>
      <c r="H103" s="22">
        <f t="shared" si="104"/>
        <v>1.7530046008640277E-2</v>
      </c>
      <c r="I103" s="22">
        <f t="shared" si="105"/>
        <v>2.5152217119728038</v>
      </c>
      <c r="J103" s="22">
        <f t="shared" si="106"/>
        <v>2.5292422015536165</v>
      </c>
      <c r="L103" s="286" t="str">
        <f t="shared" si="93"/>
        <v xml:space="preserve"> 91 Elementary trades and related occupations</v>
      </c>
      <c r="M103" s="22">
        <f t="shared" si="94"/>
        <v>-3.0701627728795367</v>
      </c>
      <c r="N103" s="22">
        <f t="shared" si="95"/>
        <v>0.76425017686159169</v>
      </c>
      <c r="O103" s="22">
        <f t="shared" si="96"/>
        <v>-0.78344741518243666</v>
      </c>
      <c r="P103" s="22">
        <f t="shared" si="97"/>
        <v>-0.38992492156169067</v>
      </c>
      <c r="Q103" s="22">
        <f t="shared" si="107"/>
        <v>-0.58688088588357834</v>
      </c>
      <c r="S103" s="22">
        <f t="shared" si="108"/>
        <v>-0.58688088588357834</v>
      </c>
      <c r="T103" s="22">
        <f t="shared" si="109"/>
        <v>2.028765881198713</v>
      </c>
      <c r="U103" s="22">
        <f t="shared" si="110"/>
        <v>1.5413237636889177</v>
      </c>
      <c r="W103" s="286" t="str">
        <f t="shared" si="98"/>
        <v xml:space="preserve"> 91 Elementary trades and related occupations</v>
      </c>
      <c r="X103" s="22">
        <f t="shared" si="99"/>
        <v>0.68642047493003844</v>
      </c>
      <c r="Y103" s="22">
        <f t="shared" si="100"/>
        <v>3.4509115569362425</v>
      </c>
      <c r="Z103" s="22">
        <f t="shared" si="101"/>
        <v>2.0163208368999319</v>
      </c>
      <c r="AA103" s="22">
        <f t="shared" si="102"/>
        <v>1.719948004362748</v>
      </c>
      <c r="AB103" s="22">
        <f t="shared" si="111"/>
        <v>1.8680266380273425</v>
      </c>
      <c r="AD103" s="22">
        <f t="shared" si="112"/>
        <v>1.8680266380273425</v>
      </c>
      <c r="AE103" s="22">
        <f t="shared" si="113"/>
        <v>4.0383667905925069</v>
      </c>
      <c r="AF103" s="22">
        <f t="shared" si="114"/>
        <v>5.3813325882777097</v>
      </c>
    </row>
    <row r="104" spans="1:32" x14ac:dyDescent="0.2">
      <c r="A104" s="243" t="str">
        <f t="shared" si="91"/>
        <v xml:space="preserve"> 92 Elementary administration and service occupations</v>
      </c>
      <c r="B104" s="22">
        <f t="shared" si="92"/>
        <v>-3.7550720608410137</v>
      </c>
      <c r="C104" s="22">
        <f t="shared" si="92"/>
        <v>1.4122312291858119</v>
      </c>
      <c r="D104" s="22">
        <f t="shared" si="92"/>
        <v>3.1618129102084502E-2</v>
      </c>
      <c r="E104" s="22">
        <f t="shared" si="92"/>
        <v>-0.15245862762576223</v>
      </c>
      <c r="F104" s="22">
        <f t="shared" si="103"/>
        <v>-6.0462630192947842E-2</v>
      </c>
      <c r="H104" s="22">
        <f t="shared" si="104"/>
        <v>-6.0462630192947842E-2</v>
      </c>
      <c r="I104" s="22">
        <f t="shared" si="105"/>
        <v>2.8370851309513778</v>
      </c>
      <c r="J104" s="22">
        <f t="shared" si="106"/>
        <v>2.7901119051027434</v>
      </c>
      <c r="L104" s="286" t="str">
        <f t="shared" si="93"/>
        <v xml:space="preserve"> 92 Elementary administration and service occupations</v>
      </c>
      <c r="M104" s="22">
        <f t="shared" si="94"/>
        <v>-1.2996811774278805</v>
      </c>
      <c r="N104" s="22">
        <f t="shared" si="95"/>
        <v>2.2546522493739118</v>
      </c>
      <c r="O104" s="22">
        <f t="shared" si="96"/>
        <v>0.92415730419439512</v>
      </c>
      <c r="P104" s="22">
        <f t="shared" si="97"/>
        <v>0.77716285047340072</v>
      </c>
      <c r="Q104" s="22">
        <f t="shared" si="107"/>
        <v>0.8506332959371754</v>
      </c>
      <c r="S104" s="22">
        <f t="shared" si="108"/>
        <v>0.8506332959371754</v>
      </c>
      <c r="T104" s="22">
        <f t="shared" si="109"/>
        <v>2.500923704235869</v>
      </c>
      <c r="U104" s="22">
        <f t="shared" si="110"/>
        <v>3.1875908092590111</v>
      </c>
      <c r="W104" s="286" t="str">
        <f t="shared" si="98"/>
        <v xml:space="preserve"> 92 Elementary administration and service occupations</v>
      </c>
      <c r="X104" s="22">
        <f t="shared" si="99"/>
        <v>-5.6635418685819561</v>
      </c>
      <c r="Y104" s="22">
        <f t="shared" si="100"/>
        <v>0.63820794401985292</v>
      </c>
      <c r="Z104" s="22">
        <f t="shared" si="101"/>
        <v>-0.85983579095636475</v>
      </c>
      <c r="AA104" s="22">
        <f t="shared" si="102"/>
        <v>-1.1709597957675899</v>
      </c>
      <c r="AB104" s="22">
        <f t="shared" si="111"/>
        <v>-1.0155200323314517</v>
      </c>
      <c r="AD104" s="22">
        <f t="shared" si="112"/>
        <v>-1.0155200323314517</v>
      </c>
      <c r="AE104" s="22">
        <f t="shared" si="113"/>
        <v>3.1519741701866888</v>
      </c>
      <c r="AF104" s="22">
        <f t="shared" si="114"/>
        <v>2.3934746509396421</v>
      </c>
    </row>
    <row r="105" spans="1:32" x14ac:dyDescent="0.2">
      <c r="C105" s="22"/>
      <c r="F105" s="22"/>
      <c r="H105" s="22"/>
      <c r="I105" s="22"/>
      <c r="J105" s="22"/>
      <c r="N105" s="22"/>
      <c r="Q105" s="22"/>
      <c r="S105" s="22"/>
      <c r="T105" s="22"/>
      <c r="U105" s="22"/>
      <c r="Y105" s="22"/>
      <c r="AB105" s="22"/>
      <c r="AD105" s="22"/>
      <c r="AE105" s="22"/>
      <c r="AF105" s="22"/>
    </row>
    <row r="106" spans="1:32" x14ac:dyDescent="0.2">
      <c r="A106" s="28" t="str">
        <f>A34</f>
        <v>All occupations</v>
      </c>
      <c r="B106" s="30">
        <f>IF(AND(C$6-B$6 &lt;&gt; 0,B34&lt;&gt;0,C34&lt;&gt;0),(EXP(LN(C34/B34)/(C$6-B$6))-1)*100,0)</f>
        <v>-0.73595101326741075</v>
      </c>
      <c r="C106" s="30">
        <f>IF(AND(D$6-C$6 &lt;&gt; 0,C34&lt;&gt;0,D34&lt;&gt;0),(EXP(LN(D34/C34)/(D$6-C$6))-1)*100,0)</f>
        <v>2.4123919723173071</v>
      </c>
      <c r="D106" s="30">
        <f>IF(AND(E$6-D$6 &lt;&gt; 0,D34&lt;&gt;0,E34&lt;&gt;0),(EXP(LN(E34/D34)/(E$6-D$6))-1)*100,0)</f>
        <v>0.21514536510911508</v>
      </c>
      <c r="E106" s="30">
        <f>IF(AND(F$6-E$6 &lt;&gt; 0,E34&lt;&gt;0,F34&lt;&gt;0),(EXP(LN(F34/E34)/(F$6-E$6))-1)*100,0)</f>
        <v>0.29427525578473723</v>
      </c>
      <c r="F106" s="30">
        <f t="shared" si="103"/>
        <v>0.25470250340746681</v>
      </c>
      <c r="H106" s="30">
        <f t="shared" si="104"/>
        <v>0.25470250340746681</v>
      </c>
      <c r="I106" s="30">
        <f t="shared" si="105"/>
        <v>2.8859970074204266</v>
      </c>
      <c r="J106" s="30">
        <f t="shared" si="106"/>
        <v>3.0837172129732249</v>
      </c>
      <c r="L106" s="28" t="str">
        <f>L34</f>
        <v>All occupations</v>
      </c>
      <c r="M106" s="30">
        <f>IF(AND(N$6-M$6 &lt;&gt; 0,M34&lt;&gt;0,N34&lt;&gt;0),(EXP(LN(N34/M34)/(N$6-M$6))-1)*100,0)</f>
        <v>-0.88266012633906321</v>
      </c>
      <c r="N106" s="30">
        <f>IF(AND(O$6-N$6 &lt;&gt; 0,N34&lt;&gt;0,O34&lt;&gt;0),(EXP(LN(O34/N34)/(O$6-N$6))-1)*100,0)</f>
        <v>1.7740526871361517</v>
      </c>
      <c r="O106" s="30">
        <f>IF(AND(P$6-O$6 &lt;&gt; 0,O34&lt;&gt;0,P34&lt;&gt;0),(EXP(LN(P34/O34)/(P$6-O$6))-1)*100,0)</f>
        <v>-1.4962234621807013E-2</v>
      </c>
      <c r="P106" s="30">
        <f>IF(AND(Q$6-P$6 &lt;&gt; 0,P34&lt;&gt;0,Q34&lt;&gt;0),(EXP(LN(Q34/P34)/(Q$6-P$6))-1)*100,0)</f>
        <v>6.5238607615070165E-2</v>
      </c>
      <c r="Q106" s="30">
        <f t="shared" ref="Q106" si="115">IF(AND(Q$6-O$6 &lt;&gt; 0,O34&lt;&gt;0,Q34&lt;&gt;0),(EXP(LN(Q34/O34)/(Q$6-O$6))-1)*100,0)</f>
        <v>2.5130148298102561E-2</v>
      </c>
      <c r="S106" s="30">
        <f t="shared" si="108"/>
        <v>2.5130148298102561E-2</v>
      </c>
      <c r="T106" s="30">
        <f t="shared" ref="T106" si="116">IF(O34&gt;0,((1+(T34/O34))^(1/($F$6-$D$6))-1)*100,0)</f>
        <v>2.4283134864162115</v>
      </c>
      <c r="U106" s="30">
        <f t="shared" si="110"/>
        <v>2.4485678940073141</v>
      </c>
      <c r="W106" s="28" t="str">
        <f>W34</f>
        <v>All occupations</v>
      </c>
      <c r="X106" s="30">
        <f>IF(AND(Y$6-X$6 &lt;&gt; 0,X34&lt;&gt;0,Y34&lt;&gt;0),(EXP(LN(Y34/X34)/(Y$6-X$6))-1)*100,0)</f>
        <v>-0.5753098094298803</v>
      </c>
      <c r="Y106" s="30">
        <f>IF(AND(Z$6-Y$6 &lt;&gt; 0,Y34&lt;&gt;0,Z34&lt;&gt;0),(EXP(LN(Z34/Y34)/(Z$6-Y$6))-1)*100,0)</f>
        <v>3.0873540624387408</v>
      </c>
      <c r="Z106" s="30">
        <f>IF(AND(AA$6-Z$6 &lt;&gt; 0,Z34&lt;&gt;0,AA34&lt;&gt;0),(EXP(LN(AA34/Z34)/(AA$6-Z$6))-1)*100,0)</f>
        <v>0.44712536211899412</v>
      </c>
      <c r="AA106" s="30">
        <f>IF(AND(AB$6-AA$6 &lt;&gt; 0,AA34&lt;&gt;0,AB34&lt;&gt;0),(EXP(LN(AB34/AA34)/(AB$6-AA$6))-1)*100,0)</f>
        <v>0.51994800838053301</v>
      </c>
      <c r="AB106" s="30">
        <f t="shared" ref="AB106" si="117">IF(AND(AB$6-Z$6 &lt;&gt; 0,Z34&lt;&gt;0,AB34&lt;&gt;0),(EXP(LN(AB34/Z34)/(AB$6-Z$6))-1)*100,0)</f>
        <v>0.48353008822632493</v>
      </c>
      <c r="AD106" s="30">
        <f t="shared" si="112"/>
        <v>0.48353008822632493</v>
      </c>
      <c r="AE106" s="30">
        <f t="shared" ref="AE106" si="118">IF(Z34&gt;0,((1+(AE34/Z34))^(1/($F$6-$D$6))-1)*100,0)</f>
        <v>3.3336018410541568</v>
      </c>
      <c r="AF106" s="30">
        <f t="shared" si="114"/>
        <v>3.6957275032019066</v>
      </c>
    </row>
    <row r="109" spans="1:32" ht="15.75" x14ac:dyDescent="0.25">
      <c r="A109" s="23" t="str">
        <f>CONCATENATE(A$1," (Continued)")</f>
        <v>Occupation Table 2  Employment Change by Occupation (SOC 2010) and Replacement Demand, 2007-2027 (Continued)</v>
      </c>
      <c r="L109" s="23" t="str">
        <f>CONCATENATE(L$1," (Continued)")</f>
        <v>Occupation Table 2.1  Males: Employment Change by Occupation (SOC 2010) and Replacement Demand, 2007-2027 (Continued)</v>
      </c>
      <c r="W109" s="23" t="str">
        <f>CONCATENATE(W$1," (Continued)")</f>
        <v>Occupation Table 2.2  Females: Employment Change by Occupation (SOC 2010) and Replacement Demand, 2007-2027 (Continued)</v>
      </c>
    </row>
    <row r="111" spans="1:32" x14ac:dyDescent="0.2">
      <c r="F111" s="19" t="s">
        <v>35</v>
      </c>
      <c r="Q111" s="19" t="s">
        <v>35</v>
      </c>
      <c r="AB111" s="19" t="s">
        <v>35</v>
      </c>
    </row>
    <row r="112" spans="1:32" x14ac:dyDescent="0.2">
      <c r="A112" s="41"/>
      <c r="B112" s="41"/>
      <c r="C112" s="41"/>
      <c r="D112" s="41"/>
      <c r="E112" s="41"/>
      <c r="F112" s="41"/>
      <c r="L112" s="41"/>
      <c r="M112" s="41"/>
      <c r="N112" s="41"/>
      <c r="O112" s="41"/>
      <c r="P112" s="41"/>
      <c r="Q112" s="41"/>
      <c r="W112" s="41"/>
      <c r="X112" s="41"/>
      <c r="Y112" s="41"/>
      <c r="Z112" s="41"/>
      <c r="AA112" s="41"/>
      <c r="AB112" s="41"/>
    </row>
    <row r="113" spans="1:28" x14ac:dyDescent="0.2">
      <c r="A113" s="2"/>
      <c r="B113" s="2"/>
      <c r="C113" s="2"/>
      <c r="D113" s="2"/>
      <c r="E113" s="2"/>
      <c r="F113" s="2"/>
      <c r="L113" s="2"/>
      <c r="M113" s="2"/>
      <c r="N113" s="2"/>
      <c r="O113" s="2"/>
      <c r="P113" s="2"/>
      <c r="Q113" s="2"/>
      <c r="W113" s="2"/>
      <c r="X113" s="2"/>
      <c r="Y113" s="2"/>
      <c r="Z113" s="2"/>
      <c r="AA113" s="2"/>
      <c r="AB113" s="2"/>
    </row>
    <row r="114" spans="1:28" x14ac:dyDescent="0.2">
      <c r="A114" s="50" t="s">
        <v>15</v>
      </c>
      <c r="B114" s="76" t="str">
        <f>CONCATENATE(B$6,"-",C$6)</f>
        <v>2007-2012</v>
      </c>
      <c r="C114" s="76" t="str">
        <f>CONCATENATE(C$6,"-",D$6)</f>
        <v>2012-2017</v>
      </c>
      <c r="D114" s="76" t="str">
        <f>CONCATENATE(D$6,"-",E$6)</f>
        <v>2017-2022</v>
      </c>
      <c r="E114" s="76" t="str">
        <f>CONCATENATE(E$6,"-",F$6)</f>
        <v>2022-2027</v>
      </c>
      <c r="F114" s="76" t="str">
        <f>CONCATENATE(D$6,"-",F$6)</f>
        <v>2017-2027</v>
      </c>
      <c r="L114" s="50" t="s">
        <v>15</v>
      </c>
      <c r="M114" s="76" t="str">
        <f>CONCATENATE(M$6,"-",N$6)</f>
        <v>2007-2012</v>
      </c>
      <c r="N114" s="76" t="str">
        <f>CONCATENATE(N$6,"-",O$6)</f>
        <v>2012-2017</v>
      </c>
      <c r="O114" s="76" t="str">
        <f>CONCATENATE(O$6,"-",P$6)</f>
        <v>2017-2022</v>
      </c>
      <c r="P114" s="76" t="str">
        <f>CONCATENATE(P$6,"-",Q$6)</f>
        <v>2022-2027</v>
      </c>
      <c r="Q114" s="76" t="str">
        <f>CONCATENATE(O$6,"-",Q$6)</f>
        <v>2017-2027</v>
      </c>
      <c r="W114" s="50" t="s">
        <v>15</v>
      </c>
      <c r="X114" s="76" t="str">
        <f>CONCATENATE(X$6,"-",Y$6)</f>
        <v>2007-2012</v>
      </c>
      <c r="Y114" s="76" t="str">
        <f>CONCATENATE(Y$6,"-",Z$6)</f>
        <v>2012-2017</v>
      </c>
      <c r="Z114" s="76" t="str">
        <f>CONCATENATE(Z$6,"-",AA$6)</f>
        <v>2017-2022</v>
      </c>
      <c r="AA114" s="76" t="str">
        <f>CONCATENATE(AA$6,"-",AB$6)</f>
        <v>2022-2027</v>
      </c>
      <c r="AB114" s="76" t="str">
        <f>CONCATENATE(Z$6,"-",AB$6)</f>
        <v>2017-2027</v>
      </c>
    </row>
    <row r="115" spans="1:28" x14ac:dyDescent="0.2">
      <c r="B115" s="77"/>
      <c r="C115" s="77"/>
      <c r="D115" s="77"/>
      <c r="E115" s="77"/>
      <c r="F115" s="77"/>
      <c r="M115" s="77"/>
      <c r="N115" s="77"/>
      <c r="O115" s="77"/>
      <c r="P115" s="77"/>
      <c r="Q115" s="77"/>
      <c r="X115" s="77"/>
      <c r="Y115" s="77"/>
      <c r="Z115" s="77"/>
      <c r="AA115" s="77"/>
      <c r="AB115" s="77"/>
    </row>
    <row r="116" spans="1:28" x14ac:dyDescent="0.2">
      <c r="A116" s="217" t="str">
        <f t="shared" ref="A116:A140" si="119">A8</f>
        <v xml:space="preserve"> 11 Corporate managers and directors</v>
      </c>
      <c r="B116" s="31">
        <f t="shared" ref="B116:E140" si="120">C8-B8</f>
        <v>1.1406422745404257</v>
      </c>
      <c r="C116" s="31">
        <f t="shared" si="120"/>
        <v>11.895574687400057</v>
      </c>
      <c r="D116" s="31">
        <f t="shared" si="120"/>
        <v>5.777512614101326</v>
      </c>
      <c r="E116" s="31">
        <f t="shared" si="120"/>
        <v>5.1828186794986806</v>
      </c>
      <c r="F116" s="31">
        <f>F8-D8</f>
        <v>10.960331293600007</v>
      </c>
      <c r="L116" s="286" t="str">
        <f t="shared" ref="L116:L140" si="121">L8</f>
        <v xml:space="preserve"> 11 Corporate managers and directors</v>
      </c>
      <c r="M116" s="31">
        <f t="shared" ref="M116:M140" si="122">N8-M8</f>
        <v>-1.0023802085781668</v>
      </c>
      <c r="N116" s="31">
        <f t="shared" ref="N116:N140" si="123">O8-N8</f>
        <v>5.2038605775758882</v>
      </c>
      <c r="O116" s="31">
        <f t="shared" ref="O116:O140" si="124">P8-O8</f>
        <v>2.0928293704016809</v>
      </c>
      <c r="P116" s="31">
        <f t="shared" ref="P116:P140" si="125">Q8-P8</f>
        <v>1.5721269222219334</v>
      </c>
      <c r="Q116" s="31">
        <f>Q8-O8</f>
        <v>3.6649562926236143</v>
      </c>
      <c r="W116" s="286" t="str">
        <f t="shared" ref="W116:W140" si="126">W8</f>
        <v xml:space="preserve"> 11 Corporate managers and directors</v>
      </c>
      <c r="X116" s="31">
        <f t="shared" ref="X116:X140" si="127">Y8-X8</f>
        <v>2.1430224831184503</v>
      </c>
      <c r="Y116" s="31">
        <f t="shared" ref="Y116:Y140" si="128">Z8-Y8</f>
        <v>6.6917141098241331</v>
      </c>
      <c r="Z116" s="31">
        <f t="shared" ref="Z116:Z140" si="129">AA8-Z8</f>
        <v>3.6846832436995882</v>
      </c>
      <c r="AA116" s="31">
        <f t="shared" ref="AA116:AA140" si="130">AB8-AA8</f>
        <v>3.6106917572772659</v>
      </c>
      <c r="AB116" s="31">
        <f>AB8-Z8</f>
        <v>7.2953750009768541</v>
      </c>
    </row>
    <row r="117" spans="1:28" x14ac:dyDescent="0.2">
      <c r="A117" s="243" t="str">
        <f t="shared" si="119"/>
        <v xml:space="preserve"> 12 Other managers and proprietors</v>
      </c>
      <c r="B117" s="31">
        <f t="shared" si="120"/>
        <v>4.5617759629328347</v>
      </c>
      <c r="C117" s="31">
        <f t="shared" si="120"/>
        <v>7.4257368543184086</v>
      </c>
      <c r="D117" s="31">
        <f t="shared" si="120"/>
        <v>2.333175922748282</v>
      </c>
      <c r="E117" s="31">
        <f t="shared" si="120"/>
        <v>2.0353277768319273</v>
      </c>
      <c r="F117" s="31">
        <f t="shared" ref="F117:F142" si="131">F9-D9</f>
        <v>4.3685036995802093</v>
      </c>
      <c r="L117" s="286" t="str">
        <f t="shared" si="121"/>
        <v xml:space="preserve"> 12 Other managers and proprietors</v>
      </c>
      <c r="M117" s="31">
        <f t="shared" si="122"/>
        <v>3.5636299518331178</v>
      </c>
      <c r="N117" s="31">
        <f t="shared" si="123"/>
        <v>0.59611907935100206</v>
      </c>
      <c r="O117" s="31">
        <f t="shared" si="124"/>
        <v>0.70594658135353683</v>
      </c>
      <c r="P117" s="31">
        <f t="shared" si="125"/>
        <v>0.66422606431246223</v>
      </c>
      <c r="Q117" s="31">
        <f t="shared" ref="Q117:Q140" si="132">Q9-O9</f>
        <v>1.3701726456659991</v>
      </c>
      <c r="W117" s="286" t="str">
        <f t="shared" si="126"/>
        <v xml:space="preserve"> 12 Other managers and proprietors</v>
      </c>
      <c r="X117" s="31">
        <f t="shared" si="127"/>
        <v>0.99814601109970091</v>
      </c>
      <c r="Y117" s="31">
        <f t="shared" si="128"/>
        <v>6.8296177749674278</v>
      </c>
      <c r="Z117" s="31">
        <f t="shared" si="129"/>
        <v>1.6272293413946919</v>
      </c>
      <c r="AA117" s="31">
        <f t="shared" si="130"/>
        <v>1.3711017125194971</v>
      </c>
      <c r="AB117" s="31">
        <f t="shared" ref="AB117:AB140" si="133">AB9-Z9</f>
        <v>2.998331053914189</v>
      </c>
    </row>
    <row r="118" spans="1:28" x14ac:dyDescent="0.2">
      <c r="A118" s="243" t="str">
        <f t="shared" si="119"/>
        <v xml:space="preserve"> 21 Science, research, engineering and technology professionals</v>
      </c>
      <c r="B118" s="31">
        <f t="shared" si="120"/>
        <v>0.90639219362937951</v>
      </c>
      <c r="C118" s="31">
        <f t="shared" si="120"/>
        <v>8.6409132792150984</v>
      </c>
      <c r="D118" s="31">
        <f t="shared" si="120"/>
        <v>2.3794565908502108</v>
      </c>
      <c r="E118" s="31">
        <f t="shared" si="120"/>
        <v>1.9072373968756864</v>
      </c>
      <c r="F118" s="31">
        <f t="shared" si="131"/>
        <v>4.2866939877258972</v>
      </c>
      <c r="L118" s="286" t="str">
        <f t="shared" si="121"/>
        <v xml:space="preserve"> 21 Science, research, engineering and technology professionals</v>
      </c>
      <c r="M118" s="31">
        <f t="shared" si="122"/>
        <v>6.3231142340171687E-2</v>
      </c>
      <c r="N118" s="31">
        <f t="shared" si="123"/>
        <v>5.6478334527123124</v>
      </c>
      <c r="O118" s="31">
        <f t="shared" si="124"/>
        <v>0.90542408490445325</v>
      </c>
      <c r="P118" s="31">
        <f t="shared" si="125"/>
        <v>0.53452232177590986</v>
      </c>
      <c r="Q118" s="31">
        <f t="shared" si="132"/>
        <v>1.4399464066803631</v>
      </c>
      <c r="W118" s="286" t="str">
        <f t="shared" si="126"/>
        <v xml:space="preserve"> 21 Science, research, engineering and technology professionals</v>
      </c>
      <c r="X118" s="31">
        <f t="shared" si="127"/>
        <v>0.84316105128939878</v>
      </c>
      <c r="Y118" s="31">
        <f t="shared" si="128"/>
        <v>2.993079826502659</v>
      </c>
      <c r="Z118" s="31">
        <f t="shared" si="129"/>
        <v>1.4740325059458037</v>
      </c>
      <c r="AA118" s="31">
        <f t="shared" si="130"/>
        <v>1.3727150750997748</v>
      </c>
      <c r="AB118" s="31">
        <f t="shared" si="133"/>
        <v>2.8467475810455785</v>
      </c>
    </row>
    <row r="119" spans="1:28" x14ac:dyDescent="0.2">
      <c r="A119" s="243" t="str">
        <f t="shared" si="119"/>
        <v xml:space="preserve"> 22 Health professionals</v>
      </c>
      <c r="B119" s="31">
        <f t="shared" si="120"/>
        <v>8.0140803024287948</v>
      </c>
      <c r="C119" s="31">
        <f t="shared" si="120"/>
        <v>22.507036612925532</v>
      </c>
      <c r="D119" s="31">
        <f t="shared" si="120"/>
        <v>7.8955457126195654</v>
      </c>
      <c r="E119" s="31">
        <f t="shared" si="120"/>
        <v>8.0367857220823709</v>
      </c>
      <c r="F119" s="31">
        <f t="shared" si="131"/>
        <v>15.932331434701936</v>
      </c>
      <c r="L119" s="286" t="str">
        <f t="shared" si="121"/>
        <v xml:space="preserve"> 22 Health professionals</v>
      </c>
      <c r="M119" s="31">
        <f t="shared" si="122"/>
        <v>4.943958261953771</v>
      </c>
      <c r="N119" s="31">
        <f t="shared" si="123"/>
        <v>4.2499625328327397</v>
      </c>
      <c r="O119" s="31">
        <f t="shared" si="124"/>
        <v>1.1011532734573777</v>
      </c>
      <c r="P119" s="31">
        <f t="shared" si="125"/>
        <v>1.7605389630283987</v>
      </c>
      <c r="Q119" s="31">
        <f t="shared" si="132"/>
        <v>2.8616922364857764</v>
      </c>
      <c r="W119" s="286" t="str">
        <f t="shared" si="126"/>
        <v xml:space="preserve"> 22 Health professionals</v>
      </c>
      <c r="X119" s="31">
        <f t="shared" si="127"/>
        <v>3.0701220404752405</v>
      </c>
      <c r="Y119" s="31">
        <f t="shared" si="128"/>
        <v>18.257074080092622</v>
      </c>
      <c r="Z119" s="31">
        <f t="shared" si="129"/>
        <v>6.7943924391622659</v>
      </c>
      <c r="AA119" s="31">
        <f t="shared" si="130"/>
        <v>6.2762467590538762</v>
      </c>
      <c r="AB119" s="31">
        <f t="shared" si="133"/>
        <v>13.070639198216142</v>
      </c>
    </row>
    <row r="120" spans="1:28" x14ac:dyDescent="0.2">
      <c r="A120" s="243" t="str">
        <f t="shared" si="119"/>
        <v xml:space="preserve"> 23 Teaching and educational professionals</v>
      </c>
      <c r="B120" s="31">
        <f t="shared" si="120"/>
        <v>9.906665872068686</v>
      </c>
      <c r="C120" s="31">
        <f t="shared" si="120"/>
        <v>9.8870767699599611</v>
      </c>
      <c r="D120" s="31">
        <f t="shared" si="120"/>
        <v>2.9279261068011806</v>
      </c>
      <c r="E120" s="31">
        <f t="shared" si="120"/>
        <v>7.6214812481233736</v>
      </c>
      <c r="F120" s="31">
        <f t="shared" si="131"/>
        <v>10.549407354924554</v>
      </c>
      <c r="L120" s="286" t="str">
        <f t="shared" si="121"/>
        <v xml:space="preserve"> 23 Teaching and educational professionals</v>
      </c>
      <c r="M120" s="31">
        <f t="shared" si="122"/>
        <v>4.5454926828392104</v>
      </c>
      <c r="N120" s="31">
        <f t="shared" si="123"/>
        <v>3.2174368463001883</v>
      </c>
      <c r="O120" s="31">
        <f t="shared" si="124"/>
        <v>-0.36026336314608542</v>
      </c>
      <c r="P120" s="31">
        <f t="shared" si="125"/>
        <v>1.5523618289863599</v>
      </c>
      <c r="Q120" s="31">
        <f t="shared" si="132"/>
        <v>1.1920984658402745</v>
      </c>
      <c r="W120" s="286" t="str">
        <f t="shared" si="126"/>
        <v xml:space="preserve"> 23 Teaching and educational professionals</v>
      </c>
      <c r="X120" s="31">
        <f t="shared" si="127"/>
        <v>5.3611731892296817</v>
      </c>
      <c r="Y120" s="31">
        <f t="shared" si="128"/>
        <v>6.6696399236594743</v>
      </c>
      <c r="Z120" s="31">
        <f t="shared" si="129"/>
        <v>3.2881894699473193</v>
      </c>
      <c r="AA120" s="31">
        <f t="shared" si="130"/>
        <v>6.0691194191370954</v>
      </c>
      <c r="AB120" s="31">
        <f t="shared" si="133"/>
        <v>9.3573088890844147</v>
      </c>
    </row>
    <row r="121" spans="1:28" x14ac:dyDescent="0.2">
      <c r="A121" s="243" t="str">
        <f t="shared" si="119"/>
        <v xml:space="preserve"> 24 Business, media and public service professionals</v>
      </c>
      <c r="B121" s="31">
        <f t="shared" si="120"/>
        <v>-1.7909737520168818</v>
      </c>
      <c r="C121" s="31">
        <f t="shared" si="120"/>
        <v>7.7795999267920024</v>
      </c>
      <c r="D121" s="31">
        <f t="shared" si="120"/>
        <v>4.2254976169140264</v>
      </c>
      <c r="E121" s="31">
        <f t="shared" si="120"/>
        <v>2.8388732689640577</v>
      </c>
      <c r="F121" s="31">
        <f t="shared" si="131"/>
        <v>7.064370885878084</v>
      </c>
      <c r="L121" s="286" t="str">
        <f t="shared" si="121"/>
        <v xml:space="preserve"> 24 Business, media and public service professionals</v>
      </c>
      <c r="M121" s="31">
        <f t="shared" si="122"/>
        <v>-3.1065130220282064</v>
      </c>
      <c r="N121" s="31">
        <f t="shared" si="123"/>
        <v>0.70159665793307369</v>
      </c>
      <c r="O121" s="31">
        <f t="shared" si="124"/>
        <v>0.50946909419169017</v>
      </c>
      <c r="P121" s="31">
        <f t="shared" si="125"/>
        <v>-0.35868922096196343</v>
      </c>
      <c r="Q121" s="31">
        <f t="shared" si="132"/>
        <v>0.15077987322972675</v>
      </c>
      <c r="W121" s="286" t="str">
        <f t="shared" si="126"/>
        <v xml:space="preserve"> 24 Business, media and public service professionals</v>
      </c>
      <c r="X121" s="31">
        <f t="shared" si="127"/>
        <v>1.3155392700114348</v>
      </c>
      <c r="Y121" s="31">
        <f t="shared" si="128"/>
        <v>7.0780032688589181</v>
      </c>
      <c r="Z121" s="31">
        <f t="shared" si="129"/>
        <v>3.7160285227224392</v>
      </c>
      <c r="AA121" s="31">
        <f t="shared" si="130"/>
        <v>3.1975624899258257</v>
      </c>
      <c r="AB121" s="31">
        <f t="shared" si="133"/>
        <v>6.9135910126482649</v>
      </c>
    </row>
    <row r="122" spans="1:28" x14ac:dyDescent="0.2">
      <c r="A122" s="243" t="str">
        <f t="shared" si="119"/>
        <v xml:space="preserve"> 31 Science, engineering and technology associate professionals</v>
      </c>
      <c r="B122" s="31">
        <f t="shared" si="120"/>
        <v>-1.8869671508398049</v>
      </c>
      <c r="C122" s="31">
        <f t="shared" si="120"/>
        <v>3.0708350719183599</v>
      </c>
      <c r="D122" s="31">
        <f t="shared" si="120"/>
        <v>-1.9281809873255895E-2</v>
      </c>
      <c r="E122" s="31">
        <f t="shared" si="120"/>
        <v>0.15723227087846681</v>
      </c>
      <c r="F122" s="31">
        <f t="shared" si="131"/>
        <v>0.13795046100521091</v>
      </c>
      <c r="L122" s="286" t="str">
        <f t="shared" si="121"/>
        <v xml:space="preserve"> 31 Science, engineering and technology associate professionals</v>
      </c>
      <c r="M122" s="31">
        <f t="shared" si="122"/>
        <v>-1.6574432377723127</v>
      </c>
      <c r="N122" s="31">
        <f t="shared" si="123"/>
        <v>2.2588287101254956</v>
      </c>
      <c r="O122" s="31">
        <f t="shared" si="124"/>
        <v>1.8792589369713397E-2</v>
      </c>
      <c r="P122" s="31">
        <f t="shared" si="125"/>
        <v>0.15896199952275936</v>
      </c>
      <c r="Q122" s="31">
        <f t="shared" si="132"/>
        <v>0.17775458889247275</v>
      </c>
      <c r="W122" s="286" t="str">
        <f t="shared" si="126"/>
        <v xml:space="preserve"> 31 Science, engineering and technology associate professionals</v>
      </c>
      <c r="X122" s="31">
        <f t="shared" si="127"/>
        <v>-0.2295239130675073</v>
      </c>
      <c r="Y122" s="31">
        <f t="shared" si="128"/>
        <v>0.81200636179281638</v>
      </c>
      <c r="Z122" s="31">
        <f t="shared" si="129"/>
        <v>-3.8074399242872481E-2</v>
      </c>
      <c r="AA122" s="31">
        <f t="shared" si="130"/>
        <v>-1.7297286443609394E-3</v>
      </c>
      <c r="AB122" s="31">
        <f t="shared" si="133"/>
        <v>-3.980412788723342E-2</v>
      </c>
    </row>
    <row r="123" spans="1:28" x14ac:dyDescent="0.2">
      <c r="A123" s="243" t="str">
        <f t="shared" si="119"/>
        <v xml:space="preserve"> 32 Health and social care associate professionals</v>
      </c>
      <c r="B123" s="31">
        <f t="shared" si="120"/>
        <v>2.2499326490257339</v>
      </c>
      <c r="C123" s="31">
        <f t="shared" si="120"/>
        <v>6.9654610546551616</v>
      </c>
      <c r="D123" s="31">
        <f t="shared" si="120"/>
        <v>2.6220098967633341</v>
      </c>
      <c r="E123" s="31">
        <f t="shared" si="120"/>
        <v>2.4777129142005236</v>
      </c>
      <c r="F123" s="31">
        <f t="shared" si="131"/>
        <v>5.0997228109638577</v>
      </c>
      <c r="L123" s="286" t="str">
        <f t="shared" si="121"/>
        <v xml:space="preserve"> 32 Health and social care associate professionals</v>
      </c>
      <c r="M123" s="31">
        <f t="shared" si="122"/>
        <v>2.0431424579220812</v>
      </c>
      <c r="N123" s="31">
        <f t="shared" si="123"/>
        <v>1.3335820392821045</v>
      </c>
      <c r="O123" s="31">
        <f t="shared" si="124"/>
        <v>0.38795766585520397</v>
      </c>
      <c r="P123" s="31">
        <f t="shared" si="125"/>
        <v>0.61727690830251802</v>
      </c>
      <c r="Q123" s="31">
        <f t="shared" si="132"/>
        <v>1.005234574157722</v>
      </c>
      <c r="W123" s="286" t="str">
        <f t="shared" si="126"/>
        <v xml:space="preserve"> 32 Health and social care associate professionals</v>
      </c>
      <c r="X123" s="31">
        <f t="shared" si="127"/>
        <v>0.2067901911036536</v>
      </c>
      <c r="Y123" s="31">
        <f t="shared" si="128"/>
        <v>5.6318790153730323</v>
      </c>
      <c r="Z123" s="31">
        <f t="shared" si="129"/>
        <v>2.2340522309082402</v>
      </c>
      <c r="AA123" s="31">
        <f t="shared" si="130"/>
        <v>1.8604360058978635</v>
      </c>
      <c r="AB123" s="31">
        <f t="shared" si="133"/>
        <v>4.0944882368061037</v>
      </c>
    </row>
    <row r="124" spans="1:28" x14ac:dyDescent="0.2">
      <c r="A124" s="243" t="str">
        <f t="shared" si="119"/>
        <v xml:space="preserve"> 33 Protective service occupations</v>
      </c>
      <c r="B124" s="31">
        <f t="shared" si="120"/>
        <v>-2.1046643087773909</v>
      </c>
      <c r="C124" s="31">
        <f t="shared" si="120"/>
        <v>0.6269189397940842</v>
      </c>
      <c r="D124" s="31">
        <f t="shared" si="120"/>
        <v>-0.54449743785454174</v>
      </c>
      <c r="E124" s="31">
        <f t="shared" si="120"/>
        <v>-0.35930570623386515</v>
      </c>
      <c r="F124" s="31">
        <f t="shared" si="131"/>
        <v>-0.9038031440884069</v>
      </c>
      <c r="L124" s="286" t="str">
        <f t="shared" si="121"/>
        <v xml:space="preserve"> 33 Protective service occupations</v>
      </c>
      <c r="M124" s="31">
        <f t="shared" si="122"/>
        <v>-2.2246399243992574</v>
      </c>
      <c r="N124" s="31">
        <f t="shared" si="123"/>
        <v>7.4331852611249971E-2</v>
      </c>
      <c r="O124" s="31">
        <f t="shared" si="124"/>
        <v>-1.0140261304326597</v>
      </c>
      <c r="P124" s="31">
        <f t="shared" si="125"/>
        <v>-0.84724767675490753</v>
      </c>
      <c r="Q124" s="31">
        <f t="shared" si="132"/>
        <v>-1.8612738071875672</v>
      </c>
      <c r="W124" s="286" t="str">
        <f t="shared" si="126"/>
        <v xml:space="preserve"> 33 Protective service occupations</v>
      </c>
      <c r="X124" s="31">
        <f t="shared" si="127"/>
        <v>0.11997561562182879</v>
      </c>
      <c r="Y124" s="31">
        <f t="shared" si="128"/>
        <v>0.55258708718287242</v>
      </c>
      <c r="Z124" s="31">
        <f t="shared" si="129"/>
        <v>0.46952869257810548</v>
      </c>
      <c r="AA124" s="31">
        <f t="shared" si="130"/>
        <v>0.48794197052100152</v>
      </c>
      <c r="AB124" s="31">
        <f t="shared" si="133"/>
        <v>0.957470663099107</v>
      </c>
    </row>
    <row r="125" spans="1:28" x14ac:dyDescent="0.2">
      <c r="A125" s="243" t="str">
        <f t="shared" si="119"/>
        <v xml:space="preserve"> 34 Culture, media and sports occupations</v>
      </c>
      <c r="B125" s="31">
        <f t="shared" si="120"/>
        <v>3.939827850980592</v>
      </c>
      <c r="C125" s="31">
        <f t="shared" si="120"/>
        <v>4.8077265417958159</v>
      </c>
      <c r="D125" s="31">
        <f t="shared" si="120"/>
        <v>1.9929924523527376</v>
      </c>
      <c r="E125" s="31">
        <f t="shared" si="120"/>
        <v>0.84087400444911253</v>
      </c>
      <c r="F125" s="31">
        <f t="shared" si="131"/>
        <v>2.8338664568018501</v>
      </c>
      <c r="L125" s="286" t="str">
        <f t="shared" si="121"/>
        <v xml:space="preserve"> 34 Culture, media and sports occupations</v>
      </c>
      <c r="M125" s="31">
        <f t="shared" si="122"/>
        <v>3.2384953595211776</v>
      </c>
      <c r="N125" s="31">
        <f t="shared" si="123"/>
        <v>0.74639809117987355</v>
      </c>
      <c r="O125" s="31">
        <f t="shared" si="124"/>
        <v>0.5266885169583766</v>
      </c>
      <c r="P125" s="31">
        <f t="shared" si="125"/>
        <v>0.17619572815928208</v>
      </c>
      <c r="Q125" s="31">
        <f t="shared" si="132"/>
        <v>0.70288424511765868</v>
      </c>
      <c r="W125" s="286" t="str">
        <f t="shared" si="126"/>
        <v xml:space="preserve"> 34 Culture, media and sports occupations</v>
      </c>
      <c r="X125" s="31">
        <f t="shared" si="127"/>
        <v>0.70133249145939303</v>
      </c>
      <c r="Y125" s="31">
        <f t="shared" si="128"/>
        <v>4.0613284506159495</v>
      </c>
      <c r="Z125" s="31">
        <f t="shared" si="129"/>
        <v>1.4663039353943699</v>
      </c>
      <c r="AA125" s="31">
        <f t="shared" si="130"/>
        <v>0.66467827628983045</v>
      </c>
      <c r="AB125" s="31">
        <f t="shared" si="133"/>
        <v>2.1309822116842003</v>
      </c>
    </row>
    <row r="126" spans="1:28" x14ac:dyDescent="0.2">
      <c r="A126" s="243" t="str">
        <f t="shared" si="119"/>
        <v xml:space="preserve"> 35 Business and public service associate professionals</v>
      </c>
      <c r="B126" s="31">
        <f t="shared" si="120"/>
        <v>-2.3254557445596262</v>
      </c>
      <c r="C126" s="31">
        <f t="shared" si="120"/>
        <v>11.17571028053738</v>
      </c>
      <c r="D126" s="31">
        <f t="shared" si="120"/>
        <v>5.3889013537501711</v>
      </c>
      <c r="E126" s="31">
        <f t="shared" si="120"/>
        <v>4.3806544271035364</v>
      </c>
      <c r="F126" s="31">
        <f t="shared" si="131"/>
        <v>9.7695557808537075</v>
      </c>
      <c r="L126" s="286" t="str">
        <f t="shared" si="121"/>
        <v xml:space="preserve"> 35 Business and public service associate professionals</v>
      </c>
      <c r="M126" s="31">
        <f t="shared" si="122"/>
        <v>-2.6656163886176785</v>
      </c>
      <c r="N126" s="31">
        <f t="shared" si="123"/>
        <v>3.1390556595258374</v>
      </c>
      <c r="O126" s="31">
        <f t="shared" si="124"/>
        <v>0.80353993552637348</v>
      </c>
      <c r="P126" s="31">
        <f t="shared" si="125"/>
        <v>0.31286756208356081</v>
      </c>
      <c r="Q126" s="31">
        <f t="shared" si="132"/>
        <v>1.1164074976099343</v>
      </c>
      <c r="W126" s="286" t="str">
        <f t="shared" si="126"/>
        <v xml:space="preserve"> 35 Business and public service associate professionals</v>
      </c>
      <c r="X126" s="31">
        <f t="shared" si="127"/>
        <v>0.34016064405802737</v>
      </c>
      <c r="Y126" s="31">
        <f t="shared" si="128"/>
        <v>8.0366546210117029</v>
      </c>
      <c r="Z126" s="31">
        <f t="shared" si="129"/>
        <v>4.5853614182234708</v>
      </c>
      <c r="AA126" s="31">
        <f t="shared" si="130"/>
        <v>4.0677868650201674</v>
      </c>
      <c r="AB126" s="31">
        <f t="shared" si="133"/>
        <v>8.6531482832436382</v>
      </c>
    </row>
    <row r="127" spans="1:28" x14ac:dyDescent="0.2">
      <c r="A127" s="243" t="str">
        <f t="shared" si="119"/>
        <v xml:space="preserve"> 41 Administrative occupations</v>
      </c>
      <c r="B127" s="31">
        <f t="shared" si="120"/>
        <v>-8.8321744560674773</v>
      </c>
      <c r="C127" s="31">
        <f t="shared" si="120"/>
        <v>7.5921122165635495</v>
      </c>
      <c r="D127" s="31">
        <f t="shared" si="120"/>
        <v>-3.849594812941703</v>
      </c>
      <c r="E127" s="31">
        <f t="shared" si="120"/>
        <v>-3.6635016513291419</v>
      </c>
      <c r="F127" s="31">
        <f t="shared" si="131"/>
        <v>-7.5130964642708449</v>
      </c>
      <c r="L127" s="286" t="str">
        <f t="shared" si="121"/>
        <v xml:space="preserve"> 41 Administrative occupations</v>
      </c>
      <c r="M127" s="31">
        <f t="shared" si="122"/>
        <v>-0.55049730220527948</v>
      </c>
      <c r="N127" s="31">
        <f t="shared" si="123"/>
        <v>1.9361109011125208</v>
      </c>
      <c r="O127" s="31">
        <f t="shared" si="124"/>
        <v>0.26117396392731251</v>
      </c>
      <c r="P127" s="31">
        <f t="shared" si="125"/>
        <v>0.9580092429293714</v>
      </c>
      <c r="Q127" s="31">
        <f t="shared" si="132"/>
        <v>1.2191832068566839</v>
      </c>
      <c r="W127" s="286" t="str">
        <f t="shared" si="126"/>
        <v xml:space="preserve"> 41 Administrative occupations</v>
      </c>
      <c r="X127" s="31">
        <f t="shared" si="127"/>
        <v>-8.2816771538620486</v>
      </c>
      <c r="Y127" s="31">
        <f t="shared" si="128"/>
        <v>5.6560013154512205</v>
      </c>
      <c r="Z127" s="31">
        <f t="shared" si="129"/>
        <v>-4.1107687768691079</v>
      </c>
      <c r="AA127" s="31">
        <f t="shared" si="130"/>
        <v>-4.6215108942584493</v>
      </c>
      <c r="AB127" s="31">
        <f t="shared" si="133"/>
        <v>-8.7322796711275572</v>
      </c>
    </row>
    <row r="128" spans="1:28" x14ac:dyDescent="0.2">
      <c r="A128" s="243" t="str">
        <f t="shared" si="119"/>
        <v xml:space="preserve"> 42 Secretarial and related occupations</v>
      </c>
      <c r="B128" s="31">
        <f t="shared" si="120"/>
        <v>-4.4281142644471743</v>
      </c>
      <c r="C128" s="31">
        <f t="shared" si="120"/>
        <v>-1.5200532648740293</v>
      </c>
      <c r="D128" s="31">
        <f t="shared" si="120"/>
        <v>-7.8631542915994928</v>
      </c>
      <c r="E128" s="31">
        <f t="shared" si="120"/>
        <v>-6.5239481116418041</v>
      </c>
      <c r="F128" s="31">
        <f t="shared" si="131"/>
        <v>-14.387102403241297</v>
      </c>
      <c r="L128" s="286" t="str">
        <f t="shared" si="121"/>
        <v xml:space="preserve"> 42 Secretarial and related occupations</v>
      </c>
      <c r="M128" s="31">
        <f t="shared" si="122"/>
        <v>8.0031050322930675E-2</v>
      </c>
      <c r="N128" s="31">
        <f t="shared" si="123"/>
        <v>6.6002910920310853E-2</v>
      </c>
      <c r="O128" s="31">
        <f t="shared" si="124"/>
        <v>4.7126614620196516E-2</v>
      </c>
      <c r="P128" s="31">
        <f t="shared" si="125"/>
        <v>0.11104824654724288</v>
      </c>
      <c r="Q128" s="31">
        <f t="shared" si="132"/>
        <v>0.1581748611674394</v>
      </c>
      <c r="W128" s="286" t="str">
        <f t="shared" si="126"/>
        <v xml:space="preserve"> 42 Secretarial and related occupations</v>
      </c>
      <c r="X128" s="31">
        <f t="shared" si="127"/>
        <v>-4.5081453147700401</v>
      </c>
      <c r="Y128" s="31">
        <f t="shared" si="128"/>
        <v>-1.5860561757943827</v>
      </c>
      <c r="Z128" s="31">
        <f t="shared" si="129"/>
        <v>-7.9102809062196755</v>
      </c>
      <c r="AA128" s="31">
        <f t="shared" si="130"/>
        <v>-6.6349963581890705</v>
      </c>
      <c r="AB128" s="31">
        <f t="shared" si="133"/>
        <v>-14.545277264408746</v>
      </c>
    </row>
    <row r="129" spans="1:28" x14ac:dyDescent="0.2">
      <c r="A129" s="243" t="str">
        <f t="shared" si="119"/>
        <v xml:space="preserve"> 51 Skilled agricultural and related trades</v>
      </c>
      <c r="B129" s="31">
        <f t="shared" si="120"/>
        <v>0.84034996846362375</v>
      </c>
      <c r="C129" s="31">
        <f t="shared" si="120"/>
        <v>16.789359365879132</v>
      </c>
      <c r="D129" s="31">
        <f t="shared" si="120"/>
        <v>-0.66365636134584349</v>
      </c>
      <c r="E129" s="31">
        <f t="shared" si="120"/>
        <v>-0.41596074970146191</v>
      </c>
      <c r="F129" s="31">
        <f t="shared" si="131"/>
        <v>-1.0796171110473054</v>
      </c>
      <c r="L129" s="286" t="str">
        <f t="shared" si="121"/>
        <v xml:space="preserve"> 51 Skilled agricultural and related trades</v>
      </c>
      <c r="M129" s="31">
        <f t="shared" si="122"/>
        <v>-1.0348994519507109</v>
      </c>
      <c r="N129" s="31">
        <f t="shared" si="123"/>
        <v>13.50216382394186</v>
      </c>
      <c r="O129" s="31">
        <f t="shared" si="124"/>
        <v>-1.0005973351109461</v>
      </c>
      <c r="P129" s="31">
        <f t="shared" si="125"/>
        <v>-0.44855690591661812</v>
      </c>
      <c r="Q129" s="31">
        <f t="shared" si="132"/>
        <v>-1.4491542410275642</v>
      </c>
      <c r="W129" s="286" t="str">
        <f t="shared" si="126"/>
        <v xml:space="preserve"> 51 Skilled agricultural and related trades</v>
      </c>
      <c r="X129" s="31">
        <f t="shared" si="127"/>
        <v>1.875249420414395</v>
      </c>
      <c r="Y129" s="31">
        <f t="shared" si="128"/>
        <v>3.2871955419370922</v>
      </c>
      <c r="Z129" s="31">
        <f t="shared" si="129"/>
        <v>0.33694097376531928</v>
      </c>
      <c r="AA129" s="31">
        <f t="shared" si="130"/>
        <v>3.2596156215204175E-2</v>
      </c>
      <c r="AB129" s="31">
        <f t="shared" si="133"/>
        <v>0.36953712998052346</v>
      </c>
    </row>
    <row r="130" spans="1:28" x14ac:dyDescent="0.2">
      <c r="A130" s="243" t="str">
        <f t="shared" si="119"/>
        <v xml:space="preserve"> 52 Skilled metal, electrical and electronic trades</v>
      </c>
      <c r="B130" s="31">
        <f t="shared" si="120"/>
        <v>-8.0828939866521736</v>
      </c>
      <c r="C130" s="31">
        <f t="shared" si="120"/>
        <v>3.8021226058539668</v>
      </c>
      <c r="D130" s="31">
        <f t="shared" si="120"/>
        <v>-4.4326580302679233</v>
      </c>
      <c r="E130" s="31">
        <f t="shared" si="120"/>
        <v>-3.0490174003984549</v>
      </c>
      <c r="F130" s="31">
        <f t="shared" si="131"/>
        <v>-7.4816754306663782</v>
      </c>
      <c r="L130" s="286" t="str">
        <f t="shared" si="121"/>
        <v xml:space="preserve"> 52 Skilled metal, electrical and electronic trades</v>
      </c>
      <c r="M130" s="31">
        <f t="shared" si="122"/>
        <v>-7.8963855714484268</v>
      </c>
      <c r="N130" s="31">
        <f t="shared" si="123"/>
        <v>3.7892922906299447</v>
      </c>
      <c r="O130" s="31">
        <f t="shared" si="124"/>
        <v>-4.3832670161273271</v>
      </c>
      <c r="P130" s="31">
        <f t="shared" si="125"/>
        <v>-2.9900950931487458</v>
      </c>
      <c r="Q130" s="31">
        <f t="shared" si="132"/>
        <v>-7.3733621092760728</v>
      </c>
      <c r="W130" s="286" t="str">
        <f t="shared" si="126"/>
        <v xml:space="preserve"> 52 Skilled metal, electrical and electronic trades</v>
      </c>
      <c r="X130" s="31">
        <f t="shared" si="127"/>
        <v>-0.18650841520372818</v>
      </c>
      <c r="Y130" s="31">
        <f t="shared" si="128"/>
        <v>1.283031522391731E-2</v>
      </c>
      <c r="Z130" s="31">
        <f t="shared" si="129"/>
        <v>-4.9391014140507838E-2</v>
      </c>
      <c r="AA130" s="31">
        <f t="shared" si="130"/>
        <v>-5.892230724977976E-2</v>
      </c>
      <c r="AB130" s="31">
        <f t="shared" si="133"/>
        <v>-0.1083133213902876</v>
      </c>
    </row>
    <row r="131" spans="1:28" x14ac:dyDescent="0.2">
      <c r="A131" s="243" t="str">
        <f t="shared" si="119"/>
        <v xml:space="preserve"> 53 Skilled construction and building trades</v>
      </c>
      <c r="B131" s="31">
        <f t="shared" si="120"/>
        <v>-13.852398688677098</v>
      </c>
      <c r="C131" s="31">
        <f t="shared" si="120"/>
        <v>7.2850757169588292</v>
      </c>
      <c r="D131" s="31">
        <f t="shared" si="120"/>
        <v>0.83399228405180992</v>
      </c>
      <c r="E131" s="31">
        <f t="shared" si="120"/>
        <v>-0.57639714109097184</v>
      </c>
      <c r="F131" s="31">
        <f t="shared" si="131"/>
        <v>0.25759514296083807</v>
      </c>
      <c r="L131" s="286" t="str">
        <f t="shared" si="121"/>
        <v xml:space="preserve"> 53 Skilled construction and building trades</v>
      </c>
      <c r="M131" s="31">
        <f t="shared" si="122"/>
        <v>-13.449335355296931</v>
      </c>
      <c r="N131" s="31">
        <f t="shared" si="123"/>
        <v>6.7403793945051618</v>
      </c>
      <c r="O131" s="31">
        <f t="shared" si="124"/>
        <v>0.58415749901887892</v>
      </c>
      <c r="P131" s="31">
        <f t="shared" si="125"/>
        <v>-0.74155001072411153</v>
      </c>
      <c r="Q131" s="31">
        <f t="shared" si="132"/>
        <v>-0.15739251170523261</v>
      </c>
      <c r="W131" s="286" t="str">
        <f t="shared" si="126"/>
        <v xml:space="preserve"> 53 Skilled construction and building trades</v>
      </c>
      <c r="X131" s="31">
        <f t="shared" si="127"/>
        <v>-0.40306333338004896</v>
      </c>
      <c r="Y131" s="31">
        <f t="shared" si="128"/>
        <v>0.54469632245364463</v>
      </c>
      <c r="Z131" s="31">
        <f t="shared" si="129"/>
        <v>0.24983478503288192</v>
      </c>
      <c r="AA131" s="31">
        <f t="shared" si="130"/>
        <v>0.16515286963321341</v>
      </c>
      <c r="AB131" s="31">
        <f t="shared" si="133"/>
        <v>0.41498765466609533</v>
      </c>
    </row>
    <row r="132" spans="1:28" x14ac:dyDescent="0.2">
      <c r="A132" s="243" t="str">
        <f t="shared" si="119"/>
        <v xml:space="preserve"> 54 Textiles, printing and other skilled trades</v>
      </c>
      <c r="B132" s="31">
        <f t="shared" si="120"/>
        <v>2.1069548341550757</v>
      </c>
      <c r="C132" s="31">
        <f t="shared" si="120"/>
        <v>3.1537639863438187</v>
      </c>
      <c r="D132" s="31">
        <f t="shared" si="120"/>
        <v>-2.6839167873319099</v>
      </c>
      <c r="E132" s="31">
        <f t="shared" si="120"/>
        <v>-3.2870180174729171</v>
      </c>
      <c r="F132" s="31">
        <f t="shared" si="131"/>
        <v>-5.970934804804827</v>
      </c>
      <c r="L132" s="286" t="str">
        <f t="shared" si="121"/>
        <v xml:space="preserve"> 54 Textiles, printing and other skilled trades</v>
      </c>
      <c r="M132" s="31">
        <f t="shared" si="122"/>
        <v>4.4659316343898787</v>
      </c>
      <c r="N132" s="31">
        <f t="shared" si="123"/>
        <v>0.34337155648607975</v>
      </c>
      <c r="O132" s="31">
        <f t="shared" si="124"/>
        <v>-2.3094757207065619</v>
      </c>
      <c r="P132" s="31">
        <f t="shared" si="125"/>
        <v>-2.7788585442037288</v>
      </c>
      <c r="Q132" s="31">
        <f t="shared" si="132"/>
        <v>-5.0883342649102907</v>
      </c>
      <c r="W132" s="286" t="str">
        <f t="shared" si="126"/>
        <v xml:space="preserve"> 54 Textiles, printing and other skilled trades</v>
      </c>
      <c r="X132" s="31">
        <f t="shared" si="127"/>
        <v>-2.3589768002346929</v>
      </c>
      <c r="Y132" s="31">
        <f t="shared" si="128"/>
        <v>2.8103924298578402</v>
      </c>
      <c r="Z132" s="31">
        <f t="shared" si="129"/>
        <v>-0.37444106662553267</v>
      </c>
      <c r="AA132" s="31">
        <f t="shared" si="130"/>
        <v>-0.50815947326925759</v>
      </c>
      <c r="AB132" s="31">
        <f t="shared" si="133"/>
        <v>-0.88260053989479026</v>
      </c>
    </row>
    <row r="133" spans="1:28" x14ac:dyDescent="0.2">
      <c r="A133" s="243" t="str">
        <f t="shared" si="119"/>
        <v xml:space="preserve"> 61 Caring personal service occupations</v>
      </c>
      <c r="B133" s="31">
        <f t="shared" si="120"/>
        <v>9.5940985083201582</v>
      </c>
      <c r="C133" s="31">
        <f t="shared" si="120"/>
        <v>25.252130265978877</v>
      </c>
      <c r="D133" s="31">
        <f t="shared" si="120"/>
        <v>10.079271981113067</v>
      </c>
      <c r="E133" s="31">
        <f t="shared" si="120"/>
        <v>12.25951669958863</v>
      </c>
      <c r="F133" s="31">
        <f t="shared" si="131"/>
        <v>22.338788680701697</v>
      </c>
      <c r="L133" s="286" t="str">
        <f t="shared" si="121"/>
        <v xml:space="preserve"> 61 Caring personal service occupations</v>
      </c>
      <c r="M133" s="31">
        <f t="shared" si="122"/>
        <v>1.970711372683045</v>
      </c>
      <c r="N133" s="31">
        <f t="shared" si="123"/>
        <v>3.1058100272328932</v>
      </c>
      <c r="O133" s="31">
        <f t="shared" si="124"/>
        <v>1.8807849979038131</v>
      </c>
      <c r="P133" s="31">
        <f t="shared" si="125"/>
        <v>2.1429883610339644</v>
      </c>
      <c r="Q133" s="31">
        <f t="shared" si="132"/>
        <v>4.0237733589377775</v>
      </c>
      <c r="W133" s="286" t="str">
        <f t="shared" si="126"/>
        <v xml:space="preserve"> 61 Caring personal service occupations</v>
      </c>
      <c r="X133" s="31">
        <f t="shared" si="127"/>
        <v>7.6233871356371736</v>
      </c>
      <c r="Y133" s="31">
        <f t="shared" si="128"/>
        <v>22.146320238745957</v>
      </c>
      <c r="Z133" s="31">
        <f t="shared" si="129"/>
        <v>8.1984869832094773</v>
      </c>
      <c r="AA133" s="31">
        <f t="shared" si="130"/>
        <v>10.116528338554446</v>
      </c>
      <c r="AB133" s="31">
        <f t="shared" si="133"/>
        <v>18.315015321763923</v>
      </c>
    </row>
    <row r="134" spans="1:28" x14ac:dyDescent="0.2">
      <c r="A134" s="243" t="str">
        <f t="shared" si="119"/>
        <v xml:space="preserve"> 62 Leisure, travel and related personal service occupations</v>
      </c>
      <c r="B134" s="31">
        <f t="shared" si="120"/>
        <v>1.275263875012282</v>
      </c>
      <c r="C134" s="31">
        <f t="shared" si="120"/>
        <v>5.8455479926094185</v>
      </c>
      <c r="D134" s="31">
        <f t="shared" si="120"/>
        <v>-0.86834248344828069</v>
      </c>
      <c r="E134" s="31">
        <f t="shared" si="120"/>
        <v>-0.79136320008715444</v>
      </c>
      <c r="F134" s="31">
        <f t="shared" si="131"/>
        <v>-1.6597056835354351</v>
      </c>
      <c r="L134" s="286" t="str">
        <f t="shared" si="121"/>
        <v xml:space="preserve"> 62 Leisure, travel and related personal service occupations</v>
      </c>
      <c r="M134" s="31">
        <f t="shared" si="122"/>
        <v>-0.50158979116172908</v>
      </c>
      <c r="N134" s="31">
        <f t="shared" si="123"/>
        <v>-0.53668313857480499</v>
      </c>
      <c r="O134" s="31">
        <f t="shared" si="124"/>
        <v>5.7765518526984749E-2</v>
      </c>
      <c r="P134" s="31">
        <f t="shared" si="125"/>
        <v>0.31159996196183393</v>
      </c>
      <c r="Q134" s="31">
        <f t="shared" si="132"/>
        <v>0.36936548048881868</v>
      </c>
      <c r="W134" s="286" t="str">
        <f t="shared" si="126"/>
        <v xml:space="preserve"> 62 Leisure, travel and related personal service occupations</v>
      </c>
      <c r="X134" s="31">
        <f t="shared" si="127"/>
        <v>1.7768536661739809</v>
      </c>
      <c r="Y134" s="31">
        <f t="shared" si="128"/>
        <v>6.3822311311842483</v>
      </c>
      <c r="Z134" s="31">
        <f t="shared" si="129"/>
        <v>-0.92610800197520859</v>
      </c>
      <c r="AA134" s="31">
        <f t="shared" si="130"/>
        <v>-1.1029631620490434</v>
      </c>
      <c r="AB134" s="31">
        <f t="shared" si="133"/>
        <v>-2.029071164024252</v>
      </c>
    </row>
    <row r="135" spans="1:28" x14ac:dyDescent="0.2">
      <c r="A135" s="243" t="str">
        <f t="shared" si="119"/>
        <v xml:space="preserve"> 71 Sales occupations</v>
      </c>
      <c r="B135" s="31">
        <f t="shared" si="120"/>
        <v>-8.6949527057917351</v>
      </c>
      <c r="C135" s="31">
        <f t="shared" si="120"/>
        <v>-4.3011867460129452</v>
      </c>
      <c r="D135" s="31">
        <f t="shared" si="120"/>
        <v>-4.5068110662491847</v>
      </c>
      <c r="E135" s="31">
        <f t="shared" si="120"/>
        <v>-3.8065200206213774</v>
      </c>
      <c r="F135" s="31">
        <f t="shared" si="131"/>
        <v>-8.3133310868705621</v>
      </c>
      <c r="L135" s="286" t="str">
        <f t="shared" si="121"/>
        <v xml:space="preserve"> 71 Sales occupations</v>
      </c>
      <c r="M135" s="31">
        <f t="shared" si="122"/>
        <v>-4.2845677774733133</v>
      </c>
      <c r="N135" s="31">
        <f t="shared" si="123"/>
        <v>0.51954255456412568</v>
      </c>
      <c r="O135" s="31">
        <f t="shared" si="124"/>
        <v>-0.79532849852770937</v>
      </c>
      <c r="P135" s="31">
        <f t="shared" si="125"/>
        <v>-1.6662048731589287</v>
      </c>
      <c r="Q135" s="31">
        <f t="shared" si="132"/>
        <v>-2.4615333716866381</v>
      </c>
      <c r="W135" s="286" t="str">
        <f t="shared" si="126"/>
        <v xml:space="preserve"> 71 Sales occupations</v>
      </c>
      <c r="X135" s="31">
        <f t="shared" si="127"/>
        <v>-4.4103849283185355</v>
      </c>
      <c r="Y135" s="31">
        <f t="shared" si="128"/>
        <v>-4.820729300577085</v>
      </c>
      <c r="Z135" s="31">
        <f t="shared" si="129"/>
        <v>-3.7114825677211982</v>
      </c>
      <c r="AA135" s="31">
        <f t="shared" si="130"/>
        <v>-2.1403151474629425</v>
      </c>
      <c r="AB135" s="31">
        <f t="shared" si="133"/>
        <v>-5.8517977151841407</v>
      </c>
    </row>
    <row r="136" spans="1:28" x14ac:dyDescent="0.2">
      <c r="A136" s="243" t="str">
        <f t="shared" si="119"/>
        <v xml:space="preserve"> 72 Customer service occupations</v>
      </c>
      <c r="B136" s="31">
        <f t="shared" si="120"/>
        <v>3.1119350471498066</v>
      </c>
      <c r="C136" s="31">
        <f t="shared" si="120"/>
        <v>4.1508063096037624</v>
      </c>
      <c r="D136" s="31">
        <f t="shared" si="120"/>
        <v>2.4710591236520365</v>
      </c>
      <c r="E136" s="31">
        <f t="shared" si="120"/>
        <v>2.3214306696194456</v>
      </c>
      <c r="F136" s="31">
        <f t="shared" si="131"/>
        <v>4.7924897932714821</v>
      </c>
      <c r="L136" s="286" t="str">
        <f t="shared" si="121"/>
        <v xml:space="preserve"> 72 Customer service occupations</v>
      </c>
      <c r="M136" s="31">
        <f t="shared" si="122"/>
        <v>1.8892636657114767</v>
      </c>
      <c r="N136" s="31">
        <f t="shared" si="123"/>
        <v>1.6911081498916811</v>
      </c>
      <c r="O136" s="31">
        <f t="shared" si="124"/>
        <v>1.324935954770309</v>
      </c>
      <c r="P136" s="31">
        <f t="shared" si="125"/>
        <v>1.0797707293753707</v>
      </c>
      <c r="Q136" s="31">
        <f t="shared" si="132"/>
        <v>2.4047066841456797</v>
      </c>
      <c r="W136" s="286" t="str">
        <f t="shared" si="126"/>
        <v xml:space="preserve"> 72 Customer service occupations</v>
      </c>
      <c r="X136" s="31">
        <f t="shared" si="127"/>
        <v>1.2226713814383992</v>
      </c>
      <c r="Y136" s="31">
        <f t="shared" si="128"/>
        <v>2.4596981597120386</v>
      </c>
      <c r="Z136" s="31">
        <f t="shared" si="129"/>
        <v>1.1461231688817648</v>
      </c>
      <c r="AA136" s="31">
        <f t="shared" si="130"/>
        <v>1.241659940244169</v>
      </c>
      <c r="AB136" s="31">
        <f t="shared" si="133"/>
        <v>2.3877831091259338</v>
      </c>
    </row>
    <row r="137" spans="1:28" x14ac:dyDescent="0.2">
      <c r="A137" s="243" t="str">
        <f t="shared" si="119"/>
        <v xml:space="preserve"> 81 Process, plant and machine operatives</v>
      </c>
      <c r="B137" s="31">
        <f t="shared" si="120"/>
        <v>-7.4830218631534535</v>
      </c>
      <c r="C137" s="31">
        <f t="shared" si="120"/>
        <v>0.11025066065110423</v>
      </c>
      <c r="D137" s="31">
        <f t="shared" si="120"/>
        <v>-7.5389853522140555</v>
      </c>
      <c r="E137" s="31">
        <f t="shared" si="120"/>
        <v>-4.4475111892683117</v>
      </c>
      <c r="F137" s="31">
        <f t="shared" si="131"/>
        <v>-11.986496541482367</v>
      </c>
      <c r="L137" s="286" t="str">
        <f t="shared" si="121"/>
        <v xml:space="preserve"> 81 Process, plant and machine operatives</v>
      </c>
      <c r="M137" s="31">
        <f t="shared" si="122"/>
        <v>-5.1321358073615002</v>
      </c>
      <c r="N137" s="31">
        <f t="shared" si="123"/>
        <v>1.1714368316341961</v>
      </c>
      <c r="O137" s="31">
        <f t="shared" si="124"/>
        <v>-4.7500405352128823</v>
      </c>
      <c r="P137" s="31">
        <f t="shared" si="125"/>
        <v>-2.6341361219773205</v>
      </c>
      <c r="Q137" s="31">
        <f t="shared" si="132"/>
        <v>-7.3841766571902028</v>
      </c>
      <c r="W137" s="286" t="str">
        <f t="shared" si="126"/>
        <v xml:space="preserve"> 81 Process, plant and machine operatives</v>
      </c>
      <c r="X137" s="31">
        <f t="shared" si="127"/>
        <v>-2.3508860557919427</v>
      </c>
      <c r="Y137" s="31">
        <f t="shared" si="128"/>
        <v>-1.0611861709831203</v>
      </c>
      <c r="Z137" s="31">
        <f t="shared" si="129"/>
        <v>-2.7889448170010098</v>
      </c>
      <c r="AA137" s="31">
        <f t="shared" si="130"/>
        <v>-1.8133750672910871</v>
      </c>
      <c r="AB137" s="31">
        <f t="shared" si="133"/>
        <v>-4.6023198842920969</v>
      </c>
    </row>
    <row r="138" spans="1:28" x14ac:dyDescent="0.2">
      <c r="A138" s="243" t="str">
        <f t="shared" si="119"/>
        <v xml:space="preserve"> 82 Transport and mobile machine drivers and operatives</v>
      </c>
      <c r="B138" s="31">
        <f t="shared" si="120"/>
        <v>-6.8793824940478743</v>
      </c>
      <c r="C138" s="31">
        <f t="shared" si="120"/>
        <v>-2.9041792900154633</v>
      </c>
      <c r="D138" s="31">
        <f t="shared" si="120"/>
        <v>0.52186773406956632</v>
      </c>
      <c r="E138" s="31">
        <f t="shared" si="120"/>
        <v>0.62577293125787747</v>
      </c>
      <c r="F138" s="31">
        <f t="shared" si="131"/>
        <v>1.1476406653274438</v>
      </c>
      <c r="L138" s="286" t="str">
        <f t="shared" si="121"/>
        <v xml:space="preserve"> 82 Transport and mobile machine drivers and operatives</v>
      </c>
      <c r="M138" s="31">
        <f t="shared" si="122"/>
        <v>-7.2066473536186848</v>
      </c>
      <c r="N138" s="31">
        <f t="shared" si="123"/>
        <v>-3.009353018220132</v>
      </c>
      <c r="O138" s="31">
        <f t="shared" si="124"/>
        <v>0.34024493525063093</v>
      </c>
      <c r="P138" s="31">
        <f t="shared" si="125"/>
        <v>0.49228427921666906</v>
      </c>
      <c r="Q138" s="31">
        <f t="shared" si="132"/>
        <v>0.83252921446729999</v>
      </c>
      <c r="W138" s="286" t="str">
        <f t="shared" si="126"/>
        <v xml:space="preserve"> 82 Transport and mobile machine drivers and operatives</v>
      </c>
      <c r="X138" s="31">
        <f t="shared" si="127"/>
        <v>0.3272648595708838</v>
      </c>
      <c r="Y138" s="31">
        <f t="shared" si="128"/>
        <v>0.10517372820464943</v>
      </c>
      <c r="Z138" s="31">
        <f t="shared" si="129"/>
        <v>0.18162279881895493</v>
      </c>
      <c r="AA138" s="31">
        <f t="shared" si="130"/>
        <v>0.13348865204123106</v>
      </c>
      <c r="AB138" s="31">
        <f t="shared" si="133"/>
        <v>0.31511145086018599</v>
      </c>
    </row>
    <row r="139" spans="1:28" x14ac:dyDescent="0.2">
      <c r="A139" s="243" t="str">
        <f t="shared" si="119"/>
        <v xml:space="preserve"> 91 Elementary trades and related occupations</v>
      </c>
      <c r="B139" s="31">
        <f t="shared" si="120"/>
        <v>-3.5784144142278329</v>
      </c>
      <c r="C139" s="31">
        <f t="shared" si="120"/>
        <v>1.9260724990861888</v>
      </c>
      <c r="D139" s="31">
        <f t="shared" si="120"/>
        <v>-0.18299527750523836</v>
      </c>
      <c r="E139" s="31">
        <f t="shared" si="120"/>
        <v>0.23563319905207436</v>
      </c>
      <c r="F139" s="31">
        <f t="shared" si="131"/>
        <v>5.2637921546835997E-2</v>
      </c>
      <c r="L139" s="286" t="str">
        <f t="shared" si="121"/>
        <v xml:space="preserve"> 91 Elementary trades and related occupations</v>
      </c>
      <c r="M139" s="31">
        <f t="shared" si="122"/>
        <v>-3.7710066723010378</v>
      </c>
      <c r="N139" s="31">
        <f t="shared" si="123"/>
        <v>0.86720110269887485</v>
      </c>
      <c r="O139" s="31">
        <f t="shared" si="124"/>
        <v>-0.895330783622871</v>
      </c>
      <c r="P139" s="31">
        <f t="shared" si="125"/>
        <v>-0.43181065448554179</v>
      </c>
      <c r="Q139" s="31">
        <f t="shared" si="132"/>
        <v>-1.3271414381084128</v>
      </c>
      <c r="W139" s="286" t="str">
        <f t="shared" si="126"/>
        <v xml:space="preserve"> 91 Elementary trades and related occupations</v>
      </c>
      <c r="X139" s="31">
        <f t="shared" si="127"/>
        <v>0.19259225807319869</v>
      </c>
      <c r="Y139" s="31">
        <f t="shared" si="128"/>
        <v>1.058871396387298</v>
      </c>
      <c r="Z139" s="31">
        <f t="shared" si="129"/>
        <v>0.71233550611757668</v>
      </c>
      <c r="AA139" s="31">
        <f t="shared" si="130"/>
        <v>0.6674438535376872</v>
      </c>
      <c r="AB139" s="31">
        <f t="shared" si="133"/>
        <v>1.3797793596552639</v>
      </c>
    </row>
    <row r="140" spans="1:28" x14ac:dyDescent="0.2">
      <c r="A140" s="243" t="str">
        <f t="shared" si="119"/>
        <v xml:space="preserve"> 92 Elementary administration and service occupations</v>
      </c>
      <c r="B140" s="31">
        <f t="shared" si="120"/>
        <v>-28.797505510407973</v>
      </c>
      <c r="C140" s="31">
        <f t="shared" si="120"/>
        <v>9.9175876619204644</v>
      </c>
      <c r="D140" s="31">
        <f t="shared" si="120"/>
        <v>0.23168432216712631</v>
      </c>
      <c r="E140" s="31">
        <f t="shared" si="120"/>
        <v>-1.1148080209619309</v>
      </c>
      <c r="F140" s="31">
        <f t="shared" si="131"/>
        <v>-0.88312369879480457</v>
      </c>
      <c r="L140" s="286" t="str">
        <f t="shared" si="121"/>
        <v xml:space="preserve"> 92 Elementary administration and service occupations</v>
      </c>
      <c r="M140" s="31">
        <f t="shared" si="122"/>
        <v>-4.3462297155633252</v>
      </c>
      <c r="N140" s="31">
        <f t="shared" si="123"/>
        <v>7.5826111136856156</v>
      </c>
      <c r="O140" s="31">
        <f t="shared" si="124"/>
        <v>3.3833387876675829</v>
      </c>
      <c r="P140" s="31">
        <f t="shared" si="125"/>
        <v>2.9703699820007898</v>
      </c>
      <c r="Q140" s="31">
        <f t="shared" si="132"/>
        <v>6.3537087696683727</v>
      </c>
      <c r="W140" s="286" t="str">
        <f t="shared" si="126"/>
        <v xml:space="preserve"> 92 Elementary administration and service occupations</v>
      </c>
      <c r="X140" s="31">
        <f t="shared" si="127"/>
        <v>-24.451275794845145</v>
      </c>
      <c r="Y140" s="31">
        <f t="shared" si="128"/>
        <v>2.3349765482345362</v>
      </c>
      <c r="Z140" s="31">
        <f t="shared" si="129"/>
        <v>-3.1516544655004424</v>
      </c>
      <c r="AA140" s="31">
        <f t="shared" si="130"/>
        <v>-4.0851780029621523</v>
      </c>
      <c r="AB140" s="31">
        <f t="shared" si="133"/>
        <v>-7.2368324684625946</v>
      </c>
    </row>
    <row r="141" spans="1:28" x14ac:dyDescent="0.2">
      <c r="C141" s="31"/>
      <c r="F141" s="31"/>
      <c r="N141" s="31"/>
      <c r="Q141" s="31"/>
      <c r="Y141" s="31"/>
      <c r="AB141" s="31"/>
    </row>
    <row r="142" spans="1:28" x14ac:dyDescent="0.2">
      <c r="A142" s="28" t="str">
        <f>A34</f>
        <v>All occupations</v>
      </c>
      <c r="B142" s="33">
        <f>C34-B34</f>
        <v>-51.089000000958777</v>
      </c>
      <c r="C142" s="33">
        <f t="shared" ref="C142" si="134">D34-C34</f>
        <v>171.88199999985773</v>
      </c>
      <c r="D142" s="33">
        <f>E34-D34</f>
        <v>16.527000001323586</v>
      </c>
      <c r="E142" s="33">
        <f>F34-E34</f>
        <v>22.885999999718251</v>
      </c>
      <c r="F142" s="33">
        <f t="shared" si="131"/>
        <v>39.413000001041837</v>
      </c>
      <c r="L142" s="28" t="str">
        <f>L34</f>
        <v>All occupations</v>
      </c>
      <c r="M142" s="33">
        <f>N34-M34</f>
        <v>-32.026000000259614</v>
      </c>
      <c r="N142" s="33">
        <f t="shared" ref="N142" si="135">O34-N34</f>
        <v>64.937999999938029</v>
      </c>
      <c r="O142" s="33">
        <f>P34-O34</f>
        <v>-0.57699999918281719</v>
      </c>
      <c r="P142" s="33">
        <f>Q34-P34</f>
        <v>2.5180000001264489</v>
      </c>
      <c r="Q142" s="33">
        <f t="shared" ref="Q142" si="136">Q34-O34</f>
        <v>1.9410000009436317</v>
      </c>
      <c r="W142" s="28" t="str">
        <f>W34</f>
        <v>All occupations</v>
      </c>
      <c r="X142" s="33">
        <f>Y34-X34</f>
        <v>-19.063000000698935</v>
      </c>
      <c r="Y142" s="33">
        <f t="shared" ref="Y142" si="137">Z34-Y34</f>
        <v>106.94399999991947</v>
      </c>
      <c r="Z142" s="33">
        <f>AA34-Z34</f>
        <v>17.10400000050663</v>
      </c>
      <c r="AA142" s="33">
        <f>AB34-AA34</f>
        <v>20.36799999959203</v>
      </c>
      <c r="AB142" s="33">
        <f t="shared" ref="AB142" si="138">AB34-Z34</f>
        <v>37.47200000009866</v>
      </c>
    </row>
    <row r="146" spans="1:31" x14ac:dyDescent="0.2">
      <c r="A146" s="286"/>
      <c r="B146" s="286"/>
      <c r="C146" s="286"/>
      <c r="D146" s="1" t="s">
        <v>13</v>
      </c>
      <c r="E146" s="286"/>
      <c r="F146" s="286"/>
      <c r="G146" s="286"/>
      <c r="H146" s="50" t="s">
        <v>41</v>
      </c>
      <c r="I146" s="286"/>
      <c r="O146" s="1" t="s">
        <v>13</v>
      </c>
      <c r="S146" s="50" t="s">
        <v>41</v>
      </c>
      <c r="Z146" s="1" t="s">
        <v>13</v>
      </c>
      <c r="AD146" s="50" t="s">
        <v>41</v>
      </c>
    </row>
    <row r="147" spans="1:31" x14ac:dyDescent="0.2">
      <c r="A147" s="26"/>
      <c r="B147" s="27">
        <f>B6</f>
        <v>2007</v>
      </c>
      <c r="C147" s="27">
        <f t="shared" ref="C147:F147" si="139">C6</f>
        <v>2012</v>
      </c>
      <c r="D147" s="27">
        <f t="shared" si="139"/>
        <v>2017</v>
      </c>
      <c r="E147" s="27">
        <f t="shared" si="139"/>
        <v>2022</v>
      </c>
      <c r="F147" s="27">
        <f t="shared" si="139"/>
        <v>2027</v>
      </c>
      <c r="G147" s="286"/>
      <c r="H147" s="96" t="str">
        <f>CONCATENATE(B$6,"-",D$6)</f>
        <v>2007-2017</v>
      </c>
      <c r="I147" s="96" t="str">
        <f>CONCATENATE(D$6,"-",F$6)</f>
        <v>2017-2027</v>
      </c>
      <c r="L147" s="26"/>
      <c r="M147" s="27">
        <f>M6</f>
        <v>2007</v>
      </c>
      <c r="N147" s="27">
        <f t="shared" ref="N147:Q147" si="140">N6</f>
        <v>2012</v>
      </c>
      <c r="O147" s="27">
        <f t="shared" si="140"/>
        <v>2017</v>
      </c>
      <c r="P147" s="27">
        <f t="shared" si="140"/>
        <v>2022</v>
      </c>
      <c r="Q147" s="27">
        <f t="shared" si="140"/>
        <v>2027</v>
      </c>
      <c r="S147" s="96" t="str">
        <f>CONCATENATE(M$6,"-",O$6)</f>
        <v>2007-2017</v>
      </c>
      <c r="T147" s="96" t="str">
        <f>CONCATENATE(O$6,"-",Q$6)</f>
        <v>2017-2027</v>
      </c>
      <c r="W147" s="26"/>
      <c r="X147" s="27">
        <f>X6</f>
        <v>2007</v>
      </c>
      <c r="Y147" s="27">
        <f t="shared" ref="Y147:AB147" si="141">Y6</f>
        <v>2012</v>
      </c>
      <c r="Z147" s="27">
        <f t="shared" si="141"/>
        <v>2017</v>
      </c>
      <c r="AA147" s="27">
        <f t="shared" si="141"/>
        <v>2022</v>
      </c>
      <c r="AB147" s="27">
        <f t="shared" si="141"/>
        <v>2027</v>
      </c>
      <c r="AD147" s="96" t="str">
        <f>CONCATENATE(X$6,"-",Z$6)</f>
        <v>2007-2017</v>
      </c>
      <c r="AE147" s="96" t="str">
        <f>CONCATENATE(Z$6,"-",AB$6)</f>
        <v>2017-2027</v>
      </c>
    </row>
    <row r="148" spans="1:31" x14ac:dyDescent="0.2">
      <c r="A148" s="12"/>
      <c r="B148" s="13"/>
      <c r="C148" s="13"/>
      <c r="D148" s="13"/>
      <c r="E148" s="13"/>
      <c r="F148" s="13"/>
      <c r="G148" s="286"/>
      <c r="H148" s="49"/>
      <c r="I148" s="49"/>
      <c r="L148" s="12"/>
      <c r="M148" s="13"/>
      <c r="N148" s="13"/>
      <c r="O148" s="13"/>
      <c r="P148" s="13"/>
      <c r="Q148" s="13"/>
      <c r="S148" s="49"/>
      <c r="T148" s="49"/>
      <c r="W148" s="12"/>
      <c r="X148" s="13"/>
      <c r="Y148" s="13"/>
      <c r="Z148" s="13"/>
      <c r="AA148" s="13"/>
      <c r="AB148" s="13"/>
      <c r="AD148" s="49"/>
      <c r="AE148" s="49"/>
    </row>
    <row r="149" spans="1:31" x14ac:dyDescent="0.2">
      <c r="A149" s="12" t="str">
        <f>A8</f>
        <v xml:space="preserve"> 11 Corporate managers and directors</v>
      </c>
      <c r="B149" s="13">
        <f>B8</f>
        <v>62.791080673241183</v>
      </c>
      <c r="C149" s="13">
        <f t="shared" ref="C149:F149" si="142">C8</f>
        <v>63.931722947781608</v>
      </c>
      <c r="D149" s="13">
        <f t="shared" si="142"/>
        <v>75.827297635181665</v>
      </c>
      <c r="E149" s="13">
        <f t="shared" si="142"/>
        <v>81.604810249282991</v>
      </c>
      <c r="F149" s="13">
        <f t="shared" si="142"/>
        <v>86.787628928781672</v>
      </c>
      <c r="G149" s="286"/>
      <c r="H149" s="49">
        <f>IF(D$147-B$147 &lt;&gt; 0,(EXP(LN(D149/B149)/(D$147-B$147))-1)*100,0)</f>
        <v>1.9043591371399549</v>
      </c>
      <c r="I149" s="49">
        <f>IF(F$147-D$147 &lt;&gt; 0,(EXP(LN(F149/D149)/(F$147-D$147))-1)*100,0)</f>
        <v>1.3592117513565372</v>
      </c>
      <c r="L149" s="12" t="str">
        <f>L8</f>
        <v xml:space="preserve"> 11 Corporate managers and directors</v>
      </c>
      <c r="M149" s="13">
        <f>M8</f>
        <v>48.418297678155469</v>
      </c>
      <c r="N149" s="13">
        <f t="shared" ref="N149:Q149" si="143">N8</f>
        <v>47.415917469577302</v>
      </c>
      <c r="O149" s="13">
        <f t="shared" si="143"/>
        <v>52.61977804715319</v>
      </c>
      <c r="P149" s="13">
        <f t="shared" si="143"/>
        <v>54.712607417554871</v>
      </c>
      <c r="Q149" s="13">
        <f t="shared" si="143"/>
        <v>56.284734339776804</v>
      </c>
      <c r="S149" s="49">
        <f>IF(O$147-M$147 &lt;&gt; 0,(EXP(LN(O149/M149)/(O$147-M$147))-1)*100,0)</f>
        <v>0.83561457156791086</v>
      </c>
      <c r="T149" s="49">
        <f>IF(Q$147-O$147 &lt;&gt; 0,(EXP(LN(Q149/O149)/(Q$147-O$147))-1)*100,0)</f>
        <v>0.67558477060947197</v>
      </c>
      <c r="W149" s="12" t="str">
        <f>W8</f>
        <v xml:space="preserve"> 11 Corporate managers and directors</v>
      </c>
      <c r="X149" s="13">
        <f>X8</f>
        <v>14.372782995085739</v>
      </c>
      <c r="Y149" s="13">
        <f t="shared" ref="Y149:AB149" si="144">Y8</f>
        <v>16.515805478204189</v>
      </c>
      <c r="Z149" s="13">
        <f t="shared" si="144"/>
        <v>23.207519588028322</v>
      </c>
      <c r="AA149" s="13">
        <f t="shared" si="144"/>
        <v>26.892202831727911</v>
      </c>
      <c r="AB149" s="13">
        <f t="shared" si="144"/>
        <v>30.502894589005177</v>
      </c>
      <c r="AD149" s="49">
        <f>IF(Z$147-X$147 &lt;&gt; 0,(EXP(LN(Z149/X149)/(Z$147-X$147))-1)*100,0)</f>
        <v>4.9080430314852874</v>
      </c>
      <c r="AE149" s="49">
        <f>IF(AB$147-Z$147 &lt;&gt; 0,(EXP(LN(AB149/Z149)/(AB$147-Z$147))-1)*100,0)</f>
        <v>2.7711539167587063</v>
      </c>
    </row>
    <row r="150" spans="1:31" x14ac:dyDescent="0.2">
      <c r="A150" s="12" t="str">
        <f t="shared" ref="A150:F175" si="145">A9</f>
        <v xml:space="preserve"> 12 Other managers and proprietors</v>
      </c>
      <c r="B150" s="13">
        <f t="shared" si="145"/>
        <v>33.574909986255072</v>
      </c>
      <c r="C150" s="13">
        <f t="shared" si="145"/>
        <v>38.136685949187907</v>
      </c>
      <c r="D150" s="13">
        <f t="shared" si="145"/>
        <v>45.562422803506315</v>
      </c>
      <c r="E150" s="13">
        <f t="shared" si="145"/>
        <v>47.895598726254597</v>
      </c>
      <c r="F150" s="13">
        <f t="shared" si="145"/>
        <v>49.930926503086525</v>
      </c>
      <c r="G150" s="286"/>
      <c r="H150" s="49">
        <f t="shared" ref="H150:H175" si="146">IF(D$147-B$147 &lt;&gt; 0,(EXP(LN(D150/B150)/(D$147-B$147))-1)*100,0)</f>
        <v>3.1001258201194482</v>
      </c>
      <c r="I150" s="49">
        <f t="shared" ref="I150:I175" si="147">IF(F$147-D$147 &lt;&gt; 0,(EXP(LN(F150/D150)/(F$147-D$147))-1)*100,0)</f>
        <v>0.9197768365001302</v>
      </c>
      <c r="L150" s="12" t="str">
        <f t="shared" ref="L150:Q150" si="148">L9</f>
        <v xml:space="preserve"> 12 Other managers and proprietors</v>
      </c>
      <c r="M150" s="13">
        <f t="shared" si="148"/>
        <v>20.154681798149738</v>
      </c>
      <c r="N150" s="13">
        <f t="shared" si="148"/>
        <v>23.718311749982856</v>
      </c>
      <c r="O150" s="13">
        <f t="shared" si="148"/>
        <v>24.314430829333858</v>
      </c>
      <c r="P150" s="13">
        <f t="shared" si="148"/>
        <v>25.020377410687395</v>
      </c>
      <c r="Q150" s="13">
        <f t="shared" si="148"/>
        <v>25.684603474999857</v>
      </c>
      <c r="S150" s="49">
        <f t="shared" ref="S150:S173" si="149">IF(O$147-M$147 &lt;&gt; 0,(EXP(LN(O150/M150)/(O$147-M$147))-1)*100,0)</f>
        <v>1.8940480344153743</v>
      </c>
      <c r="T150" s="49">
        <f t="shared" ref="T150:T173" si="150">IF(Q$147-O$147 &lt;&gt; 0,(EXP(LN(Q150/O150)/(Q$147-O$147))-1)*100,0)</f>
        <v>0.5497223629842285</v>
      </c>
      <c r="W150" s="12" t="str">
        <f t="shared" ref="W150:AB150" si="151">W9</f>
        <v xml:space="preserve"> 12 Other managers and proprietors</v>
      </c>
      <c r="X150" s="13">
        <f t="shared" si="151"/>
        <v>13.420228188105371</v>
      </c>
      <c r="Y150" s="13">
        <f t="shared" si="151"/>
        <v>14.418374199205072</v>
      </c>
      <c r="Z150" s="13">
        <f t="shared" si="151"/>
        <v>21.2479919741725</v>
      </c>
      <c r="AA150" s="13">
        <f t="shared" si="151"/>
        <v>22.875221315567192</v>
      </c>
      <c r="AB150" s="13">
        <f t="shared" si="151"/>
        <v>24.246323028086689</v>
      </c>
      <c r="AD150" s="49">
        <f t="shared" ref="AD150:AD173" si="152">IF(Z$147-X$147 &lt;&gt; 0,(EXP(LN(Z150/X150)/(Z$147-X$147))-1)*100,0)</f>
        <v>4.7021981127232104</v>
      </c>
      <c r="AE150" s="49">
        <f t="shared" ref="AE150:AE173" si="153">IF(AB$147-Z$147 &lt;&gt; 0,(EXP(LN(AB150/Z150)/(AB$147-Z$147))-1)*100,0)</f>
        <v>1.3287766288671232</v>
      </c>
    </row>
    <row r="151" spans="1:31" x14ac:dyDescent="0.2">
      <c r="A151" s="12" t="str">
        <f t="shared" si="145"/>
        <v xml:space="preserve"> 21 Science, research, engineering and technology professionals</v>
      </c>
      <c r="B151" s="13">
        <f t="shared" si="145"/>
        <v>39.404062516743629</v>
      </c>
      <c r="C151" s="13">
        <f t="shared" si="145"/>
        <v>40.310454710373008</v>
      </c>
      <c r="D151" s="13">
        <f t="shared" si="145"/>
        <v>48.951367989588107</v>
      </c>
      <c r="E151" s="13">
        <f t="shared" si="145"/>
        <v>51.330824580438318</v>
      </c>
      <c r="F151" s="13">
        <f t="shared" si="145"/>
        <v>53.238061977314004</v>
      </c>
      <c r="G151" s="286"/>
      <c r="H151" s="49">
        <f t="shared" si="146"/>
        <v>2.1932905540868131</v>
      </c>
      <c r="I151" s="49">
        <f t="shared" si="147"/>
        <v>0.84299612859253248</v>
      </c>
      <c r="L151" s="12" t="str">
        <f t="shared" ref="L151:Q151" si="154">L10</f>
        <v xml:space="preserve"> 21 Science, research, engineering and technology professionals</v>
      </c>
      <c r="M151" s="13">
        <f t="shared" si="154"/>
        <v>32.85514132114313</v>
      </c>
      <c r="N151" s="13">
        <f t="shared" si="154"/>
        <v>32.918372463483301</v>
      </c>
      <c r="O151" s="13">
        <f t="shared" si="154"/>
        <v>38.566205916195614</v>
      </c>
      <c r="P151" s="13">
        <f t="shared" si="154"/>
        <v>39.471630001100067</v>
      </c>
      <c r="Q151" s="13">
        <f t="shared" si="154"/>
        <v>40.006152322875977</v>
      </c>
      <c r="S151" s="49">
        <f t="shared" si="149"/>
        <v>1.6155933963598823</v>
      </c>
      <c r="T151" s="49">
        <f t="shared" si="150"/>
        <v>0.36724120164788321</v>
      </c>
      <c r="W151" s="12" t="str">
        <f t="shared" ref="W151:AB151" si="155">W10</f>
        <v xml:space="preserve"> 21 Science, research, engineering and technology professionals</v>
      </c>
      <c r="X151" s="13">
        <f t="shared" si="155"/>
        <v>6.5489211956003803</v>
      </c>
      <c r="Y151" s="13">
        <f t="shared" si="155"/>
        <v>7.3920822468897791</v>
      </c>
      <c r="Z151" s="13">
        <f t="shared" si="155"/>
        <v>10.385162073392438</v>
      </c>
      <c r="AA151" s="13">
        <f t="shared" si="155"/>
        <v>11.859194579338242</v>
      </c>
      <c r="AB151" s="13">
        <f t="shared" si="155"/>
        <v>13.231909654438017</v>
      </c>
      <c r="AD151" s="49">
        <f t="shared" si="152"/>
        <v>4.7187263448790651</v>
      </c>
      <c r="AE151" s="49">
        <f t="shared" si="153"/>
        <v>2.4521141778180988</v>
      </c>
    </row>
    <row r="152" spans="1:31" x14ac:dyDescent="0.2">
      <c r="A152" s="12" t="str">
        <f t="shared" si="145"/>
        <v xml:space="preserve"> 22 Health professionals</v>
      </c>
      <c r="B152" s="13">
        <f t="shared" si="145"/>
        <v>65.918325380874236</v>
      </c>
      <c r="C152" s="13">
        <f t="shared" si="145"/>
        <v>73.932405683303031</v>
      </c>
      <c r="D152" s="13">
        <f t="shared" si="145"/>
        <v>96.439442296228563</v>
      </c>
      <c r="E152" s="13">
        <f t="shared" si="145"/>
        <v>104.33498800884813</v>
      </c>
      <c r="F152" s="13">
        <f t="shared" si="145"/>
        <v>112.3717737309305</v>
      </c>
      <c r="G152" s="286"/>
      <c r="H152" s="49">
        <f t="shared" si="146"/>
        <v>3.8783044933423216</v>
      </c>
      <c r="I152" s="49">
        <f t="shared" si="147"/>
        <v>1.5407237475517643</v>
      </c>
      <c r="L152" s="12" t="str">
        <f t="shared" ref="L152:Q152" si="156">L11</f>
        <v xml:space="preserve"> 22 Health professionals</v>
      </c>
      <c r="M152" s="13">
        <f t="shared" si="156"/>
        <v>19.142633155119171</v>
      </c>
      <c r="N152" s="13">
        <f t="shared" si="156"/>
        <v>24.086591417072942</v>
      </c>
      <c r="O152" s="13">
        <f t="shared" si="156"/>
        <v>28.336553949905682</v>
      </c>
      <c r="P152" s="13">
        <f t="shared" si="156"/>
        <v>29.437707223363059</v>
      </c>
      <c r="Q152" s="13">
        <f t="shared" si="156"/>
        <v>31.198246186391458</v>
      </c>
      <c r="S152" s="49">
        <f t="shared" si="149"/>
        <v>4.0002865066107507</v>
      </c>
      <c r="T152" s="49">
        <f t="shared" si="150"/>
        <v>0.96673549878010245</v>
      </c>
      <c r="W152" s="12" t="str">
        <f t="shared" ref="W152:AB152" si="157">W11</f>
        <v xml:space="preserve"> 22 Health professionals</v>
      </c>
      <c r="X152" s="13">
        <f t="shared" si="157"/>
        <v>46.775692225755037</v>
      </c>
      <c r="Y152" s="13">
        <f t="shared" si="157"/>
        <v>49.845814266230278</v>
      </c>
      <c r="Z152" s="13">
        <f t="shared" si="157"/>
        <v>68.102888346322899</v>
      </c>
      <c r="AA152" s="13">
        <f t="shared" si="157"/>
        <v>74.897280785485165</v>
      </c>
      <c r="AB152" s="13">
        <f t="shared" si="157"/>
        <v>81.173527544539041</v>
      </c>
      <c r="AD152" s="49">
        <f t="shared" si="152"/>
        <v>3.828010129445647</v>
      </c>
      <c r="AE152" s="49">
        <f t="shared" si="153"/>
        <v>1.7711984590179197</v>
      </c>
    </row>
    <row r="153" spans="1:31" x14ac:dyDescent="0.2">
      <c r="A153" s="12" t="str">
        <f t="shared" si="145"/>
        <v xml:space="preserve"> 23 Teaching and educational professionals</v>
      </c>
      <c r="B153" s="13">
        <f t="shared" si="145"/>
        <v>73.917574240407916</v>
      </c>
      <c r="C153" s="13">
        <f t="shared" si="145"/>
        <v>83.824240112476602</v>
      </c>
      <c r="D153" s="13">
        <f t="shared" si="145"/>
        <v>93.711316882436563</v>
      </c>
      <c r="E153" s="13">
        <f t="shared" si="145"/>
        <v>96.639242989237744</v>
      </c>
      <c r="F153" s="13">
        <f t="shared" si="145"/>
        <v>104.26072423736112</v>
      </c>
      <c r="G153" s="286"/>
      <c r="H153" s="49">
        <f t="shared" si="146"/>
        <v>2.4010555735428207</v>
      </c>
      <c r="I153" s="49">
        <f t="shared" si="147"/>
        <v>1.0724678058517956</v>
      </c>
      <c r="L153" s="12" t="str">
        <f t="shared" ref="L153:Q153" si="158">L12</f>
        <v xml:space="preserve"> 23 Teaching and educational professionals</v>
      </c>
      <c r="M153" s="13">
        <f t="shared" si="158"/>
        <v>24.563249491157372</v>
      </c>
      <c r="N153" s="13">
        <f t="shared" si="158"/>
        <v>29.108742173996582</v>
      </c>
      <c r="O153" s="13">
        <f t="shared" si="158"/>
        <v>32.32617902029677</v>
      </c>
      <c r="P153" s="13">
        <f t="shared" si="158"/>
        <v>31.965915657150685</v>
      </c>
      <c r="Q153" s="13">
        <f t="shared" si="158"/>
        <v>33.518277486137045</v>
      </c>
      <c r="S153" s="49">
        <f t="shared" si="149"/>
        <v>2.7843172554153028</v>
      </c>
      <c r="T153" s="49">
        <f t="shared" si="150"/>
        <v>0.3627913877145561</v>
      </c>
      <c r="W153" s="12" t="str">
        <f t="shared" ref="W153:AB153" si="159">W12</f>
        <v xml:space="preserve"> 23 Teaching and educational professionals</v>
      </c>
      <c r="X153" s="13">
        <f t="shared" si="159"/>
        <v>49.35432474925058</v>
      </c>
      <c r="Y153" s="13">
        <f t="shared" si="159"/>
        <v>54.715497938480262</v>
      </c>
      <c r="Z153" s="13">
        <f t="shared" si="159"/>
        <v>61.385137862139736</v>
      </c>
      <c r="AA153" s="13">
        <f t="shared" si="159"/>
        <v>64.673327332087055</v>
      </c>
      <c r="AB153" s="13">
        <f t="shared" si="159"/>
        <v>70.742446751224151</v>
      </c>
      <c r="AD153" s="49">
        <f t="shared" si="152"/>
        <v>2.2053905524439754</v>
      </c>
      <c r="AE153" s="49">
        <f t="shared" si="153"/>
        <v>1.4288926504637312</v>
      </c>
    </row>
    <row r="154" spans="1:31" x14ac:dyDescent="0.2">
      <c r="A154" s="12" t="str">
        <f t="shared" si="145"/>
        <v xml:space="preserve"> 24 Business, media and public service professionals</v>
      </c>
      <c r="B154" s="13">
        <f t="shared" si="145"/>
        <v>41.841572819713782</v>
      </c>
      <c r="C154" s="13">
        <f t="shared" si="145"/>
        <v>40.050599067696901</v>
      </c>
      <c r="D154" s="13">
        <f t="shared" si="145"/>
        <v>47.830198994488903</v>
      </c>
      <c r="E154" s="13">
        <f t="shared" si="145"/>
        <v>52.055696611402929</v>
      </c>
      <c r="F154" s="13">
        <f t="shared" si="145"/>
        <v>54.894569880366987</v>
      </c>
      <c r="G154" s="286"/>
      <c r="H154" s="49">
        <f t="shared" si="146"/>
        <v>1.3466548838722003</v>
      </c>
      <c r="I154" s="49">
        <f t="shared" si="147"/>
        <v>1.3871044082407025</v>
      </c>
      <c r="L154" s="12" t="str">
        <f t="shared" ref="L154:Q154" si="160">L13</f>
        <v xml:space="preserve"> 24 Business, media and public service professionals</v>
      </c>
      <c r="M154" s="13">
        <f t="shared" si="160"/>
        <v>24.264266047829025</v>
      </c>
      <c r="N154" s="13">
        <f t="shared" si="160"/>
        <v>21.157753025800819</v>
      </c>
      <c r="O154" s="13">
        <f t="shared" si="160"/>
        <v>21.859349683733893</v>
      </c>
      <c r="P154" s="13">
        <f t="shared" si="160"/>
        <v>22.368818777925583</v>
      </c>
      <c r="Q154" s="13">
        <f t="shared" si="160"/>
        <v>22.010129556963619</v>
      </c>
      <c r="S154" s="49">
        <f t="shared" si="149"/>
        <v>-1.0383317463538821</v>
      </c>
      <c r="T154" s="49">
        <f t="shared" si="150"/>
        <v>6.8764118041708677E-2</v>
      </c>
      <c r="W154" s="12" t="str">
        <f t="shared" ref="W154:AB154" si="161">W13</f>
        <v xml:space="preserve"> 24 Business, media and public service professionals</v>
      </c>
      <c r="X154" s="13">
        <f t="shared" si="161"/>
        <v>17.577306771884707</v>
      </c>
      <c r="Y154" s="13">
        <f t="shared" si="161"/>
        <v>18.892846041896142</v>
      </c>
      <c r="Z154" s="13">
        <f t="shared" si="161"/>
        <v>25.97084931075506</v>
      </c>
      <c r="AA154" s="13">
        <f t="shared" si="161"/>
        <v>29.686877833477499</v>
      </c>
      <c r="AB154" s="13">
        <f t="shared" si="161"/>
        <v>32.884440323403325</v>
      </c>
      <c r="AD154" s="49">
        <f t="shared" si="152"/>
        <v>3.9808544788248357</v>
      </c>
      <c r="AE154" s="49">
        <f t="shared" si="153"/>
        <v>2.3883230983964721</v>
      </c>
    </row>
    <row r="155" spans="1:31" x14ac:dyDescent="0.2">
      <c r="A155" s="12" t="str">
        <f t="shared" si="145"/>
        <v xml:space="preserve"> 31 Science, engineering and technology associate professionals</v>
      </c>
      <c r="B155" s="13">
        <f t="shared" si="145"/>
        <v>23.969208752827978</v>
      </c>
      <c r="C155" s="13">
        <f t="shared" si="145"/>
        <v>22.082241601988173</v>
      </c>
      <c r="D155" s="13">
        <f t="shared" si="145"/>
        <v>25.153076673906533</v>
      </c>
      <c r="E155" s="13">
        <f t="shared" si="145"/>
        <v>25.133794864033277</v>
      </c>
      <c r="F155" s="13">
        <f t="shared" si="145"/>
        <v>25.291027134911744</v>
      </c>
      <c r="G155" s="286"/>
      <c r="H155" s="49">
        <f t="shared" si="146"/>
        <v>0.48326582084652348</v>
      </c>
      <c r="I155" s="49">
        <f t="shared" si="147"/>
        <v>5.4709481239223479E-2</v>
      </c>
      <c r="L155" s="12" t="str">
        <f t="shared" ref="L155:Q155" si="162">L14</f>
        <v xml:space="preserve"> 31 Science, engineering and technology associate professionals</v>
      </c>
      <c r="M155" s="13">
        <f t="shared" si="162"/>
        <v>18.500234166713323</v>
      </c>
      <c r="N155" s="13">
        <f t="shared" si="162"/>
        <v>16.84279092894101</v>
      </c>
      <c r="O155" s="13">
        <f t="shared" si="162"/>
        <v>19.101619639066506</v>
      </c>
      <c r="P155" s="13">
        <f t="shared" si="162"/>
        <v>19.120412228436219</v>
      </c>
      <c r="Q155" s="13">
        <f t="shared" si="162"/>
        <v>19.279374227958979</v>
      </c>
      <c r="S155" s="49">
        <f t="shared" si="149"/>
        <v>0.32040961426607062</v>
      </c>
      <c r="T155" s="49">
        <f t="shared" si="150"/>
        <v>9.2669934927713804E-2</v>
      </c>
      <c r="W155" s="12" t="str">
        <f t="shared" ref="W155:AB155" si="163">W14</f>
        <v xml:space="preserve"> 31 Science, engineering and technology associate professionals</v>
      </c>
      <c r="X155" s="13">
        <f t="shared" si="163"/>
        <v>5.4689745861146513</v>
      </c>
      <c r="Y155" s="13">
        <f t="shared" si="163"/>
        <v>5.239450673047144</v>
      </c>
      <c r="Z155" s="13">
        <f t="shared" si="163"/>
        <v>6.0514570348399603</v>
      </c>
      <c r="AA155" s="13">
        <f t="shared" si="163"/>
        <v>6.0133826355970879</v>
      </c>
      <c r="AB155" s="13">
        <f t="shared" si="163"/>
        <v>6.0116529069527269</v>
      </c>
      <c r="AD155" s="49">
        <f t="shared" si="152"/>
        <v>1.0172182230671067</v>
      </c>
      <c r="AE155" s="49">
        <f t="shared" si="153"/>
        <v>-6.5971613182214117E-2</v>
      </c>
    </row>
    <row r="156" spans="1:31" x14ac:dyDescent="0.2">
      <c r="A156" s="12" t="str">
        <f t="shared" si="145"/>
        <v xml:space="preserve"> 32 Health and social care associate professionals</v>
      </c>
      <c r="B156" s="13">
        <f t="shared" si="145"/>
        <v>22.021237095591832</v>
      </c>
      <c r="C156" s="13">
        <f t="shared" si="145"/>
        <v>24.271169744617566</v>
      </c>
      <c r="D156" s="13">
        <f t="shared" si="145"/>
        <v>31.236630799272728</v>
      </c>
      <c r="E156" s="13">
        <f t="shared" si="145"/>
        <v>33.858640696036062</v>
      </c>
      <c r="F156" s="13">
        <f t="shared" si="145"/>
        <v>36.336353610236586</v>
      </c>
      <c r="G156" s="286"/>
      <c r="H156" s="49">
        <f t="shared" si="146"/>
        <v>3.5576644480845854</v>
      </c>
      <c r="I156" s="49">
        <f t="shared" si="147"/>
        <v>1.5237651683793763</v>
      </c>
      <c r="L156" s="12" t="str">
        <f t="shared" ref="L156:Q156" si="164">L15</f>
        <v xml:space="preserve"> 32 Health and social care associate professionals</v>
      </c>
      <c r="M156" s="13">
        <f t="shared" si="164"/>
        <v>6.7370099437551998</v>
      </c>
      <c r="N156" s="13">
        <f t="shared" si="164"/>
        <v>8.7801524016772809</v>
      </c>
      <c r="O156" s="13">
        <f t="shared" si="164"/>
        <v>10.113734440959385</v>
      </c>
      <c r="P156" s="13">
        <f t="shared" si="164"/>
        <v>10.501692106814589</v>
      </c>
      <c r="Q156" s="13">
        <f t="shared" si="164"/>
        <v>11.118969015117107</v>
      </c>
      <c r="S156" s="49">
        <f t="shared" si="149"/>
        <v>4.1464415737409333</v>
      </c>
      <c r="T156" s="49">
        <f t="shared" si="150"/>
        <v>0.95208601817797778</v>
      </c>
      <c r="W156" s="12" t="str">
        <f t="shared" ref="W156:AB156" si="165">W15</f>
        <v xml:space="preserve"> 32 Health and social care associate professionals</v>
      </c>
      <c r="X156" s="13">
        <f t="shared" si="165"/>
        <v>15.284227151836662</v>
      </c>
      <c r="Y156" s="13">
        <f t="shared" si="165"/>
        <v>15.491017342940316</v>
      </c>
      <c r="Z156" s="13">
        <f t="shared" si="165"/>
        <v>21.122896358313348</v>
      </c>
      <c r="AA156" s="13">
        <f t="shared" si="165"/>
        <v>23.356948589221588</v>
      </c>
      <c r="AB156" s="13">
        <f t="shared" si="165"/>
        <v>25.217384595119452</v>
      </c>
      <c r="AD156" s="49">
        <f t="shared" si="152"/>
        <v>3.2882688303867313</v>
      </c>
      <c r="AE156" s="49">
        <f t="shared" si="153"/>
        <v>1.7875491215487704</v>
      </c>
    </row>
    <row r="157" spans="1:31" x14ac:dyDescent="0.2">
      <c r="A157" s="12" t="str">
        <f t="shared" si="145"/>
        <v xml:space="preserve"> 33 Protective service occupations</v>
      </c>
      <c r="B157" s="13">
        <f t="shared" si="145"/>
        <v>18.193573896604018</v>
      </c>
      <c r="C157" s="13">
        <f t="shared" si="145"/>
        <v>16.088909587826628</v>
      </c>
      <c r="D157" s="13">
        <f t="shared" si="145"/>
        <v>16.715828527620712</v>
      </c>
      <c r="E157" s="13">
        <f t="shared" si="145"/>
        <v>16.17133108976617</v>
      </c>
      <c r="F157" s="13">
        <f t="shared" si="145"/>
        <v>15.812025383532305</v>
      </c>
      <c r="G157" s="286"/>
      <c r="H157" s="49">
        <f t="shared" si="146"/>
        <v>-0.84354564401439847</v>
      </c>
      <c r="I157" s="49">
        <f t="shared" si="147"/>
        <v>-0.55431135151697841</v>
      </c>
      <c r="L157" s="12" t="str">
        <f t="shared" ref="L157:Q157" si="166">L16</f>
        <v xml:space="preserve"> 33 Protective service occupations</v>
      </c>
      <c r="M157" s="13">
        <f t="shared" si="166"/>
        <v>14.989787794035438</v>
      </c>
      <c r="N157" s="13">
        <f t="shared" si="166"/>
        <v>12.765147869636181</v>
      </c>
      <c r="O157" s="13">
        <f t="shared" si="166"/>
        <v>12.839479722247431</v>
      </c>
      <c r="P157" s="13">
        <f t="shared" si="166"/>
        <v>11.825453591814771</v>
      </c>
      <c r="Q157" s="13">
        <f t="shared" si="166"/>
        <v>10.978205915059863</v>
      </c>
      <c r="S157" s="49">
        <f t="shared" si="149"/>
        <v>-1.5365170297692354</v>
      </c>
      <c r="T157" s="49">
        <f t="shared" si="150"/>
        <v>-1.5539274989556207</v>
      </c>
      <c r="W157" s="12" t="str">
        <f t="shared" ref="W157:AB157" si="167">W16</f>
        <v xml:space="preserve"> 33 Protective service occupations</v>
      </c>
      <c r="X157" s="13">
        <f t="shared" si="167"/>
        <v>3.203786102568603</v>
      </c>
      <c r="Y157" s="13">
        <f t="shared" si="167"/>
        <v>3.3237617181904318</v>
      </c>
      <c r="Z157" s="13">
        <f t="shared" si="167"/>
        <v>3.8763488053733042</v>
      </c>
      <c r="AA157" s="13">
        <f t="shared" si="167"/>
        <v>4.3458774979514097</v>
      </c>
      <c r="AB157" s="13">
        <f t="shared" si="167"/>
        <v>4.8338194684724112</v>
      </c>
      <c r="AD157" s="49">
        <f t="shared" si="152"/>
        <v>1.9238766540116137</v>
      </c>
      <c r="AE157" s="49">
        <f t="shared" si="153"/>
        <v>2.2319766006877018</v>
      </c>
    </row>
    <row r="158" spans="1:31" x14ac:dyDescent="0.2">
      <c r="A158" s="12" t="str">
        <f t="shared" si="145"/>
        <v xml:space="preserve"> 34 Culture, media and sports occupations</v>
      </c>
      <c r="B158" s="13">
        <f t="shared" si="145"/>
        <v>17.306171623307954</v>
      </c>
      <c r="C158" s="13">
        <f t="shared" si="145"/>
        <v>21.245999474288546</v>
      </c>
      <c r="D158" s="13">
        <f t="shared" si="145"/>
        <v>26.053726016084362</v>
      </c>
      <c r="E158" s="13">
        <f t="shared" si="145"/>
        <v>28.046718468437099</v>
      </c>
      <c r="F158" s="13">
        <f t="shared" si="145"/>
        <v>28.887592472886212</v>
      </c>
      <c r="G158" s="286"/>
      <c r="H158" s="49">
        <f t="shared" si="146"/>
        <v>4.1758094313880001</v>
      </c>
      <c r="I158" s="49">
        <f t="shared" si="147"/>
        <v>1.0378626727059803</v>
      </c>
      <c r="L158" s="12" t="str">
        <f t="shared" ref="L158:Q158" si="168">L17</f>
        <v xml:space="preserve"> 34 Culture, media and sports occupations</v>
      </c>
      <c r="M158" s="13">
        <f t="shared" si="168"/>
        <v>8.2943436082555362</v>
      </c>
      <c r="N158" s="13">
        <f t="shared" si="168"/>
        <v>11.532838967776714</v>
      </c>
      <c r="O158" s="13">
        <f t="shared" si="168"/>
        <v>12.279237058956587</v>
      </c>
      <c r="P158" s="13">
        <f t="shared" si="168"/>
        <v>12.805925575914964</v>
      </c>
      <c r="Q158" s="13">
        <f t="shared" si="168"/>
        <v>12.982121304074246</v>
      </c>
      <c r="S158" s="49">
        <f t="shared" si="149"/>
        <v>4.0013402671115195</v>
      </c>
      <c r="T158" s="49">
        <f t="shared" si="150"/>
        <v>0.5581854273586595</v>
      </c>
      <c r="W158" s="12" t="str">
        <f t="shared" ref="W158:AB158" si="169">W17</f>
        <v xml:space="preserve"> 34 Culture, media and sports occupations</v>
      </c>
      <c r="X158" s="13">
        <f t="shared" si="169"/>
        <v>9.0118280150524246</v>
      </c>
      <c r="Y158" s="13">
        <f t="shared" si="169"/>
        <v>9.7131605065118176</v>
      </c>
      <c r="Z158" s="13">
        <f t="shared" si="169"/>
        <v>13.774488957127767</v>
      </c>
      <c r="AA158" s="13">
        <f t="shared" si="169"/>
        <v>15.240792892522137</v>
      </c>
      <c r="AB158" s="13">
        <f t="shared" si="169"/>
        <v>15.905471168811967</v>
      </c>
      <c r="AD158" s="49">
        <f t="shared" si="152"/>
        <v>4.3340966160013261</v>
      </c>
      <c r="AE158" s="49">
        <f t="shared" si="153"/>
        <v>1.4488443979323362</v>
      </c>
    </row>
    <row r="159" spans="1:31" x14ac:dyDescent="0.2">
      <c r="A159" s="12" t="str">
        <f t="shared" si="145"/>
        <v xml:space="preserve"> 35 Business and public service associate professionals</v>
      </c>
      <c r="B159" s="13">
        <f t="shared" si="145"/>
        <v>64.062602617111267</v>
      </c>
      <c r="C159" s="13">
        <f t="shared" si="145"/>
        <v>61.737146872551641</v>
      </c>
      <c r="D159" s="13">
        <f t="shared" si="145"/>
        <v>72.912857153089021</v>
      </c>
      <c r="E159" s="13">
        <f t="shared" si="145"/>
        <v>78.301758506839192</v>
      </c>
      <c r="F159" s="13">
        <f t="shared" si="145"/>
        <v>82.682412933942729</v>
      </c>
      <c r="H159" s="49">
        <f t="shared" si="146"/>
        <v>1.302451151537487</v>
      </c>
      <c r="I159" s="49">
        <f t="shared" si="147"/>
        <v>1.2653580353135352</v>
      </c>
      <c r="L159" s="12" t="str">
        <f t="shared" ref="L159:Q159" si="170">L18</f>
        <v xml:space="preserve"> 35 Business and public service associate professionals</v>
      </c>
      <c r="M159" s="13">
        <f t="shared" si="170"/>
        <v>37.674024613124558</v>
      </c>
      <c r="N159" s="13">
        <f t="shared" si="170"/>
        <v>35.00840822450688</v>
      </c>
      <c r="O159" s="13">
        <f t="shared" si="170"/>
        <v>38.147463884032717</v>
      </c>
      <c r="P159" s="13">
        <f t="shared" si="170"/>
        <v>38.951003819559091</v>
      </c>
      <c r="Q159" s="13">
        <f t="shared" si="170"/>
        <v>39.263871381642652</v>
      </c>
      <c r="S159" s="49">
        <f t="shared" si="149"/>
        <v>0.12496224642664089</v>
      </c>
      <c r="T159" s="49">
        <f t="shared" si="150"/>
        <v>0.28887157969854638</v>
      </c>
      <c r="W159" s="12" t="str">
        <f t="shared" ref="W159:AB159" si="171">W18</f>
        <v xml:space="preserve"> 35 Business and public service associate professionals</v>
      </c>
      <c r="X159" s="13">
        <f t="shared" si="171"/>
        <v>26.388578003986773</v>
      </c>
      <c r="Y159" s="13">
        <f t="shared" si="171"/>
        <v>26.7287386480448</v>
      </c>
      <c r="Z159" s="13">
        <f t="shared" si="171"/>
        <v>34.765393269056503</v>
      </c>
      <c r="AA159" s="13">
        <f t="shared" si="171"/>
        <v>39.350754687279974</v>
      </c>
      <c r="AB159" s="13">
        <f t="shared" si="171"/>
        <v>43.418541552300141</v>
      </c>
      <c r="AD159" s="49">
        <f t="shared" si="152"/>
        <v>2.795266273868191</v>
      </c>
      <c r="AE159" s="49">
        <f t="shared" si="153"/>
        <v>2.2475259841441497</v>
      </c>
    </row>
    <row r="160" spans="1:31" x14ac:dyDescent="0.2">
      <c r="A160" s="12" t="str">
        <f t="shared" si="145"/>
        <v xml:space="preserve"> 41 Administrative occupations</v>
      </c>
      <c r="B160" s="13">
        <f t="shared" si="145"/>
        <v>128.76139674940373</v>
      </c>
      <c r="C160" s="13">
        <f t="shared" si="145"/>
        <v>119.92922229333625</v>
      </c>
      <c r="D160" s="13">
        <f t="shared" si="145"/>
        <v>127.5213345098998</v>
      </c>
      <c r="E160" s="13">
        <f t="shared" si="145"/>
        <v>123.6717396969581</v>
      </c>
      <c r="F160" s="13">
        <f t="shared" si="145"/>
        <v>120.00823804562896</v>
      </c>
      <c r="H160" s="49">
        <f t="shared" si="146"/>
        <v>-9.6726929101975667E-2</v>
      </c>
      <c r="I160" s="49">
        <f t="shared" si="147"/>
        <v>-0.60539296001799192</v>
      </c>
      <c r="L160" s="12" t="str">
        <f t="shared" ref="L160:Q160" si="172">L19</f>
        <v xml:space="preserve"> 41 Administrative occupations</v>
      </c>
      <c r="M160" s="13">
        <f t="shared" si="172"/>
        <v>38.430660663971736</v>
      </c>
      <c r="N160" s="13">
        <f t="shared" si="172"/>
        <v>37.880163361766456</v>
      </c>
      <c r="O160" s="13">
        <f t="shared" si="172"/>
        <v>39.816274262878977</v>
      </c>
      <c r="P160" s="13">
        <f t="shared" si="172"/>
        <v>40.07744822680629</v>
      </c>
      <c r="Q160" s="13">
        <f t="shared" si="172"/>
        <v>41.035457469735661</v>
      </c>
      <c r="S160" s="49">
        <f t="shared" si="149"/>
        <v>0.35482937424256011</v>
      </c>
      <c r="T160" s="49">
        <f t="shared" si="150"/>
        <v>0.30206308903575341</v>
      </c>
      <c r="W160" s="12" t="str">
        <f t="shared" ref="W160:AB160" si="173">W19</f>
        <v xml:space="preserve"> 41 Administrative occupations</v>
      </c>
      <c r="X160" s="13">
        <f t="shared" si="173"/>
        <v>90.330736085431752</v>
      </c>
      <c r="Y160" s="13">
        <f t="shared" si="173"/>
        <v>82.049058931569704</v>
      </c>
      <c r="Z160" s="13">
        <f t="shared" si="173"/>
        <v>87.705060247020924</v>
      </c>
      <c r="AA160" s="13">
        <f t="shared" si="173"/>
        <v>83.594291470151816</v>
      </c>
      <c r="AB160" s="13">
        <f t="shared" si="173"/>
        <v>78.972780575893367</v>
      </c>
      <c r="AD160" s="49">
        <f t="shared" si="152"/>
        <v>-0.29454718361514587</v>
      </c>
      <c r="AE160" s="49">
        <f t="shared" si="153"/>
        <v>-1.043283188570765</v>
      </c>
    </row>
    <row r="161" spans="1:31" x14ac:dyDescent="0.2">
      <c r="A161" s="12" t="str">
        <f t="shared" si="145"/>
        <v xml:space="preserve"> 42 Secretarial and related occupations</v>
      </c>
      <c r="B161" s="13">
        <f t="shared" si="145"/>
        <v>39.05845849832626</v>
      </c>
      <c r="C161" s="13">
        <f t="shared" si="145"/>
        <v>34.630344233879086</v>
      </c>
      <c r="D161" s="13">
        <f t="shared" si="145"/>
        <v>33.110290969005057</v>
      </c>
      <c r="E161" s="13">
        <f t="shared" si="145"/>
        <v>25.247136677405564</v>
      </c>
      <c r="F161" s="13">
        <f t="shared" si="145"/>
        <v>18.72318856576376</v>
      </c>
      <c r="H161" s="49">
        <f t="shared" si="146"/>
        <v>-1.638580004104051</v>
      </c>
      <c r="I161" s="49">
        <f t="shared" si="147"/>
        <v>-5.5413615210982208</v>
      </c>
      <c r="L161" s="12" t="str">
        <f t="shared" ref="L161:Q161" si="174">L20</f>
        <v xml:space="preserve"> 42 Secretarial and related occupations</v>
      </c>
      <c r="M161" s="13">
        <f t="shared" si="174"/>
        <v>2.086585094937166</v>
      </c>
      <c r="N161" s="13">
        <f t="shared" si="174"/>
        <v>2.1666161452600967</v>
      </c>
      <c r="O161" s="13">
        <f t="shared" si="174"/>
        <v>2.2326190561804076</v>
      </c>
      <c r="P161" s="13">
        <f t="shared" si="174"/>
        <v>2.2797456708006041</v>
      </c>
      <c r="Q161" s="13">
        <f t="shared" si="174"/>
        <v>2.390793917347847</v>
      </c>
      <c r="S161" s="49">
        <f t="shared" si="149"/>
        <v>0.67875876818981329</v>
      </c>
      <c r="T161" s="49">
        <f t="shared" si="150"/>
        <v>0.68684939270127199</v>
      </c>
      <c r="W161" s="12" t="str">
        <f t="shared" ref="W161:AB161" si="175">W20</f>
        <v xml:space="preserve"> 42 Secretarial and related occupations</v>
      </c>
      <c r="X161" s="13">
        <f t="shared" si="175"/>
        <v>36.971873403389068</v>
      </c>
      <c r="Y161" s="13">
        <f t="shared" si="175"/>
        <v>32.463728088619028</v>
      </c>
      <c r="Z161" s="13">
        <f t="shared" si="175"/>
        <v>30.877671912824646</v>
      </c>
      <c r="AA161" s="13">
        <f t="shared" si="175"/>
        <v>22.96739100660497</v>
      </c>
      <c r="AB161" s="13">
        <f t="shared" si="175"/>
        <v>16.332394648415899</v>
      </c>
      <c r="AD161" s="49">
        <f t="shared" si="152"/>
        <v>-1.7851157597300937</v>
      </c>
      <c r="AE161" s="49">
        <f t="shared" si="153"/>
        <v>-6.1702559373325805</v>
      </c>
    </row>
    <row r="162" spans="1:31" x14ac:dyDescent="0.2">
      <c r="A162" s="12" t="str">
        <f t="shared" si="145"/>
        <v xml:space="preserve"> 51 Skilled agricultural and related trades</v>
      </c>
      <c r="B162" s="13">
        <f t="shared" si="145"/>
        <v>27.01228324618716</v>
      </c>
      <c r="C162" s="13">
        <f t="shared" si="145"/>
        <v>27.852633214650783</v>
      </c>
      <c r="D162" s="13">
        <f t="shared" si="145"/>
        <v>44.641992580529916</v>
      </c>
      <c r="E162" s="13">
        <f t="shared" si="145"/>
        <v>43.978336219184072</v>
      </c>
      <c r="F162" s="13">
        <f t="shared" si="145"/>
        <v>43.56237546948261</v>
      </c>
      <c r="H162" s="49">
        <f t="shared" si="146"/>
        <v>5.1521671063625263</v>
      </c>
      <c r="I162" s="49">
        <f t="shared" si="147"/>
        <v>-0.24451182051379305</v>
      </c>
      <c r="L162" s="12" t="str">
        <f t="shared" ref="L162:Q162" si="176">L21</f>
        <v xml:space="preserve"> 51 Skilled agricultural and related trades</v>
      </c>
      <c r="M162" s="13">
        <f t="shared" si="176"/>
        <v>22.466448016828103</v>
      </c>
      <c r="N162" s="13">
        <f t="shared" si="176"/>
        <v>21.431548564877392</v>
      </c>
      <c r="O162" s="13">
        <f t="shared" si="176"/>
        <v>34.933712388819252</v>
      </c>
      <c r="P162" s="13">
        <f t="shared" si="176"/>
        <v>33.933115053708306</v>
      </c>
      <c r="Q162" s="13">
        <f t="shared" si="176"/>
        <v>33.484558147791688</v>
      </c>
      <c r="S162" s="49">
        <f t="shared" si="149"/>
        <v>4.5131728754837397</v>
      </c>
      <c r="T162" s="49">
        <f t="shared" si="150"/>
        <v>-0.42278326687466006</v>
      </c>
      <c r="W162" s="12" t="str">
        <f t="shared" ref="W162:AB162" si="177">W21</f>
        <v xml:space="preserve"> 51 Skilled agricultural and related trades</v>
      </c>
      <c r="X162" s="13">
        <f t="shared" si="177"/>
        <v>4.5458352293590005</v>
      </c>
      <c r="Y162" s="13">
        <f t="shared" si="177"/>
        <v>6.4210846497733955</v>
      </c>
      <c r="Z162" s="13">
        <f t="shared" si="177"/>
        <v>9.7082801917104877</v>
      </c>
      <c r="AA162" s="13">
        <f t="shared" si="177"/>
        <v>10.045221165475807</v>
      </c>
      <c r="AB162" s="13">
        <f t="shared" si="177"/>
        <v>10.077817321691011</v>
      </c>
      <c r="AD162" s="49">
        <f t="shared" si="152"/>
        <v>7.8829618533844181</v>
      </c>
      <c r="AE162" s="49">
        <f t="shared" si="153"/>
        <v>0.37427420579032589</v>
      </c>
    </row>
    <row r="163" spans="1:31" x14ac:dyDescent="0.2">
      <c r="A163" s="12" t="str">
        <f t="shared" si="145"/>
        <v xml:space="preserve"> 52 Skilled metal, electrical and electronic trades</v>
      </c>
      <c r="B163" s="13">
        <f t="shared" si="145"/>
        <v>64.57909849455713</v>
      </c>
      <c r="C163" s="13">
        <f t="shared" si="145"/>
        <v>56.496204507904956</v>
      </c>
      <c r="D163" s="13">
        <f t="shared" si="145"/>
        <v>60.298327113758923</v>
      </c>
      <c r="E163" s="13">
        <f t="shared" si="145"/>
        <v>55.865669083490999</v>
      </c>
      <c r="F163" s="13">
        <f t="shared" si="145"/>
        <v>52.816651683092545</v>
      </c>
      <c r="H163" s="49">
        <f t="shared" si="146"/>
        <v>-0.68351776879601589</v>
      </c>
      <c r="I163" s="49">
        <f t="shared" si="147"/>
        <v>-1.3160419011164493</v>
      </c>
      <c r="L163" s="12" t="str">
        <f t="shared" ref="L163:Q163" si="178">L22</f>
        <v xml:space="preserve"> 52 Skilled metal, electrical and electronic trades</v>
      </c>
      <c r="M163" s="13">
        <f t="shared" si="178"/>
        <v>63.317857613980728</v>
      </c>
      <c r="N163" s="13">
        <f t="shared" si="178"/>
        <v>55.421472042532301</v>
      </c>
      <c r="O163" s="13">
        <f t="shared" si="178"/>
        <v>59.210764333162246</v>
      </c>
      <c r="P163" s="13">
        <f t="shared" si="178"/>
        <v>54.827497317034918</v>
      </c>
      <c r="Q163" s="13">
        <f t="shared" si="178"/>
        <v>51.837402223886173</v>
      </c>
      <c r="S163" s="49">
        <f t="shared" si="149"/>
        <v>-0.66839667419964499</v>
      </c>
      <c r="T163" s="49">
        <f t="shared" si="150"/>
        <v>-1.32110987413665</v>
      </c>
      <c r="W163" s="12" t="str">
        <f t="shared" ref="W163:AB163" si="179">W22</f>
        <v xml:space="preserve"> 52 Skilled metal, electrical and electronic trades</v>
      </c>
      <c r="X163" s="13">
        <f t="shared" si="179"/>
        <v>1.2612408805764528</v>
      </c>
      <c r="Y163" s="13">
        <f t="shared" si="179"/>
        <v>1.0747324653727246</v>
      </c>
      <c r="Z163" s="13">
        <f t="shared" si="179"/>
        <v>1.0875627805966419</v>
      </c>
      <c r="AA163" s="13">
        <f t="shared" si="179"/>
        <v>1.0381717664561341</v>
      </c>
      <c r="AB163" s="13">
        <f t="shared" si="179"/>
        <v>0.97924945920635431</v>
      </c>
      <c r="AD163" s="49">
        <f t="shared" si="152"/>
        <v>-1.470647281438231</v>
      </c>
      <c r="AE163" s="49">
        <f t="shared" si="153"/>
        <v>-1.0435970440284992</v>
      </c>
    </row>
    <row r="164" spans="1:31" x14ac:dyDescent="0.2">
      <c r="A164" s="12" t="str">
        <f t="shared" si="145"/>
        <v xml:space="preserve"> 53 Skilled construction and building trades</v>
      </c>
      <c r="B164" s="13">
        <f t="shared" si="145"/>
        <v>62.17438600693751</v>
      </c>
      <c r="C164" s="13">
        <f t="shared" si="145"/>
        <v>48.321987318260412</v>
      </c>
      <c r="D164" s="13">
        <f t="shared" si="145"/>
        <v>55.607063035219241</v>
      </c>
      <c r="E164" s="13">
        <f t="shared" si="145"/>
        <v>56.441055319271051</v>
      </c>
      <c r="F164" s="13">
        <f t="shared" si="145"/>
        <v>55.864658178180079</v>
      </c>
      <c r="H164" s="49">
        <f t="shared" si="146"/>
        <v>-1.1101210525838123</v>
      </c>
      <c r="I164" s="49">
        <f t="shared" si="147"/>
        <v>4.6227892528172276E-2</v>
      </c>
      <c r="L164" s="12" t="str">
        <f t="shared" ref="L164:Q164" si="180">L23</f>
        <v xml:space="preserve"> 53 Skilled construction and building trades</v>
      </c>
      <c r="M164" s="13">
        <f t="shared" si="180"/>
        <v>60.939244934991528</v>
      </c>
      <c r="N164" s="13">
        <f t="shared" si="180"/>
        <v>47.489909579694597</v>
      </c>
      <c r="O164" s="13">
        <f t="shared" si="180"/>
        <v>54.230288974199759</v>
      </c>
      <c r="P164" s="13">
        <f t="shared" si="180"/>
        <v>54.814446473218638</v>
      </c>
      <c r="Q164" s="13">
        <f t="shared" si="180"/>
        <v>54.072896462494526</v>
      </c>
      <c r="S164" s="49">
        <f t="shared" si="149"/>
        <v>-1.1596021186337291</v>
      </c>
      <c r="T164" s="49">
        <f t="shared" si="150"/>
        <v>-2.9060964524374455E-2</v>
      </c>
      <c r="W164" s="12" t="str">
        <f t="shared" ref="W164:AB164" si="181">W23</f>
        <v xml:space="preserve"> 53 Skilled construction and building trades</v>
      </c>
      <c r="X164" s="13">
        <f t="shared" si="181"/>
        <v>1.2351410719458547</v>
      </c>
      <c r="Y164" s="13">
        <f t="shared" si="181"/>
        <v>0.83207773856580569</v>
      </c>
      <c r="Z164" s="13">
        <f t="shared" si="181"/>
        <v>1.3767740610194503</v>
      </c>
      <c r="AA164" s="13">
        <f t="shared" si="181"/>
        <v>1.6266088460523322</v>
      </c>
      <c r="AB164" s="13">
        <f t="shared" si="181"/>
        <v>1.7917617156855457</v>
      </c>
      <c r="AD164" s="49">
        <f t="shared" si="152"/>
        <v>1.0914931311166054</v>
      </c>
      <c r="AE164" s="49">
        <f t="shared" si="153"/>
        <v>2.6695734649205605</v>
      </c>
    </row>
    <row r="165" spans="1:31" x14ac:dyDescent="0.2">
      <c r="A165" s="12" t="str">
        <f t="shared" si="145"/>
        <v xml:space="preserve"> 54 Textiles, printing and other skilled trades</v>
      </c>
      <c r="B165" s="13">
        <f t="shared" si="145"/>
        <v>38.851814595191357</v>
      </c>
      <c r="C165" s="13">
        <f t="shared" si="145"/>
        <v>40.958769429346432</v>
      </c>
      <c r="D165" s="13">
        <f t="shared" si="145"/>
        <v>44.112533415690251</v>
      </c>
      <c r="E165" s="13">
        <f t="shared" si="145"/>
        <v>41.428616628358341</v>
      </c>
      <c r="F165" s="13">
        <f t="shared" si="145"/>
        <v>38.141598610885424</v>
      </c>
      <c r="H165" s="49">
        <f t="shared" si="146"/>
        <v>1.2779889939976696</v>
      </c>
      <c r="I165" s="49">
        <f t="shared" si="147"/>
        <v>-1.4438592472573175</v>
      </c>
      <c r="L165" s="12" t="str">
        <f t="shared" ref="L165:Q165" si="182">L24</f>
        <v xml:space="preserve"> 54 Textiles, printing and other skilled trades</v>
      </c>
      <c r="M165" s="13">
        <f t="shared" si="182"/>
        <v>26.085999514970602</v>
      </c>
      <c r="N165" s="13">
        <f t="shared" si="182"/>
        <v>30.551931149360481</v>
      </c>
      <c r="O165" s="13">
        <f t="shared" si="182"/>
        <v>30.895302705846561</v>
      </c>
      <c r="P165" s="13">
        <f t="shared" si="182"/>
        <v>28.585826985139999</v>
      </c>
      <c r="Q165" s="13">
        <f t="shared" si="182"/>
        <v>25.80696844093627</v>
      </c>
      <c r="S165" s="49">
        <f t="shared" si="149"/>
        <v>1.7064503474184312</v>
      </c>
      <c r="T165" s="49">
        <f t="shared" si="150"/>
        <v>-1.7835000320654992</v>
      </c>
      <c r="W165" s="12" t="str">
        <f t="shared" ref="W165:AB165" si="183">W24</f>
        <v xml:space="preserve"> 54 Textiles, printing and other skilled trades</v>
      </c>
      <c r="X165" s="13">
        <f t="shared" si="183"/>
        <v>12.76581508022073</v>
      </c>
      <c r="Y165" s="13">
        <f t="shared" si="183"/>
        <v>10.406838279986037</v>
      </c>
      <c r="Z165" s="13">
        <f t="shared" si="183"/>
        <v>13.217230709843877</v>
      </c>
      <c r="AA165" s="13">
        <f t="shared" si="183"/>
        <v>12.842789643218344</v>
      </c>
      <c r="AB165" s="13">
        <f t="shared" si="183"/>
        <v>12.334630169949087</v>
      </c>
      <c r="AD165" s="49">
        <f t="shared" si="152"/>
        <v>0.34810883400422377</v>
      </c>
      <c r="AE165" s="49">
        <f t="shared" si="153"/>
        <v>-0.6887230347103479</v>
      </c>
    </row>
    <row r="166" spans="1:31" x14ac:dyDescent="0.2">
      <c r="A166" s="12" t="str">
        <f t="shared" si="145"/>
        <v xml:space="preserve"> 61 Caring personal service occupations</v>
      </c>
      <c r="B166" s="13">
        <f t="shared" si="145"/>
        <v>99.187958703714813</v>
      </c>
      <c r="C166" s="13">
        <f t="shared" si="145"/>
        <v>108.78205721203497</v>
      </c>
      <c r="D166" s="13">
        <f t="shared" si="145"/>
        <v>134.03418747801385</v>
      </c>
      <c r="E166" s="13">
        <f t="shared" si="145"/>
        <v>144.11345945912691</v>
      </c>
      <c r="F166" s="13">
        <f t="shared" si="145"/>
        <v>156.37297615871555</v>
      </c>
      <c r="H166" s="49">
        <f t="shared" si="146"/>
        <v>3.0565651275840988</v>
      </c>
      <c r="I166" s="49">
        <f t="shared" si="147"/>
        <v>1.553433547285854</v>
      </c>
      <c r="L166" s="12" t="str">
        <f t="shared" ref="L166:Q166" si="184">L25</f>
        <v xml:space="preserve"> 61 Caring personal service occupations</v>
      </c>
      <c r="M166" s="13">
        <f t="shared" si="184"/>
        <v>11.556847989456879</v>
      </c>
      <c r="N166" s="13">
        <f t="shared" si="184"/>
        <v>13.527559362139923</v>
      </c>
      <c r="O166" s="13">
        <f t="shared" si="184"/>
        <v>16.633369389372817</v>
      </c>
      <c r="P166" s="13">
        <f t="shared" si="184"/>
        <v>18.51415438727663</v>
      </c>
      <c r="Q166" s="13">
        <f t="shared" si="184"/>
        <v>20.657142748310594</v>
      </c>
      <c r="S166" s="49">
        <f t="shared" si="149"/>
        <v>3.7084355968196814</v>
      </c>
      <c r="T166" s="49">
        <f t="shared" si="150"/>
        <v>2.190141811775459</v>
      </c>
      <c r="W166" s="12" t="str">
        <f t="shared" ref="W166:AB166" si="185">W25</f>
        <v xml:space="preserve"> 61 Caring personal service occupations</v>
      </c>
      <c r="X166" s="13">
        <f t="shared" si="185"/>
        <v>87.631110714257915</v>
      </c>
      <c r="Y166" s="13">
        <f t="shared" si="185"/>
        <v>95.254497849895088</v>
      </c>
      <c r="Z166" s="13">
        <f t="shared" si="185"/>
        <v>117.40081808864105</v>
      </c>
      <c r="AA166" s="13">
        <f t="shared" si="185"/>
        <v>125.59930507185052</v>
      </c>
      <c r="AB166" s="13">
        <f t="shared" si="185"/>
        <v>135.71583341040497</v>
      </c>
      <c r="AD166" s="49">
        <f t="shared" si="152"/>
        <v>2.9677637106819921</v>
      </c>
      <c r="AE166" s="49">
        <f t="shared" si="153"/>
        <v>1.4602526589449827</v>
      </c>
    </row>
    <row r="167" spans="1:31" x14ac:dyDescent="0.2">
      <c r="A167" s="12" t="str">
        <f t="shared" si="145"/>
        <v xml:space="preserve"> 62 Leisure, travel and related personal service occupations</v>
      </c>
      <c r="B167" s="13">
        <f t="shared" si="145"/>
        <v>26.961171532317142</v>
      </c>
      <c r="C167" s="13">
        <f t="shared" si="145"/>
        <v>28.236435407329424</v>
      </c>
      <c r="D167" s="13">
        <f t="shared" si="145"/>
        <v>34.081983399938842</v>
      </c>
      <c r="E167" s="13">
        <f t="shared" si="145"/>
        <v>33.213640916490561</v>
      </c>
      <c r="F167" s="13">
        <f t="shared" si="145"/>
        <v>32.422277716403407</v>
      </c>
      <c r="H167" s="49">
        <f t="shared" si="146"/>
        <v>2.3713923399894421</v>
      </c>
      <c r="I167" s="49">
        <f t="shared" si="147"/>
        <v>-0.49798719440820038</v>
      </c>
      <c r="L167" s="12" t="str">
        <f t="shared" ref="L167:Q167" si="186">L26</f>
        <v xml:space="preserve"> 62 Leisure, travel and related personal service occupations</v>
      </c>
      <c r="M167" s="13">
        <f t="shared" si="186"/>
        <v>11.655775931292418</v>
      </c>
      <c r="N167" s="13">
        <f t="shared" si="186"/>
        <v>11.154186140130689</v>
      </c>
      <c r="O167" s="13">
        <f t="shared" si="186"/>
        <v>10.617503001555884</v>
      </c>
      <c r="P167" s="13">
        <f t="shared" si="186"/>
        <v>10.675268520082868</v>
      </c>
      <c r="Q167" s="13">
        <f t="shared" si="186"/>
        <v>10.986868482044702</v>
      </c>
      <c r="S167" s="49">
        <f t="shared" si="149"/>
        <v>-0.92864104062861941</v>
      </c>
      <c r="T167" s="49">
        <f t="shared" si="150"/>
        <v>0.34255457591791938</v>
      </c>
      <c r="W167" s="12" t="str">
        <f t="shared" ref="W167:AB167" si="187">W26</f>
        <v xml:space="preserve"> 62 Leisure, travel and related personal service occupations</v>
      </c>
      <c r="X167" s="13">
        <f t="shared" si="187"/>
        <v>15.305395601024689</v>
      </c>
      <c r="Y167" s="13">
        <f t="shared" si="187"/>
        <v>17.082249267198669</v>
      </c>
      <c r="Z167" s="13">
        <f t="shared" si="187"/>
        <v>23.464480398382918</v>
      </c>
      <c r="AA167" s="13">
        <f t="shared" si="187"/>
        <v>22.538372396407709</v>
      </c>
      <c r="AB167" s="13">
        <f t="shared" si="187"/>
        <v>21.435409234358666</v>
      </c>
      <c r="AD167" s="49">
        <f t="shared" si="152"/>
        <v>4.3654231312576952</v>
      </c>
      <c r="AE167" s="49">
        <f t="shared" si="153"/>
        <v>-0.90035841480855527</v>
      </c>
    </row>
    <row r="168" spans="1:31" x14ac:dyDescent="0.2">
      <c r="A168" s="12" t="str">
        <f t="shared" si="145"/>
        <v xml:space="preserve"> 71 Sales occupations</v>
      </c>
      <c r="B168" s="13">
        <f t="shared" si="145"/>
        <v>109.72479758960813</v>
      </c>
      <c r="C168" s="13">
        <f t="shared" si="145"/>
        <v>101.02984488381639</v>
      </c>
      <c r="D168" s="13">
        <f t="shared" si="145"/>
        <v>96.72865813780345</v>
      </c>
      <c r="E168" s="13">
        <f t="shared" si="145"/>
        <v>92.221847071554265</v>
      </c>
      <c r="F168" s="13">
        <f t="shared" si="145"/>
        <v>88.415327050932888</v>
      </c>
      <c r="H168" s="49">
        <f t="shared" si="146"/>
        <v>-1.2527437202036418</v>
      </c>
      <c r="I168" s="49">
        <f t="shared" si="147"/>
        <v>-0.89461808753181771</v>
      </c>
      <c r="L168" s="12" t="str">
        <f t="shared" ref="L168:Q168" si="188">L27</f>
        <v xml:space="preserve"> 71 Sales occupations</v>
      </c>
      <c r="M168" s="13">
        <f t="shared" si="188"/>
        <v>33.041792857953027</v>
      </c>
      <c r="N168" s="13">
        <f t="shared" si="188"/>
        <v>28.757225080479714</v>
      </c>
      <c r="O168" s="13">
        <f t="shared" si="188"/>
        <v>29.276767635043839</v>
      </c>
      <c r="P168" s="13">
        <f t="shared" si="188"/>
        <v>28.48143913651613</v>
      </c>
      <c r="Q168" s="13">
        <f t="shared" si="188"/>
        <v>26.815234263357201</v>
      </c>
      <c r="S168" s="49">
        <f t="shared" si="149"/>
        <v>-1.2025006958636508</v>
      </c>
      <c r="T168" s="49">
        <f t="shared" si="150"/>
        <v>-0.87439592062837912</v>
      </c>
      <c r="W168" s="12" t="str">
        <f t="shared" ref="W168:AB168" si="189">W27</f>
        <v xml:space="preserve"> 71 Sales occupations</v>
      </c>
      <c r="X168" s="13">
        <f t="shared" si="189"/>
        <v>76.683004731655217</v>
      </c>
      <c r="Y168" s="13">
        <f t="shared" si="189"/>
        <v>72.272619803336681</v>
      </c>
      <c r="Z168" s="13">
        <f t="shared" si="189"/>
        <v>67.451890502759596</v>
      </c>
      <c r="AA168" s="13">
        <f t="shared" si="189"/>
        <v>63.740407935038398</v>
      </c>
      <c r="AB168" s="13">
        <f t="shared" si="189"/>
        <v>61.600092787575456</v>
      </c>
      <c r="AD168" s="49">
        <f t="shared" si="152"/>
        <v>-1.2744639624912901</v>
      </c>
      <c r="AE168" s="49">
        <f t="shared" si="153"/>
        <v>-0.90340687178969148</v>
      </c>
    </row>
    <row r="169" spans="1:31" x14ac:dyDescent="0.2">
      <c r="A169" s="12" t="str">
        <f t="shared" si="145"/>
        <v xml:space="preserve"> 72 Customer service occupations</v>
      </c>
      <c r="B169" s="13">
        <f t="shared" si="145"/>
        <v>21.678479524059966</v>
      </c>
      <c r="C169" s="13">
        <f t="shared" si="145"/>
        <v>24.790414571209773</v>
      </c>
      <c r="D169" s="13">
        <f t="shared" si="145"/>
        <v>28.941220880813535</v>
      </c>
      <c r="E169" s="13">
        <f t="shared" si="145"/>
        <v>31.412280004465572</v>
      </c>
      <c r="F169" s="13">
        <f t="shared" si="145"/>
        <v>33.733710674085017</v>
      </c>
      <c r="H169" s="49">
        <f t="shared" si="146"/>
        <v>2.9316187925596537</v>
      </c>
      <c r="I169" s="49">
        <f t="shared" si="147"/>
        <v>1.5441074965757196</v>
      </c>
      <c r="L169" s="12" t="str">
        <f t="shared" ref="L169:Q169" si="190">L28</f>
        <v xml:space="preserve"> 72 Customer service occupations</v>
      </c>
      <c r="M169" s="13">
        <f t="shared" si="190"/>
        <v>8.4692104502869103</v>
      </c>
      <c r="N169" s="13">
        <f t="shared" si="190"/>
        <v>10.358474115998387</v>
      </c>
      <c r="O169" s="13">
        <f t="shared" si="190"/>
        <v>12.049582265890068</v>
      </c>
      <c r="P169" s="13">
        <f t="shared" si="190"/>
        <v>13.374518220660377</v>
      </c>
      <c r="Q169" s="13">
        <f t="shared" si="190"/>
        <v>14.454288950035748</v>
      </c>
      <c r="S169" s="49">
        <f t="shared" si="149"/>
        <v>3.5888249300803921</v>
      </c>
      <c r="T169" s="49">
        <f t="shared" si="150"/>
        <v>1.8362677184899923</v>
      </c>
      <c r="W169" s="12" t="str">
        <f t="shared" ref="W169:AB169" si="191">W28</f>
        <v xml:space="preserve"> 72 Customer service occupations</v>
      </c>
      <c r="X169" s="13">
        <f t="shared" si="191"/>
        <v>13.209269073772996</v>
      </c>
      <c r="Y169" s="13">
        <f t="shared" si="191"/>
        <v>14.431940455211395</v>
      </c>
      <c r="Z169" s="13">
        <f t="shared" si="191"/>
        <v>16.891638614923433</v>
      </c>
      <c r="AA169" s="13">
        <f t="shared" si="191"/>
        <v>18.037761783805198</v>
      </c>
      <c r="AB169" s="13">
        <f t="shared" si="191"/>
        <v>19.279421724049367</v>
      </c>
      <c r="AD169" s="49">
        <f t="shared" si="152"/>
        <v>2.4894823110696684</v>
      </c>
      <c r="AE169" s="49">
        <f t="shared" si="153"/>
        <v>1.3309751788958657</v>
      </c>
    </row>
    <row r="170" spans="1:31" x14ac:dyDescent="0.2">
      <c r="A170" s="12" t="str">
        <f t="shared" si="145"/>
        <v xml:space="preserve"> 81 Process, plant and machine operatives</v>
      </c>
      <c r="B170" s="13">
        <f t="shared" si="145"/>
        <v>85.70514998203177</v>
      </c>
      <c r="C170" s="13">
        <f t="shared" si="145"/>
        <v>78.222128118878317</v>
      </c>
      <c r="D170" s="13">
        <f t="shared" si="145"/>
        <v>78.332378779529421</v>
      </c>
      <c r="E170" s="13">
        <f t="shared" si="145"/>
        <v>70.793393427315365</v>
      </c>
      <c r="F170" s="13">
        <f t="shared" si="145"/>
        <v>66.345882238047054</v>
      </c>
      <c r="H170" s="49">
        <f t="shared" si="146"/>
        <v>-0.89548520646197671</v>
      </c>
      <c r="I170" s="49">
        <f t="shared" si="147"/>
        <v>-1.6470782775396486</v>
      </c>
      <c r="L170" s="12" t="str">
        <f t="shared" ref="L170:Q170" si="192">L29</f>
        <v xml:space="preserve"> 81 Process, plant and machine operatives</v>
      </c>
      <c r="M170" s="13">
        <f t="shared" si="192"/>
        <v>66.124397648601686</v>
      </c>
      <c r="N170" s="13">
        <f t="shared" si="192"/>
        <v>60.992261841240186</v>
      </c>
      <c r="O170" s="13">
        <f t="shared" si="192"/>
        <v>62.163698672874382</v>
      </c>
      <c r="P170" s="13">
        <f t="shared" si="192"/>
        <v>57.4136581376615</v>
      </c>
      <c r="Q170" s="13">
        <f t="shared" si="192"/>
        <v>54.779522015684179</v>
      </c>
      <c r="S170" s="49">
        <f t="shared" si="149"/>
        <v>-0.61576210758721439</v>
      </c>
      <c r="T170" s="49">
        <f t="shared" si="150"/>
        <v>-1.2565858761663162</v>
      </c>
      <c r="W170" s="12" t="str">
        <f t="shared" ref="W170:AB170" si="193">W29</f>
        <v xml:space="preserve"> 81 Process, plant and machine operatives</v>
      </c>
      <c r="X170" s="13">
        <f t="shared" si="193"/>
        <v>19.580752333430024</v>
      </c>
      <c r="Y170" s="13">
        <f t="shared" si="193"/>
        <v>17.229866277638081</v>
      </c>
      <c r="Z170" s="13">
        <f t="shared" si="193"/>
        <v>16.168680106654961</v>
      </c>
      <c r="AA170" s="13">
        <f t="shared" si="193"/>
        <v>13.379735289653951</v>
      </c>
      <c r="AB170" s="13">
        <f t="shared" si="193"/>
        <v>11.566360222362864</v>
      </c>
      <c r="AD170" s="49">
        <f t="shared" si="152"/>
        <v>-1.8964960169524425</v>
      </c>
      <c r="AE170" s="49">
        <f t="shared" si="153"/>
        <v>-3.2942684668098132</v>
      </c>
    </row>
    <row r="171" spans="1:31" x14ac:dyDescent="0.2">
      <c r="A171" s="12" t="str">
        <f t="shared" si="145"/>
        <v xml:space="preserve"> 82 Transport and mobile machine drivers and operatives</v>
      </c>
      <c r="B171" s="13">
        <f t="shared" si="145"/>
        <v>45.276922067123785</v>
      </c>
      <c r="C171" s="13">
        <f t="shared" si="145"/>
        <v>38.39753957307591</v>
      </c>
      <c r="D171" s="13">
        <f t="shared" si="145"/>
        <v>35.493360283060447</v>
      </c>
      <c r="E171" s="13">
        <f t="shared" si="145"/>
        <v>36.015228017130013</v>
      </c>
      <c r="F171" s="13">
        <f t="shared" si="145"/>
        <v>36.641000948387891</v>
      </c>
      <c r="H171" s="49">
        <f t="shared" si="146"/>
        <v>-2.4051227493668392</v>
      </c>
      <c r="I171" s="49">
        <f t="shared" si="147"/>
        <v>0.31872899598330839</v>
      </c>
      <c r="L171" s="12" t="str">
        <f t="shared" ref="L171:Q171" si="194">L30</f>
        <v xml:space="preserve"> 82 Transport and mobile machine drivers and operatives</v>
      </c>
      <c r="M171" s="13">
        <f t="shared" si="194"/>
        <v>44.061866083177733</v>
      </c>
      <c r="N171" s="13">
        <f t="shared" si="194"/>
        <v>36.855218729559049</v>
      </c>
      <c r="O171" s="13">
        <f t="shared" si="194"/>
        <v>33.845865711338917</v>
      </c>
      <c r="P171" s="13">
        <f t="shared" si="194"/>
        <v>34.186110646589547</v>
      </c>
      <c r="Q171" s="13">
        <f t="shared" si="194"/>
        <v>34.678394925806217</v>
      </c>
      <c r="S171" s="49">
        <f t="shared" si="149"/>
        <v>-2.6032928821821399</v>
      </c>
      <c r="T171" s="49">
        <f t="shared" si="150"/>
        <v>0.24329560543403517</v>
      </c>
      <c r="W171" s="12" t="str">
        <f t="shared" ref="W171:AB171" si="195">W30</f>
        <v xml:space="preserve"> 82 Transport and mobile machine drivers and operatives</v>
      </c>
      <c r="X171" s="13">
        <f t="shared" si="195"/>
        <v>1.2150559839459716</v>
      </c>
      <c r="Y171" s="13">
        <f t="shared" si="195"/>
        <v>1.5423208435168554</v>
      </c>
      <c r="Z171" s="13">
        <f t="shared" si="195"/>
        <v>1.6474945717215048</v>
      </c>
      <c r="AA171" s="13">
        <f t="shared" si="195"/>
        <v>1.8291173705404598</v>
      </c>
      <c r="AB171" s="13">
        <f t="shared" si="195"/>
        <v>1.9626060225816908</v>
      </c>
      <c r="AD171" s="49">
        <f t="shared" si="152"/>
        <v>3.0914790250704316</v>
      </c>
      <c r="AE171" s="49">
        <f t="shared" si="153"/>
        <v>1.7655803141448212</v>
      </c>
    </row>
    <row r="172" spans="1:31" x14ac:dyDescent="0.2">
      <c r="A172" s="12" t="str">
        <f t="shared" si="145"/>
        <v xml:space="preserve"> 91 Elementary trades and related occupations</v>
      </c>
      <c r="B172" s="13">
        <f t="shared" si="145"/>
        <v>31.655920531721669</v>
      </c>
      <c r="C172" s="13">
        <f t="shared" si="145"/>
        <v>28.077506117493837</v>
      </c>
      <c r="D172" s="13">
        <f t="shared" si="145"/>
        <v>30.003578616580025</v>
      </c>
      <c r="E172" s="13">
        <f t="shared" si="145"/>
        <v>29.820583339074787</v>
      </c>
      <c r="F172" s="13">
        <f t="shared" si="145"/>
        <v>30.056216538126861</v>
      </c>
      <c r="H172" s="49">
        <f t="shared" si="146"/>
        <v>-0.5346509463751814</v>
      </c>
      <c r="I172" s="49">
        <f t="shared" si="147"/>
        <v>1.7530046008640277E-2</v>
      </c>
      <c r="L172" s="12" t="str">
        <f t="shared" ref="L172:Q172" si="196">L31</f>
        <v xml:space="preserve"> 91 Elementary trades and related occupations</v>
      </c>
      <c r="M172" s="13">
        <f t="shared" si="196"/>
        <v>26.120935311690349</v>
      </c>
      <c r="N172" s="13">
        <f t="shared" si="196"/>
        <v>22.349928639389312</v>
      </c>
      <c r="O172" s="13">
        <f t="shared" si="196"/>
        <v>23.217129742088186</v>
      </c>
      <c r="P172" s="13">
        <f t="shared" si="196"/>
        <v>22.321798958465315</v>
      </c>
      <c r="Q172" s="13">
        <f t="shared" si="196"/>
        <v>21.889988303979774</v>
      </c>
      <c r="S172" s="49">
        <f t="shared" si="149"/>
        <v>-1.1715508168015476</v>
      </c>
      <c r="T172" s="49">
        <f t="shared" si="150"/>
        <v>-0.58688088588357834</v>
      </c>
      <c r="W172" s="12" t="str">
        <f t="shared" ref="W172:AB172" si="197">W31</f>
        <v xml:space="preserve"> 91 Elementary trades and related occupations</v>
      </c>
      <c r="X172" s="13">
        <f t="shared" si="197"/>
        <v>5.5349852200313538</v>
      </c>
      <c r="Y172" s="13">
        <f t="shared" si="197"/>
        <v>5.7275774781045525</v>
      </c>
      <c r="Z172" s="13">
        <f t="shared" si="197"/>
        <v>6.7864488744918505</v>
      </c>
      <c r="AA172" s="13">
        <f t="shared" si="197"/>
        <v>7.4987843806094272</v>
      </c>
      <c r="AB172" s="13">
        <f t="shared" si="197"/>
        <v>8.1662282341471144</v>
      </c>
      <c r="AD172" s="49">
        <f t="shared" si="152"/>
        <v>2.0593061878067198</v>
      </c>
      <c r="AE172" s="49">
        <f t="shared" si="153"/>
        <v>1.8680266380273425</v>
      </c>
    </row>
    <row r="173" spans="1:31" x14ac:dyDescent="0.2">
      <c r="A173" s="12" t="str">
        <f t="shared" si="145"/>
        <v xml:space="preserve"> 92 Elementary administration and service occupations</v>
      </c>
      <c r="B173" s="13">
        <f t="shared" si="145"/>
        <v>165.33884287808465</v>
      </c>
      <c r="C173" s="13">
        <f t="shared" si="145"/>
        <v>136.54133736767668</v>
      </c>
      <c r="D173" s="13">
        <f t="shared" si="145"/>
        <v>146.45892502959714</v>
      </c>
      <c r="E173" s="13">
        <f t="shared" si="145"/>
        <v>146.69060935176427</v>
      </c>
      <c r="F173" s="13">
        <f t="shared" si="145"/>
        <v>145.57580133080234</v>
      </c>
      <c r="H173" s="49">
        <f t="shared" si="146"/>
        <v>-1.2051980780247828</v>
      </c>
      <c r="I173" s="49">
        <f t="shared" si="147"/>
        <v>-6.0462630192947842E-2</v>
      </c>
      <c r="L173" s="12" t="str">
        <f t="shared" ref="L173:Q173" si="198">L32</f>
        <v xml:space="preserve"> 92 Elementary administration and service occupations</v>
      </c>
      <c r="M173" s="13">
        <f t="shared" si="198"/>
        <v>68.642708270848601</v>
      </c>
      <c r="N173" s="13">
        <f t="shared" si="198"/>
        <v>64.296478555285276</v>
      </c>
      <c r="O173" s="13">
        <f t="shared" si="198"/>
        <v>71.879089668970892</v>
      </c>
      <c r="P173" s="13">
        <f t="shared" si="198"/>
        <v>75.262428456638474</v>
      </c>
      <c r="Q173" s="13">
        <f t="shared" si="198"/>
        <v>78.232798438639264</v>
      </c>
      <c r="S173" s="49">
        <f t="shared" si="149"/>
        <v>0.46176774327857384</v>
      </c>
      <c r="T173" s="49">
        <f t="shared" si="150"/>
        <v>0.8506332959371754</v>
      </c>
      <c r="W173" s="12" t="str">
        <f t="shared" ref="W173:AB173" si="199">W32</f>
        <v xml:space="preserve"> 92 Elementary administration and service occupations</v>
      </c>
      <c r="X173" s="13">
        <f t="shared" si="199"/>
        <v>96.69613460723653</v>
      </c>
      <c r="Y173" s="13">
        <f t="shared" si="199"/>
        <v>72.244858812391385</v>
      </c>
      <c r="Z173" s="13">
        <f t="shared" si="199"/>
        <v>74.579835360625921</v>
      </c>
      <c r="AA173" s="13">
        <f t="shared" si="199"/>
        <v>71.428180895125479</v>
      </c>
      <c r="AB173" s="13">
        <f t="shared" si="199"/>
        <v>67.343002892163327</v>
      </c>
      <c r="AD173" s="49">
        <f t="shared" si="152"/>
        <v>-2.5635997681976552</v>
      </c>
      <c r="AE173" s="49">
        <f t="shared" si="153"/>
        <v>-1.0155200323314517</v>
      </c>
    </row>
    <row r="174" spans="1:31" x14ac:dyDescent="0.2">
      <c r="A174" s="12"/>
      <c r="B174" s="13"/>
      <c r="C174" s="13"/>
      <c r="D174" s="13"/>
      <c r="E174" s="13"/>
      <c r="F174" s="13"/>
      <c r="H174" s="49"/>
      <c r="I174" s="49"/>
      <c r="L174" s="12"/>
      <c r="M174" s="13"/>
      <c r="N174" s="13"/>
      <c r="O174" s="13"/>
      <c r="P174" s="13"/>
      <c r="Q174" s="13"/>
      <c r="S174" s="49"/>
      <c r="T174" s="49"/>
      <c r="W174" s="12"/>
      <c r="X174" s="13"/>
      <c r="Y174" s="13"/>
      <c r="Z174" s="13"/>
      <c r="AA174" s="13"/>
      <c r="AB174" s="13"/>
      <c r="AD174" s="49"/>
      <c r="AE174" s="49"/>
    </row>
    <row r="175" spans="1:31" x14ac:dyDescent="0.2">
      <c r="A175" s="336" t="str">
        <f t="shared" si="145"/>
        <v>All occupations</v>
      </c>
      <c r="B175" s="39">
        <f t="shared" si="145"/>
        <v>1408.9670000019439</v>
      </c>
      <c r="C175" s="39">
        <f t="shared" si="145"/>
        <v>1357.8780000009851</v>
      </c>
      <c r="D175" s="39">
        <f t="shared" si="145"/>
        <v>1529.7600000008429</v>
      </c>
      <c r="E175" s="39">
        <f t="shared" si="145"/>
        <v>1546.2870000021665</v>
      </c>
      <c r="F175" s="39">
        <f t="shared" si="145"/>
        <v>1569.1730000018847</v>
      </c>
      <c r="H175" s="52">
        <f t="shared" si="146"/>
        <v>0.82593264427839319</v>
      </c>
      <c r="I175" s="52">
        <f t="shared" si="147"/>
        <v>0.25470250340746681</v>
      </c>
      <c r="L175" s="336" t="str">
        <f t="shared" ref="L175:Q175" si="200">L34</f>
        <v>All occupations</v>
      </c>
      <c r="M175" s="39">
        <f t="shared" si="200"/>
        <v>738.59400000042535</v>
      </c>
      <c r="N175" s="39">
        <f t="shared" si="200"/>
        <v>706.56800000016574</v>
      </c>
      <c r="O175" s="39">
        <f t="shared" si="200"/>
        <v>771.50600000010377</v>
      </c>
      <c r="P175" s="39">
        <f t="shared" si="200"/>
        <v>770.92900000092095</v>
      </c>
      <c r="Q175" s="39">
        <f t="shared" si="200"/>
        <v>773.4470000010474</v>
      </c>
      <c r="S175" s="52">
        <f t="shared" ref="S175" si="201">IF(O$147-M$147 &lt;&gt; 0,(EXP(LN(O175/M175)/(O$147-M$147))-1)*100,0)</f>
        <v>0.43691239036944829</v>
      </c>
      <c r="T175" s="52">
        <f t="shared" ref="T175" si="202">IF(Q$147-O$147 &lt;&gt; 0,(EXP(LN(Q175/O175)/(Q$147-O$147))-1)*100,0)</f>
        <v>2.5130148298102561E-2</v>
      </c>
      <c r="W175" s="336" t="str">
        <f t="shared" ref="W175:AB175" si="203">W34</f>
        <v>All occupations</v>
      </c>
      <c r="X175" s="39">
        <f t="shared" si="203"/>
        <v>670.37300000151856</v>
      </c>
      <c r="Y175" s="39">
        <f t="shared" si="203"/>
        <v>651.31000000081963</v>
      </c>
      <c r="Z175" s="39">
        <f t="shared" si="203"/>
        <v>758.2540000007391</v>
      </c>
      <c r="AA175" s="39">
        <f t="shared" si="203"/>
        <v>775.35800000124573</v>
      </c>
      <c r="AB175" s="39">
        <f t="shared" si="203"/>
        <v>795.72600000083776</v>
      </c>
      <c r="AD175" s="52">
        <f t="shared" ref="AD175" si="204">IF(Z$147-X$147 &lt;&gt; 0,(EXP(LN(Z175/X175)/(Z$147-X$147))-1)*100,0)</f>
        <v>1.2394598969373227</v>
      </c>
      <c r="AE175" s="52">
        <f t="shared" ref="AE175" si="205">IF(AB$147-Z$147 &lt;&gt; 0,(EXP(LN(AB175/Z175)/(AB$147-Z$147))-1)*100,0)</f>
        <v>0.48353008822632493</v>
      </c>
    </row>
    <row r="176" spans="1:31" x14ac:dyDescent="0.2">
      <c r="A176" s="12"/>
    </row>
    <row r="177" spans="1:1" x14ac:dyDescent="0.2">
      <c r="A177" s="12"/>
    </row>
  </sheetData>
  <pageMargins left="0.59055118110236227" right="0.59055118110236227" top="0.78740157480314965" bottom="0.78740157480314965" header="0.51181102362204722" footer="0.51181102362204722"/>
  <pageSetup paperSize="9" scale="76" orientation="landscape" r:id="rId1"/>
  <headerFooter alignWithMargins="0"/>
  <rowBreaks count="3" manualBreakCount="3">
    <brk id="36" max="16383" man="1"/>
    <brk id="72" max="16383" man="1"/>
    <brk id="108" max="16383" man="1"/>
  </rowBreaks>
  <colBreaks count="2" manualBreakCount="2">
    <brk id="10" max="141" man="1"/>
    <brk id="21" max="141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01"/>
  <sheetViews>
    <sheetView showGridLines="0" zoomScale="85" zoomScaleNormal="85" workbookViewId="0"/>
  </sheetViews>
  <sheetFormatPr defaultRowHeight="12.75" x14ac:dyDescent="0.2"/>
  <cols>
    <col min="1" max="1" width="54.7109375" customWidth="1"/>
    <col min="2" max="6" width="11.7109375" customWidth="1"/>
    <col min="7" max="7" width="5.7109375" customWidth="1"/>
    <col min="8" max="12" width="11.7109375" customWidth="1"/>
  </cols>
  <sheetData>
    <row r="1" spans="1:12" ht="15.75" x14ac:dyDescent="0.25">
      <c r="A1" s="23" t="str">
        <f>CONCATENATE("Occupation Table 3  Employment Change by Occupation in Occupation Group (SOC 2010), ",B$5,"-",F$5)</f>
        <v>Occupation Table 3  Employment Change by Occupation in Occupation Group (SOC 2010), 2007-2027</v>
      </c>
    </row>
    <row r="2" spans="1:12" ht="12.75" customHeight="1" x14ac:dyDescent="0.25">
      <c r="A2" s="23"/>
    </row>
    <row r="3" spans="1:12" ht="12.75" customHeight="1" x14ac:dyDescent="0.25">
      <c r="A3" s="23"/>
      <c r="L3" s="43" t="s">
        <v>19</v>
      </c>
    </row>
    <row r="4" spans="1:12" x14ac:dyDescent="0.2">
      <c r="A4" s="41"/>
      <c r="B4" s="32" t="s">
        <v>17</v>
      </c>
      <c r="C4" s="41"/>
      <c r="D4" s="41"/>
      <c r="E4" s="41"/>
      <c r="F4" s="41"/>
      <c r="G4" s="41"/>
      <c r="H4" s="32" t="s">
        <v>18</v>
      </c>
      <c r="I4" s="41"/>
      <c r="J4" s="41"/>
      <c r="K4" s="41"/>
      <c r="L4" s="41"/>
    </row>
    <row r="5" spans="1:12" x14ac:dyDescent="0.2">
      <c r="A5" s="37"/>
      <c r="B5" s="40">
        <f>'Occ T1'!B6</f>
        <v>2007</v>
      </c>
      <c r="C5" s="40">
        <f>'Occ T1'!C6</f>
        <v>2012</v>
      </c>
      <c r="D5" s="40">
        <f>'Occ T1'!D6</f>
        <v>2017</v>
      </c>
      <c r="E5" s="40">
        <f>'Occ T1'!E6</f>
        <v>2022</v>
      </c>
      <c r="F5" s="40">
        <f>'Occ T1'!F6</f>
        <v>2027</v>
      </c>
      <c r="H5" s="42" t="str">
        <f>CONCATENATE(B$5,"-",C$5)</f>
        <v>2007-2012</v>
      </c>
      <c r="I5" s="42" t="str">
        <f>CONCATENATE(C$5,"-",D$5)</f>
        <v>2012-2017</v>
      </c>
      <c r="J5" s="42" t="str">
        <f>CONCATENATE(D$5,"-",E$5)</f>
        <v>2017-2022</v>
      </c>
      <c r="K5" s="42" t="str">
        <f>CONCATENATE(E$5,"-",F$5)</f>
        <v>2022-2027</v>
      </c>
      <c r="L5" s="42" t="str">
        <f>CONCATENATE(D$5,"-",F$5)</f>
        <v>2017-2027</v>
      </c>
    </row>
    <row r="7" spans="1:12" s="34" customFormat="1" x14ac:dyDescent="0.2">
      <c r="A7" s="34" t="str">
        <f>'Occ T1'!A8</f>
        <v>Managers, directors and senior officials</v>
      </c>
      <c r="B7" s="35">
        <f>'Occ T1'!B8</f>
        <v>96.365990659496248</v>
      </c>
      <c r="C7" s="35">
        <f>'Occ T1'!C8</f>
        <v>102.06840889696952</v>
      </c>
      <c r="D7" s="35">
        <f>'Occ T1'!D8</f>
        <v>121.38972043868799</v>
      </c>
      <c r="E7" s="35">
        <f>'Occ T1'!E8</f>
        <v>129.5004089755376</v>
      </c>
      <c r="F7" s="35">
        <f>'Occ T1'!F8</f>
        <v>136.7185554318682</v>
      </c>
      <c r="H7" s="35">
        <f>C7-B7</f>
        <v>5.7024182374732675</v>
      </c>
      <c r="I7" s="35">
        <f>D7-C7</f>
        <v>19.321311541718472</v>
      </c>
      <c r="J7" s="35">
        <f>E7-D7</f>
        <v>8.110688536849608</v>
      </c>
      <c r="K7" s="35">
        <f>F7-E7</f>
        <v>7.2181464563306008</v>
      </c>
      <c r="L7" s="35">
        <f>F7-D7</f>
        <v>15.328834993180209</v>
      </c>
    </row>
    <row r="8" spans="1:12" s="34" customFormat="1" x14ac:dyDescent="0.2">
      <c r="A8" s="12" t="str">
        <f>'Occ T2'!A8</f>
        <v xml:space="preserve"> 11 Corporate managers and directors</v>
      </c>
      <c r="B8" s="36">
        <f>'Occ T2'!B8</f>
        <v>62.791080673241183</v>
      </c>
      <c r="C8" s="36">
        <f>'Occ T2'!C8</f>
        <v>63.931722947781608</v>
      </c>
      <c r="D8" s="36">
        <f>'Occ T2'!D8</f>
        <v>75.827297635181665</v>
      </c>
      <c r="E8" s="36">
        <f>'Occ T2'!E8</f>
        <v>81.604810249282991</v>
      </c>
      <c r="F8" s="36">
        <f>'Occ T2'!F8</f>
        <v>86.787628928781672</v>
      </c>
      <c r="H8" s="35">
        <f t="shared" ref="H8:H9" si="0">C8-B8</f>
        <v>1.1406422745404257</v>
      </c>
      <c r="I8" s="35">
        <f t="shared" ref="I8:I9" si="1">D8-C8</f>
        <v>11.895574687400057</v>
      </c>
      <c r="J8" s="35">
        <f t="shared" ref="J8:J9" si="2">E8-D8</f>
        <v>5.777512614101326</v>
      </c>
      <c r="K8" s="35">
        <f t="shared" ref="K8:K9" si="3">F8-E8</f>
        <v>5.1828186794986806</v>
      </c>
      <c r="L8" s="35">
        <f t="shared" ref="L8:L48" si="4">F8-D8</f>
        <v>10.960331293600007</v>
      </c>
    </row>
    <row r="9" spans="1:12" s="34" customFormat="1" x14ac:dyDescent="0.2">
      <c r="A9" s="12" t="str">
        <f>'Occ T2'!A9</f>
        <v xml:space="preserve"> 12 Other managers and proprietors</v>
      </c>
      <c r="B9" s="36">
        <f>'Occ T2'!B9</f>
        <v>33.574909986255072</v>
      </c>
      <c r="C9" s="36">
        <f>'Occ T2'!C9</f>
        <v>38.136685949187907</v>
      </c>
      <c r="D9" s="36">
        <f>'Occ T2'!D9</f>
        <v>45.562422803506315</v>
      </c>
      <c r="E9" s="36">
        <f>'Occ T2'!E9</f>
        <v>47.895598726254597</v>
      </c>
      <c r="F9" s="36">
        <f>'Occ T2'!F9</f>
        <v>49.930926503086525</v>
      </c>
      <c r="H9" s="35">
        <f t="shared" si="0"/>
        <v>4.5617759629328347</v>
      </c>
      <c r="I9" s="35">
        <f t="shared" si="1"/>
        <v>7.4257368543184086</v>
      </c>
      <c r="J9" s="35">
        <f t="shared" si="2"/>
        <v>2.333175922748282</v>
      </c>
      <c r="K9" s="35">
        <f t="shared" si="3"/>
        <v>2.0353277768319273</v>
      </c>
      <c r="L9" s="35">
        <f t="shared" si="4"/>
        <v>4.3685036995802093</v>
      </c>
    </row>
    <row r="10" spans="1:12" x14ac:dyDescent="0.2">
      <c r="B10" s="36"/>
      <c r="C10" s="36"/>
      <c r="D10" s="36"/>
      <c r="E10" s="36"/>
      <c r="F10" s="36"/>
      <c r="H10" s="13"/>
      <c r="I10" s="35"/>
      <c r="J10" s="13"/>
      <c r="K10" s="13"/>
      <c r="L10" s="35"/>
    </row>
    <row r="11" spans="1:12" s="34" customFormat="1" x14ac:dyDescent="0.2">
      <c r="A11" s="34" t="str">
        <f>'Occ T1'!A9</f>
        <v>Professional occupations</v>
      </c>
      <c r="B11" s="35">
        <f>'Occ T1'!B9</f>
        <v>221.08153495773954</v>
      </c>
      <c r="C11" s="35">
        <f>'Occ T1'!C9</f>
        <v>238.11769957384956</v>
      </c>
      <c r="D11" s="35">
        <f>'Occ T1'!D9</f>
        <v>286.93232616274213</v>
      </c>
      <c r="E11" s="35">
        <f>'Occ T1'!E9</f>
        <v>304.3607521899271</v>
      </c>
      <c r="F11" s="35">
        <f>'Occ T1'!F9</f>
        <v>324.76512982597262</v>
      </c>
      <c r="H11" s="35">
        <f>C11-B11</f>
        <v>17.036164616110028</v>
      </c>
      <c r="I11" s="35">
        <f t="shared" ref="I11:I48" si="5">D11-C11</f>
        <v>48.814626588892565</v>
      </c>
      <c r="J11" s="35">
        <f>E11-D11</f>
        <v>17.428426027184969</v>
      </c>
      <c r="K11" s="35">
        <f>F11-E11</f>
        <v>20.404377636045524</v>
      </c>
      <c r="L11" s="35">
        <f t="shared" si="4"/>
        <v>37.832803663230493</v>
      </c>
    </row>
    <row r="12" spans="1:12" x14ac:dyDescent="0.2">
      <c r="A12" s="12" t="str">
        <f>'Occ T2'!A10</f>
        <v xml:space="preserve"> 21 Science, research, engineering and technology professionals</v>
      </c>
      <c r="B12" s="12">
        <f>'Occ T2'!B10</f>
        <v>39.404062516743629</v>
      </c>
      <c r="C12" s="12">
        <f>'Occ T2'!C10</f>
        <v>40.310454710373008</v>
      </c>
      <c r="D12" s="12">
        <f>'Occ T2'!D10</f>
        <v>48.951367989588107</v>
      </c>
      <c r="E12" s="12">
        <f>'Occ T2'!E10</f>
        <v>51.330824580438318</v>
      </c>
      <c r="F12" s="12">
        <f>'Occ T2'!F10</f>
        <v>53.238061977314004</v>
      </c>
      <c r="H12" s="13">
        <f t="shared" ref="H12:K14" si="6">C12-B12</f>
        <v>0.90639219362937951</v>
      </c>
      <c r="I12" s="35">
        <f t="shared" si="5"/>
        <v>8.6409132792150984</v>
      </c>
      <c r="J12" s="13">
        <f t="shared" si="6"/>
        <v>2.3794565908502108</v>
      </c>
      <c r="K12" s="13">
        <f t="shared" si="6"/>
        <v>1.9072373968756864</v>
      </c>
      <c r="L12" s="35">
        <f t="shared" si="4"/>
        <v>4.2866939877258972</v>
      </c>
    </row>
    <row r="13" spans="1:12" x14ac:dyDescent="0.2">
      <c r="A13" s="12" t="str">
        <f>'Occ T2'!A11</f>
        <v xml:space="preserve"> 22 Health professionals</v>
      </c>
      <c r="B13" s="12">
        <f>'Occ T2'!B11</f>
        <v>65.918325380874236</v>
      </c>
      <c r="C13" s="12">
        <f>'Occ T2'!C11</f>
        <v>73.932405683303031</v>
      </c>
      <c r="D13" s="12">
        <f>'Occ T2'!D11</f>
        <v>96.439442296228563</v>
      </c>
      <c r="E13" s="12">
        <f>'Occ T2'!E11</f>
        <v>104.33498800884813</v>
      </c>
      <c r="F13" s="12">
        <f>'Occ T2'!F11</f>
        <v>112.3717737309305</v>
      </c>
      <c r="H13" s="13">
        <f t="shared" si="6"/>
        <v>8.0140803024287948</v>
      </c>
      <c r="I13" s="35">
        <f t="shared" si="5"/>
        <v>22.507036612925532</v>
      </c>
      <c r="J13" s="13">
        <f t="shared" si="6"/>
        <v>7.8955457126195654</v>
      </c>
      <c r="K13" s="13">
        <f t="shared" si="6"/>
        <v>8.0367857220823709</v>
      </c>
      <c r="L13" s="35">
        <f t="shared" si="4"/>
        <v>15.932331434701936</v>
      </c>
    </row>
    <row r="14" spans="1:12" x14ac:dyDescent="0.2">
      <c r="A14" s="12" t="str">
        <f>'Occ T2'!A12</f>
        <v xml:space="preserve"> 23 Teaching and educational professionals</v>
      </c>
      <c r="B14" s="12">
        <f>'Occ T2'!B12</f>
        <v>73.917574240407916</v>
      </c>
      <c r="C14" s="12">
        <f>'Occ T2'!C12</f>
        <v>83.824240112476602</v>
      </c>
      <c r="D14" s="12">
        <f>'Occ T2'!D12</f>
        <v>93.711316882436563</v>
      </c>
      <c r="E14" s="12">
        <f>'Occ T2'!E12</f>
        <v>96.639242989237744</v>
      </c>
      <c r="F14" s="12">
        <f>'Occ T2'!F12</f>
        <v>104.26072423736112</v>
      </c>
      <c r="H14" s="13">
        <f t="shared" si="6"/>
        <v>9.906665872068686</v>
      </c>
      <c r="I14" s="35">
        <f t="shared" si="5"/>
        <v>9.8870767699599611</v>
      </c>
      <c r="J14" s="13">
        <f t="shared" si="6"/>
        <v>2.9279261068011806</v>
      </c>
      <c r="K14" s="13">
        <f t="shared" si="6"/>
        <v>7.6214812481233736</v>
      </c>
      <c r="L14" s="35">
        <f t="shared" si="4"/>
        <v>10.549407354924554</v>
      </c>
    </row>
    <row r="15" spans="1:12" s="218" customFormat="1" x14ac:dyDescent="0.2">
      <c r="A15" s="12" t="str">
        <f>'Occ T2'!A13</f>
        <v xml:space="preserve"> 24 Business, media and public service professionals</v>
      </c>
      <c r="B15" s="12">
        <f>'Occ T2'!B13</f>
        <v>41.841572819713782</v>
      </c>
      <c r="C15" s="12">
        <f>'Occ T2'!C13</f>
        <v>40.050599067696901</v>
      </c>
      <c r="D15" s="12">
        <f>'Occ T2'!D13</f>
        <v>47.830198994488903</v>
      </c>
      <c r="E15" s="12">
        <f>'Occ T2'!E13</f>
        <v>52.055696611402929</v>
      </c>
      <c r="F15" s="12">
        <f>'Occ T2'!F13</f>
        <v>54.894569880366987</v>
      </c>
      <c r="H15" s="13">
        <f t="shared" ref="H15" si="7">C15-B15</f>
        <v>-1.7909737520168818</v>
      </c>
      <c r="I15" s="35">
        <f t="shared" si="5"/>
        <v>7.7795999267920024</v>
      </c>
      <c r="J15" s="13">
        <f t="shared" ref="J15" si="8">E15-D15</f>
        <v>4.2254976169140264</v>
      </c>
      <c r="K15" s="13">
        <f t="shared" ref="K15" si="9">F15-E15</f>
        <v>2.8388732689640577</v>
      </c>
      <c r="L15" s="35">
        <f t="shared" si="4"/>
        <v>7.064370885878084</v>
      </c>
    </row>
    <row r="16" spans="1:12" x14ac:dyDescent="0.2">
      <c r="A16" s="12"/>
      <c r="B16" s="36"/>
      <c r="C16" s="36"/>
      <c r="D16" s="36"/>
      <c r="E16" s="36"/>
      <c r="F16" s="36"/>
      <c r="H16" s="13"/>
      <c r="I16" s="35"/>
      <c r="J16" s="13"/>
      <c r="K16" s="13"/>
      <c r="L16" s="35"/>
    </row>
    <row r="17" spans="1:12" s="34" customFormat="1" x14ac:dyDescent="0.2">
      <c r="A17" s="34" t="str">
        <f>'Occ T1'!A10</f>
        <v>Associate professional and technical</v>
      </c>
      <c r="B17" s="35">
        <f>'Occ T1'!B10</f>
        <v>145.55279398544303</v>
      </c>
      <c r="C17" s="35">
        <f>'Occ T1'!C10</f>
        <v>145.42546728127255</v>
      </c>
      <c r="D17" s="35">
        <f>'Occ T1'!D10</f>
        <v>172.07211916997335</v>
      </c>
      <c r="E17" s="35">
        <f>'Occ T1'!E10</f>
        <v>181.51224362511181</v>
      </c>
      <c r="F17" s="35">
        <f>'Occ T1'!F10</f>
        <v>189.00941153550957</v>
      </c>
      <c r="H17" s="35">
        <f t="shared" ref="H17:K21" si="10">C17-B17</f>
        <v>-0.12732670417048553</v>
      </c>
      <c r="I17" s="35">
        <f t="shared" si="5"/>
        <v>26.646651888700802</v>
      </c>
      <c r="J17" s="35">
        <f t="shared" si="10"/>
        <v>9.4401244551384593</v>
      </c>
      <c r="K17" s="35">
        <f t="shared" si="10"/>
        <v>7.4971679103977635</v>
      </c>
      <c r="L17" s="35">
        <f t="shared" si="4"/>
        <v>16.937292365536223</v>
      </c>
    </row>
    <row r="18" spans="1:12" x14ac:dyDescent="0.2">
      <c r="A18" s="12" t="str">
        <f>'Occ T2'!A14</f>
        <v xml:space="preserve"> 31 Science, engineering and technology associate professionals</v>
      </c>
      <c r="B18" s="12">
        <f>'Occ T2'!B14</f>
        <v>23.969208752827978</v>
      </c>
      <c r="C18" s="12">
        <f>'Occ T2'!C14</f>
        <v>22.082241601988173</v>
      </c>
      <c r="D18" s="12">
        <f>'Occ T2'!D14</f>
        <v>25.153076673906533</v>
      </c>
      <c r="E18" s="12">
        <f>'Occ T2'!E14</f>
        <v>25.133794864033277</v>
      </c>
      <c r="F18" s="12">
        <f>'Occ T2'!F14</f>
        <v>25.291027134911744</v>
      </c>
      <c r="H18" s="13">
        <f t="shared" si="10"/>
        <v>-1.8869671508398049</v>
      </c>
      <c r="I18" s="35">
        <f t="shared" si="5"/>
        <v>3.0708350719183599</v>
      </c>
      <c r="J18" s="13">
        <f t="shared" si="10"/>
        <v>-1.9281809873255895E-2</v>
      </c>
      <c r="K18" s="13">
        <f t="shared" si="10"/>
        <v>0.15723227087846681</v>
      </c>
      <c r="L18" s="35">
        <f t="shared" si="4"/>
        <v>0.13795046100521091</v>
      </c>
    </row>
    <row r="19" spans="1:12" x14ac:dyDescent="0.2">
      <c r="A19" s="12" t="str">
        <f>'Occ T2'!A15</f>
        <v xml:space="preserve"> 32 Health and social care associate professionals</v>
      </c>
      <c r="B19" s="12">
        <f>'Occ T2'!B15</f>
        <v>22.021237095591832</v>
      </c>
      <c r="C19" s="12">
        <f>'Occ T2'!C15</f>
        <v>24.271169744617566</v>
      </c>
      <c r="D19" s="12">
        <f>'Occ T2'!D15</f>
        <v>31.236630799272728</v>
      </c>
      <c r="E19" s="12">
        <f>'Occ T2'!E15</f>
        <v>33.858640696036062</v>
      </c>
      <c r="F19" s="12">
        <f>'Occ T2'!F15</f>
        <v>36.336353610236586</v>
      </c>
      <c r="H19" s="13">
        <f t="shared" si="10"/>
        <v>2.2499326490257339</v>
      </c>
      <c r="I19" s="35">
        <f t="shared" si="5"/>
        <v>6.9654610546551616</v>
      </c>
      <c r="J19" s="13">
        <f t="shared" si="10"/>
        <v>2.6220098967633341</v>
      </c>
      <c r="K19" s="13">
        <f t="shared" si="10"/>
        <v>2.4777129142005236</v>
      </c>
      <c r="L19" s="35">
        <f t="shared" si="4"/>
        <v>5.0997228109638577</v>
      </c>
    </row>
    <row r="20" spans="1:12" x14ac:dyDescent="0.2">
      <c r="A20" s="12" t="str">
        <f>'Occ T2'!A16</f>
        <v xml:space="preserve"> 33 Protective service occupations</v>
      </c>
      <c r="B20" s="12">
        <f>'Occ T2'!B16</f>
        <v>18.193573896604018</v>
      </c>
      <c r="C20" s="12">
        <f>'Occ T2'!C16</f>
        <v>16.088909587826628</v>
      </c>
      <c r="D20" s="12">
        <f>'Occ T2'!D16</f>
        <v>16.715828527620712</v>
      </c>
      <c r="E20" s="12">
        <f>'Occ T2'!E16</f>
        <v>16.17133108976617</v>
      </c>
      <c r="F20" s="12">
        <f>'Occ T2'!F16</f>
        <v>15.812025383532305</v>
      </c>
      <c r="H20" s="13">
        <f t="shared" si="10"/>
        <v>-2.1046643087773909</v>
      </c>
      <c r="I20" s="35">
        <f t="shared" si="5"/>
        <v>0.6269189397940842</v>
      </c>
      <c r="J20" s="13">
        <f t="shared" si="10"/>
        <v>-0.54449743785454174</v>
      </c>
      <c r="K20" s="13">
        <f t="shared" si="10"/>
        <v>-0.35930570623386515</v>
      </c>
      <c r="L20" s="35">
        <f t="shared" si="4"/>
        <v>-0.9038031440884069</v>
      </c>
    </row>
    <row r="21" spans="1:12" x14ac:dyDescent="0.2">
      <c r="A21" s="12" t="str">
        <f>'Occ T2'!A17</f>
        <v xml:space="preserve"> 34 Culture, media and sports occupations</v>
      </c>
      <c r="B21" s="12">
        <f>'Occ T2'!B17</f>
        <v>17.306171623307954</v>
      </c>
      <c r="C21" s="12">
        <f>'Occ T2'!C17</f>
        <v>21.245999474288546</v>
      </c>
      <c r="D21" s="12">
        <f>'Occ T2'!D17</f>
        <v>26.053726016084362</v>
      </c>
      <c r="E21" s="12">
        <f>'Occ T2'!E17</f>
        <v>28.046718468437099</v>
      </c>
      <c r="F21" s="12">
        <f>'Occ T2'!F17</f>
        <v>28.887592472886212</v>
      </c>
      <c r="H21" s="13">
        <f t="shared" si="10"/>
        <v>3.939827850980592</v>
      </c>
      <c r="I21" s="35">
        <f t="shared" si="5"/>
        <v>4.8077265417958159</v>
      </c>
      <c r="J21" s="13">
        <f t="shared" si="10"/>
        <v>1.9929924523527376</v>
      </c>
      <c r="K21" s="13">
        <f t="shared" si="10"/>
        <v>0.84087400444911253</v>
      </c>
      <c r="L21" s="35">
        <f t="shared" si="4"/>
        <v>2.8338664568018501</v>
      </c>
    </row>
    <row r="22" spans="1:12" s="218" customFormat="1" x14ac:dyDescent="0.2">
      <c r="A22" s="12" t="str">
        <f>'Occ T2'!A18</f>
        <v xml:space="preserve"> 35 Business and public service associate professionals</v>
      </c>
      <c r="B22" s="12">
        <f>'Occ T2'!B18</f>
        <v>64.062602617111267</v>
      </c>
      <c r="C22" s="12">
        <f>'Occ T2'!C18</f>
        <v>61.737146872551641</v>
      </c>
      <c r="D22" s="12">
        <f>'Occ T2'!D18</f>
        <v>72.912857153089021</v>
      </c>
      <c r="E22" s="12">
        <f>'Occ T2'!E18</f>
        <v>78.301758506839192</v>
      </c>
      <c r="F22" s="12">
        <f>'Occ T2'!F18</f>
        <v>82.682412933942729</v>
      </c>
      <c r="H22" s="13">
        <f t="shared" ref="H22" si="11">C22-B22</f>
        <v>-2.3254557445596262</v>
      </c>
      <c r="I22" s="35">
        <f t="shared" si="5"/>
        <v>11.17571028053738</v>
      </c>
      <c r="J22" s="13">
        <f t="shared" ref="J22" si="12">E22-D22</f>
        <v>5.3889013537501711</v>
      </c>
      <c r="K22" s="13">
        <f t="shared" ref="K22" si="13">F22-E22</f>
        <v>4.3806544271035364</v>
      </c>
      <c r="L22" s="35">
        <f t="shared" si="4"/>
        <v>9.7695557808537075</v>
      </c>
    </row>
    <row r="23" spans="1:12" x14ac:dyDescent="0.2">
      <c r="A23" s="12"/>
      <c r="B23" s="36"/>
      <c r="C23" s="36"/>
      <c r="D23" s="36"/>
      <c r="E23" s="36"/>
      <c r="F23" s="36"/>
      <c r="H23" s="13"/>
      <c r="I23" s="35"/>
      <c r="J23" s="13"/>
      <c r="K23" s="13"/>
      <c r="L23" s="35"/>
    </row>
    <row r="24" spans="1:12" s="34" customFormat="1" x14ac:dyDescent="0.2">
      <c r="A24" s="34" t="str">
        <f>'Occ T1'!A11</f>
        <v>Administrative and secretarial</v>
      </c>
      <c r="B24" s="35">
        <f>'Occ T1'!B11</f>
        <v>167.81985524773</v>
      </c>
      <c r="C24" s="35">
        <f>'Occ T1'!C11</f>
        <v>154.55956652721534</v>
      </c>
      <c r="D24" s="35">
        <f>'Occ T1'!D11</f>
        <v>160.63162547890485</v>
      </c>
      <c r="E24" s="35">
        <f>'Occ T1'!E11</f>
        <v>148.91887637436366</v>
      </c>
      <c r="F24" s="35">
        <f>'Occ T1'!F11</f>
        <v>138.73142661139272</v>
      </c>
      <c r="H24" s="35">
        <f t="shared" ref="H24:K26" si="14">C24-B24</f>
        <v>-13.260288720514666</v>
      </c>
      <c r="I24" s="35">
        <f t="shared" si="5"/>
        <v>6.0720589516895132</v>
      </c>
      <c r="J24" s="35">
        <f t="shared" si="14"/>
        <v>-11.712749104541189</v>
      </c>
      <c r="K24" s="35">
        <f t="shared" si="14"/>
        <v>-10.187449762970942</v>
      </c>
      <c r="L24" s="35">
        <f t="shared" si="4"/>
        <v>-21.900198867512131</v>
      </c>
    </row>
    <row r="25" spans="1:12" x14ac:dyDescent="0.2">
      <c r="A25" s="243" t="str">
        <f>'Occ T2'!A19</f>
        <v xml:space="preserve"> 41 Administrative occupations</v>
      </c>
      <c r="B25" s="36">
        <f>'Occ T2'!B19</f>
        <v>128.76139674940373</v>
      </c>
      <c r="C25" s="36">
        <f>'Occ T2'!C19</f>
        <v>119.92922229333625</v>
      </c>
      <c r="D25" s="36">
        <f>'Occ T2'!D19</f>
        <v>127.5213345098998</v>
      </c>
      <c r="E25" s="36">
        <f>'Occ T2'!E19</f>
        <v>123.6717396969581</v>
      </c>
      <c r="F25" s="36">
        <f>'Occ T2'!F19</f>
        <v>120.00823804562896</v>
      </c>
      <c r="H25" s="13">
        <f t="shared" si="14"/>
        <v>-8.8321744560674773</v>
      </c>
      <c r="I25" s="35">
        <f t="shared" si="5"/>
        <v>7.5921122165635495</v>
      </c>
      <c r="J25" s="13">
        <f t="shared" si="14"/>
        <v>-3.849594812941703</v>
      </c>
      <c r="K25" s="13">
        <f t="shared" si="14"/>
        <v>-3.6635016513291419</v>
      </c>
      <c r="L25" s="35">
        <f t="shared" si="4"/>
        <v>-7.5130964642708449</v>
      </c>
    </row>
    <row r="26" spans="1:12" x14ac:dyDescent="0.2">
      <c r="A26" s="286" t="str">
        <f>'Occ T2'!A20</f>
        <v xml:space="preserve"> 42 Secretarial and related occupations</v>
      </c>
      <c r="B26" s="36">
        <f>'Occ T2'!B20</f>
        <v>39.05845849832626</v>
      </c>
      <c r="C26" s="36">
        <f>'Occ T2'!C20</f>
        <v>34.630344233879086</v>
      </c>
      <c r="D26" s="36">
        <f>'Occ T2'!D20</f>
        <v>33.110290969005057</v>
      </c>
      <c r="E26" s="36">
        <f>'Occ T2'!E20</f>
        <v>25.247136677405564</v>
      </c>
      <c r="F26" s="36">
        <f>'Occ T2'!F20</f>
        <v>18.72318856576376</v>
      </c>
      <c r="H26" s="13">
        <f t="shared" si="14"/>
        <v>-4.4281142644471743</v>
      </c>
      <c r="I26" s="35">
        <f t="shared" si="5"/>
        <v>-1.5200532648740293</v>
      </c>
      <c r="J26" s="13">
        <f t="shared" si="14"/>
        <v>-7.8631542915994928</v>
      </c>
      <c r="K26" s="13">
        <f t="shared" si="14"/>
        <v>-6.5239481116418041</v>
      </c>
      <c r="L26" s="35">
        <f t="shared" si="4"/>
        <v>-14.387102403241297</v>
      </c>
    </row>
    <row r="27" spans="1:12" x14ac:dyDescent="0.2">
      <c r="B27" s="36"/>
      <c r="C27" s="36"/>
      <c r="D27" s="36"/>
      <c r="E27" s="36"/>
      <c r="F27" s="36"/>
      <c r="H27" s="13"/>
      <c r="I27" s="35"/>
      <c r="J27" s="13"/>
      <c r="K27" s="13"/>
      <c r="L27" s="35"/>
    </row>
    <row r="28" spans="1:12" s="34" customFormat="1" x14ac:dyDescent="0.2">
      <c r="A28" s="34" t="str">
        <f>'Occ T1'!A12</f>
        <v>Skilled trades occupations</v>
      </c>
      <c r="B28" s="35">
        <f>'Occ T1'!B12</f>
        <v>192.61758234287316</v>
      </c>
      <c r="C28" s="35">
        <f>'Occ T1'!C12</f>
        <v>173.6295944701626</v>
      </c>
      <c r="D28" s="35">
        <f>'Occ T1'!D12</f>
        <v>204.65991614519831</v>
      </c>
      <c r="E28" s="35">
        <f>'Occ T1'!E12</f>
        <v>197.71367725030444</v>
      </c>
      <c r="F28" s="35">
        <f>'Occ T1'!F12</f>
        <v>190.38528394164064</v>
      </c>
      <c r="H28" s="35">
        <f t="shared" ref="H28:K30" si="15">C28-B28</f>
        <v>-18.987987872710562</v>
      </c>
      <c r="I28" s="35">
        <f t="shared" si="5"/>
        <v>31.030321675035708</v>
      </c>
      <c r="J28" s="35">
        <f t="shared" si="15"/>
        <v>-6.9462388948938667</v>
      </c>
      <c r="K28" s="35">
        <f t="shared" si="15"/>
        <v>-7.3283933086638058</v>
      </c>
      <c r="L28" s="35">
        <f t="shared" si="4"/>
        <v>-14.274632203557672</v>
      </c>
    </row>
    <row r="29" spans="1:12" x14ac:dyDescent="0.2">
      <c r="A29" s="12" t="str">
        <f>'Occ T2'!A21</f>
        <v xml:space="preserve"> 51 Skilled agricultural and related trades</v>
      </c>
      <c r="B29" s="12">
        <f>'Occ T2'!B21</f>
        <v>27.01228324618716</v>
      </c>
      <c r="C29" s="12">
        <f>'Occ T2'!C21</f>
        <v>27.852633214650783</v>
      </c>
      <c r="D29" s="12">
        <f>'Occ T2'!D21</f>
        <v>44.641992580529916</v>
      </c>
      <c r="E29" s="12">
        <f>'Occ T2'!E21</f>
        <v>43.978336219184072</v>
      </c>
      <c r="F29" s="12">
        <f>'Occ T2'!F21</f>
        <v>43.56237546948261</v>
      </c>
      <c r="H29" s="13">
        <f t="shared" si="15"/>
        <v>0.84034996846362375</v>
      </c>
      <c r="I29" s="35">
        <f t="shared" si="5"/>
        <v>16.789359365879132</v>
      </c>
      <c r="J29" s="13">
        <f t="shared" si="15"/>
        <v>-0.66365636134584349</v>
      </c>
      <c r="K29" s="13">
        <f t="shared" si="15"/>
        <v>-0.41596074970146191</v>
      </c>
      <c r="L29" s="35">
        <f t="shared" si="4"/>
        <v>-1.0796171110473054</v>
      </c>
    </row>
    <row r="30" spans="1:12" x14ac:dyDescent="0.2">
      <c r="A30" s="12" t="str">
        <f>'Occ T2'!A22</f>
        <v xml:space="preserve"> 52 Skilled metal, electrical and electronic trades</v>
      </c>
      <c r="B30" s="12">
        <f>'Occ T2'!B22</f>
        <v>64.57909849455713</v>
      </c>
      <c r="C30" s="12">
        <f>'Occ T2'!C22</f>
        <v>56.496204507904956</v>
      </c>
      <c r="D30" s="12">
        <f>'Occ T2'!D22</f>
        <v>60.298327113758923</v>
      </c>
      <c r="E30" s="12">
        <f>'Occ T2'!E22</f>
        <v>55.865669083490999</v>
      </c>
      <c r="F30" s="12">
        <f>'Occ T2'!F22</f>
        <v>52.816651683092545</v>
      </c>
      <c r="H30" s="13">
        <f t="shared" si="15"/>
        <v>-8.0828939866521736</v>
      </c>
      <c r="I30" s="35">
        <f t="shared" si="5"/>
        <v>3.8021226058539668</v>
      </c>
      <c r="J30" s="13">
        <f t="shared" si="15"/>
        <v>-4.4326580302679233</v>
      </c>
      <c r="K30" s="13">
        <f t="shared" si="15"/>
        <v>-3.0490174003984549</v>
      </c>
      <c r="L30" s="35">
        <f t="shared" si="4"/>
        <v>-7.4816754306663782</v>
      </c>
    </row>
    <row r="31" spans="1:12" s="218" customFormat="1" x14ac:dyDescent="0.2">
      <c r="A31" s="12" t="str">
        <f>'Occ T2'!A23</f>
        <v xml:space="preserve"> 53 Skilled construction and building trades</v>
      </c>
      <c r="B31" s="12">
        <f>'Occ T2'!B23</f>
        <v>62.17438600693751</v>
      </c>
      <c r="C31" s="12">
        <f>'Occ T2'!C23</f>
        <v>48.321987318260412</v>
      </c>
      <c r="D31" s="12">
        <f>'Occ T2'!D23</f>
        <v>55.607063035219241</v>
      </c>
      <c r="E31" s="12">
        <f>'Occ T2'!E23</f>
        <v>56.441055319271051</v>
      </c>
      <c r="F31" s="12">
        <f>'Occ T2'!F23</f>
        <v>55.864658178180079</v>
      </c>
      <c r="H31" s="13">
        <f t="shared" ref="H31:H32" si="16">C31-B31</f>
        <v>-13.852398688677098</v>
      </c>
      <c r="I31" s="35">
        <f t="shared" si="5"/>
        <v>7.2850757169588292</v>
      </c>
      <c r="J31" s="13">
        <f t="shared" ref="J31:J32" si="17">E31-D31</f>
        <v>0.83399228405180992</v>
      </c>
      <c r="K31" s="13">
        <f t="shared" ref="K31:K32" si="18">F31-E31</f>
        <v>-0.57639714109097184</v>
      </c>
      <c r="L31" s="35">
        <f t="shared" si="4"/>
        <v>0.25759514296083807</v>
      </c>
    </row>
    <row r="32" spans="1:12" s="218" customFormat="1" x14ac:dyDescent="0.2">
      <c r="A32" s="12" t="str">
        <f>'Occ T2'!A24</f>
        <v xml:space="preserve"> 54 Textiles, printing and other skilled trades</v>
      </c>
      <c r="B32" s="12">
        <f>'Occ T2'!B24</f>
        <v>38.851814595191357</v>
      </c>
      <c r="C32" s="12">
        <f>'Occ T2'!C24</f>
        <v>40.958769429346432</v>
      </c>
      <c r="D32" s="12">
        <f>'Occ T2'!D24</f>
        <v>44.112533415690251</v>
      </c>
      <c r="E32" s="12">
        <f>'Occ T2'!E24</f>
        <v>41.428616628358341</v>
      </c>
      <c r="F32" s="12">
        <f>'Occ T2'!F24</f>
        <v>38.141598610885424</v>
      </c>
      <c r="H32" s="13">
        <f t="shared" si="16"/>
        <v>2.1069548341550757</v>
      </c>
      <c r="I32" s="35">
        <f t="shared" si="5"/>
        <v>3.1537639863438187</v>
      </c>
      <c r="J32" s="13">
        <f t="shared" si="17"/>
        <v>-2.6839167873319099</v>
      </c>
      <c r="K32" s="13">
        <f t="shared" si="18"/>
        <v>-3.2870180174729171</v>
      </c>
      <c r="L32" s="35">
        <f t="shared" si="4"/>
        <v>-5.970934804804827</v>
      </c>
    </row>
    <row r="33" spans="1:12" x14ac:dyDescent="0.2">
      <c r="A33" s="12"/>
      <c r="B33" s="36"/>
      <c r="C33" s="36"/>
      <c r="D33" s="36"/>
      <c r="E33" s="36"/>
      <c r="F33" s="36"/>
      <c r="H33" s="13"/>
      <c r="I33" s="35"/>
      <c r="J33" s="13"/>
      <c r="K33" s="13"/>
      <c r="L33" s="35"/>
    </row>
    <row r="34" spans="1:12" s="34" customFormat="1" x14ac:dyDescent="0.2">
      <c r="A34" s="34" t="str">
        <f>'Occ T1'!A13</f>
        <v>Caring, leisure and other service</v>
      </c>
      <c r="B34" s="35">
        <f>'Occ T1'!B13</f>
        <v>126.14913023603195</v>
      </c>
      <c r="C34" s="35">
        <f>'Occ T1'!C13</f>
        <v>137.01849261936439</v>
      </c>
      <c r="D34" s="35">
        <f>'Occ T1'!D13</f>
        <v>168.1161708779527</v>
      </c>
      <c r="E34" s="35">
        <f>'Occ T1'!E13</f>
        <v>177.32710037561748</v>
      </c>
      <c r="F34" s="35">
        <f>'Occ T1'!F13</f>
        <v>188.79525387511896</v>
      </c>
      <c r="H34" s="35">
        <f t="shared" ref="H34:K36" si="19">C34-B34</f>
        <v>10.869362383332444</v>
      </c>
      <c r="I34" s="35">
        <f t="shared" si="5"/>
        <v>31.097678258588303</v>
      </c>
      <c r="J34" s="35">
        <f t="shared" si="19"/>
        <v>9.2109294976647789</v>
      </c>
      <c r="K34" s="35">
        <f t="shared" si="19"/>
        <v>11.468153499501483</v>
      </c>
      <c r="L34" s="35">
        <f t="shared" si="4"/>
        <v>20.679082997166262</v>
      </c>
    </row>
    <row r="35" spans="1:12" x14ac:dyDescent="0.2">
      <c r="A35" s="12" t="str">
        <f>'Occ T2'!A25</f>
        <v xml:space="preserve"> 61 Caring personal service occupations</v>
      </c>
      <c r="B35" s="12">
        <f>'Occ T2'!B25</f>
        <v>99.187958703714813</v>
      </c>
      <c r="C35" s="12">
        <f>'Occ T2'!C25</f>
        <v>108.78205721203497</v>
      </c>
      <c r="D35" s="12">
        <f>'Occ T2'!D25</f>
        <v>134.03418747801385</v>
      </c>
      <c r="E35" s="12">
        <f>'Occ T2'!E25</f>
        <v>144.11345945912691</v>
      </c>
      <c r="F35" s="12">
        <f>'Occ T2'!F25</f>
        <v>156.37297615871555</v>
      </c>
      <c r="G35" s="12"/>
      <c r="H35" s="13">
        <f t="shared" si="19"/>
        <v>9.5940985083201582</v>
      </c>
      <c r="I35" s="35">
        <f t="shared" si="5"/>
        <v>25.252130265978877</v>
      </c>
      <c r="J35" s="13">
        <f t="shared" si="19"/>
        <v>10.079271981113067</v>
      </c>
      <c r="K35" s="13">
        <f t="shared" si="19"/>
        <v>12.25951669958863</v>
      </c>
      <c r="L35" s="35">
        <f t="shared" si="4"/>
        <v>22.338788680701697</v>
      </c>
    </row>
    <row r="36" spans="1:12" x14ac:dyDescent="0.2">
      <c r="A36" s="12" t="str">
        <f>'Occ T2'!A26</f>
        <v xml:space="preserve"> 62 Leisure, travel and related personal service occupations</v>
      </c>
      <c r="B36" s="12">
        <f>'Occ T2'!B26</f>
        <v>26.961171532317142</v>
      </c>
      <c r="C36" s="12">
        <f>'Occ T2'!C26</f>
        <v>28.236435407329424</v>
      </c>
      <c r="D36" s="12">
        <f>'Occ T2'!D26</f>
        <v>34.081983399938842</v>
      </c>
      <c r="E36" s="12">
        <f>'Occ T2'!E26</f>
        <v>33.213640916490561</v>
      </c>
      <c r="F36" s="12">
        <f>'Occ T2'!F26</f>
        <v>32.422277716403407</v>
      </c>
      <c r="G36" s="12"/>
      <c r="H36" s="13">
        <f t="shared" si="19"/>
        <v>1.275263875012282</v>
      </c>
      <c r="I36" s="35">
        <f t="shared" si="5"/>
        <v>5.8455479926094185</v>
      </c>
      <c r="J36" s="13">
        <f t="shared" si="19"/>
        <v>-0.86834248344828069</v>
      </c>
      <c r="K36" s="13">
        <f t="shared" si="19"/>
        <v>-0.79136320008715444</v>
      </c>
      <c r="L36" s="35">
        <f t="shared" si="4"/>
        <v>-1.6597056835354351</v>
      </c>
    </row>
    <row r="37" spans="1:12" x14ac:dyDescent="0.2">
      <c r="I37" s="35"/>
      <c r="L37" s="35"/>
    </row>
    <row r="38" spans="1:12" s="34" customFormat="1" x14ac:dyDescent="0.2">
      <c r="A38" s="34" t="str">
        <f>'Occ T1'!A14</f>
        <v>Sales and customer service</v>
      </c>
      <c r="B38" s="35">
        <f>'Occ T1'!B14</f>
        <v>131.40327711366808</v>
      </c>
      <c r="C38" s="35">
        <f>'Occ T1'!C14</f>
        <v>125.82025945502616</v>
      </c>
      <c r="D38" s="35">
        <f>'Occ T1'!D14</f>
        <v>125.66987901861698</v>
      </c>
      <c r="E38" s="35">
        <f>'Occ T1'!E14</f>
        <v>123.63412707601984</v>
      </c>
      <c r="F38" s="35">
        <f>'Occ T1'!F14</f>
        <v>122.14903772501791</v>
      </c>
      <c r="G38" s="54"/>
      <c r="H38" s="35">
        <f>C38-B38</f>
        <v>-5.5830176586419213</v>
      </c>
      <c r="I38" s="35">
        <f t="shared" si="5"/>
        <v>-0.1503804364091792</v>
      </c>
      <c r="J38" s="35">
        <f>E38-D38</f>
        <v>-2.0357519425971446</v>
      </c>
      <c r="K38" s="35">
        <f>F38-E38</f>
        <v>-1.4850893510019318</v>
      </c>
      <c r="L38" s="35">
        <f t="shared" si="4"/>
        <v>-3.5208412935990765</v>
      </c>
    </row>
    <row r="39" spans="1:12" s="34" customFormat="1" x14ac:dyDescent="0.2">
      <c r="A39" s="173" t="str">
        <f>'Occ T2'!A27</f>
        <v xml:space="preserve"> 71 Sales occupations</v>
      </c>
      <c r="B39" s="173">
        <f>'Occ T2'!B27</f>
        <v>109.72479758960813</v>
      </c>
      <c r="C39" s="173">
        <f>'Occ T2'!C27</f>
        <v>101.02984488381639</v>
      </c>
      <c r="D39" s="173">
        <f>'Occ T2'!D27</f>
        <v>96.72865813780345</v>
      </c>
      <c r="E39" s="173">
        <f>'Occ T2'!E27</f>
        <v>92.221847071554265</v>
      </c>
      <c r="F39" s="173">
        <f>'Occ T2'!F27</f>
        <v>88.415327050932888</v>
      </c>
      <c r="G39" s="2"/>
      <c r="H39" s="13">
        <f t="shared" ref="H39" si="20">C39-B39</f>
        <v>-8.6949527057917351</v>
      </c>
      <c r="I39" s="35">
        <f t="shared" si="5"/>
        <v>-4.3011867460129452</v>
      </c>
      <c r="J39" s="13">
        <f t="shared" ref="J39" si="21">E39-D39</f>
        <v>-4.5068110662491847</v>
      </c>
      <c r="K39" s="13">
        <f t="shared" ref="K39" si="22">F39-E39</f>
        <v>-3.8065200206213774</v>
      </c>
      <c r="L39" s="35">
        <f t="shared" si="4"/>
        <v>-8.3133310868705621</v>
      </c>
    </row>
    <row r="40" spans="1:12" s="34" customFormat="1" x14ac:dyDescent="0.2">
      <c r="A40" s="173" t="str">
        <f>'Occ T2'!A28</f>
        <v xml:space="preserve"> 72 Customer service occupations</v>
      </c>
      <c r="B40" s="173">
        <f>'Occ T2'!B28</f>
        <v>21.678479524059966</v>
      </c>
      <c r="C40" s="173">
        <f>'Occ T2'!C28</f>
        <v>24.790414571209773</v>
      </c>
      <c r="D40" s="173">
        <f>'Occ T2'!D28</f>
        <v>28.941220880813535</v>
      </c>
      <c r="E40" s="173">
        <f>'Occ T2'!E28</f>
        <v>31.412280004465572</v>
      </c>
      <c r="F40" s="173">
        <f>'Occ T2'!F28</f>
        <v>33.733710674085017</v>
      </c>
      <c r="G40" s="2"/>
      <c r="H40" s="13">
        <f t="shared" ref="H40" si="23">C40-B40</f>
        <v>3.1119350471498066</v>
      </c>
      <c r="I40" s="35">
        <f t="shared" si="5"/>
        <v>4.1508063096037624</v>
      </c>
      <c r="J40" s="13">
        <f t="shared" ref="J40" si="24">E40-D40</f>
        <v>2.4710591236520365</v>
      </c>
      <c r="K40" s="13">
        <f t="shared" ref="K40" si="25">F40-E40</f>
        <v>2.3214306696194456</v>
      </c>
      <c r="L40" s="35">
        <f t="shared" si="4"/>
        <v>4.7924897932714821</v>
      </c>
    </row>
    <row r="41" spans="1:12" x14ac:dyDescent="0.2">
      <c r="B41" s="46"/>
      <c r="C41" s="46"/>
      <c r="D41" s="46"/>
      <c r="E41" s="46"/>
      <c r="F41" s="46"/>
      <c r="G41" s="2"/>
      <c r="H41" s="47"/>
      <c r="I41" s="35"/>
      <c r="J41" s="47"/>
      <c r="K41" s="47"/>
      <c r="L41" s="35"/>
    </row>
    <row r="42" spans="1:12" s="34" customFormat="1" x14ac:dyDescent="0.2">
      <c r="A42" s="34" t="str">
        <f>'Occ T1'!A15</f>
        <v>Process, plant and machine operatives</v>
      </c>
      <c r="B42" s="35">
        <f>'Occ T1'!B15</f>
        <v>130.98207204915556</v>
      </c>
      <c r="C42" s="35">
        <f>'Occ T1'!C15</f>
        <v>116.61966769195422</v>
      </c>
      <c r="D42" s="35">
        <f>'Occ T1'!D15</f>
        <v>113.82573906258986</v>
      </c>
      <c r="E42" s="35">
        <f>'Occ T1'!E15</f>
        <v>106.80862144444538</v>
      </c>
      <c r="F42" s="35">
        <f>'Occ T1'!F15</f>
        <v>102.98688318643494</v>
      </c>
      <c r="G42" s="54"/>
      <c r="H42" s="35">
        <f t="shared" ref="H42:K44" si="26">C42-B42</f>
        <v>-14.362404357201342</v>
      </c>
      <c r="I42" s="35">
        <f t="shared" si="5"/>
        <v>-2.793928629364359</v>
      </c>
      <c r="J42" s="35">
        <f t="shared" si="26"/>
        <v>-7.0171176181444821</v>
      </c>
      <c r="K42" s="35">
        <f t="shared" si="26"/>
        <v>-3.8217382580104413</v>
      </c>
      <c r="L42" s="35">
        <f t="shared" si="4"/>
        <v>-10.838855876154923</v>
      </c>
    </row>
    <row r="43" spans="1:12" x14ac:dyDescent="0.2">
      <c r="A43" s="12" t="str">
        <f>'Occ T2'!A29</f>
        <v xml:space="preserve"> 81 Process, plant and machine operatives</v>
      </c>
      <c r="B43" s="12">
        <f>'Occ T2'!B29</f>
        <v>85.70514998203177</v>
      </c>
      <c r="C43" s="12">
        <f>'Occ T2'!C29</f>
        <v>78.222128118878317</v>
      </c>
      <c r="D43" s="12">
        <f>'Occ T2'!D29</f>
        <v>78.332378779529421</v>
      </c>
      <c r="E43" s="12">
        <f>'Occ T2'!E29</f>
        <v>70.793393427315365</v>
      </c>
      <c r="F43" s="12">
        <f>'Occ T2'!F29</f>
        <v>66.345882238047054</v>
      </c>
      <c r="G43" s="2"/>
      <c r="H43" s="13">
        <f t="shared" si="26"/>
        <v>-7.4830218631534535</v>
      </c>
      <c r="I43" s="35">
        <f t="shared" si="5"/>
        <v>0.11025066065110423</v>
      </c>
      <c r="J43" s="13">
        <f t="shared" si="26"/>
        <v>-7.5389853522140555</v>
      </c>
      <c r="K43" s="13">
        <f t="shared" si="26"/>
        <v>-4.4475111892683117</v>
      </c>
      <c r="L43" s="35">
        <f t="shared" si="4"/>
        <v>-11.986496541482367</v>
      </c>
    </row>
    <row r="44" spans="1:12" x14ac:dyDescent="0.2">
      <c r="A44" s="12" t="str">
        <f>'Occ T2'!A30</f>
        <v xml:space="preserve"> 82 Transport and mobile machine drivers and operatives</v>
      </c>
      <c r="B44" s="12">
        <f>'Occ T2'!B30</f>
        <v>45.276922067123785</v>
      </c>
      <c r="C44" s="12">
        <f>'Occ T2'!C30</f>
        <v>38.39753957307591</v>
      </c>
      <c r="D44" s="12">
        <f>'Occ T2'!D30</f>
        <v>35.493360283060447</v>
      </c>
      <c r="E44" s="12">
        <f>'Occ T2'!E30</f>
        <v>36.015228017130013</v>
      </c>
      <c r="F44" s="12">
        <f>'Occ T2'!F30</f>
        <v>36.641000948387891</v>
      </c>
      <c r="G44" s="2"/>
      <c r="H44" s="13">
        <f t="shared" si="26"/>
        <v>-6.8793824940478743</v>
      </c>
      <c r="I44" s="35">
        <f t="shared" si="5"/>
        <v>-2.9041792900154633</v>
      </c>
      <c r="J44" s="13">
        <f t="shared" si="26"/>
        <v>0.52186773406956632</v>
      </c>
      <c r="K44" s="13">
        <f t="shared" si="26"/>
        <v>0.62577293125787747</v>
      </c>
      <c r="L44" s="35">
        <f t="shared" si="4"/>
        <v>1.1476406653274438</v>
      </c>
    </row>
    <row r="45" spans="1:12" x14ac:dyDescent="0.2">
      <c r="B45" s="36"/>
      <c r="C45" s="36"/>
      <c r="D45" s="36"/>
      <c r="E45" s="36"/>
      <c r="F45" s="36"/>
      <c r="G45" s="2"/>
      <c r="H45" s="47"/>
      <c r="I45" s="35"/>
      <c r="J45" s="47"/>
      <c r="K45" s="47"/>
      <c r="L45" s="35"/>
    </row>
    <row r="46" spans="1:12" s="34" customFormat="1" x14ac:dyDescent="0.2">
      <c r="A46" s="34" t="str">
        <f>'Occ T1'!A16</f>
        <v>Elementary occupations</v>
      </c>
      <c r="B46" s="35">
        <f>'Occ T1'!B16</f>
        <v>196.99476340980632</v>
      </c>
      <c r="C46" s="35">
        <f>'Occ T1'!C16</f>
        <v>164.61884348517052</v>
      </c>
      <c r="D46" s="35">
        <f>'Occ T1'!D16</f>
        <v>176.46250364617717</v>
      </c>
      <c r="E46" s="35">
        <f>'Occ T1'!E16</f>
        <v>176.51119269083904</v>
      </c>
      <c r="F46" s="35">
        <f>'Occ T1'!F16</f>
        <v>175.63201786892921</v>
      </c>
      <c r="G46" s="54"/>
      <c r="H46" s="35">
        <f t="shared" ref="H46:K48" si="27">C46-B46</f>
        <v>-32.375919924635809</v>
      </c>
      <c r="I46" s="35">
        <f t="shared" si="5"/>
        <v>11.843660161006653</v>
      </c>
      <c r="J46" s="35">
        <f t="shared" si="27"/>
        <v>4.8689044661870184E-2</v>
      </c>
      <c r="K46" s="35">
        <f t="shared" si="27"/>
        <v>-0.8791748219098281</v>
      </c>
      <c r="L46" s="35">
        <f t="shared" si="4"/>
        <v>-0.83048577724795791</v>
      </c>
    </row>
    <row r="47" spans="1:12" x14ac:dyDescent="0.2">
      <c r="A47" s="12" t="str">
        <f>'Occ T2'!A31</f>
        <v xml:space="preserve"> 91 Elementary trades and related occupations</v>
      </c>
      <c r="B47" s="12">
        <f>'Occ T2'!B31</f>
        <v>31.655920531721669</v>
      </c>
      <c r="C47" s="12">
        <f>'Occ T2'!C31</f>
        <v>28.077506117493837</v>
      </c>
      <c r="D47" s="12">
        <f>'Occ T2'!D31</f>
        <v>30.003578616580025</v>
      </c>
      <c r="E47" s="12">
        <f>'Occ T2'!E31</f>
        <v>29.820583339074787</v>
      </c>
      <c r="F47" s="12">
        <f>'Occ T2'!F31</f>
        <v>30.056216538126861</v>
      </c>
      <c r="G47" s="2"/>
      <c r="H47" s="13">
        <f t="shared" si="27"/>
        <v>-3.5784144142278329</v>
      </c>
      <c r="I47" s="35">
        <f t="shared" si="5"/>
        <v>1.9260724990861888</v>
      </c>
      <c r="J47" s="13">
        <f t="shared" si="27"/>
        <v>-0.18299527750523836</v>
      </c>
      <c r="K47" s="13">
        <f t="shared" si="27"/>
        <v>0.23563319905207436</v>
      </c>
      <c r="L47" s="35">
        <f t="shared" si="4"/>
        <v>5.2637921546835997E-2</v>
      </c>
    </row>
    <row r="48" spans="1:12" x14ac:dyDescent="0.2">
      <c r="A48" s="12" t="str">
        <f>'Occ T2'!A32</f>
        <v xml:space="preserve"> 92 Elementary administration and service occupations</v>
      </c>
      <c r="B48" s="12">
        <f>'Occ T2'!B32</f>
        <v>165.33884287808465</v>
      </c>
      <c r="C48" s="12">
        <f>'Occ T2'!C32</f>
        <v>136.54133736767668</v>
      </c>
      <c r="D48" s="12">
        <f>'Occ T2'!D32</f>
        <v>146.45892502959714</v>
      </c>
      <c r="E48" s="12">
        <f>'Occ T2'!E32</f>
        <v>146.69060935176427</v>
      </c>
      <c r="F48" s="12">
        <f>'Occ T2'!F32</f>
        <v>145.57580133080234</v>
      </c>
      <c r="G48" s="2"/>
      <c r="H48" s="13">
        <f t="shared" si="27"/>
        <v>-28.797505510407973</v>
      </c>
      <c r="I48" s="35">
        <f t="shared" si="5"/>
        <v>9.9175876619204644</v>
      </c>
      <c r="J48" s="13">
        <f t="shared" si="27"/>
        <v>0.23168432216712631</v>
      </c>
      <c r="K48" s="13">
        <f t="shared" si="27"/>
        <v>-1.1148080209619309</v>
      </c>
      <c r="L48" s="35">
        <f t="shared" si="4"/>
        <v>-0.88312369879480457</v>
      </c>
    </row>
    <row r="49" spans="1:12" x14ac:dyDescent="0.2">
      <c r="B49" s="36"/>
      <c r="C49" s="36"/>
      <c r="D49" s="36"/>
      <c r="E49" s="36"/>
      <c r="F49" s="36"/>
      <c r="G49" s="2"/>
      <c r="H49" s="47"/>
      <c r="I49" s="35"/>
      <c r="J49" s="47"/>
      <c r="K49" s="47"/>
      <c r="L49" s="35"/>
    </row>
    <row r="50" spans="1:12" x14ac:dyDescent="0.2">
      <c r="A50" s="48" t="str">
        <f>'Occ T1'!A18</f>
        <v>All occupations</v>
      </c>
      <c r="B50" s="39">
        <f>'Occ T1'!B18</f>
        <v>1408.9670000019441</v>
      </c>
      <c r="C50" s="39">
        <f>'Occ T1'!C18</f>
        <v>1357.8780000009849</v>
      </c>
      <c r="D50" s="39">
        <f>'Occ T1'!D18</f>
        <v>1529.7600000008433</v>
      </c>
      <c r="E50" s="39">
        <f>'Occ T1'!E18</f>
        <v>1546.2870000021662</v>
      </c>
      <c r="F50" s="39">
        <f>'Occ T1'!F18</f>
        <v>1569.1730000018847</v>
      </c>
      <c r="G50" s="37"/>
      <c r="H50" s="39">
        <f>C50-B50</f>
        <v>-51.089000000959231</v>
      </c>
      <c r="I50" s="303">
        <f>D50-C50</f>
        <v>171.88199999985841</v>
      </c>
      <c r="J50" s="39">
        <f>E50-D50</f>
        <v>16.527000001322904</v>
      </c>
      <c r="K50" s="39">
        <f>F50-E50</f>
        <v>22.885999999718479</v>
      </c>
      <c r="L50" s="303">
        <f>F50-D50</f>
        <v>39.413000001041382</v>
      </c>
    </row>
    <row r="52" spans="1:12" ht="15.75" x14ac:dyDescent="0.25">
      <c r="A52" s="23" t="str">
        <f>CONCATENATE(A1," (Continued)")</f>
        <v>Occupation Table 3  Employment Change by Occupation in Occupation Group (SOC 2010), 2007-2027 (Continued)</v>
      </c>
    </row>
    <row r="54" spans="1:12" x14ac:dyDescent="0.2">
      <c r="L54" s="19" t="s">
        <v>21</v>
      </c>
    </row>
    <row r="55" spans="1:12" x14ac:dyDescent="0.2">
      <c r="A55" s="41"/>
      <c r="B55" s="32" t="s">
        <v>14</v>
      </c>
      <c r="C55" s="32"/>
      <c r="D55" s="32"/>
      <c r="E55" s="32"/>
      <c r="F55" s="32"/>
      <c r="G55" s="32"/>
      <c r="H55" s="32" t="s">
        <v>511</v>
      </c>
      <c r="I55" s="32"/>
      <c r="J55" s="32"/>
      <c r="K55" s="32"/>
      <c r="L55" s="32"/>
    </row>
    <row r="56" spans="1:12" x14ac:dyDescent="0.2">
      <c r="A56" s="37"/>
      <c r="B56" s="42" t="str">
        <f>H5</f>
        <v>2007-2012</v>
      </c>
      <c r="C56" s="42" t="str">
        <f>I5</f>
        <v>2012-2017</v>
      </c>
      <c r="D56" s="42" t="str">
        <f>J5</f>
        <v>2017-2022</v>
      </c>
      <c r="E56" s="42" t="str">
        <f>K5</f>
        <v>2022-2027</v>
      </c>
      <c r="F56" s="42" t="str">
        <f>L5</f>
        <v>2017-2027</v>
      </c>
      <c r="G56" s="57"/>
      <c r="H56" s="51">
        <f>B5</f>
        <v>2007</v>
      </c>
      <c r="I56" s="51">
        <f>C5</f>
        <v>2012</v>
      </c>
      <c r="J56" s="51">
        <f>D5</f>
        <v>2017</v>
      </c>
      <c r="K56" s="51">
        <f>E5</f>
        <v>2022</v>
      </c>
      <c r="L56" s="51">
        <f>F5</f>
        <v>2027</v>
      </c>
    </row>
    <row r="58" spans="1:12" s="34" customFormat="1" x14ac:dyDescent="0.2">
      <c r="A58" s="34" t="str">
        <f>A7</f>
        <v>Managers, directors and senior officials</v>
      </c>
      <c r="B58" s="53">
        <f>IF(AND(C$5-B$5 &lt;&gt; 0,C7 &lt;&gt; 0,B7 &lt;&gt; 0),(EXP(LN(C7/B7)/(C$5-B$5))-1)*100,0)</f>
        <v>1.1564339602714746</v>
      </c>
      <c r="C58" s="53">
        <f>IF(AND(D$5-C$5 &lt;&gt; 0,D7 &lt;&gt; 0,C7 &lt;&gt; 0),(EXP(LN(D7/C7)/(D$5-C$5))-1)*100,0)</f>
        <v>3.5280689146168775</v>
      </c>
      <c r="D58" s="53">
        <f>IF(AND(E$5-D$5 &lt;&gt; 0,E7 &lt;&gt; 0,D7 &lt;&gt; 0),(EXP(LN(E7/D7)/(E$5-D$5))-1)*100,0)</f>
        <v>1.3019594244971122</v>
      </c>
      <c r="E58" s="53">
        <f>IF(AND(F$5-E$5 &lt;&gt; 0,F7 &lt;&gt; 0,E7 &lt;&gt; 0),(EXP(LN(F7/E7)/(F$5-E$5))-1)*100,0)</f>
        <v>1.0907140563431339</v>
      </c>
      <c r="F58" s="53">
        <f>IF(AND(F$5-D$5 &lt;&gt; 0,F7 &lt;&gt; 0,D7 &lt;&gt; 0),(EXP(LN(F7/D7)/(F$5-D$5))-1)*100,0)</f>
        <v>1.1962816190847603</v>
      </c>
      <c r="H58" s="53">
        <f>(B7/B$50)*100</f>
        <v>6.8394781892949421</v>
      </c>
      <c r="I58" s="53">
        <f>(C7/C$50)*100</f>
        <v>7.5167584198945328</v>
      </c>
      <c r="J58" s="53">
        <f>(D7/D$50)*100</f>
        <v>7.9352133954751771</v>
      </c>
      <c r="K58" s="53">
        <f>(E7/E$50)*100</f>
        <v>8.3749270979679817</v>
      </c>
      <c r="L58" s="53">
        <f>(F7/F$50)*100</f>
        <v>8.7127777135920645</v>
      </c>
    </row>
    <row r="59" spans="1:12" s="34" customFormat="1" x14ac:dyDescent="0.2">
      <c r="A59" s="34" t="str">
        <f t="shared" ref="A59:A60" si="28">A8</f>
        <v xml:space="preserve"> 11 Corporate managers and directors</v>
      </c>
      <c r="B59" s="53">
        <f t="shared" ref="B59:E59" si="29">IF(AND(C$5-B$5 &lt;&gt; 0,C8 &lt;&gt; 0,B8 &lt;&gt; 0),(EXP(LN(C8/B8)/(C$5-B$5))-1)*100,0)</f>
        <v>0.36070195060211585</v>
      </c>
      <c r="C59" s="53">
        <f t="shared" si="29"/>
        <v>3.4717594568288934</v>
      </c>
      <c r="D59" s="53">
        <f t="shared" si="29"/>
        <v>1.4794339607459683</v>
      </c>
      <c r="E59" s="53">
        <f t="shared" si="29"/>
        <v>1.2391319686546165</v>
      </c>
      <c r="F59" s="53">
        <f t="shared" ref="F59:F101" si="30">IF(AND(F$5-D$5 &lt;&gt; 0,F8 &lt;&gt; 0,D8 &lt;&gt; 0),(EXP(LN(F8/D8)/(F$5-D$5))-1)*100,0)</f>
        <v>1.3592117513565372</v>
      </c>
      <c r="H59" s="53">
        <f t="shared" ref="H59:L59" si="31">(B8/B$50)*100</f>
        <v>4.4565330964568046</v>
      </c>
      <c r="I59" s="53">
        <f t="shared" si="31"/>
        <v>4.7082081709649355</v>
      </c>
      <c r="J59" s="53">
        <f t="shared" si="31"/>
        <v>4.9568100640061097</v>
      </c>
      <c r="K59" s="53">
        <f t="shared" si="31"/>
        <v>5.2774685584997272</v>
      </c>
      <c r="L59" s="53">
        <f t="shared" si="31"/>
        <v>5.5307878053393367</v>
      </c>
    </row>
    <row r="60" spans="1:12" s="34" customFormat="1" x14ac:dyDescent="0.2">
      <c r="A60" s="34" t="str">
        <f t="shared" si="28"/>
        <v xml:space="preserve"> 12 Other managers and proprietors</v>
      </c>
      <c r="B60" s="53">
        <f t="shared" ref="B60:E60" si="32">IF(AND(C$5-B$5 &lt;&gt; 0,C9 &lt;&gt; 0,B9 &lt;&gt; 0),(EXP(LN(C9/B9)/(C$5-B$5))-1)*100,0)</f>
        <v>2.5806906399285401</v>
      </c>
      <c r="C60" s="53">
        <f>IF(AND(D$5-C$5 &lt;&gt; 0,D9 &lt;&gt; 0,C9 &lt;&gt; 0),(EXP(LN(D9/C9)/(D$5-C$5))-1)*100,0)</f>
        <v>3.6221912507477194</v>
      </c>
      <c r="D60" s="53">
        <f t="shared" si="32"/>
        <v>1.0038107176833844</v>
      </c>
      <c r="E60" s="53">
        <f t="shared" si="32"/>
        <v>0.83581287043330565</v>
      </c>
      <c r="F60" s="53">
        <f t="shared" si="30"/>
        <v>0.9197768365001302</v>
      </c>
      <c r="H60" s="53">
        <f t="shared" ref="H60:L60" si="33">(B9/B$50)*100</f>
        <v>2.3829450928381393</v>
      </c>
      <c r="I60" s="53">
        <f t="shared" si="33"/>
        <v>2.8085502489295981</v>
      </c>
      <c r="J60" s="53">
        <f t="shared" si="33"/>
        <v>2.978403331469067</v>
      </c>
      <c r="K60" s="53">
        <f t="shared" si="33"/>
        <v>3.0974585394682554</v>
      </c>
      <c r="L60" s="53">
        <f t="shared" si="33"/>
        <v>3.1819899082527261</v>
      </c>
    </row>
    <row r="61" spans="1:12" x14ac:dyDescent="0.2">
      <c r="A61" s="218"/>
      <c r="B61" s="49"/>
      <c r="C61" s="53"/>
      <c r="D61" s="49"/>
      <c r="E61" s="49"/>
      <c r="F61" s="53"/>
      <c r="H61" s="49"/>
      <c r="I61" s="49"/>
      <c r="J61" s="49"/>
      <c r="K61" s="49"/>
      <c r="L61" s="49"/>
    </row>
    <row r="62" spans="1:12" s="34" customFormat="1" x14ac:dyDescent="0.2">
      <c r="A62" s="34" t="str">
        <f>A11</f>
        <v>Professional occupations</v>
      </c>
      <c r="B62" s="53">
        <f t="shared" ref="B62:E66" si="34">IF(AND(C$5-B$5 &lt;&gt; 0,C11 &lt;&gt; 0,B11 &lt;&gt; 0),(EXP(LN(C11/B11)/(C$5-B$5))-1)*100,0)</f>
        <v>1.4957463265856452</v>
      </c>
      <c r="C62" s="53">
        <f t="shared" si="34"/>
        <v>3.8000493972026872</v>
      </c>
      <c r="D62" s="53">
        <f t="shared" si="34"/>
        <v>1.1863275437107523</v>
      </c>
      <c r="E62" s="53">
        <f t="shared" si="34"/>
        <v>1.3062288163602664</v>
      </c>
      <c r="F62" s="53">
        <f t="shared" si="30"/>
        <v>1.2462604308442593</v>
      </c>
      <c r="H62" s="53">
        <f>(B11/B$50)*100</f>
        <v>15.691037118501319</v>
      </c>
      <c r="I62" s="53">
        <f>(C11/C$50)*100</f>
        <v>17.53601572259635</v>
      </c>
      <c r="J62" s="53">
        <f>(D11/D$50)*100</f>
        <v>18.756689033742806</v>
      </c>
      <c r="K62" s="53">
        <f>(E11/E$50)*100</f>
        <v>19.683328656937601</v>
      </c>
      <c r="L62" s="53">
        <f>(F11/F$50)*100</f>
        <v>20.696579014906742</v>
      </c>
    </row>
    <row r="63" spans="1:12" x14ac:dyDescent="0.2">
      <c r="A63" s="218" t="str">
        <f>A12</f>
        <v xml:space="preserve"> 21 Science, research, engineering and technology professionals</v>
      </c>
      <c r="B63" s="61">
        <f t="shared" si="34"/>
        <v>0.45587469847301332</v>
      </c>
      <c r="C63" s="53">
        <f t="shared" si="34"/>
        <v>3.9607555617725998</v>
      </c>
      <c r="D63" s="61">
        <f t="shared" si="34"/>
        <v>0.95380248722098937</v>
      </c>
      <c r="E63" s="61">
        <f t="shared" si="34"/>
        <v>0.73231139043612448</v>
      </c>
      <c r="F63" s="53">
        <f t="shared" si="30"/>
        <v>0.84299612859253248</v>
      </c>
      <c r="H63" s="49">
        <f t="shared" ref="H63:L66" si="35">(B12/B$11)*100</f>
        <v>17.823316870075036</v>
      </c>
      <c r="I63" s="49">
        <f t="shared" si="35"/>
        <v>16.928793946235469</v>
      </c>
      <c r="J63" s="49">
        <f t="shared" si="35"/>
        <v>17.060248541610434</v>
      </c>
      <c r="K63" s="49">
        <f t="shared" si="35"/>
        <v>16.865126075259163</v>
      </c>
      <c r="L63" s="49">
        <f t="shared" si="35"/>
        <v>16.392788845847441</v>
      </c>
    </row>
    <row r="64" spans="1:12" x14ac:dyDescent="0.2">
      <c r="A64" s="243" t="str">
        <f>A13</f>
        <v xml:space="preserve"> 22 Health professionals</v>
      </c>
      <c r="B64" s="61">
        <f t="shared" si="34"/>
        <v>2.3212258249482032</v>
      </c>
      <c r="C64" s="53">
        <f t="shared" si="34"/>
        <v>5.4590780887667112</v>
      </c>
      <c r="D64" s="61">
        <f t="shared" si="34"/>
        <v>1.5862797466676071</v>
      </c>
      <c r="E64" s="61">
        <f t="shared" si="34"/>
        <v>1.4951881778586751</v>
      </c>
      <c r="F64" s="53">
        <f t="shared" si="30"/>
        <v>1.5407237475517643</v>
      </c>
      <c r="H64" s="49">
        <f t="shared" si="35"/>
        <v>29.816296233638301</v>
      </c>
      <c r="I64" s="49">
        <f t="shared" si="35"/>
        <v>31.048681309964408</v>
      </c>
      <c r="J64" s="49">
        <f t="shared" si="35"/>
        <v>33.610518405489827</v>
      </c>
      <c r="K64" s="49">
        <f t="shared" si="35"/>
        <v>34.28004013597031</v>
      </c>
      <c r="L64" s="49">
        <f t="shared" si="35"/>
        <v>34.600935695019231</v>
      </c>
    </row>
    <row r="65" spans="1:12" x14ac:dyDescent="0.2">
      <c r="A65" s="243" t="str">
        <f>A14</f>
        <v xml:space="preserve"> 23 Teaching and educational professionals</v>
      </c>
      <c r="B65" s="61">
        <f t="shared" si="34"/>
        <v>2.5473362719028447</v>
      </c>
      <c r="C65" s="53">
        <f t="shared" si="34"/>
        <v>2.2549835402099871</v>
      </c>
      <c r="D65" s="61">
        <f t="shared" si="34"/>
        <v>0.61721579648439384</v>
      </c>
      <c r="E65" s="61">
        <f t="shared" si="34"/>
        <v>1.5297796455413737</v>
      </c>
      <c r="F65" s="53">
        <f t="shared" si="30"/>
        <v>1.0724678058517956</v>
      </c>
      <c r="H65" s="49">
        <f t="shared" si="35"/>
        <v>33.434530954626084</v>
      </c>
      <c r="I65" s="49">
        <f t="shared" si="35"/>
        <v>35.202859872447007</v>
      </c>
      <c r="J65" s="49">
        <f t="shared" si="35"/>
        <v>32.659727865338333</v>
      </c>
      <c r="K65" s="49">
        <f t="shared" si="35"/>
        <v>31.751545589864016</v>
      </c>
      <c r="L65" s="49">
        <f t="shared" si="35"/>
        <v>32.103423262598994</v>
      </c>
    </row>
    <row r="66" spans="1:12" s="218" customFormat="1" x14ac:dyDescent="0.2">
      <c r="A66" s="243" t="str">
        <f>A15</f>
        <v xml:space="preserve"> 24 Business, media and public service professionals</v>
      </c>
      <c r="B66" s="61">
        <f t="shared" si="34"/>
        <v>-0.87111915610906809</v>
      </c>
      <c r="C66" s="53">
        <f t="shared" si="34"/>
        <v>3.6140463678369317</v>
      </c>
      <c r="D66" s="61">
        <f t="shared" si="34"/>
        <v>1.7075551787568255</v>
      </c>
      <c r="E66" s="61">
        <f t="shared" si="34"/>
        <v>1.0676632844135003</v>
      </c>
      <c r="F66" s="53">
        <f t="shared" si="30"/>
        <v>1.3871044082407025</v>
      </c>
      <c r="H66" s="49">
        <f t="shared" si="35"/>
        <v>18.92585594166059</v>
      </c>
      <c r="I66" s="49">
        <f t="shared" si="35"/>
        <v>16.819664871353108</v>
      </c>
      <c r="J66" s="49">
        <f t="shared" si="35"/>
        <v>16.669505187561402</v>
      </c>
      <c r="K66" s="49">
        <f t="shared" si="35"/>
        <v>17.103288198906526</v>
      </c>
      <c r="L66" s="49">
        <f t="shared" si="35"/>
        <v>16.902852196534333</v>
      </c>
    </row>
    <row r="67" spans="1:12" x14ac:dyDescent="0.2">
      <c r="B67" s="49"/>
      <c r="C67" s="53"/>
      <c r="D67" s="49"/>
      <c r="E67" s="49"/>
      <c r="F67" s="53"/>
      <c r="H67" s="49"/>
      <c r="I67" s="49"/>
      <c r="J67" s="49"/>
      <c r="K67" s="49"/>
      <c r="L67" s="49"/>
    </row>
    <row r="68" spans="1:12" s="34" customFormat="1" x14ac:dyDescent="0.2">
      <c r="A68" s="34" t="str">
        <f t="shared" ref="A68:A73" si="36">A17</f>
        <v>Associate professional and technical</v>
      </c>
      <c r="B68" s="53">
        <f t="shared" ref="B68:E73" si="37">IF(AND(C$5-B$5 &lt;&gt; 0,C17 &lt;&gt; 0,B17 &lt;&gt; 0),(EXP(LN(C17/B17)/(C$5-B$5))-1)*100,0)</f>
        <v>-1.7501729404745259E-2</v>
      </c>
      <c r="C68" s="53">
        <f t="shared" si="37"/>
        <v>3.422256204917562</v>
      </c>
      <c r="D68" s="53">
        <f t="shared" si="37"/>
        <v>1.0739139608813453</v>
      </c>
      <c r="E68" s="53">
        <f t="shared" si="37"/>
        <v>0.81275911664560052</v>
      </c>
      <c r="F68" s="53">
        <f t="shared" si="30"/>
        <v>0.94325208311298869</v>
      </c>
      <c r="H68" s="53">
        <f>(B17/B$50)*100</f>
        <v>10.330461535667066</v>
      </c>
      <c r="I68" s="53">
        <f>(C17/C$50)*100</f>
        <v>10.709759439446479</v>
      </c>
      <c r="J68" s="53">
        <f>(D17/D$50)*100</f>
        <v>11.248308177091733</v>
      </c>
      <c r="K68" s="53">
        <f>(E17/E$50)*100</f>
        <v>11.738586926285839</v>
      </c>
      <c r="L68" s="53">
        <f>(F17/F$50)*100</f>
        <v>12.045160829002446</v>
      </c>
    </row>
    <row r="69" spans="1:12" x14ac:dyDescent="0.2">
      <c r="A69" s="243" t="str">
        <f t="shared" si="36"/>
        <v xml:space="preserve"> 31 Science, engineering and technology associate professionals</v>
      </c>
      <c r="B69" s="61">
        <f t="shared" si="37"/>
        <v>-1.6265524174427504</v>
      </c>
      <c r="C69" s="53">
        <f t="shared" si="37"/>
        <v>2.6383333932600506</v>
      </c>
      <c r="D69" s="61">
        <f t="shared" si="37"/>
        <v>-1.5336274964017349E-2</v>
      </c>
      <c r="E69" s="61">
        <f t="shared" si="37"/>
        <v>0.12480430904784345</v>
      </c>
      <c r="F69" s="53">
        <f t="shared" si="30"/>
        <v>5.4709481239223479E-2</v>
      </c>
      <c r="H69" s="49">
        <f t="shared" ref="H69:L73" si="38">(B18/B$17)*100</f>
        <v>16.46770776191708</v>
      </c>
      <c r="I69" s="49">
        <f t="shared" si="38"/>
        <v>15.184576687161766</v>
      </c>
      <c r="J69" s="49">
        <f t="shared" si="38"/>
        <v>14.617752600036413</v>
      </c>
      <c r="K69" s="49">
        <f t="shared" si="38"/>
        <v>13.846886778582066</v>
      </c>
      <c r="L69" s="49">
        <f t="shared" si="38"/>
        <v>13.380829520312151</v>
      </c>
    </row>
    <row r="70" spans="1:12" x14ac:dyDescent="0.2">
      <c r="A70" s="243" t="str">
        <f t="shared" si="36"/>
        <v xml:space="preserve"> 32 Health and social care associate professionals</v>
      </c>
      <c r="B70" s="61">
        <f t="shared" si="37"/>
        <v>1.9646890006198348</v>
      </c>
      <c r="C70" s="53">
        <f t="shared" si="37"/>
        <v>5.1755266558689783</v>
      </c>
      <c r="D70" s="61">
        <f t="shared" si="37"/>
        <v>1.6251189307647129</v>
      </c>
      <c r="E70" s="61">
        <f t="shared" si="37"/>
        <v>1.422512489124439</v>
      </c>
      <c r="F70" s="53">
        <f t="shared" si="30"/>
        <v>1.5237651683793763</v>
      </c>
      <c r="H70" s="49">
        <f t="shared" si="38"/>
        <v>15.129381231798417</v>
      </c>
      <c r="I70" s="49">
        <f t="shared" si="38"/>
        <v>16.689765691227819</v>
      </c>
      <c r="J70" s="49">
        <f t="shared" si="38"/>
        <v>18.153220260173057</v>
      </c>
      <c r="K70" s="49">
        <f t="shared" si="38"/>
        <v>18.653640118055261</v>
      </c>
      <c r="L70" s="49">
        <f t="shared" si="38"/>
        <v>19.224626601945694</v>
      </c>
    </row>
    <row r="71" spans="1:12" x14ac:dyDescent="0.2">
      <c r="A71" s="243" t="str">
        <f t="shared" si="36"/>
        <v xml:space="preserve"> 33 Protective service occupations</v>
      </c>
      <c r="B71" s="61">
        <f t="shared" si="37"/>
        <v>-2.4287837948262281</v>
      </c>
      <c r="C71" s="53">
        <f t="shared" si="37"/>
        <v>0.76744784830620194</v>
      </c>
      <c r="D71" s="61">
        <f t="shared" si="37"/>
        <v>-0.66013343999204999</v>
      </c>
      <c r="E71" s="61">
        <f t="shared" si="37"/>
        <v>-0.44837653574724134</v>
      </c>
      <c r="F71" s="53">
        <f t="shared" si="30"/>
        <v>-0.55431135151697841</v>
      </c>
      <c r="H71" s="49">
        <f t="shared" si="38"/>
        <v>12.499639064588198</v>
      </c>
      <c r="I71" s="49">
        <f t="shared" si="38"/>
        <v>11.063337040346928</v>
      </c>
      <c r="J71" s="49">
        <f t="shared" si="38"/>
        <v>9.7144317209859921</v>
      </c>
      <c r="K71" s="49">
        <f t="shared" si="38"/>
        <v>8.9092232935899336</v>
      </c>
      <c r="L71" s="49">
        <f t="shared" si="38"/>
        <v>8.3657344124166357</v>
      </c>
    </row>
    <row r="72" spans="1:12" x14ac:dyDescent="0.2">
      <c r="A72" s="243" t="str">
        <f t="shared" si="36"/>
        <v xml:space="preserve"> 34 Culture, media and sports occupations</v>
      </c>
      <c r="B72" s="61">
        <f t="shared" si="37"/>
        <v>4.1874076040823605</v>
      </c>
      <c r="C72" s="53">
        <f t="shared" si="37"/>
        <v>4.1642125498056126</v>
      </c>
      <c r="D72" s="61">
        <f t="shared" si="37"/>
        <v>1.4851370789650264</v>
      </c>
      <c r="E72" s="61">
        <f t="shared" si="37"/>
        <v>0.59255953436114783</v>
      </c>
      <c r="F72" s="53">
        <f t="shared" si="30"/>
        <v>1.0378626727059803</v>
      </c>
      <c r="H72" s="49">
        <f t="shared" si="38"/>
        <v>11.889961813470082</v>
      </c>
      <c r="I72" s="49">
        <f t="shared" si="38"/>
        <v>14.609545268433557</v>
      </c>
      <c r="J72" s="49">
        <f t="shared" si="38"/>
        <v>15.141166472383835</v>
      </c>
      <c r="K72" s="49">
        <f t="shared" si="38"/>
        <v>15.45169510788687</v>
      </c>
      <c r="L72" s="49">
        <f t="shared" si="38"/>
        <v>15.283679388345719</v>
      </c>
    </row>
    <row r="73" spans="1:12" s="218" customFormat="1" x14ac:dyDescent="0.2">
      <c r="A73" s="243" t="str">
        <f t="shared" si="36"/>
        <v xml:space="preserve"> 35 Business and public service associate professionals</v>
      </c>
      <c r="B73" s="61">
        <f t="shared" si="37"/>
        <v>-0.73677173410109376</v>
      </c>
      <c r="C73" s="53">
        <f t="shared" si="37"/>
        <v>3.3835669924018541</v>
      </c>
      <c r="D73" s="61">
        <f t="shared" si="37"/>
        <v>1.4363187559130131</v>
      </c>
      <c r="E73" s="61">
        <f t="shared" si="37"/>
        <v>1.0946854518265603</v>
      </c>
      <c r="F73" s="53">
        <f t="shared" si="30"/>
        <v>1.2653580353135352</v>
      </c>
      <c r="H73" s="49">
        <f t="shared" si="38"/>
        <v>44.013310128226237</v>
      </c>
      <c r="I73" s="49">
        <f t="shared" si="38"/>
        <v>42.452775312829935</v>
      </c>
      <c r="J73" s="49">
        <f t="shared" si="38"/>
        <v>42.373428946420702</v>
      </c>
      <c r="K73" s="49">
        <f t="shared" si="38"/>
        <v>43.138554701885859</v>
      </c>
      <c r="L73" s="49">
        <f t="shared" si="38"/>
        <v>43.745130076979805</v>
      </c>
    </row>
    <row r="74" spans="1:12" x14ac:dyDescent="0.2">
      <c r="A74" s="34"/>
      <c r="B74" s="49"/>
      <c r="C74" s="53"/>
      <c r="D74" s="49"/>
      <c r="E74" s="49"/>
      <c r="F74" s="53"/>
      <c r="H74" s="49"/>
      <c r="I74" s="49"/>
      <c r="J74" s="49"/>
      <c r="K74" s="49"/>
      <c r="L74" s="49"/>
    </row>
    <row r="75" spans="1:12" s="34" customFormat="1" x14ac:dyDescent="0.2">
      <c r="A75" s="34" t="str">
        <f>A24</f>
        <v>Administrative and secretarial</v>
      </c>
      <c r="B75" s="53">
        <f t="shared" ref="B75:E77" si="39">IF(AND(C$5-B$5 &lt;&gt; 0,C24 &lt;&gt; 0,B24 &lt;&gt; 0),(EXP(LN(C24/B24)/(C$5-B$5))-1)*100,0)</f>
        <v>-1.6327546299049311</v>
      </c>
      <c r="C75" s="53">
        <f t="shared" si="39"/>
        <v>0.7736601436174162</v>
      </c>
      <c r="D75" s="53">
        <f t="shared" si="39"/>
        <v>-1.5028330173013749</v>
      </c>
      <c r="E75" s="53">
        <f t="shared" si="39"/>
        <v>-1.4072409281634668</v>
      </c>
      <c r="F75" s="53">
        <f t="shared" si="30"/>
        <v>-1.4550485636952715</v>
      </c>
      <c r="H75" s="53">
        <f>(B24/B$50)*100</f>
        <v>11.910843564646896</v>
      </c>
      <c r="I75" s="53">
        <f>(C24/C$50)*100</f>
        <v>11.382433954088897</v>
      </c>
      <c r="J75" s="53">
        <f>(D24/D$50)*100</f>
        <v>10.500446179715532</v>
      </c>
      <c r="K75" s="53">
        <f>(E24/E$50)*100</f>
        <v>9.6307397251710078</v>
      </c>
      <c r="L75" s="53">
        <f>(F24/F$50)*100</f>
        <v>8.8410536385233556</v>
      </c>
    </row>
    <row r="76" spans="1:12" x14ac:dyDescent="0.2">
      <c r="A76" s="243" t="str">
        <f>A25</f>
        <v xml:space="preserve"> 41 Administrative occupations</v>
      </c>
      <c r="B76" s="61">
        <f t="shared" si="39"/>
        <v>-1.4111348138919566</v>
      </c>
      <c r="C76" s="53">
        <f t="shared" si="39"/>
        <v>1.235204923372768</v>
      </c>
      <c r="D76" s="61">
        <f t="shared" si="39"/>
        <v>-0.61118233924494225</v>
      </c>
      <c r="E76" s="61">
        <f t="shared" si="39"/>
        <v>-0.59960324356083117</v>
      </c>
      <c r="F76" s="53">
        <f t="shared" si="30"/>
        <v>-0.60539296001799192</v>
      </c>
      <c r="H76" s="49">
        <f t="shared" ref="H76:L77" si="40">(B25/B$24)*100</f>
        <v>76.725961036809679</v>
      </c>
      <c r="I76" s="49">
        <f t="shared" si="40"/>
        <v>77.594176140639419</v>
      </c>
      <c r="J76" s="49">
        <f t="shared" si="40"/>
        <v>79.387439509317986</v>
      </c>
      <c r="K76" s="49">
        <f t="shared" si="40"/>
        <v>83.046382505641944</v>
      </c>
      <c r="L76" s="49">
        <f t="shared" si="40"/>
        <v>86.504003438088915</v>
      </c>
    </row>
    <row r="77" spans="1:12" x14ac:dyDescent="0.2">
      <c r="A77" s="218" t="str">
        <f>A26</f>
        <v xml:space="preserve"> 42 Secretarial and related occupations</v>
      </c>
      <c r="B77" s="61">
        <f t="shared" si="39"/>
        <v>-2.3778559162489166</v>
      </c>
      <c r="C77" s="53">
        <f t="shared" si="39"/>
        <v>-0.89370568107192128</v>
      </c>
      <c r="D77" s="61">
        <f t="shared" si="39"/>
        <v>-5.2782252115385786</v>
      </c>
      <c r="E77" s="61">
        <f t="shared" si="39"/>
        <v>-5.8037668401589526</v>
      </c>
      <c r="F77" s="53">
        <f t="shared" si="30"/>
        <v>-5.5413615210982208</v>
      </c>
      <c r="H77" s="49">
        <f t="shared" si="40"/>
        <v>23.274038963190311</v>
      </c>
      <c r="I77" s="49">
        <f t="shared" si="40"/>
        <v>22.40582385936057</v>
      </c>
      <c r="J77" s="49">
        <f t="shared" si="40"/>
        <v>20.612560490682021</v>
      </c>
      <c r="K77" s="49">
        <f t="shared" si="40"/>
        <v>16.953617494358056</v>
      </c>
      <c r="L77" s="49">
        <f t="shared" si="40"/>
        <v>13.495996561911083</v>
      </c>
    </row>
    <row r="78" spans="1:12" x14ac:dyDescent="0.2">
      <c r="A78" s="218"/>
      <c r="B78" s="49"/>
      <c r="C78" s="53"/>
      <c r="D78" s="49"/>
      <c r="E78" s="49"/>
      <c r="F78" s="53"/>
      <c r="H78" s="49"/>
      <c r="I78" s="49"/>
      <c r="J78" s="49"/>
      <c r="K78" s="49"/>
      <c r="L78" s="49"/>
    </row>
    <row r="79" spans="1:12" s="34" customFormat="1" x14ac:dyDescent="0.2">
      <c r="A79" s="34" t="str">
        <f>A28</f>
        <v>Skilled trades occupations</v>
      </c>
      <c r="B79" s="53">
        <f t="shared" ref="B79:E83" si="41">IF(AND(C$5-B$5 &lt;&gt; 0,C28 &lt;&gt; 0,B28 &lt;&gt; 0),(EXP(LN(C28/B28)/(C$5-B$5))-1)*100,0)</f>
        <v>-2.0542570863401166</v>
      </c>
      <c r="C79" s="53">
        <f t="shared" si="41"/>
        <v>3.3431769027410851</v>
      </c>
      <c r="D79" s="53">
        <f t="shared" si="41"/>
        <v>-0.68821579919716713</v>
      </c>
      <c r="E79" s="53">
        <f t="shared" si="41"/>
        <v>-0.75255562233298434</v>
      </c>
      <c r="F79" s="53">
        <f t="shared" si="30"/>
        <v>-0.72039092282821793</v>
      </c>
      <c r="H79" s="53">
        <f>(B28/B$50)*100</f>
        <v>13.670837027595919</v>
      </c>
      <c r="I79" s="53">
        <f>(C28/C$50)*100</f>
        <v>12.786833166899875</v>
      </c>
      <c r="J79" s="53">
        <f>(D28/D$50)*100</f>
        <v>13.378563705750279</v>
      </c>
      <c r="K79" s="53">
        <f>(E28/E$50)*100</f>
        <v>12.786350609558733</v>
      </c>
      <c r="L79" s="53">
        <f>(F28/F$50)*100</f>
        <v>12.132842200408238</v>
      </c>
    </row>
    <row r="80" spans="1:12" x14ac:dyDescent="0.2">
      <c r="A80" s="243" t="str">
        <f>A29</f>
        <v xml:space="preserve"> 51 Skilled agricultural and related trades</v>
      </c>
      <c r="B80" s="61">
        <f t="shared" si="41"/>
        <v>0.61459722997625477</v>
      </c>
      <c r="C80" s="53">
        <f t="shared" si="41"/>
        <v>9.8943746889061721</v>
      </c>
      <c r="D80" s="61">
        <f t="shared" si="41"/>
        <v>-0.29910777314966497</v>
      </c>
      <c r="E80" s="61">
        <f t="shared" si="41"/>
        <v>-0.1898859712744061</v>
      </c>
      <c r="F80" s="53">
        <f t="shared" si="30"/>
        <v>-0.24451182051379305</v>
      </c>
      <c r="H80" s="49">
        <f t="shared" ref="H80:L83" si="42">(B29/B$28)*100</f>
        <v>14.023788959256766</v>
      </c>
      <c r="I80" s="49">
        <f t="shared" si="42"/>
        <v>16.041408896705754</v>
      </c>
      <c r="J80" s="49">
        <f t="shared" si="42"/>
        <v>21.81276794272609</v>
      </c>
      <c r="K80" s="49">
        <f t="shared" si="42"/>
        <v>22.243446599553018</v>
      </c>
      <c r="L80" s="49">
        <f t="shared" si="42"/>
        <v>22.881167371547431</v>
      </c>
    </row>
    <row r="81" spans="1:12" x14ac:dyDescent="0.2">
      <c r="A81" s="218" t="str">
        <f>A30</f>
        <v xml:space="preserve"> 52 Skilled metal, electrical and electronic trades</v>
      </c>
      <c r="B81" s="61">
        <f t="shared" si="41"/>
        <v>-2.6389029438600775</v>
      </c>
      <c r="C81" s="53">
        <f t="shared" si="41"/>
        <v>1.3111390588939065</v>
      </c>
      <c r="D81" s="61">
        <f t="shared" si="41"/>
        <v>-1.5154855210430918</v>
      </c>
      <c r="E81" s="61">
        <f t="shared" si="41"/>
        <v>-1.116194382589708</v>
      </c>
      <c r="F81" s="53">
        <f t="shared" si="30"/>
        <v>-1.3160419011164493</v>
      </c>
      <c r="H81" s="49">
        <f t="shared" si="42"/>
        <v>33.527104695770547</v>
      </c>
      <c r="I81" s="49">
        <f t="shared" si="42"/>
        <v>32.538349628878244</v>
      </c>
      <c r="J81" s="49">
        <f t="shared" si="42"/>
        <v>29.46269511367316</v>
      </c>
      <c r="K81" s="49">
        <f t="shared" si="42"/>
        <v>28.255844441538237</v>
      </c>
      <c r="L81" s="49">
        <f t="shared" si="42"/>
        <v>27.741982252831367</v>
      </c>
    </row>
    <row r="82" spans="1:12" s="218" customFormat="1" x14ac:dyDescent="0.2">
      <c r="A82" s="218" t="str">
        <f>A31</f>
        <v xml:space="preserve"> 53 Skilled construction and building trades</v>
      </c>
      <c r="B82" s="61">
        <f t="shared" si="41"/>
        <v>-4.9161723038229077</v>
      </c>
      <c r="C82" s="53">
        <f t="shared" si="41"/>
        <v>2.8482802510043204</v>
      </c>
      <c r="D82" s="61">
        <f t="shared" si="41"/>
        <v>0.2981756355851406</v>
      </c>
      <c r="E82" s="61">
        <f t="shared" si="41"/>
        <v>-0.20508696099885704</v>
      </c>
      <c r="F82" s="53">
        <f t="shared" si="30"/>
        <v>4.6227892528172276E-2</v>
      </c>
      <c r="H82" s="49">
        <f t="shared" si="42"/>
        <v>32.278665971553224</v>
      </c>
      <c r="I82" s="49">
        <f t="shared" si="42"/>
        <v>27.830501744657539</v>
      </c>
      <c r="J82" s="49">
        <f t="shared" si="42"/>
        <v>27.170470936657754</v>
      </c>
      <c r="K82" s="49">
        <f t="shared" si="42"/>
        <v>28.546864387038323</v>
      </c>
      <c r="L82" s="49">
        <f t="shared" si="42"/>
        <v>29.342949739384501</v>
      </c>
    </row>
    <row r="83" spans="1:12" s="218" customFormat="1" x14ac:dyDescent="0.2">
      <c r="A83" s="218" t="str">
        <f>A32</f>
        <v xml:space="preserve"> 54 Textiles, printing and other skilled trades</v>
      </c>
      <c r="B83" s="61">
        <f t="shared" si="41"/>
        <v>1.0618207987162398</v>
      </c>
      <c r="C83" s="53">
        <f t="shared" si="41"/>
        <v>1.494619566547617</v>
      </c>
      <c r="D83" s="61">
        <f t="shared" si="41"/>
        <v>-1.2475938385258734</v>
      </c>
      <c r="E83" s="61">
        <f t="shared" si="41"/>
        <v>-1.6397345884231918</v>
      </c>
      <c r="F83" s="53">
        <f t="shared" si="30"/>
        <v>-1.4438592472573175</v>
      </c>
      <c r="H83" s="49">
        <f t="shared" si="42"/>
        <v>20.170440373419456</v>
      </c>
      <c r="I83" s="49">
        <f t="shared" si="42"/>
        <v>23.589739729758453</v>
      </c>
      <c r="J83" s="49">
        <f t="shared" si="42"/>
        <v>21.554066006943007</v>
      </c>
      <c r="K83" s="49">
        <f t="shared" si="42"/>
        <v>20.95384457187043</v>
      </c>
      <c r="L83" s="49">
        <f t="shared" si="42"/>
        <v>20.033900636236719</v>
      </c>
    </row>
    <row r="84" spans="1:12" x14ac:dyDescent="0.2">
      <c r="A84" s="34"/>
      <c r="B84" s="49"/>
      <c r="C84" s="53"/>
      <c r="D84" s="49"/>
      <c r="E84" s="49"/>
      <c r="F84" s="53"/>
      <c r="H84" s="49"/>
      <c r="I84" s="49"/>
      <c r="J84" s="49"/>
      <c r="K84" s="49"/>
      <c r="L84" s="49"/>
    </row>
    <row r="85" spans="1:12" s="34" customFormat="1" x14ac:dyDescent="0.2">
      <c r="A85" s="34" t="str">
        <f>A34</f>
        <v>Caring, leisure and other service</v>
      </c>
      <c r="B85" s="53">
        <f t="shared" ref="B85:E87" si="43">IF(AND(C$5-B$5 &lt;&gt; 0,C34 &lt;&gt; 0,B34 &lt;&gt; 0),(EXP(LN(C34/B34)/(C$5-B$5))-1)*100,0)</f>
        <v>1.6667603871753256</v>
      </c>
      <c r="C85" s="53">
        <f t="shared" si="43"/>
        <v>4.1756120884495429</v>
      </c>
      <c r="D85" s="53">
        <f t="shared" si="43"/>
        <v>1.0725271364010913</v>
      </c>
      <c r="E85" s="53">
        <f t="shared" si="43"/>
        <v>1.2612285030016324</v>
      </c>
      <c r="F85" s="53">
        <f t="shared" si="30"/>
        <v>1.166833822824298</v>
      </c>
      <c r="H85" s="53">
        <f>(B34/B$50)*100</f>
        <v>8.9533062332799762</v>
      </c>
      <c r="I85" s="53">
        <f>(C34/C$50)*100</f>
        <v>10.090633519304754</v>
      </c>
      <c r="J85" s="53">
        <f>(D34/D$50)*100</f>
        <v>10.989708900602709</v>
      </c>
      <c r="K85" s="53">
        <f>(E34/E$50)*100</f>
        <v>11.467929328473243</v>
      </c>
      <c r="L85" s="53">
        <f>(F34/F$50)*100</f>
        <v>12.031513024688303</v>
      </c>
    </row>
    <row r="86" spans="1:12" x14ac:dyDescent="0.2">
      <c r="A86" s="243" t="str">
        <f>A35</f>
        <v xml:space="preserve"> 61 Caring personal service occupations</v>
      </c>
      <c r="B86" s="61">
        <f t="shared" si="43"/>
        <v>1.8637506614356703</v>
      </c>
      <c r="C86" s="53">
        <f t="shared" si="43"/>
        <v>4.2633473333986593</v>
      </c>
      <c r="D86" s="61">
        <f t="shared" si="43"/>
        <v>1.4606853372264972</v>
      </c>
      <c r="E86" s="61">
        <f t="shared" si="43"/>
        <v>1.6462665412242172</v>
      </c>
      <c r="F86" s="53">
        <f t="shared" si="30"/>
        <v>1.553433547285854</v>
      </c>
      <c r="H86" s="49">
        <f t="shared" ref="H86:L87" si="44">(B35/B$34)*100</f>
        <v>78.627540687857859</v>
      </c>
      <c r="I86" s="49">
        <f t="shared" si="44"/>
        <v>79.3922448951691</v>
      </c>
      <c r="J86" s="49">
        <f t="shared" si="44"/>
        <v>79.727123677661353</v>
      </c>
      <c r="K86" s="49">
        <f t="shared" si="44"/>
        <v>81.269844910260858</v>
      </c>
      <c r="L86" s="49">
        <f t="shared" si="44"/>
        <v>82.826751705395338</v>
      </c>
    </row>
    <row r="87" spans="1:12" x14ac:dyDescent="0.2">
      <c r="A87" s="218" t="str">
        <f>A36</f>
        <v xml:space="preserve"> 62 Leisure, travel and related personal service occupations</v>
      </c>
      <c r="B87" s="61">
        <f t="shared" si="43"/>
        <v>0.92859372846720856</v>
      </c>
      <c r="C87" s="53">
        <f t="shared" si="43"/>
        <v>3.8348161059551078</v>
      </c>
      <c r="D87" s="61">
        <f t="shared" si="43"/>
        <v>-0.5148348810580905</v>
      </c>
      <c r="E87" s="61">
        <f t="shared" si="43"/>
        <v>-0.48113665462391486</v>
      </c>
      <c r="F87" s="53">
        <f t="shared" si="30"/>
        <v>-0.49798719440820038</v>
      </c>
      <c r="H87" s="49">
        <f t="shared" si="44"/>
        <v>21.372459312142151</v>
      </c>
      <c r="I87" s="49">
        <f t="shared" si="44"/>
        <v>20.607755104830904</v>
      </c>
      <c r="J87" s="49">
        <f t="shared" si="44"/>
        <v>20.272876322338639</v>
      </c>
      <c r="K87" s="49">
        <f t="shared" si="44"/>
        <v>18.730155089739146</v>
      </c>
      <c r="L87" s="49">
        <f t="shared" si="44"/>
        <v>17.173248294604662</v>
      </c>
    </row>
    <row r="88" spans="1:12" x14ac:dyDescent="0.2">
      <c r="A88" s="218"/>
      <c r="B88" s="49"/>
      <c r="C88" s="53"/>
      <c r="D88" s="49"/>
      <c r="E88" s="49"/>
      <c r="F88" s="53"/>
      <c r="H88" s="49"/>
      <c r="I88" s="49"/>
      <c r="J88" s="49"/>
      <c r="K88" s="49"/>
      <c r="L88" s="49"/>
    </row>
    <row r="89" spans="1:12" s="34" customFormat="1" x14ac:dyDescent="0.2">
      <c r="A89" s="34" t="str">
        <f>A38</f>
        <v>Sales and customer service</v>
      </c>
      <c r="B89" s="53">
        <f t="shared" ref="B89:E91" si="45">IF(AND(C$5-B$5 &lt;&gt; 0,C38 &lt;&gt; 0,B38 &lt;&gt; 0),(EXP(LN(C38/B38)/(C$5-B$5))-1)*100,0)</f>
        <v>-0.86457426346019384</v>
      </c>
      <c r="C89" s="53">
        <f t="shared" si="45"/>
        <v>-2.3915446140299057E-2</v>
      </c>
      <c r="D89" s="53">
        <f t="shared" si="45"/>
        <v>-0.32610402190322851</v>
      </c>
      <c r="E89" s="53">
        <f t="shared" si="45"/>
        <v>-0.24140207707387118</v>
      </c>
      <c r="F89" s="53">
        <f t="shared" si="30"/>
        <v>-0.28376204303273145</v>
      </c>
      <c r="H89" s="53">
        <f>(B38/B$50)*100</f>
        <v>9.3262139648044826</v>
      </c>
      <c r="I89" s="53">
        <f>(C38/C$50)*100</f>
        <v>9.265947268822007</v>
      </c>
      <c r="J89" s="53">
        <f>(D38/D$50)*100</f>
        <v>8.215006211336922</v>
      </c>
      <c r="K89" s="53">
        <f>(E38/E$50)*100</f>
        <v>7.9955485026936541</v>
      </c>
      <c r="L89" s="53">
        <f>(F38/F$50)*100</f>
        <v>7.7842938748545381</v>
      </c>
    </row>
    <row r="90" spans="1:12" s="34" customFormat="1" x14ac:dyDescent="0.2">
      <c r="A90" s="252" t="str">
        <f>A39</f>
        <v xml:space="preserve"> 71 Sales occupations</v>
      </c>
      <c r="B90" s="61">
        <f t="shared" si="45"/>
        <v>-1.6376310805481409</v>
      </c>
      <c r="C90" s="53">
        <f t="shared" si="45"/>
        <v>-0.86635031357558123</v>
      </c>
      <c r="D90" s="61">
        <f t="shared" si="45"/>
        <v>-0.94971473734996037</v>
      </c>
      <c r="E90" s="61">
        <f t="shared" si="45"/>
        <v>-0.83949079024191464</v>
      </c>
      <c r="F90" s="53">
        <f t="shared" si="30"/>
        <v>-0.89461808753181771</v>
      </c>
      <c r="G90" s="252"/>
      <c r="H90" s="49">
        <f t="shared" ref="H90:L91" si="46">(B39/B$34)*100</f>
        <v>86.980225217809277</v>
      </c>
      <c r="I90" s="49">
        <f t="shared" si="46"/>
        <v>73.734459453203883</v>
      </c>
      <c r="J90" s="49">
        <f t="shared" si="46"/>
        <v>57.536795914787731</v>
      </c>
      <c r="K90" s="49">
        <f t="shared" si="46"/>
        <v>52.00662892260025</v>
      </c>
      <c r="L90" s="49">
        <f t="shared" si="46"/>
        <v>46.831329303127681</v>
      </c>
    </row>
    <row r="91" spans="1:12" s="34" customFormat="1" x14ac:dyDescent="0.2">
      <c r="A91" s="252" t="str">
        <f>A40</f>
        <v xml:space="preserve"> 72 Customer service occupations</v>
      </c>
      <c r="B91" s="61">
        <f t="shared" si="45"/>
        <v>2.7190500088642544</v>
      </c>
      <c r="C91" s="53">
        <f t="shared" si="45"/>
        <v>3.1446274701967925</v>
      </c>
      <c r="D91" s="61">
        <f t="shared" si="45"/>
        <v>1.6521391865836677</v>
      </c>
      <c r="E91" s="61">
        <f t="shared" si="45"/>
        <v>1.4361906181805884</v>
      </c>
      <c r="F91" s="53">
        <f t="shared" si="30"/>
        <v>1.5441074965757196</v>
      </c>
      <c r="G91" s="252"/>
      <c r="H91" s="49">
        <f t="shared" si="46"/>
        <v>17.184803005378111</v>
      </c>
      <c r="I91" s="49">
        <f t="shared" si="46"/>
        <v>18.092750910694384</v>
      </c>
      <c r="J91" s="49">
        <f t="shared" si="46"/>
        <v>17.215013124361484</v>
      </c>
      <c r="K91" s="49">
        <f t="shared" si="46"/>
        <v>17.714314359129265</v>
      </c>
      <c r="L91" s="49">
        <f t="shared" si="46"/>
        <v>17.867880670558918</v>
      </c>
    </row>
    <row r="92" spans="1:12" x14ac:dyDescent="0.2">
      <c r="A92" s="218"/>
      <c r="B92" s="2"/>
      <c r="C92" s="53"/>
      <c r="D92" s="2"/>
      <c r="E92" s="2"/>
      <c r="F92" s="53"/>
      <c r="G92" s="2"/>
      <c r="H92" s="2"/>
      <c r="I92" s="2"/>
      <c r="J92" s="2"/>
      <c r="K92" s="2"/>
      <c r="L92" s="2"/>
    </row>
    <row r="93" spans="1:12" s="34" customFormat="1" x14ac:dyDescent="0.2">
      <c r="A93" s="34" t="str">
        <f>A42</f>
        <v>Process, plant and machine operatives</v>
      </c>
      <c r="B93" s="53">
        <f t="shared" ref="B93:E95" si="47">IF(AND(C$5-B$5 &lt;&gt; 0,C42 &lt;&gt; 0,B42 &lt;&gt; 0),(EXP(LN(C42/B42)/(C$5-B$5))-1)*100,0)</f>
        <v>-2.2960799678991894</v>
      </c>
      <c r="C93" s="53">
        <f t="shared" si="47"/>
        <v>-0.48381108796357042</v>
      </c>
      <c r="D93" s="53">
        <f t="shared" si="47"/>
        <v>-1.2645371958790674</v>
      </c>
      <c r="E93" s="53">
        <f t="shared" si="47"/>
        <v>-0.72609144585896734</v>
      </c>
      <c r="F93" s="53">
        <f t="shared" si="30"/>
        <v>-0.99568036965712592</v>
      </c>
      <c r="H93" s="53">
        <f>(B42/B$50)*100</f>
        <v>9.2963193636880668</v>
      </c>
      <c r="I93" s="53">
        <f>(C42/C$50)*100</f>
        <v>8.5883759580661625</v>
      </c>
      <c r="J93" s="53">
        <f>(D42/D$50)*100</f>
        <v>7.4407579661206409</v>
      </c>
      <c r="K93" s="53">
        <f>(E42/E$50)*100</f>
        <v>6.9074254290630233</v>
      </c>
      <c r="L93" s="53">
        <f>(F42/F$50)*100</f>
        <v>6.5631312281253411</v>
      </c>
    </row>
    <row r="94" spans="1:12" x14ac:dyDescent="0.2">
      <c r="A94" s="243" t="str">
        <f>A43</f>
        <v xml:space="preserve"> 81 Process, plant and machine operatives</v>
      </c>
      <c r="B94" s="61">
        <f t="shared" si="47"/>
        <v>-1.8106146106751431</v>
      </c>
      <c r="C94" s="53">
        <f t="shared" si="47"/>
        <v>2.8173244176477041E-2</v>
      </c>
      <c r="D94" s="61">
        <f t="shared" si="47"/>
        <v>-2.0035636042416316</v>
      </c>
      <c r="E94" s="61">
        <f t="shared" si="47"/>
        <v>-1.2892961507413814</v>
      </c>
      <c r="F94" s="53">
        <f t="shared" si="30"/>
        <v>-1.6470782775396486</v>
      </c>
      <c r="H94" s="49">
        <f t="shared" ref="H94:L95" si="48">(B43/B$42)*100</f>
        <v>65.432733381915</v>
      </c>
      <c r="I94" s="49">
        <f t="shared" si="48"/>
        <v>67.074559263450027</v>
      </c>
      <c r="J94" s="49">
        <f t="shared" si="48"/>
        <v>68.817808190515194</v>
      </c>
      <c r="K94" s="49">
        <f t="shared" si="48"/>
        <v>66.280598391710626</v>
      </c>
      <c r="L94" s="49">
        <f t="shared" si="48"/>
        <v>64.421681854321704</v>
      </c>
    </row>
    <row r="95" spans="1:12" x14ac:dyDescent="0.2">
      <c r="A95" s="218" t="str">
        <f>A44</f>
        <v xml:space="preserve"> 82 Transport and mobile machine drivers and operatives</v>
      </c>
      <c r="B95" s="61">
        <f t="shared" si="47"/>
        <v>-3.2423526110824885</v>
      </c>
      <c r="C95" s="53">
        <f t="shared" si="47"/>
        <v>-1.5606484593267855</v>
      </c>
      <c r="D95" s="61">
        <f t="shared" si="47"/>
        <v>0.29235060900238974</v>
      </c>
      <c r="E95" s="61">
        <f t="shared" si="47"/>
        <v>0.3451143208742069</v>
      </c>
      <c r="F95" s="53">
        <f t="shared" si="30"/>
        <v>0.31872899598330839</v>
      </c>
      <c r="H95" s="49">
        <f t="shared" si="48"/>
        <v>34.567266618084993</v>
      </c>
      <c r="I95" s="49">
        <f t="shared" si="48"/>
        <v>32.92544073654998</v>
      </c>
      <c r="J95" s="49">
        <f t="shared" si="48"/>
        <v>31.182191809484809</v>
      </c>
      <c r="K95" s="49">
        <f t="shared" si="48"/>
        <v>33.71940160828936</v>
      </c>
      <c r="L95" s="49">
        <f t="shared" si="48"/>
        <v>35.578318145678296</v>
      </c>
    </row>
    <row r="96" spans="1:12" x14ac:dyDescent="0.2">
      <c r="A96" s="218"/>
      <c r="C96" s="53"/>
      <c r="F96" s="53"/>
    </row>
    <row r="97" spans="1:12" s="34" customFormat="1" x14ac:dyDescent="0.2">
      <c r="A97" s="34" t="str">
        <f>A46</f>
        <v>Elementary occupations</v>
      </c>
      <c r="B97" s="53">
        <f t="shared" ref="B97:E99" si="49">IF(AND(C$5-B$5 &lt;&gt; 0,C46 &lt;&gt; 0,B46 &lt;&gt; 0),(EXP(LN(C46/B46)/(C$5-B$5))-1)*100,0)</f>
        <v>-3.5271801507407385</v>
      </c>
      <c r="C97" s="53">
        <f t="shared" si="49"/>
        <v>1.3992115545597539</v>
      </c>
      <c r="D97" s="53">
        <f t="shared" si="49"/>
        <v>5.5177355967384045E-3</v>
      </c>
      <c r="E97" s="53">
        <f t="shared" si="49"/>
        <v>-9.9815957818505385E-2</v>
      </c>
      <c r="F97" s="53">
        <f t="shared" si="30"/>
        <v>-4.7162986637749871E-2</v>
      </c>
      <c r="H97" s="53">
        <f>(B46/B$50)*100</f>
        <v>13.981503002521315</v>
      </c>
      <c r="I97" s="53">
        <f>(C46/C$50)*100</f>
        <v>12.123242550880942</v>
      </c>
      <c r="J97" s="53">
        <f>(D46/D$50)*100</f>
        <v>11.535306430164201</v>
      </c>
      <c r="K97" s="53">
        <f>(E46/E$50)*100</f>
        <v>11.41516372384892</v>
      </c>
      <c r="L97" s="53">
        <f>(F46/F$50)*100</f>
        <v>11.192648475898977</v>
      </c>
    </row>
    <row r="98" spans="1:12" x14ac:dyDescent="0.2">
      <c r="A98" s="243" t="str">
        <f>A47</f>
        <v xml:space="preserve"> 91 Elementary trades and related occupations</v>
      </c>
      <c r="B98" s="61">
        <f t="shared" si="49"/>
        <v>-2.3705783237160993</v>
      </c>
      <c r="C98" s="53">
        <f t="shared" si="49"/>
        <v>1.335801160058625</v>
      </c>
      <c r="D98" s="61">
        <f t="shared" si="49"/>
        <v>-0.12228098808042542</v>
      </c>
      <c r="E98" s="61">
        <f t="shared" si="49"/>
        <v>0.15753679066707882</v>
      </c>
      <c r="F98" s="53">
        <f t="shared" si="30"/>
        <v>1.7530046008640277E-2</v>
      </c>
      <c r="H98" s="49">
        <f t="shared" ref="H98:L99" si="50">(B47/B$46)*100</f>
        <v>16.069422345947419</v>
      </c>
      <c r="I98" s="49">
        <f t="shared" si="50"/>
        <v>17.056070570695734</v>
      </c>
      <c r="J98" s="49">
        <f t="shared" si="50"/>
        <v>17.002806826735178</v>
      </c>
      <c r="K98" s="49">
        <f t="shared" si="50"/>
        <v>16.894443284005117</v>
      </c>
      <c r="L98" s="49">
        <f t="shared" si="50"/>
        <v>17.113176118352882</v>
      </c>
    </row>
    <row r="99" spans="1:12" x14ac:dyDescent="0.2">
      <c r="A99" s="218" t="str">
        <f>A48</f>
        <v xml:space="preserve"> 92 Elementary administration and service occupations</v>
      </c>
      <c r="B99" s="61">
        <f t="shared" si="49"/>
        <v>-3.7550720608410137</v>
      </c>
      <c r="C99" s="53">
        <f t="shared" si="49"/>
        <v>1.4122312291858119</v>
      </c>
      <c r="D99" s="61">
        <f t="shared" si="49"/>
        <v>3.1618129102084502E-2</v>
      </c>
      <c r="E99" s="61">
        <f t="shared" si="49"/>
        <v>-0.15245862762576223</v>
      </c>
      <c r="F99" s="53">
        <f t="shared" si="30"/>
        <v>-6.0462630192947842E-2</v>
      </c>
      <c r="H99" s="49">
        <f t="shared" si="50"/>
        <v>83.93057765405257</v>
      </c>
      <c r="I99" s="49">
        <f t="shared" si="50"/>
        <v>82.943929429304262</v>
      </c>
      <c r="J99" s="49">
        <f t="shared" si="50"/>
        <v>82.997193173264819</v>
      </c>
      <c r="K99" s="49">
        <f t="shared" si="50"/>
        <v>83.105556715994894</v>
      </c>
      <c r="L99" s="49">
        <f t="shared" si="50"/>
        <v>82.886823881647103</v>
      </c>
    </row>
    <row r="100" spans="1:12" x14ac:dyDescent="0.2">
      <c r="A100" s="15"/>
      <c r="C100" s="53"/>
      <c r="F100" s="53"/>
    </row>
    <row r="101" spans="1:12" x14ac:dyDescent="0.2">
      <c r="A101" s="48" t="str">
        <f t="shared" ref="A101" si="51">A50</f>
        <v>All occupations</v>
      </c>
      <c r="B101" s="62">
        <f>IF(AND(C$5-B$5 &lt;&gt; 0,C50 &lt;&gt; 0,B50 &lt;&gt; 0),(EXP(LN(C50/B50)/(C$5-B$5))-1)*100,0)</f>
        <v>-0.73595101326741075</v>
      </c>
      <c r="C101" s="304">
        <f t="shared" ref="C101" si="52">IF(AND(D$5-C$5 &lt;&gt; 0,D50 &lt;&gt; 0,C50 &lt;&gt; 0),(EXP(LN(D50/C50)/(D$5-C$5))-1)*100,0)</f>
        <v>2.4123919723173071</v>
      </c>
      <c r="D101" s="62">
        <f>IF(AND(E$5-D$5 &lt;&gt; 0,E50 &lt;&gt; 0,D50 &lt;&gt; 0),(EXP(LN(E50/D50)/(E$5-D$5))-1)*100,0)</f>
        <v>0.21514536510911508</v>
      </c>
      <c r="E101" s="62">
        <f>IF(AND(F$5-E$5 &lt;&gt; 0,F50 &lt;&gt; 0,E50 &lt;&gt; 0),(EXP(LN(F50/E50)/(F$5-E$5))-1)*100,0)</f>
        <v>0.29427525578473723</v>
      </c>
      <c r="F101" s="304">
        <f t="shared" si="30"/>
        <v>0.2547025034074446</v>
      </c>
      <c r="G101" s="37"/>
      <c r="H101" s="52">
        <f>(B50/B$50)*100</f>
        <v>100</v>
      </c>
      <c r="I101" s="52">
        <f>(C50/C$50)*100</f>
        <v>100</v>
      </c>
      <c r="J101" s="52">
        <f>(D50/D$50)*100</f>
        <v>100</v>
      </c>
      <c r="K101" s="52">
        <f>(E50/E$50)*100</f>
        <v>100</v>
      </c>
      <c r="L101" s="52">
        <f>(F50/F$50)*100</f>
        <v>100</v>
      </c>
    </row>
  </sheetData>
  <phoneticPr fontId="5" type="noConversion"/>
  <pageMargins left="0.55118110236220474" right="0.55118110236220474" top="0.59055118110236227" bottom="0.59055118110236227" header="0.51181102362204722" footer="0.51181102362204722"/>
  <pageSetup paperSize="9" scale="77" orientation="landscape" r:id="rId1"/>
  <headerFooter alignWithMargins="0"/>
  <rowBreaks count="1" manualBreakCount="1">
    <brk id="51" max="1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U1311"/>
  <sheetViews>
    <sheetView showGridLines="0" zoomScale="85" zoomScaleNormal="85" workbookViewId="0"/>
  </sheetViews>
  <sheetFormatPr defaultRowHeight="12.75" x14ac:dyDescent="0.2"/>
  <cols>
    <col min="1" max="1" width="35.5703125" style="123" customWidth="1"/>
    <col min="2" max="3" width="4" style="123" customWidth="1"/>
    <col min="4" max="4" width="5.5703125" style="123" customWidth="1"/>
    <col min="5" max="5" width="5" style="123" customWidth="1"/>
    <col min="6" max="7" width="4" style="123" customWidth="1"/>
    <col min="8" max="8" width="5.5703125" style="123" customWidth="1"/>
    <col min="9" max="9" width="5" style="123" customWidth="1"/>
    <col min="10" max="11" width="4" style="123" customWidth="1"/>
    <col min="12" max="12" width="5.5703125" style="123" customWidth="1"/>
    <col min="13" max="13" width="5" style="123" customWidth="1"/>
    <col min="14" max="14" width="8.85546875" style="123" customWidth="1"/>
    <col min="15" max="15" width="7.140625" style="123" customWidth="1"/>
    <col min="16" max="16" width="2.85546875" style="123" customWidth="1"/>
    <col min="17" max="17" width="7.42578125" style="123" customWidth="1"/>
    <col min="18" max="18" width="7.28515625" style="123" customWidth="1"/>
    <col min="19" max="19" width="2.7109375" style="123" customWidth="1"/>
    <col min="20" max="20" width="8.140625" style="123" customWidth="1"/>
    <col min="21" max="21" width="7.42578125" style="123" customWidth="1"/>
    <col min="22" max="254" width="9.140625" style="123"/>
    <col min="255" max="255" width="33.140625" style="123" bestFit="1" customWidth="1"/>
    <col min="256" max="258" width="7.140625" style="123" customWidth="1"/>
    <col min="259" max="259" width="5" style="123" customWidth="1"/>
    <col min="260" max="262" width="7.140625" style="123" customWidth="1"/>
    <col min="263" max="263" width="5" style="123" customWidth="1"/>
    <col min="264" max="266" width="7.140625" style="123" customWidth="1"/>
    <col min="267" max="510" width="9.140625" style="123"/>
    <col min="511" max="511" width="33.140625" style="123" bestFit="1" customWidth="1"/>
    <col min="512" max="514" width="7.140625" style="123" customWidth="1"/>
    <col min="515" max="515" width="5" style="123" customWidth="1"/>
    <col min="516" max="518" width="7.140625" style="123" customWidth="1"/>
    <col min="519" max="519" width="5" style="123" customWidth="1"/>
    <col min="520" max="522" width="7.140625" style="123" customWidth="1"/>
    <col min="523" max="766" width="9.140625" style="123"/>
    <col min="767" max="767" width="33.140625" style="123" bestFit="1" customWidth="1"/>
    <col min="768" max="770" width="7.140625" style="123" customWidth="1"/>
    <col min="771" max="771" width="5" style="123" customWidth="1"/>
    <col min="772" max="774" width="7.140625" style="123" customWidth="1"/>
    <col min="775" max="775" width="5" style="123" customWidth="1"/>
    <col min="776" max="778" width="7.140625" style="123" customWidth="1"/>
    <col min="779" max="1022" width="9.140625" style="123"/>
    <col min="1023" max="1023" width="33.140625" style="123" bestFit="1" customWidth="1"/>
    <col min="1024" max="1026" width="7.140625" style="123" customWidth="1"/>
    <col min="1027" max="1027" width="5" style="123" customWidth="1"/>
    <col min="1028" max="1030" width="7.140625" style="123" customWidth="1"/>
    <col min="1031" max="1031" width="5" style="123" customWidth="1"/>
    <col min="1032" max="1034" width="7.140625" style="123" customWidth="1"/>
    <col min="1035" max="1278" width="9.140625" style="123"/>
    <col min="1279" max="1279" width="33.140625" style="123" bestFit="1" customWidth="1"/>
    <col min="1280" max="1282" width="7.140625" style="123" customWidth="1"/>
    <col min="1283" max="1283" width="5" style="123" customWidth="1"/>
    <col min="1284" max="1286" width="7.140625" style="123" customWidth="1"/>
    <col min="1287" max="1287" width="5" style="123" customWidth="1"/>
    <col min="1288" max="1290" width="7.140625" style="123" customWidth="1"/>
    <col min="1291" max="1534" width="9.140625" style="123"/>
    <col min="1535" max="1535" width="33.140625" style="123" bestFit="1" customWidth="1"/>
    <col min="1536" max="1538" width="7.140625" style="123" customWidth="1"/>
    <col min="1539" max="1539" width="5" style="123" customWidth="1"/>
    <col min="1540" max="1542" width="7.140625" style="123" customWidth="1"/>
    <col min="1543" max="1543" width="5" style="123" customWidth="1"/>
    <col min="1544" max="1546" width="7.140625" style="123" customWidth="1"/>
    <col min="1547" max="1790" width="9.140625" style="123"/>
    <col min="1791" max="1791" width="33.140625" style="123" bestFit="1" customWidth="1"/>
    <col min="1792" max="1794" width="7.140625" style="123" customWidth="1"/>
    <col min="1795" max="1795" width="5" style="123" customWidth="1"/>
    <col min="1796" max="1798" width="7.140625" style="123" customWidth="1"/>
    <col min="1799" max="1799" width="5" style="123" customWidth="1"/>
    <col min="1800" max="1802" width="7.140625" style="123" customWidth="1"/>
    <col min="1803" max="2046" width="9.140625" style="123"/>
    <col min="2047" max="2047" width="33.140625" style="123" bestFit="1" customWidth="1"/>
    <col min="2048" max="2050" width="7.140625" style="123" customWidth="1"/>
    <col min="2051" max="2051" width="5" style="123" customWidth="1"/>
    <col min="2052" max="2054" width="7.140625" style="123" customWidth="1"/>
    <col min="2055" max="2055" width="5" style="123" customWidth="1"/>
    <col min="2056" max="2058" width="7.140625" style="123" customWidth="1"/>
    <col min="2059" max="2302" width="9.140625" style="123"/>
    <col min="2303" max="2303" width="33.140625" style="123" bestFit="1" customWidth="1"/>
    <col min="2304" max="2306" width="7.140625" style="123" customWidth="1"/>
    <col min="2307" max="2307" width="5" style="123" customWidth="1"/>
    <col min="2308" max="2310" width="7.140625" style="123" customWidth="1"/>
    <col min="2311" max="2311" width="5" style="123" customWidth="1"/>
    <col min="2312" max="2314" width="7.140625" style="123" customWidth="1"/>
    <col min="2315" max="2558" width="9.140625" style="123"/>
    <col min="2559" max="2559" width="33.140625" style="123" bestFit="1" customWidth="1"/>
    <col min="2560" max="2562" width="7.140625" style="123" customWidth="1"/>
    <col min="2563" max="2563" width="5" style="123" customWidth="1"/>
    <col min="2564" max="2566" width="7.140625" style="123" customWidth="1"/>
    <col min="2567" max="2567" width="5" style="123" customWidth="1"/>
    <col min="2568" max="2570" width="7.140625" style="123" customWidth="1"/>
    <col min="2571" max="2814" width="9.140625" style="123"/>
    <col min="2815" max="2815" width="33.140625" style="123" bestFit="1" customWidth="1"/>
    <col min="2816" max="2818" width="7.140625" style="123" customWidth="1"/>
    <col min="2819" max="2819" width="5" style="123" customWidth="1"/>
    <col min="2820" max="2822" width="7.140625" style="123" customWidth="1"/>
    <col min="2823" max="2823" width="5" style="123" customWidth="1"/>
    <col min="2824" max="2826" width="7.140625" style="123" customWidth="1"/>
    <col min="2827" max="3070" width="9.140625" style="123"/>
    <col min="3071" max="3071" width="33.140625" style="123" bestFit="1" customWidth="1"/>
    <col min="3072" max="3074" width="7.140625" style="123" customWidth="1"/>
    <col min="3075" max="3075" width="5" style="123" customWidth="1"/>
    <col min="3076" max="3078" width="7.140625" style="123" customWidth="1"/>
    <col min="3079" max="3079" width="5" style="123" customWidth="1"/>
    <col min="3080" max="3082" width="7.140625" style="123" customWidth="1"/>
    <col min="3083" max="3326" width="9.140625" style="123"/>
    <col min="3327" max="3327" width="33.140625" style="123" bestFit="1" customWidth="1"/>
    <col min="3328" max="3330" width="7.140625" style="123" customWidth="1"/>
    <col min="3331" max="3331" width="5" style="123" customWidth="1"/>
    <col min="3332" max="3334" width="7.140625" style="123" customWidth="1"/>
    <col min="3335" max="3335" width="5" style="123" customWidth="1"/>
    <col min="3336" max="3338" width="7.140625" style="123" customWidth="1"/>
    <col min="3339" max="3582" width="9.140625" style="123"/>
    <col min="3583" max="3583" width="33.140625" style="123" bestFit="1" customWidth="1"/>
    <col min="3584" max="3586" width="7.140625" style="123" customWidth="1"/>
    <col min="3587" max="3587" width="5" style="123" customWidth="1"/>
    <col min="3588" max="3590" width="7.140625" style="123" customWidth="1"/>
    <col min="3591" max="3591" width="5" style="123" customWidth="1"/>
    <col min="3592" max="3594" width="7.140625" style="123" customWidth="1"/>
    <col min="3595" max="3838" width="9.140625" style="123"/>
    <col min="3839" max="3839" width="33.140625" style="123" bestFit="1" customWidth="1"/>
    <col min="3840" max="3842" width="7.140625" style="123" customWidth="1"/>
    <col min="3843" max="3843" width="5" style="123" customWidth="1"/>
    <col min="3844" max="3846" width="7.140625" style="123" customWidth="1"/>
    <col min="3847" max="3847" width="5" style="123" customWidth="1"/>
    <col min="3848" max="3850" width="7.140625" style="123" customWidth="1"/>
    <col min="3851" max="4094" width="9.140625" style="123"/>
    <col min="4095" max="4095" width="33.140625" style="123" bestFit="1" customWidth="1"/>
    <col min="4096" max="4098" width="7.140625" style="123" customWidth="1"/>
    <col min="4099" max="4099" width="5" style="123" customWidth="1"/>
    <col min="4100" max="4102" width="7.140625" style="123" customWidth="1"/>
    <col min="4103" max="4103" width="5" style="123" customWidth="1"/>
    <col min="4104" max="4106" width="7.140625" style="123" customWidth="1"/>
    <col min="4107" max="4350" width="9.140625" style="123"/>
    <col min="4351" max="4351" width="33.140625" style="123" bestFit="1" customWidth="1"/>
    <col min="4352" max="4354" width="7.140625" style="123" customWidth="1"/>
    <col min="4355" max="4355" width="5" style="123" customWidth="1"/>
    <col min="4356" max="4358" width="7.140625" style="123" customWidth="1"/>
    <col min="4359" max="4359" width="5" style="123" customWidth="1"/>
    <col min="4360" max="4362" width="7.140625" style="123" customWidth="1"/>
    <col min="4363" max="4606" width="9.140625" style="123"/>
    <col min="4607" max="4607" width="33.140625" style="123" bestFit="1" customWidth="1"/>
    <col min="4608" max="4610" width="7.140625" style="123" customWidth="1"/>
    <col min="4611" max="4611" width="5" style="123" customWidth="1"/>
    <col min="4612" max="4614" width="7.140625" style="123" customWidth="1"/>
    <col min="4615" max="4615" width="5" style="123" customWidth="1"/>
    <col min="4616" max="4618" width="7.140625" style="123" customWidth="1"/>
    <col min="4619" max="4862" width="9.140625" style="123"/>
    <col min="4863" max="4863" width="33.140625" style="123" bestFit="1" customWidth="1"/>
    <col min="4864" max="4866" width="7.140625" style="123" customWidth="1"/>
    <col min="4867" max="4867" width="5" style="123" customWidth="1"/>
    <col min="4868" max="4870" width="7.140625" style="123" customWidth="1"/>
    <col min="4871" max="4871" width="5" style="123" customWidth="1"/>
    <col min="4872" max="4874" width="7.140625" style="123" customWidth="1"/>
    <col min="4875" max="5118" width="9.140625" style="123"/>
    <col min="5119" max="5119" width="33.140625" style="123" bestFit="1" customWidth="1"/>
    <col min="5120" max="5122" width="7.140625" style="123" customWidth="1"/>
    <col min="5123" max="5123" width="5" style="123" customWidth="1"/>
    <col min="5124" max="5126" width="7.140625" style="123" customWidth="1"/>
    <col min="5127" max="5127" width="5" style="123" customWidth="1"/>
    <col min="5128" max="5130" width="7.140625" style="123" customWidth="1"/>
    <col min="5131" max="5374" width="9.140625" style="123"/>
    <col min="5375" max="5375" width="33.140625" style="123" bestFit="1" customWidth="1"/>
    <col min="5376" max="5378" width="7.140625" style="123" customWidth="1"/>
    <col min="5379" max="5379" width="5" style="123" customWidth="1"/>
    <col min="5380" max="5382" width="7.140625" style="123" customWidth="1"/>
    <col min="5383" max="5383" width="5" style="123" customWidth="1"/>
    <col min="5384" max="5386" width="7.140625" style="123" customWidth="1"/>
    <col min="5387" max="5630" width="9.140625" style="123"/>
    <col min="5631" max="5631" width="33.140625" style="123" bestFit="1" customWidth="1"/>
    <col min="5632" max="5634" width="7.140625" style="123" customWidth="1"/>
    <col min="5635" max="5635" width="5" style="123" customWidth="1"/>
    <col min="5636" max="5638" width="7.140625" style="123" customWidth="1"/>
    <col min="5639" max="5639" width="5" style="123" customWidth="1"/>
    <col min="5640" max="5642" width="7.140625" style="123" customWidth="1"/>
    <col min="5643" max="5886" width="9.140625" style="123"/>
    <col min="5887" max="5887" width="33.140625" style="123" bestFit="1" customWidth="1"/>
    <col min="5888" max="5890" width="7.140625" style="123" customWidth="1"/>
    <col min="5891" max="5891" width="5" style="123" customWidth="1"/>
    <col min="5892" max="5894" width="7.140625" style="123" customWidth="1"/>
    <col min="5895" max="5895" width="5" style="123" customWidth="1"/>
    <col min="5896" max="5898" width="7.140625" style="123" customWidth="1"/>
    <col min="5899" max="6142" width="9.140625" style="123"/>
    <col min="6143" max="6143" width="33.140625" style="123" bestFit="1" customWidth="1"/>
    <col min="6144" max="6146" width="7.140625" style="123" customWidth="1"/>
    <col min="6147" max="6147" width="5" style="123" customWidth="1"/>
    <col min="6148" max="6150" width="7.140625" style="123" customWidth="1"/>
    <col min="6151" max="6151" width="5" style="123" customWidth="1"/>
    <col min="6152" max="6154" width="7.140625" style="123" customWidth="1"/>
    <col min="6155" max="6398" width="9.140625" style="123"/>
    <col min="6399" max="6399" width="33.140625" style="123" bestFit="1" customWidth="1"/>
    <col min="6400" max="6402" width="7.140625" style="123" customWidth="1"/>
    <col min="6403" max="6403" width="5" style="123" customWidth="1"/>
    <col min="6404" max="6406" width="7.140625" style="123" customWidth="1"/>
    <col min="6407" max="6407" width="5" style="123" customWidth="1"/>
    <col min="6408" max="6410" width="7.140625" style="123" customWidth="1"/>
    <col min="6411" max="6654" width="9.140625" style="123"/>
    <col min="6655" max="6655" width="33.140625" style="123" bestFit="1" customWidth="1"/>
    <col min="6656" max="6658" width="7.140625" style="123" customWidth="1"/>
    <col min="6659" max="6659" width="5" style="123" customWidth="1"/>
    <col min="6660" max="6662" width="7.140625" style="123" customWidth="1"/>
    <col min="6663" max="6663" width="5" style="123" customWidth="1"/>
    <col min="6664" max="6666" width="7.140625" style="123" customWidth="1"/>
    <col min="6667" max="6910" width="9.140625" style="123"/>
    <col min="6911" max="6911" width="33.140625" style="123" bestFit="1" customWidth="1"/>
    <col min="6912" max="6914" width="7.140625" style="123" customWidth="1"/>
    <col min="6915" max="6915" width="5" style="123" customWidth="1"/>
    <col min="6916" max="6918" width="7.140625" style="123" customWidth="1"/>
    <col min="6919" max="6919" width="5" style="123" customWidth="1"/>
    <col min="6920" max="6922" width="7.140625" style="123" customWidth="1"/>
    <col min="6923" max="7166" width="9.140625" style="123"/>
    <col min="7167" max="7167" width="33.140625" style="123" bestFit="1" customWidth="1"/>
    <col min="7168" max="7170" width="7.140625" style="123" customWidth="1"/>
    <col min="7171" max="7171" width="5" style="123" customWidth="1"/>
    <col min="7172" max="7174" width="7.140625" style="123" customWidth="1"/>
    <col min="7175" max="7175" width="5" style="123" customWidth="1"/>
    <col min="7176" max="7178" width="7.140625" style="123" customWidth="1"/>
    <col min="7179" max="7422" width="9.140625" style="123"/>
    <col min="7423" max="7423" width="33.140625" style="123" bestFit="1" customWidth="1"/>
    <col min="7424" max="7426" width="7.140625" style="123" customWidth="1"/>
    <col min="7427" max="7427" width="5" style="123" customWidth="1"/>
    <col min="7428" max="7430" width="7.140625" style="123" customWidth="1"/>
    <col min="7431" max="7431" width="5" style="123" customWidth="1"/>
    <col min="7432" max="7434" width="7.140625" style="123" customWidth="1"/>
    <col min="7435" max="7678" width="9.140625" style="123"/>
    <col min="7679" max="7679" width="33.140625" style="123" bestFit="1" customWidth="1"/>
    <col min="7680" max="7682" width="7.140625" style="123" customWidth="1"/>
    <col min="7683" max="7683" width="5" style="123" customWidth="1"/>
    <col min="7684" max="7686" width="7.140625" style="123" customWidth="1"/>
    <col min="7687" max="7687" width="5" style="123" customWidth="1"/>
    <col min="7688" max="7690" width="7.140625" style="123" customWidth="1"/>
    <col min="7691" max="7934" width="9.140625" style="123"/>
    <col min="7935" max="7935" width="33.140625" style="123" bestFit="1" customWidth="1"/>
    <col min="7936" max="7938" width="7.140625" style="123" customWidth="1"/>
    <col min="7939" max="7939" width="5" style="123" customWidth="1"/>
    <col min="7940" max="7942" width="7.140625" style="123" customWidth="1"/>
    <col min="7943" max="7943" width="5" style="123" customWidth="1"/>
    <col min="7944" max="7946" width="7.140625" style="123" customWidth="1"/>
    <col min="7947" max="8190" width="9.140625" style="123"/>
    <col min="8191" max="8191" width="33.140625" style="123" bestFit="1" customWidth="1"/>
    <col min="8192" max="8194" width="7.140625" style="123" customWidth="1"/>
    <col min="8195" max="8195" width="5" style="123" customWidth="1"/>
    <col min="8196" max="8198" width="7.140625" style="123" customWidth="1"/>
    <col min="8199" max="8199" width="5" style="123" customWidth="1"/>
    <col min="8200" max="8202" width="7.140625" style="123" customWidth="1"/>
    <col min="8203" max="8446" width="9.140625" style="123"/>
    <col min="8447" max="8447" width="33.140625" style="123" bestFit="1" customWidth="1"/>
    <col min="8448" max="8450" width="7.140625" style="123" customWidth="1"/>
    <col min="8451" max="8451" width="5" style="123" customWidth="1"/>
    <col min="8452" max="8454" width="7.140625" style="123" customWidth="1"/>
    <col min="8455" max="8455" width="5" style="123" customWidth="1"/>
    <col min="8456" max="8458" width="7.140625" style="123" customWidth="1"/>
    <col min="8459" max="8702" width="9.140625" style="123"/>
    <col min="8703" max="8703" width="33.140625" style="123" bestFit="1" customWidth="1"/>
    <col min="8704" max="8706" width="7.140625" style="123" customWidth="1"/>
    <col min="8707" max="8707" width="5" style="123" customWidth="1"/>
    <col min="8708" max="8710" width="7.140625" style="123" customWidth="1"/>
    <col min="8711" max="8711" width="5" style="123" customWidth="1"/>
    <col min="8712" max="8714" width="7.140625" style="123" customWidth="1"/>
    <col min="8715" max="8958" width="9.140625" style="123"/>
    <col min="8959" max="8959" width="33.140625" style="123" bestFit="1" customWidth="1"/>
    <col min="8960" max="8962" width="7.140625" style="123" customWidth="1"/>
    <col min="8963" max="8963" width="5" style="123" customWidth="1"/>
    <col min="8964" max="8966" width="7.140625" style="123" customWidth="1"/>
    <col min="8967" max="8967" width="5" style="123" customWidth="1"/>
    <col min="8968" max="8970" width="7.140625" style="123" customWidth="1"/>
    <col min="8971" max="9214" width="9.140625" style="123"/>
    <col min="9215" max="9215" width="33.140625" style="123" bestFit="1" customWidth="1"/>
    <col min="9216" max="9218" width="7.140625" style="123" customWidth="1"/>
    <col min="9219" max="9219" width="5" style="123" customWidth="1"/>
    <col min="9220" max="9222" width="7.140625" style="123" customWidth="1"/>
    <col min="9223" max="9223" width="5" style="123" customWidth="1"/>
    <col min="9224" max="9226" width="7.140625" style="123" customWidth="1"/>
    <col min="9227" max="9470" width="9.140625" style="123"/>
    <col min="9471" max="9471" width="33.140625" style="123" bestFit="1" customWidth="1"/>
    <col min="9472" max="9474" width="7.140625" style="123" customWidth="1"/>
    <col min="9475" max="9475" width="5" style="123" customWidth="1"/>
    <col min="9476" max="9478" width="7.140625" style="123" customWidth="1"/>
    <col min="9479" max="9479" width="5" style="123" customWidth="1"/>
    <col min="9480" max="9482" width="7.140625" style="123" customWidth="1"/>
    <col min="9483" max="9726" width="9.140625" style="123"/>
    <col min="9727" max="9727" width="33.140625" style="123" bestFit="1" customWidth="1"/>
    <col min="9728" max="9730" width="7.140625" style="123" customWidth="1"/>
    <col min="9731" max="9731" width="5" style="123" customWidth="1"/>
    <col min="9732" max="9734" width="7.140625" style="123" customWidth="1"/>
    <col min="9735" max="9735" width="5" style="123" customWidth="1"/>
    <col min="9736" max="9738" width="7.140625" style="123" customWidth="1"/>
    <col min="9739" max="9982" width="9.140625" style="123"/>
    <col min="9983" max="9983" width="33.140625" style="123" bestFit="1" customWidth="1"/>
    <col min="9984" max="9986" width="7.140625" style="123" customWidth="1"/>
    <col min="9987" max="9987" width="5" style="123" customWidth="1"/>
    <col min="9988" max="9990" width="7.140625" style="123" customWidth="1"/>
    <col min="9991" max="9991" width="5" style="123" customWidth="1"/>
    <col min="9992" max="9994" width="7.140625" style="123" customWidth="1"/>
    <col min="9995" max="10238" width="9.140625" style="123"/>
    <col min="10239" max="10239" width="33.140625" style="123" bestFit="1" customWidth="1"/>
    <col min="10240" max="10242" width="7.140625" style="123" customWidth="1"/>
    <col min="10243" max="10243" width="5" style="123" customWidth="1"/>
    <col min="10244" max="10246" width="7.140625" style="123" customWidth="1"/>
    <col min="10247" max="10247" width="5" style="123" customWidth="1"/>
    <col min="10248" max="10250" width="7.140625" style="123" customWidth="1"/>
    <col min="10251" max="10494" width="9.140625" style="123"/>
    <col min="10495" max="10495" width="33.140625" style="123" bestFit="1" customWidth="1"/>
    <col min="10496" max="10498" width="7.140625" style="123" customWidth="1"/>
    <col min="10499" max="10499" width="5" style="123" customWidth="1"/>
    <col min="10500" max="10502" width="7.140625" style="123" customWidth="1"/>
    <col min="10503" max="10503" width="5" style="123" customWidth="1"/>
    <col min="10504" max="10506" width="7.140625" style="123" customWidth="1"/>
    <col min="10507" max="10750" width="9.140625" style="123"/>
    <col min="10751" max="10751" width="33.140625" style="123" bestFit="1" customWidth="1"/>
    <col min="10752" max="10754" width="7.140625" style="123" customWidth="1"/>
    <col min="10755" max="10755" width="5" style="123" customWidth="1"/>
    <col min="10756" max="10758" width="7.140625" style="123" customWidth="1"/>
    <col min="10759" max="10759" width="5" style="123" customWidth="1"/>
    <col min="10760" max="10762" width="7.140625" style="123" customWidth="1"/>
    <col min="10763" max="11006" width="9.140625" style="123"/>
    <col min="11007" max="11007" width="33.140625" style="123" bestFit="1" customWidth="1"/>
    <col min="11008" max="11010" width="7.140625" style="123" customWidth="1"/>
    <col min="11011" max="11011" width="5" style="123" customWidth="1"/>
    <col min="11012" max="11014" width="7.140625" style="123" customWidth="1"/>
    <col min="11015" max="11015" width="5" style="123" customWidth="1"/>
    <col min="11016" max="11018" width="7.140625" style="123" customWidth="1"/>
    <col min="11019" max="11262" width="9.140625" style="123"/>
    <col min="11263" max="11263" width="33.140625" style="123" bestFit="1" customWidth="1"/>
    <col min="11264" max="11266" width="7.140625" style="123" customWidth="1"/>
    <col min="11267" max="11267" width="5" style="123" customWidth="1"/>
    <col min="11268" max="11270" width="7.140625" style="123" customWidth="1"/>
    <col min="11271" max="11271" width="5" style="123" customWidth="1"/>
    <col min="11272" max="11274" width="7.140625" style="123" customWidth="1"/>
    <col min="11275" max="11518" width="9.140625" style="123"/>
    <col min="11519" max="11519" width="33.140625" style="123" bestFit="1" customWidth="1"/>
    <col min="11520" max="11522" width="7.140625" style="123" customWidth="1"/>
    <col min="11523" max="11523" width="5" style="123" customWidth="1"/>
    <col min="11524" max="11526" width="7.140625" style="123" customWidth="1"/>
    <col min="11527" max="11527" width="5" style="123" customWidth="1"/>
    <col min="11528" max="11530" width="7.140625" style="123" customWidth="1"/>
    <col min="11531" max="11774" width="9.140625" style="123"/>
    <col min="11775" max="11775" width="33.140625" style="123" bestFit="1" customWidth="1"/>
    <col min="11776" max="11778" width="7.140625" style="123" customWidth="1"/>
    <col min="11779" max="11779" width="5" style="123" customWidth="1"/>
    <col min="11780" max="11782" width="7.140625" style="123" customWidth="1"/>
    <col min="11783" max="11783" width="5" style="123" customWidth="1"/>
    <col min="11784" max="11786" width="7.140625" style="123" customWidth="1"/>
    <col min="11787" max="12030" width="9.140625" style="123"/>
    <col min="12031" max="12031" width="33.140625" style="123" bestFit="1" customWidth="1"/>
    <col min="12032" max="12034" width="7.140625" style="123" customWidth="1"/>
    <col min="12035" max="12035" width="5" style="123" customWidth="1"/>
    <col min="12036" max="12038" width="7.140625" style="123" customWidth="1"/>
    <col min="12039" max="12039" width="5" style="123" customWidth="1"/>
    <col min="12040" max="12042" width="7.140625" style="123" customWidth="1"/>
    <col min="12043" max="12286" width="9.140625" style="123"/>
    <col min="12287" max="12287" width="33.140625" style="123" bestFit="1" customWidth="1"/>
    <col min="12288" max="12290" width="7.140625" style="123" customWidth="1"/>
    <col min="12291" max="12291" width="5" style="123" customWidth="1"/>
    <col min="12292" max="12294" width="7.140625" style="123" customWidth="1"/>
    <col min="12295" max="12295" width="5" style="123" customWidth="1"/>
    <col min="12296" max="12298" width="7.140625" style="123" customWidth="1"/>
    <col min="12299" max="12542" width="9.140625" style="123"/>
    <col min="12543" max="12543" width="33.140625" style="123" bestFit="1" customWidth="1"/>
    <col min="12544" max="12546" width="7.140625" style="123" customWidth="1"/>
    <col min="12547" max="12547" width="5" style="123" customWidth="1"/>
    <col min="12548" max="12550" width="7.140625" style="123" customWidth="1"/>
    <col min="12551" max="12551" width="5" style="123" customWidth="1"/>
    <col min="12552" max="12554" width="7.140625" style="123" customWidth="1"/>
    <col min="12555" max="12798" width="9.140625" style="123"/>
    <col min="12799" max="12799" width="33.140625" style="123" bestFit="1" customWidth="1"/>
    <col min="12800" max="12802" width="7.140625" style="123" customWidth="1"/>
    <col min="12803" max="12803" width="5" style="123" customWidth="1"/>
    <col min="12804" max="12806" width="7.140625" style="123" customWidth="1"/>
    <col min="12807" max="12807" width="5" style="123" customWidth="1"/>
    <col min="12808" max="12810" width="7.140625" style="123" customWidth="1"/>
    <col min="12811" max="13054" width="9.140625" style="123"/>
    <col min="13055" max="13055" width="33.140625" style="123" bestFit="1" customWidth="1"/>
    <col min="13056" max="13058" width="7.140625" style="123" customWidth="1"/>
    <col min="13059" max="13059" width="5" style="123" customWidth="1"/>
    <col min="13060" max="13062" width="7.140625" style="123" customWidth="1"/>
    <col min="13063" max="13063" width="5" style="123" customWidth="1"/>
    <col min="13064" max="13066" width="7.140625" style="123" customWidth="1"/>
    <col min="13067" max="13310" width="9.140625" style="123"/>
    <col min="13311" max="13311" width="33.140625" style="123" bestFit="1" customWidth="1"/>
    <col min="13312" max="13314" width="7.140625" style="123" customWidth="1"/>
    <col min="13315" max="13315" width="5" style="123" customWidth="1"/>
    <col min="13316" max="13318" width="7.140625" style="123" customWidth="1"/>
    <col min="13319" max="13319" width="5" style="123" customWidth="1"/>
    <col min="13320" max="13322" width="7.140625" style="123" customWidth="1"/>
    <col min="13323" max="13566" width="9.140625" style="123"/>
    <col min="13567" max="13567" width="33.140625" style="123" bestFit="1" customWidth="1"/>
    <col min="13568" max="13570" width="7.140625" style="123" customWidth="1"/>
    <col min="13571" max="13571" width="5" style="123" customWidth="1"/>
    <col min="13572" max="13574" width="7.140625" style="123" customWidth="1"/>
    <col min="13575" max="13575" width="5" style="123" customWidth="1"/>
    <col min="13576" max="13578" width="7.140625" style="123" customWidth="1"/>
    <col min="13579" max="13822" width="9.140625" style="123"/>
    <col min="13823" max="13823" width="33.140625" style="123" bestFit="1" customWidth="1"/>
    <col min="13824" max="13826" width="7.140625" style="123" customWidth="1"/>
    <col min="13827" max="13827" width="5" style="123" customWidth="1"/>
    <col min="13828" max="13830" width="7.140625" style="123" customWidth="1"/>
    <col min="13831" max="13831" width="5" style="123" customWidth="1"/>
    <col min="13832" max="13834" width="7.140625" style="123" customWidth="1"/>
    <col min="13835" max="14078" width="9.140625" style="123"/>
    <col min="14079" max="14079" width="33.140625" style="123" bestFit="1" customWidth="1"/>
    <col min="14080" max="14082" width="7.140625" style="123" customWidth="1"/>
    <col min="14083" max="14083" width="5" style="123" customWidth="1"/>
    <col min="14084" max="14086" width="7.140625" style="123" customWidth="1"/>
    <col min="14087" max="14087" width="5" style="123" customWidth="1"/>
    <col min="14088" max="14090" width="7.140625" style="123" customWidth="1"/>
    <col min="14091" max="14334" width="9.140625" style="123"/>
    <col min="14335" max="14335" width="33.140625" style="123" bestFit="1" customWidth="1"/>
    <col min="14336" max="14338" width="7.140625" style="123" customWidth="1"/>
    <col min="14339" max="14339" width="5" style="123" customWidth="1"/>
    <col min="14340" max="14342" width="7.140625" style="123" customWidth="1"/>
    <col min="14343" max="14343" width="5" style="123" customWidth="1"/>
    <col min="14344" max="14346" width="7.140625" style="123" customWidth="1"/>
    <col min="14347" max="14590" width="9.140625" style="123"/>
    <col min="14591" max="14591" width="33.140625" style="123" bestFit="1" customWidth="1"/>
    <col min="14592" max="14594" width="7.140625" style="123" customWidth="1"/>
    <col min="14595" max="14595" width="5" style="123" customWidth="1"/>
    <col min="14596" max="14598" width="7.140625" style="123" customWidth="1"/>
    <col min="14599" max="14599" width="5" style="123" customWidth="1"/>
    <col min="14600" max="14602" width="7.140625" style="123" customWidth="1"/>
    <col min="14603" max="14846" width="9.140625" style="123"/>
    <col min="14847" max="14847" width="33.140625" style="123" bestFit="1" customWidth="1"/>
    <col min="14848" max="14850" width="7.140625" style="123" customWidth="1"/>
    <col min="14851" max="14851" width="5" style="123" customWidth="1"/>
    <col min="14852" max="14854" width="7.140625" style="123" customWidth="1"/>
    <col min="14855" max="14855" width="5" style="123" customWidth="1"/>
    <col min="14856" max="14858" width="7.140625" style="123" customWidth="1"/>
    <col min="14859" max="15102" width="9.140625" style="123"/>
    <col min="15103" max="15103" width="33.140625" style="123" bestFit="1" customWidth="1"/>
    <col min="15104" max="15106" width="7.140625" style="123" customWidth="1"/>
    <col min="15107" max="15107" width="5" style="123" customWidth="1"/>
    <col min="15108" max="15110" width="7.140625" style="123" customWidth="1"/>
    <col min="15111" max="15111" width="5" style="123" customWidth="1"/>
    <col min="15112" max="15114" width="7.140625" style="123" customWidth="1"/>
    <col min="15115" max="15358" width="9.140625" style="123"/>
    <col min="15359" max="15359" width="33.140625" style="123" bestFit="1" customWidth="1"/>
    <col min="15360" max="15362" width="7.140625" style="123" customWidth="1"/>
    <col min="15363" max="15363" width="5" style="123" customWidth="1"/>
    <col min="15364" max="15366" width="7.140625" style="123" customWidth="1"/>
    <col min="15367" max="15367" width="5" style="123" customWidth="1"/>
    <col min="15368" max="15370" width="7.140625" style="123" customWidth="1"/>
    <col min="15371" max="15614" width="9.140625" style="123"/>
    <col min="15615" max="15615" width="33.140625" style="123" bestFit="1" customWidth="1"/>
    <col min="15616" max="15618" width="7.140625" style="123" customWidth="1"/>
    <col min="15619" max="15619" width="5" style="123" customWidth="1"/>
    <col min="15620" max="15622" width="7.140625" style="123" customWidth="1"/>
    <col min="15623" max="15623" width="5" style="123" customWidth="1"/>
    <col min="15624" max="15626" width="7.140625" style="123" customWidth="1"/>
    <col min="15627" max="15870" width="9.140625" style="123"/>
    <col min="15871" max="15871" width="33.140625" style="123" bestFit="1" customWidth="1"/>
    <col min="15872" max="15874" width="7.140625" style="123" customWidth="1"/>
    <col min="15875" max="15875" width="5" style="123" customWidth="1"/>
    <col min="15876" max="15878" width="7.140625" style="123" customWidth="1"/>
    <col min="15879" max="15879" width="5" style="123" customWidth="1"/>
    <col min="15880" max="15882" width="7.140625" style="123" customWidth="1"/>
    <col min="15883" max="16126" width="9.140625" style="123"/>
    <col min="16127" max="16127" width="33.140625" style="123" bestFit="1" customWidth="1"/>
    <col min="16128" max="16130" width="7.140625" style="123" customWidth="1"/>
    <col min="16131" max="16131" width="5" style="123" customWidth="1"/>
    <col min="16132" max="16134" width="7.140625" style="123" customWidth="1"/>
    <col min="16135" max="16135" width="5" style="123" customWidth="1"/>
    <col min="16136" max="16138" width="7.140625" style="123" customWidth="1"/>
    <col min="16139" max="16384" width="9.140625" style="123"/>
  </cols>
  <sheetData>
    <row r="1" spans="1:21" ht="15.75" x14ac:dyDescent="0.25">
      <c r="A1" s="265" t="str">
        <f>CONCATENATE("Occupation Table 4  Occuptation composition by gender, ",B$6,"-",J$6)</f>
        <v>Occupation Table 4  Occuptation composition by gender, 2007-2027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61"/>
      <c r="M1" s="347"/>
    </row>
    <row r="2" spans="1:21" x14ac:dyDescent="0.2">
      <c r="A2" s="351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61"/>
      <c r="M2" s="347"/>
    </row>
    <row r="3" spans="1:21" x14ac:dyDescent="0.2">
      <c r="B3" s="164"/>
      <c r="D3" s="164"/>
      <c r="F3" s="164"/>
      <c r="H3" s="164"/>
      <c r="J3" s="164"/>
      <c r="K3" s="351"/>
      <c r="L3" s="366"/>
      <c r="M3" s="347"/>
    </row>
    <row r="4" spans="1:21" x14ac:dyDescent="0.2">
      <c r="A4" s="351"/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67" t="s">
        <v>35</v>
      </c>
      <c r="M4" s="347"/>
      <c r="N4" s="124"/>
      <c r="O4" s="124"/>
      <c r="P4" s="124"/>
      <c r="Q4" s="124"/>
      <c r="R4" s="124"/>
      <c r="S4" s="124"/>
      <c r="T4" s="124" t="s">
        <v>417</v>
      </c>
      <c r="U4" s="124"/>
    </row>
    <row r="5" spans="1:21" x14ac:dyDescent="0.2">
      <c r="A5" s="355"/>
      <c r="B5" s="355"/>
      <c r="C5" s="356"/>
      <c r="D5" s="356"/>
      <c r="E5" s="356"/>
      <c r="F5" s="356"/>
      <c r="G5" s="356"/>
      <c r="H5" s="356"/>
      <c r="I5" s="356"/>
      <c r="J5" s="356"/>
      <c r="K5" s="356"/>
      <c r="L5" s="347"/>
      <c r="M5" s="347"/>
    </row>
    <row r="6" spans="1:21" ht="14.25" customHeight="1" x14ac:dyDescent="0.2">
      <c r="A6" s="354" t="s">
        <v>0</v>
      </c>
      <c r="B6" s="517">
        <v>2007</v>
      </c>
      <c r="C6" s="518"/>
      <c r="D6" s="518"/>
      <c r="E6" s="469"/>
      <c r="F6" s="517">
        <v>2017</v>
      </c>
      <c r="G6" s="518"/>
      <c r="H6" s="518"/>
      <c r="I6" s="469"/>
      <c r="J6" s="517">
        <v>2027</v>
      </c>
      <c r="K6" s="518"/>
      <c r="L6" s="518"/>
      <c r="M6" s="468"/>
      <c r="N6" s="520" t="s">
        <v>99</v>
      </c>
      <c r="O6" s="520"/>
      <c r="P6" s="470"/>
      <c r="Q6" s="520" t="s">
        <v>98</v>
      </c>
      <c r="R6" s="520"/>
      <c r="S6" s="470"/>
      <c r="T6" s="520" t="s">
        <v>32</v>
      </c>
      <c r="U6" s="520"/>
    </row>
    <row r="7" spans="1:21" ht="15" customHeight="1" x14ac:dyDescent="0.2">
      <c r="A7" s="368"/>
      <c r="B7" s="358" t="s">
        <v>387</v>
      </c>
      <c r="C7" s="358" t="s">
        <v>388</v>
      </c>
      <c r="D7" s="358" t="s">
        <v>32</v>
      </c>
      <c r="E7" s="358"/>
      <c r="F7" s="358" t="s">
        <v>387</v>
      </c>
      <c r="G7" s="358" t="s">
        <v>388</v>
      </c>
      <c r="H7" s="358" t="s">
        <v>32</v>
      </c>
      <c r="I7" s="358"/>
      <c r="J7" s="358" t="s">
        <v>387</v>
      </c>
      <c r="K7" s="358" t="s">
        <v>388</v>
      </c>
      <c r="L7" s="358" t="s">
        <v>32</v>
      </c>
      <c r="M7" s="347"/>
      <c r="N7" s="462" t="str">
        <f>CONCATENATE(B6,"-",RIGHT(F6,2))</f>
        <v>2007-17</v>
      </c>
      <c r="O7" s="462" t="str">
        <f>CONCATENATE(F6,"-",RIGHT(J6,2))</f>
        <v>2017-27</v>
      </c>
      <c r="P7" s="463"/>
      <c r="Q7" s="462" t="str">
        <f>CONCATENATE(B6,"-",RIGHT(F6,2))</f>
        <v>2007-17</v>
      </c>
      <c r="R7" s="462" t="str">
        <f>CONCATENATE(F6,"-",RIGHT(J6,2))</f>
        <v>2017-27</v>
      </c>
      <c r="S7" s="264"/>
      <c r="T7" s="462" t="str">
        <f>CONCATENATE(B6,"-",RIGHT(F6,2))</f>
        <v>2007-17</v>
      </c>
      <c r="U7" s="462" t="str">
        <f>CONCATENATE(F6,"-",RIGHT(J6,2))</f>
        <v>2017-27</v>
      </c>
    </row>
    <row r="8" spans="1:21" x14ac:dyDescent="0.2">
      <c r="A8" s="352"/>
      <c r="B8" s="373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47"/>
      <c r="N8" s="471"/>
      <c r="O8" s="471"/>
      <c r="P8" s="471"/>
      <c r="Q8" s="471"/>
      <c r="R8" s="471"/>
      <c r="S8" s="471"/>
      <c r="T8" s="471"/>
      <c r="U8" s="471"/>
    </row>
    <row r="9" spans="1:21" x14ac:dyDescent="0.2">
      <c r="A9" s="473" t="str">
        <f>name!D4</f>
        <v xml:space="preserve"> 11 Corporate managers and directors</v>
      </c>
      <c r="B9" s="474">
        <v>14.372782995085739</v>
      </c>
      <c r="C9" s="474">
        <v>48.418297678155469</v>
      </c>
      <c r="D9" s="474">
        <f>SUM(B9:C9)</f>
        <v>62.791080673241211</v>
      </c>
      <c r="E9" s="475"/>
      <c r="F9" s="474">
        <v>23.207519588028322</v>
      </c>
      <c r="G9" s="474">
        <v>52.61977804715319</v>
      </c>
      <c r="H9" s="474">
        <f>SUM(F9:G9)</f>
        <v>75.827297635181509</v>
      </c>
      <c r="I9" s="475"/>
      <c r="J9" s="474">
        <v>30.502894589005177</v>
      </c>
      <c r="K9" s="474">
        <v>56.284734339776804</v>
      </c>
      <c r="L9" s="474">
        <f>SUM(J9:K9)</f>
        <v>86.787628928781984</v>
      </c>
      <c r="M9" s="347"/>
      <c r="N9" s="472">
        <f>IF(B9&gt;0,(EXP(LN(F9/B9)/5)-1)*100,0)</f>
        <v>10.056974926959672</v>
      </c>
      <c r="O9" s="472">
        <f>IF(F9&gt;0,(EXP(LN(J9/F9)/5)-1)*100,0)</f>
        <v>5.6191007738211063</v>
      </c>
      <c r="P9" s="472"/>
      <c r="Q9" s="472">
        <f>IF(C9&gt;0,(EXP(LN(G9/C9)/5)-1)*100,0)</f>
        <v>1.6782116602579888</v>
      </c>
      <c r="R9" s="472">
        <f>IF(G9&gt;0,(EXP(LN(K9/G9)/5)-1)*100,0)</f>
        <v>1.3557336890417382</v>
      </c>
      <c r="S9" s="471"/>
      <c r="T9" s="472">
        <f>IF(D9&gt;0,(EXP(LN(H9/D9)/5)-1)*100,0)</f>
        <v>3.844984111511951</v>
      </c>
      <c r="U9" s="472">
        <f>IF(H9&gt;0,(EXP(LN(L9/H9)/5)-1)*100,0)</f>
        <v>2.7368980685634314</v>
      </c>
    </row>
    <row r="10" spans="1:21" x14ac:dyDescent="0.2">
      <c r="A10" s="473" t="str">
        <f>name!D5</f>
        <v xml:space="preserve"> 12 Other managers and proprietors</v>
      </c>
      <c r="B10" s="474">
        <v>13.420228188105371</v>
      </c>
      <c r="C10" s="474">
        <v>20.154681798149738</v>
      </c>
      <c r="D10" s="474">
        <f t="shared" ref="D10:D33" si="0">SUM(B10:C10)</f>
        <v>33.574909986255108</v>
      </c>
      <c r="E10" s="475"/>
      <c r="F10" s="474">
        <v>21.2479919741725</v>
      </c>
      <c r="G10" s="474">
        <v>24.314430829333858</v>
      </c>
      <c r="H10" s="474">
        <f t="shared" ref="H10:H33" si="1">SUM(F10:G10)</f>
        <v>45.562422803506358</v>
      </c>
      <c r="I10" s="475"/>
      <c r="J10" s="474">
        <v>24.246323028086689</v>
      </c>
      <c r="K10" s="474">
        <v>25.684603474999857</v>
      </c>
      <c r="L10" s="474">
        <f t="shared" ref="L10:L33" si="2">SUM(J10:K10)</f>
        <v>49.930926503086546</v>
      </c>
      <c r="M10" s="347"/>
      <c r="N10" s="472">
        <f t="shared" ref="N10:N32" si="3">IF(B10&gt;0,(EXP(LN(F10/B10)/5)-1)*100,0)</f>
        <v>9.6255028963593947</v>
      </c>
      <c r="O10" s="472">
        <f t="shared" ref="O10:O32" si="4">IF(F10&gt;0,(EXP(LN(J10/F10)/5)-1)*100,0)</f>
        <v>2.6752097310284606</v>
      </c>
      <c r="P10" s="472"/>
      <c r="Q10" s="472">
        <f t="shared" ref="Q10:Q32" si="5">IF(C10&gt;0,(EXP(LN(G10/C10)/5)-1)*100,0)</f>
        <v>3.8239702483974902</v>
      </c>
      <c r="R10" s="472">
        <f t="shared" ref="R10:R32" si="6">IF(G10&gt;0,(EXP(LN(K10/G10)/5)-1)*100,0)</f>
        <v>1.1024666727320831</v>
      </c>
      <c r="S10" s="471"/>
      <c r="T10" s="472">
        <f t="shared" ref="T10:T32" si="7">IF(D10&gt;0,(EXP(LN(H10/D10)/5)-1)*100,0)</f>
        <v>6.2963594412446033</v>
      </c>
      <c r="U10" s="472">
        <f t="shared" ref="U10:U32" si="8">IF(H10&gt;0,(EXP(LN(L10/H10)/5)-1)*100,0)</f>
        <v>1.8480135672898745</v>
      </c>
    </row>
    <row r="11" spans="1:21" x14ac:dyDescent="0.2">
      <c r="A11" s="473" t="str">
        <f>name!D6</f>
        <v xml:space="preserve"> 21 Science, research, engineering and technology professionals</v>
      </c>
      <c r="B11" s="474">
        <v>6.5489211956003803</v>
      </c>
      <c r="C11" s="474">
        <v>32.85514132114313</v>
      </c>
      <c r="D11" s="474">
        <f t="shared" si="0"/>
        <v>39.404062516743508</v>
      </c>
      <c r="E11" s="475"/>
      <c r="F11" s="474">
        <v>10.385162073392438</v>
      </c>
      <c r="G11" s="474">
        <v>38.566205916195614</v>
      </c>
      <c r="H11" s="474">
        <f t="shared" si="1"/>
        <v>48.95136798958805</v>
      </c>
      <c r="I11" s="475"/>
      <c r="J11" s="474">
        <v>13.231909654438017</v>
      </c>
      <c r="K11" s="474">
        <v>40.006152322875977</v>
      </c>
      <c r="L11" s="474">
        <f t="shared" si="2"/>
        <v>53.23806197731399</v>
      </c>
      <c r="M11" s="347"/>
      <c r="N11" s="472">
        <f t="shared" si="3"/>
        <v>9.6601164729366964</v>
      </c>
      <c r="O11" s="472">
        <f t="shared" si="4"/>
        <v>4.964356995046737</v>
      </c>
      <c r="P11" s="472"/>
      <c r="Q11" s="472">
        <f t="shared" si="5"/>
        <v>3.2572882129433989</v>
      </c>
      <c r="R11" s="472">
        <f t="shared" si="6"/>
        <v>0.73583106429764289</v>
      </c>
      <c r="S11" s="471"/>
      <c r="T11" s="472">
        <f t="shared" si="7"/>
        <v>4.4346863427201511</v>
      </c>
      <c r="U11" s="472">
        <f t="shared" si="8"/>
        <v>1.6930986819133187</v>
      </c>
    </row>
    <row r="12" spans="1:21" x14ac:dyDescent="0.2">
      <c r="A12" s="473" t="str">
        <f>name!D7</f>
        <v xml:space="preserve"> 22 Health professionals</v>
      </c>
      <c r="B12" s="474">
        <v>46.775692225755037</v>
      </c>
      <c r="C12" s="474">
        <v>19.142633155119171</v>
      </c>
      <c r="D12" s="474">
        <f t="shared" si="0"/>
        <v>65.918325380874208</v>
      </c>
      <c r="E12" s="475"/>
      <c r="F12" s="474">
        <v>68.102888346322899</v>
      </c>
      <c r="G12" s="474">
        <v>28.336553949905682</v>
      </c>
      <c r="H12" s="474">
        <f t="shared" si="1"/>
        <v>96.439442296228577</v>
      </c>
      <c r="I12" s="475"/>
      <c r="J12" s="474">
        <v>81.173527544539041</v>
      </c>
      <c r="K12" s="474">
        <v>31.198246186391458</v>
      </c>
      <c r="L12" s="474">
        <f t="shared" si="2"/>
        <v>112.3717737309305</v>
      </c>
      <c r="M12" s="347"/>
      <c r="N12" s="472">
        <f t="shared" si="3"/>
        <v>7.8025568744026996</v>
      </c>
      <c r="O12" s="472">
        <f t="shared" si="4"/>
        <v>3.5737683578481283</v>
      </c>
      <c r="P12" s="472"/>
      <c r="Q12" s="472">
        <f t="shared" si="5"/>
        <v>8.1605959345711909</v>
      </c>
      <c r="R12" s="472">
        <f t="shared" si="6"/>
        <v>1.9428167728062107</v>
      </c>
      <c r="S12" s="471"/>
      <c r="T12" s="472">
        <f t="shared" si="7"/>
        <v>7.9070214441154585</v>
      </c>
      <c r="U12" s="472">
        <f t="shared" si="8"/>
        <v>3.1051857917662185</v>
      </c>
    </row>
    <row r="13" spans="1:21" x14ac:dyDescent="0.2">
      <c r="A13" s="473" t="str">
        <f>name!D8</f>
        <v xml:space="preserve"> 23 Teaching and educational professionals</v>
      </c>
      <c r="B13" s="474">
        <v>49.35432474925058</v>
      </c>
      <c r="C13" s="474">
        <v>24.563249491157372</v>
      </c>
      <c r="D13" s="474">
        <f t="shared" si="0"/>
        <v>73.917574240407959</v>
      </c>
      <c r="E13" s="475"/>
      <c r="F13" s="474">
        <v>61.385137862139736</v>
      </c>
      <c r="G13" s="474">
        <v>32.32617902029677</v>
      </c>
      <c r="H13" s="474">
        <f t="shared" si="1"/>
        <v>93.711316882436506</v>
      </c>
      <c r="I13" s="475"/>
      <c r="J13" s="474">
        <v>70.742446751224151</v>
      </c>
      <c r="K13" s="474">
        <v>33.518277486137045</v>
      </c>
      <c r="L13" s="474">
        <f t="shared" si="2"/>
        <v>104.26072423736119</v>
      </c>
      <c r="M13" s="347"/>
      <c r="N13" s="472">
        <f t="shared" si="3"/>
        <v>4.4594185797760311</v>
      </c>
      <c r="O13" s="472">
        <f t="shared" si="4"/>
        <v>2.8782026429929664</v>
      </c>
      <c r="P13" s="472"/>
      <c r="Q13" s="472">
        <f t="shared" si="5"/>
        <v>5.6461587366186228</v>
      </c>
      <c r="R13" s="472">
        <f t="shared" si="6"/>
        <v>0.72689895133910554</v>
      </c>
      <c r="S13" s="471"/>
      <c r="T13" s="472">
        <f t="shared" si="7"/>
        <v>4.8597618257580244</v>
      </c>
      <c r="U13" s="472">
        <f t="shared" si="8"/>
        <v>2.1564374836494871</v>
      </c>
    </row>
    <row r="14" spans="1:21" x14ac:dyDescent="0.2">
      <c r="A14" s="473" t="str">
        <f>name!D9</f>
        <v xml:space="preserve"> 24 Business, media and public service professionals</v>
      </c>
      <c r="B14" s="474">
        <v>17.577306771884707</v>
      </c>
      <c r="C14" s="474">
        <v>24.264266047829025</v>
      </c>
      <c r="D14" s="474">
        <f t="shared" si="0"/>
        <v>41.841572819713733</v>
      </c>
      <c r="E14" s="475"/>
      <c r="F14" s="474">
        <v>25.97084931075506</v>
      </c>
      <c r="G14" s="474">
        <v>21.859349683733893</v>
      </c>
      <c r="H14" s="474">
        <f t="shared" si="1"/>
        <v>47.830198994488953</v>
      </c>
      <c r="I14" s="475"/>
      <c r="J14" s="474">
        <v>32.884440323403325</v>
      </c>
      <c r="K14" s="474">
        <v>22.010129556963619</v>
      </c>
      <c r="L14" s="474">
        <f t="shared" si="2"/>
        <v>54.894569880366944</v>
      </c>
      <c r="M14" s="347"/>
      <c r="N14" s="472">
        <f t="shared" si="3"/>
        <v>8.1201809814654968</v>
      </c>
      <c r="O14" s="472">
        <f t="shared" si="4"/>
        <v>4.8336870690162792</v>
      </c>
      <c r="P14" s="472"/>
      <c r="Q14" s="472">
        <f t="shared" si="5"/>
        <v>-2.0658821645529124</v>
      </c>
      <c r="R14" s="472">
        <f t="shared" si="6"/>
        <v>0.13757552112272364</v>
      </c>
      <c r="S14" s="471"/>
      <c r="T14" s="472">
        <f t="shared" si="7"/>
        <v>2.711444561507026</v>
      </c>
      <c r="U14" s="472">
        <f t="shared" si="8"/>
        <v>2.7934494028749812</v>
      </c>
    </row>
    <row r="15" spans="1:21" x14ac:dyDescent="0.2">
      <c r="A15" s="473" t="str">
        <f>name!D10</f>
        <v xml:space="preserve"> 31 Science, engineering and technology associate professionals</v>
      </c>
      <c r="B15" s="474">
        <v>5.4689745861146513</v>
      </c>
      <c r="C15" s="474">
        <v>18.500234166713323</v>
      </c>
      <c r="D15" s="474">
        <f t="shared" si="0"/>
        <v>23.969208752827974</v>
      </c>
      <c r="E15" s="475"/>
      <c r="F15" s="474">
        <v>6.0514570348399603</v>
      </c>
      <c r="G15" s="474">
        <v>19.101619639066506</v>
      </c>
      <c r="H15" s="474">
        <f t="shared" si="1"/>
        <v>25.153076673906465</v>
      </c>
      <c r="I15" s="475"/>
      <c r="J15" s="474">
        <v>6.0116529069527269</v>
      </c>
      <c r="K15" s="474">
        <v>19.279374227958979</v>
      </c>
      <c r="L15" s="474">
        <f t="shared" si="2"/>
        <v>25.291027134911705</v>
      </c>
      <c r="M15" s="347"/>
      <c r="N15" s="472">
        <f t="shared" si="3"/>
        <v>2.0447837752676001</v>
      </c>
      <c r="O15" s="472">
        <f t="shared" si="4"/>
        <v>-0.13189970382697647</v>
      </c>
      <c r="P15" s="472"/>
      <c r="Q15" s="472">
        <f t="shared" si="5"/>
        <v>0.64184585174127395</v>
      </c>
      <c r="R15" s="472">
        <f t="shared" si="6"/>
        <v>0.18542574702384851</v>
      </c>
      <c r="S15" s="471"/>
      <c r="T15" s="472">
        <f t="shared" si="7"/>
        <v>0.96886710022896505</v>
      </c>
      <c r="U15" s="472">
        <f t="shared" si="8"/>
        <v>0.10944889375184008</v>
      </c>
    </row>
    <row r="16" spans="1:21" x14ac:dyDescent="0.2">
      <c r="A16" s="473" t="str">
        <f>name!D11</f>
        <v xml:space="preserve"> 32 Health and social care associate professionals</v>
      </c>
      <c r="B16" s="474">
        <v>15.284227151836662</v>
      </c>
      <c r="C16" s="474">
        <v>6.7370099437551998</v>
      </c>
      <c r="D16" s="474">
        <f t="shared" si="0"/>
        <v>22.021237095591861</v>
      </c>
      <c r="E16" s="475"/>
      <c r="F16" s="474">
        <v>21.122896358313348</v>
      </c>
      <c r="G16" s="474">
        <v>10.113734440959385</v>
      </c>
      <c r="H16" s="474">
        <f t="shared" si="1"/>
        <v>31.236630799272731</v>
      </c>
      <c r="I16" s="475"/>
      <c r="J16" s="474">
        <v>25.217384595119452</v>
      </c>
      <c r="K16" s="474">
        <v>11.118969015117107</v>
      </c>
      <c r="L16" s="474">
        <f t="shared" si="2"/>
        <v>36.336353610236557</v>
      </c>
      <c r="M16" s="347"/>
      <c r="N16" s="472">
        <f t="shared" si="3"/>
        <v>6.6846647797823788</v>
      </c>
      <c r="O16" s="472">
        <f t="shared" si="4"/>
        <v>3.6070515617170562</v>
      </c>
      <c r="P16" s="472"/>
      <c r="Q16" s="472">
        <f t="shared" si="5"/>
        <v>8.4648129247263384</v>
      </c>
      <c r="R16" s="472">
        <f t="shared" si="6"/>
        <v>1.9132367142160378</v>
      </c>
      <c r="S16" s="471"/>
      <c r="T16" s="472">
        <f t="shared" si="7"/>
        <v>7.2418986594207979</v>
      </c>
      <c r="U16" s="472">
        <f t="shared" si="8"/>
        <v>3.070748939642387</v>
      </c>
    </row>
    <row r="17" spans="1:21" x14ac:dyDescent="0.2">
      <c r="A17" s="473" t="str">
        <f>name!D12</f>
        <v xml:space="preserve"> 33 Protective service occupations</v>
      </c>
      <c r="B17" s="474">
        <v>3.203786102568603</v>
      </c>
      <c r="C17" s="474">
        <v>14.989787794035438</v>
      </c>
      <c r="D17" s="474">
        <f t="shared" si="0"/>
        <v>18.19357389660404</v>
      </c>
      <c r="E17" s="475"/>
      <c r="F17" s="474">
        <v>3.8763488053733042</v>
      </c>
      <c r="G17" s="474">
        <v>12.839479722247431</v>
      </c>
      <c r="H17" s="474">
        <f t="shared" si="1"/>
        <v>16.715828527620737</v>
      </c>
      <c r="I17" s="475"/>
      <c r="J17" s="474">
        <v>4.8338194684724112</v>
      </c>
      <c r="K17" s="474">
        <v>10.978205915059863</v>
      </c>
      <c r="L17" s="474">
        <f t="shared" si="2"/>
        <v>15.812025383532275</v>
      </c>
      <c r="M17" s="347"/>
      <c r="N17" s="472">
        <f t="shared" si="3"/>
        <v>3.884766321821731</v>
      </c>
      <c r="O17" s="472">
        <f t="shared" si="4"/>
        <v>4.5137703968355591</v>
      </c>
      <c r="P17" s="472"/>
      <c r="Q17" s="472">
        <f t="shared" si="5"/>
        <v>-3.0494252137107547</v>
      </c>
      <c r="R17" s="472">
        <f t="shared" si="6"/>
        <v>-3.0837080911911285</v>
      </c>
      <c r="S17" s="471"/>
      <c r="T17" s="472">
        <f t="shared" si="7"/>
        <v>-1.6799755954934326</v>
      </c>
      <c r="U17" s="472">
        <f t="shared" si="8"/>
        <v>-1.1055500922898198</v>
      </c>
    </row>
    <row r="18" spans="1:21" x14ac:dyDescent="0.2">
      <c r="A18" s="473" t="str">
        <f>name!D13</f>
        <v xml:space="preserve"> 34 Culture, media and sports occupations</v>
      </c>
      <c r="B18" s="474">
        <v>9.0118280150524246</v>
      </c>
      <c r="C18" s="474">
        <v>8.2943436082555362</v>
      </c>
      <c r="D18" s="474">
        <f t="shared" si="0"/>
        <v>17.306171623307961</v>
      </c>
      <c r="E18" s="475"/>
      <c r="F18" s="474">
        <v>13.774488957127767</v>
      </c>
      <c r="G18" s="474">
        <v>12.279237058956587</v>
      </c>
      <c r="H18" s="474">
        <f t="shared" si="1"/>
        <v>26.053726016084354</v>
      </c>
      <c r="I18" s="475"/>
      <c r="J18" s="474">
        <v>15.905471168811967</v>
      </c>
      <c r="K18" s="474">
        <v>12.982121304074246</v>
      </c>
      <c r="L18" s="474">
        <f t="shared" si="2"/>
        <v>28.887592472886212</v>
      </c>
      <c r="M18" s="347"/>
      <c r="N18" s="472">
        <f t="shared" si="3"/>
        <v>8.8560371667709923</v>
      </c>
      <c r="O18" s="472">
        <f t="shared" si="4"/>
        <v>2.9186802967588577</v>
      </c>
      <c r="P18" s="471"/>
      <c r="Q18" s="472">
        <f t="shared" si="5"/>
        <v>8.1627877735551237</v>
      </c>
      <c r="R18" s="472">
        <f t="shared" si="6"/>
        <v>1.1194865644304608</v>
      </c>
      <c r="S18" s="471"/>
      <c r="T18" s="472">
        <f t="shared" si="7"/>
        <v>8.5259927068486832</v>
      </c>
      <c r="U18" s="472">
        <f t="shared" si="8"/>
        <v>2.0864969346859219</v>
      </c>
    </row>
    <row r="19" spans="1:21" x14ac:dyDescent="0.2">
      <c r="A19" s="481" t="str">
        <f>name!D14</f>
        <v xml:space="preserve"> 35 Business and public service associate professionals</v>
      </c>
      <c r="B19" s="482">
        <v>26.388578003986773</v>
      </c>
      <c r="C19" s="474">
        <v>37.674024613124558</v>
      </c>
      <c r="D19" s="474">
        <f t="shared" si="0"/>
        <v>64.062602617111338</v>
      </c>
      <c r="E19" s="475"/>
      <c r="F19" s="474">
        <v>34.765393269056503</v>
      </c>
      <c r="G19" s="474">
        <v>38.147463884032717</v>
      </c>
      <c r="H19" s="474">
        <f t="shared" si="1"/>
        <v>72.91285715308922</v>
      </c>
      <c r="I19" s="475"/>
      <c r="J19" s="474">
        <v>43.418541552300141</v>
      </c>
      <c r="K19" s="474">
        <v>39.263871381642652</v>
      </c>
      <c r="L19" s="474">
        <f t="shared" si="2"/>
        <v>82.6824129339428</v>
      </c>
      <c r="M19" s="347"/>
      <c r="N19" s="472">
        <f t="shared" si="3"/>
        <v>5.6686676831546379</v>
      </c>
      <c r="O19" s="472">
        <f t="shared" si="4"/>
        <v>4.5455656987823501</v>
      </c>
      <c r="P19" s="471"/>
      <c r="Q19" s="472">
        <f t="shared" si="5"/>
        <v>0.25008064848357492</v>
      </c>
      <c r="R19" s="472">
        <f t="shared" si="6"/>
        <v>0.5785776272926535</v>
      </c>
      <c r="S19" s="471"/>
      <c r="T19" s="472">
        <f t="shared" si="7"/>
        <v>2.6218660930964033</v>
      </c>
      <c r="U19" s="472">
        <f t="shared" si="8"/>
        <v>2.5467273802023849</v>
      </c>
    </row>
    <row r="20" spans="1:21" x14ac:dyDescent="0.2">
      <c r="A20" s="473" t="str">
        <f>name!D15</f>
        <v xml:space="preserve"> 41 Administrative occupations</v>
      </c>
      <c r="B20" s="474">
        <v>90.330736085431752</v>
      </c>
      <c r="C20" s="474">
        <v>38.430660663971736</v>
      </c>
      <c r="D20" s="474">
        <f t="shared" si="0"/>
        <v>128.7613967494035</v>
      </c>
      <c r="E20" s="475"/>
      <c r="F20" s="474">
        <v>87.705060247020924</v>
      </c>
      <c r="G20" s="474">
        <v>39.816274262878977</v>
      </c>
      <c r="H20" s="474">
        <f t="shared" si="1"/>
        <v>127.5213345098999</v>
      </c>
      <c r="I20" s="475"/>
      <c r="J20" s="474">
        <v>78.972780575893367</v>
      </c>
      <c r="K20" s="474">
        <v>41.035457469735661</v>
      </c>
      <c r="L20" s="474">
        <f t="shared" si="2"/>
        <v>120.00823804562903</v>
      </c>
      <c r="M20" s="347"/>
      <c r="N20" s="472">
        <f t="shared" si="3"/>
        <v>-0.58822678679654183</v>
      </c>
      <c r="O20" s="472">
        <f t="shared" si="4"/>
        <v>-2.0756819790259895</v>
      </c>
      <c r="P20" s="471"/>
      <c r="Q20" s="472">
        <f t="shared" si="5"/>
        <v>0.71091778733338717</v>
      </c>
      <c r="R20" s="472">
        <f t="shared" si="6"/>
        <v>0.6050385991690721</v>
      </c>
      <c r="S20" s="471"/>
      <c r="T20" s="472">
        <f t="shared" si="7"/>
        <v>-0.19336029721576109</v>
      </c>
      <c r="U20" s="472">
        <f t="shared" si="8"/>
        <v>-1.2071209136755967</v>
      </c>
    </row>
    <row r="21" spans="1:21" x14ac:dyDescent="0.2">
      <c r="A21" s="473" t="str">
        <f>name!D16</f>
        <v xml:space="preserve"> 42 Secretarial and related occupations</v>
      </c>
      <c r="B21" s="474">
        <v>36.971873403389068</v>
      </c>
      <c r="C21" s="474">
        <v>2.086585094937166</v>
      </c>
      <c r="D21" s="474">
        <f t="shared" si="0"/>
        <v>39.058458498326232</v>
      </c>
      <c r="E21" s="475"/>
      <c r="F21" s="474">
        <v>30.877671912824646</v>
      </c>
      <c r="G21" s="474">
        <v>2.2326190561804076</v>
      </c>
      <c r="H21" s="474">
        <f t="shared" si="1"/>
        <v>33.11029096900505</v>
      </c>
      <c r="I21" s="475"/>
      <c r="J21" s="474">
        <v>16.332394648415899</v>
      </c>
      <c r="K21" s="474">
        <v>2.390793917347847</v>
      </c>
      <c r="L21" s="474">
        <f t="shared" si="2"/>
        <v>18.723188565763746</v>
      </c>
      <c r="M21" s="347"/>
      <c r="N21" s="472">
        <f t="shared" si="3"/>
        <v>-3.5383651367038138</v>
      </c>
      <c r="O21" s="472">
        <f t="shared" si="4"/>
        <v>-11.959791291343292</v>
      </c>
      <c r="P21" s="471"/>
      <c r="Q21" s="472">
        <f t="shared" si="5"/>
        <v>1.3621246710335599</v>
      </c>
      <c r="R21" s="472">
        <f t="shared" si="6"/>
        <v>1.3784164062850879</v>
      </c>
      <c r="S21" s="471"/>
      <c r="T21" s="472">
        <f t="shared" si="7"/>
        <v>-3.2503105639096086</v>
      </c>
      <c r="U21" s="472">
        <f t="shared" si="8"/>
        <v>-10.775656167121362</v>
      </c>
    </row>
    <row r="22" spans="1:21" x14ac:dyDescent="0.2">
      <c r="A22" s="473" t="str">
        <f>name!D17</f>
        <v xml:space="preserve"> 51 Skilled agricultural and related trades</v>
      </c>
      <c r="B22" s="474">
        <v>4.5458352293590005</v>
      </c>
      <c r="C22" s="474">
        <v>22.466448016828103</v>
      </c>
      <c r="D22" s="474">
        <f t="shared" si="0"/>
        <v>27.012283246187103</v>
      </c>
      <c r="E22" s="475"/>
      <c r="F22" s="474">
        <v>9.7082801917104877</v>
      </c>
      <c r="G22" s="474">
        <v>34.933712388819252</v>
      </c>
      <c r="H22" s="474">
        <f t="shared" si="1"/>
        <v>44.641992580529738</v>
      </c>
      <c r="I22" s="475"/>
      <c r="J22" s="474">
        <v>10.077817321691011</v>
      </c>
      <c r="K22" s="474">
        <v>33.484558147791688</v>
      </c>
      <c r="L22" s="474">
        <f t="shared" si="2"/>
        <v>43.562375469482703</v>
      </c>
      <c r="M22" s="347"/>
      <c r="N22" s="472">
        <f t="shared" si="3"/>
        <v>16.387334582587986</v>
      </c>
      <c r="O22" s="472">
        <f t="shared" si="4"/>
        <v>0.74994922339186587</v>
      </c>
      <c r="P22" s="471"/>
      <c r="Q22" s="472">
        <f t="shared" si="5"/>
        <v>9.2300330450074917</v>
      </c>
      <c r="R22" s="472">
        <f t="shared" si="6"/>
        <v>-0.84377907684182185</v>
      </c>
      <c r="S22" s="471"/>
      <c r="T22" s="472">
        <f t="shared" si="7"/>
        <v>10.569782471643862</v>
      </c>
      <c r="U22" s="472">
        <f t="shared" si="8"/>
        <v>-0.48842578072374465</v>
      </c>
    </row>
    <row r="23" spans="1:21" x14ac:dyDescent="0.2">
      <c r="A23" s="473" t="str">
        <f>name!D18</f>
        <v xml:space="preserve"> 52 Skilled metal, electrical and electronic trades</v>
      </c>
      <c r="B23" s="474">
        <v>1.2612408805764528</v>
      </c>
      <c r="C23" s="474">
        <v>63.317857613980728</v>
      </c>
      <c r="D23" s="474">
        <f t="shared" si="0"/>
        <v>64.579098494557186</v>
      </c>
      <c r="E23" s="475"/>
      <c r="F23" s="474">
        <v>1.0875627805966419</v>
      </c>
      <c r="G23" s="474">
        <v>59.210764333162246</v>
      </c>
      <c r="H23" s="474">
        <f t="shared" si="1"/>
        <v>60.298327113758887</v>
      </c>
      <c r="I23" s="475"/>
      <c r="J23" s="474">
        <v>0.97924945920635431</v>
      </c>
      <c r="K23" s="474">
        <v>51.837402223886173</v>
      </c>
      <c r="L23" s="474">
        <f t="shared" si="2"/>
        <v>52.81665168309253</v>
      </c>
      <c r="M23" s="347"/>
      <c r="N23" s="472">
        <f t="shared" si="3"/>
        <v>-2.9196665286124412</v>
      </c>
      <c r="O23" s="472">
        <f t="shared" si="4"/>
        <v>-2.0763031401539345</v>
      </c>
      <c r="P23" s="471"/>
      <c r="Q23" s="472">
        <f t="shared" si="5"/>
        <v>-1.3323258072584721</v>
      </c>
      <c r="R23" s="472">
        <f t="shared" si="6"/>
        <v>-2.6247664352778921</v>
      </c>
      <c r="S23" s="471"/>
      <c r="T23" s="472">
        <f t="shared" si="7"/>
        <v>-1.3623635721894511</v>
      </c>
      <c r="U23" s="472">
        <f t="shared" si="8"/>
        <v>-2.6147641393779564</v>
      </c>
    </row>
    <row r="24" spans="1:21" x14ac:dyDescent="0.2">
      <c r="A24" s="473" t="str">
        <f>name!D19</f>
        <v xml:space="preserve"> 53 Skilled construction and building trades</v>
      </c>
      <c r="B24" s="474">
        <v>1.2351410719458547</v>
      </c>
      <c r="C24" s="474">
        <v>60.939244934991528</v>
      </c>
      <c r="D24" s="474">
        <f t="shared" si="0"/>
        <v>62.174386006937382</v>
      </c>
      <c r="E24" s="475"/>
      <c r="F24" s="474">
        <v>1.3767740610194503</v>
      </c>
      <c r="G24" s="474">
        <v>54.230288974199759</v>
      </c>
      <c r="H24" s="474">
        <f t="shared" si="1"/>
        <v>55.607063035219213</v>
      </c>
      <c r="I24" s="475"/>
      <c r="J24" s="474">
        <v>1.7917617156855457</v>
      </c>
      <c r="K24" s="474">
        <v>54.072896462494526</v>
      </c>
      <c r="L24" s="474">
        <f t="shared" si="2"/>
        <v>55.864658178180072</v>
      </c>
      <c r="M24" s="347"/>
      <c r="N24" s="472">
        <f t="shared" si="3"/>
        <v>2.1948998347859794</v>
      </c>
      <c r="O24" s="472">
        <f t="shared" si="4"/>
        <v>5.4104131546872214</v>
      </c>
      <c r="P24" s="471"/>
      <c r="Q24" s="472">
        <f t="shared" si="5"/>
        <v>-2.3057574665320546</v>
      </c>
      <c r="R24" s="472">
        <f t="shared" si="6"/>
        <v>-5.8113483652166842E-2</v>
      </c>
      <c r="S24" s="471"/>
      <c r="T24" s="472">
        <f t="shared" si="7"/>
        <v>-2.2079184176536981</v>
      </c>
      <c r="U24" s="472">
        <f t="shared" si="8"/>
        <v>9.2477155236836417E-2</v>
      </c>
    </row>
    <row r="25" spans="1:21" x14ac:dyDescent="0.2">
      <c r="A25" s="473" t="str">
        <f>name!D20</f>
        <v xml:space="preserve"> 54 Textiles, printing and other skilled trades</v>
      </c>
      <c r="B25" s="474">
        <v>12.76581508022073</v>
      </c>
      <c r="C25" s="474">
        <v>26.085999514970602</v>
      </c>
      <c r="D25" s="474">
        <f t="shared" si="0"/>
        <v>38.851814595191328</v>
      </c>
      <c r="E25" s="475"/>
      <c r="F25" s="474">
        <v>13.217230709843877</v>
      </c>
      <c r="G25" s="474">
        <v>30.895302705846561</v>
      </c>
      <c r="H25" s="474">
        <f t="shared" si="1"/>
        <v>44.112533415690436</v>
      </c>
      <c r="I25" s="475"/>
      <c r="J25" s="474">
        <v>12.334630169949087</v>
      </c>
      <c r="K25" s="474">
        <v>25.80696844093627</v>
      </c>
      <c r="L25" s="474">
        <f t="shared" si="2"/>
        <v>38.141598610885353</v>
      </c>
      <c r="M25" s="347"/>
      <c r="N25" s="472">
        <f t="shared" si="3"/>
        <v>0.69742946561155428</v>
      </c>
      <c r="O25" s="472">
        <f t="shared" si="4"/>
        <v>-1.3727026752352933</v>
      </c>
      <c r="P25" s="471"/>
      <c r="Q25" s="472">
        <f t="shared" si="5"/>
        <v>3.4420204227189055</v>
      </c>
      <c r="R25" s="472">
        <f t="shared" si="6"/>
        <v>-3.5351913404872204</v>
      </c>
      <c r="S25" s="471"/>
      <c r="T25" s="472">
        <f t="shared" si="7"/>
        <v>2.5723105466832319</v>
      </c>
      <c r="U25" s="472">
        <f t="shared" si="8"/>
        <v>-2.8668711992558493</v>
      </c>
    </row>
    <row r="26" spans="1:21" x14ac:dyDescent="0.2">
      <c r="A26" s="473" t="str">
        <f>name!D21</f>
        <v xml:space="preserve"> 61 Caring personal service occupations</v>
      </c>
      <c r="B26" s="474">
        <v>87.631110714257915</v>
      </c>
      <c r="C26" s="474">
        <v>11.556847989456879</v>
      </c>
      <c r="D26" s="474">
        <f t="shared" si="0"/>
        <v>99.187958703714799</v>
      </c>
      <c r="E26" s="475"/>
      <c r="F26" s="474">
        <v>117.40081808864105</v>
      </c>
      <c r="G26" s="474">
        <v>16.633369389372817</v>
      </c>
      <c r="H26" s="474">
        <f t="shared" si="1"/>
        <v>134.03418747801385</v>
      </c>
      <c r="I26" s="475"/>
      <c r="J26" s="474">
        <v>135.71583341040497</v>
      </c>
      <c r="K26" s="474">
        <v>20.657142748310594</v>
      </c>
      <c r="L26" s="474">
        <f t="shared" si="2"/>
        <v>156.37297615871557</v>
      </c>
      <c r="M26" s="347"/>
      <c r="N26" s="472">
        <f t="shared" si="3"/>
        <v>6.0236036357883993</v>
      </c>
      <c r="O26" s="472">
        <f t="shared" si="4"/>
        <v>2.9418286961695239</v>
      </c>
      <c r="P26" s="471"/>
      <c r="Q26" s="472">
        <f t="shared" si="5"/>
        <v>7.5543961393969461</v>
      </c>
      <c r="R26" s="472">
        <f t="shared" si="6"/>
        <v>4.4282508351077832</v>
      </c>
      <c r="S26" s="471"/>
      <c r="T26" s="472">
        <f t="shared" si="7"/>
        <v>6.2065561589598417</v>
      </c>
      <c r="U26" s="472">
        <f t="shared" si="8"/>
        <v>3.1309986524300504</v>
      </c>
    </row>
    <row r="27" spans="1:21" x14ac:dyDescent="0.2">
      <c r="A27" s="473" t="str">
        <f>name!D22</f>
        <v xml:space="preserve"> 62 Leisure, travel and related personal service occupations</v>
      </c>
      <c r="B27" s="474">
        <v>15.305395601024689</v>
      </c>
      <c r="C27" s="474">
        <v>11.655775931292418</v>
      </c>
      <c r="D27" s="474">
        <f t="shared" si="0"/>
        <v>26.961171532317106</v>
      </c>
      <c r="E27" s="475"/>
      <c r="F27" s="474">
        <v>23.464480398382918</v>
      </c>
      <c r="G27" s="474">
        <v>10.617503001555884</v>
      </c>
      <c r="H27" s="474">
        <f t="shared" si="1"/>
        <v>34.0819833999388</v>
      </c>
      <c r="I27" s="475"/>
      <c r="J27" s="474">
        <v>21.435409234358666</v>
      </c>
      <c r="K27" s="474">
        <v>10.986868482044702</v>
      </c>
      <c r="L27" s="474">
        <f t="shared" si="2"/>
        <v>32.422277716403372</v>
      </c>
      <c r="M27" s="347"/>
      <c r="N27" s="472">
        <f t="shared" si="3"/>
        <v>8.9214154536646042</v>
      </c>
      <c r="O27" s="472">
        <f t="shared" si="4"/>
        <v>-1.792610376865944</v>
      </c>
      <c r="P27" s="471"/>
      <c r="Q27" s="472">
        <f t="shared" si="5"/>
        <v>-1.8486583394338396</v>
      </c>
      <c r="R27" s="472">
        <f t="shared" si="6"/>
        <v>0.68628258821064048</v>
      </c>
      <c r="S27" s="471"/>
      <c r="T27" s="472">
        <f t="shared" si="7"/>
        <v>4.799019696280471</v>
      </c>
      <c r="U27" s="472">
        <f t="shared" si="8"/>
        <v>-0.99349447635844745</v>
      </c>
    </row>
    <row r="28" spans="1:21" x14ac:dyDescent="0.2">
      <c r="A28" s="473" t="str">
        <f>name!D23</f>
        <v xml:space="preserve"> 71 Sales occupations</v>
      </c>
      <c r="B28" s="474">
        <v>76.683004731655217</v>
      </c>
      <c r="C28" s="474">
        <v>33.041792857953027</v>
      </c>
      <c r="D28" s="474">
        <f t="shared" si="0"/>
        <v>109.72479758960824</v>
      </c>
      <c r="E28" s="475"/>
      <c r="F28" s="474">
        <v>67.451890502759596</v>
      </c>
      <c r="G28" s="474">
        <v>29.276767635043839</v>
      </c>
      <c r="H28" s="474">
        <f t="shared" si="1"/>
        <v>96.728658137803436</v>
      </c>
      <c r="I28" s="475"/>
      <c r="J28" s="474">
        <v>61.600092787575456</v>
      </c>
      <c r="K28" s="474">
        <v>26.815234263357201</v>
      </c>
      <c r="L28" s="474">
        <f>SUM(J28:K28)</f>
        <v>88.41532705093266</v>
      </c>
      <c r="M28" s="347"/>
      <c r="N28" s="472">
        <f t="shared" si="3"/>
        <v>-2.532685341065688</v>
      </c>
      <c r="O28" s="472">
        <f t="shared" si="4"/>
        <v>-1.7986523038194258</v>
      </c>
      <c r="P28" s="471"/>
      <c r="Q28" s="472">
        <f t="shared" si="5"/>
        <v>-2.3905413124917785</v>
      </c>
      <c r="R28" s="472">
        <f t="shared" si="6"/>
        <v>-1.7411461589966315</v>
      </c>
      <c r="S28" s="471"/>
      <c r="T28" s="472">
        <f t="shared" si="7"/>
        <v>-2.4897937721222063</v>
      </c>
      <c r="U28" s="472">
        <f t="shared" si="8"/>
        <v>-1.7812327598382915</v>
      </c>
    </row>
    <row r="29" spans="1:21" x14ac:dyDescent="0.2">
      <c r="A29" s="473" t="str">
        <f>name!D24</f>
        <v xml:space="preserve"> 72 Customer service occupations</v>
      </c>
      <c r="B29" s="474">
        <v>13.209269073772996</v>
      </c>
      <c r="C29" s="474">
        <v>8.4692104502869103</v>
      </c>
      <c r="D29" s="474">
        <f t="shared" si="0"/>
        <v>21.678479524059906</v>
      </c>
      <c r="E29" s="475"/>
      <c r="F29" s="474">
        <v>16.891638614923433</v>
      </c>
      <c r="G29" s="474">
        <v>12.049582265890068</v>
      </c>
      <c r="H29" s="474">
        <f t="shared" si="1"/>
        <v>28.941220880813503</v>
      </c>
      <c r="I29" s="475"/>
      <c r="J29" s="474">
        <v>19.279421724049367</v>
      </c>
      <c r="K29" s="474">
        <v>14.454288950035748</v>
      </c>
      <c r="L29" s="474">
        <f t="shared" si="2"/>
        <v>33.733710674085117</v>
      </c>
      <c r="M29" s="347"/>
      <c r="N29" s="472">
        <f t="shared" si="3"/>
        <v>5.0409398439106301</v>
      </c>
      <c r="O29" s="472">
        <f t="shared" si="4"/>
        <v>2.6796653070600973</v>
      </c>
      <c r="P29" s="471"/>
      <c r="Q29" s="472">
        <f t="shared" si="5"/>
        <v>7.3064465039484716</v>
      </c>
      <c r="R29" s="472">
        <f t="shared" si="6"/>
        <v>3.706254228319672</v>
      </c>
      <c r="S29" s="471"/>
      <c r="T29" s="472">
        <f t="shared" si="7"/>
        <v>5.9491814725682213</v>
      </c>
      <c r="U29" s="472">
        <f t="shared" si="8"/>
        <v>3.1120576727613258</v>
      </c>
    </row>
    <row r="30" spans="1:21" x14ac:dyDescent="0.2">
      <c r="A30" s="473" t="str">
        <f>name!D25</f>
        <v xml:space="preserve"> 81 Process, plant and machine operatives</v>
      </c>
      <c r="B30" s="474">
        <v>19.580752333430024</v>
      </c>
      <c r="C30" s="474">
        <v>66.124397648601686</v>
      </c>
      <c r="D30" s="474">
        <f t="shared" si="0"/>
        <v>85.705149982031713</v>
      </c>
      <c r="E30" s="475"/>
      <c r="F30" s="474">
        <v>16.168680106654961</v>
      </c>
      <c r="G30" s="474">
        <v>62.163698672874382</v>
      </c>
      <c r="H30" s="474">
        <f t="shared" si="1"/>
        <v>78.332378779529336</v>
      </c>
      <c r="I30" s="475"/>
      <c r="J30" s="474">
        <v>11.566360222362864</v>
      </c>
      <c r="K30" s="474">
        <v>54.779522015684179</v>
      </c>
      <c r="L30" s="474">
        <f t="shared" si="2"/>
        <v>66.345882238047039</v>
      </c>
      <c r="M30" s="347"/>
      <c r="N30" s="472">
        <f t="shared" si="3"/>
        <v>-3.7570250624817225</v>
      </c>
      <c r="O30" s="472">
        <f t="shared" si="4"/>
        <v>-6.4800148863054519</v>
      </c>
      <c r="P30" s="471"/>
      <c r="Q30" s="472">
        <f t="shared" si="5"/>
        <v>-1.2277325854430421</v>
      </c>
      <c r="R30" s="472">
        <f t="shared" si="6"/>
        <v>-2.4973816716908348</v>
      </c>
      <c r="S30" s="471"/>
      <c r="T30" s="472">
        <f t="shared" si="7"/>
        <v>-1.7829514753740283</v>
      </c>
      <c r="U30" s="472">
        <f t="shared" si="8"/>
        <v>-3.2670278865558511</v>
      </c>
    </row>
    <row r="31" spans="1:21" x14ac:dyDescent="0.2">
      <c r="A31" s="473" t="str">
        <f>name!D26</f>
        <v xml:space="preserve"> 82 Transport and mobile machine drivers and operatives</v>
      </c>
      <c r="B31" s="474">
        <v>1.2150559839459716</v>
      </c>
      <c r="C31" s="474">
        <v>44.061866083177733</v>
      </c>
      <c r="D31" s="474">
        <f t="shared" si="0"/>
        <v>45.276922067123706</v>
      </c>
      <c r="E31" s="475"/>
      <c r="F31" s="474">
        <v>1.6474945717215048</v>
      </c>
      <c r="G31" s="474">
        <v>33.845865711338917</v>
      </c>
      <c r="H31" s="474">
        <f t="shared" si="1"/>
        <v>35.493360283060419</v>
      </c>
      <c r="I31" s="475"/>
      <c r="J31" s="474">
        <v>1.9626060225816908</v>
      </c>
      <c r="K31" s="474">
        <v>34.678394925806217</v>
      </c>
      <c r="L31" s="474">
        <f t="shared" si="2"/>
        <v>36.641000948387905</v>
      </c>
      <c r="M31" s="347"/>
      <c r="N31" s="472">
        <f t="shared" si="3"/>
        <v>6.278530475765387</v>
      </c>
      <c r="O31" s="472">
        <f t="shared" si="4"/>
        <v>3.5623333667466284</v>
      </c>
      <c r="P31" s="471"/>
      <c r="Q31" s="472">
        <f t="shared" si="5"/>
        <v>-5.1388144260600788</v>
      </c>
      <c r="R31" s="472">
        <f t="shared" si="6"/>
        <v>0.48718313838429506</v>
      </c>
      <c r="S31" s="471"/>
      <c r="T31" s="472">
        <f t="shared" si="7"/>
        <v>-4.7523993443384533</v>
      </c>
      <c r="U31" s="472">
        <f t="shared" si="8"/>
        <v>0.63847387369546649</v>
      </c>
    </row>
    <row r="32" spans="1:21" x14ac:dyDescent="0.2">
      <c r="A32" s="473" t="str">
        <f>name!D27</f>
        <v xml:space="preserve"> 91 Elementary trades and related occupations</v>
      </c>
      <c r="B32" s="474">
        <v>5.5349852200313538</v>
      </c>
      <c r="C32" s="474">
        <v>26.120935311690349</v>
      </c>
      <c r="D32" s="474">
        <f t="shared" si="0"/>
        <v>31.655920531721705</v>
      </c>
      <c r="E32" s="475"/>
      <c r="F32" s="474">
        <v>6.7864488744918505</v>
      </c>
      <c r="G32" s="474">
        <v>23.217129742088186</v>
      </c>
      <c r="H32" s="474">
        <f t="shared" si="1"/>
        <v>30.003578616580036</v>
      </c>
      <c r="I32" s="475"/>
      <c r="J32" s="474">
        <v>8.1662282341471144</v>
      </c>
      <c r="K32" s="474">
        <v>21.889988303979774</v>
      </c>
      <c r="L32" s="474">
        <f t="shared" si="2"/>
        <v>30.05621653812689</v>
      </c>
      <c r="M32" s="347"/>
      <c r="N32" s="472">
        <f t="shared" si="3"/>
        <v>4.1610197953648287</v>
      </c>
      <c r="O32" s="472">
        <f t="shared" si="4"/>
        <v>3.7709485112584984</v>
      </c>
      <c r="P32" s="471"/>
      <c r="Q32" s="472">
        <f t="shared" si="5"/>
        <v>-2.3293763204396245</v>
      </c>
      <c r="R32" s="472">
        <f t="shared" si="6"/>
        <v>-1.1703174800250071</v>
      </c>
      <c r="S32" s="471"/>
      <c r="T32" s="472">
        <f t="shared" si="7"/>
        <v>-1.066443376405779</v>
      </c>
      <c r="U32" s="472">
        <f t="shared" si="8"/>
        <v>3.5063165042448219E-2</v>
      </c>
    </row>
    <row r="33" spans="1:21" x14ac:dyDescent="0.2">
      <c r="A33" s="473" t="str">
        <f>name!D28</f>
        <v xml:space="preserve"> 92 Elementary administration and service occupations</v>
      </c>
      <c r="B33" s="474">
        <v>96.69613460723653</v>
      </c>
      <c r="C33" s="474">
        <v>68.642708270848601</v>
      </c>
      <c r="D33" s="474">
        <f t="shared" si="0"/>
        <v>165.33884287808513</v>
      </c>
      <c r="E33" s="475"/>
      <c r="F33" s="474">
        <v>74.579835360625921</v>
      </c>
      <c r="G33" s="474">
        <v>71.879089668970892</v>
      </c>
      <c r="H33" s="474">
        <f t="shared" si="1"/>
        <v>146.4589250295968</v>
      </c>
      <c r="I33" s="475"/>
      <c r="J33" s="474">
        <v>67.343002892163327</v>
      </c>
      <c r="K33" s="474">
        <v>78.232798438639264</v>
      </c>
      <c r="L33" s="474">
        <f t="shared" si="2"/>
        <v>145.57580133080259</v>
      </c>
      <c r="M33" s="347"/>
      <c r="N33" s="472">
        <f>IF(B33&gt;0,(EXP(LN(F33/B33)/5)-1)*100,0)</f>
        <v>-5.0614790986802767</v>
      </c>
      <c r="O33" s="472">
        <f>IF(F33&gt;0,(EXP(LN(J33/F33)/5)-1)*100,0)</f>
        <v>-2.0207272553022348</v>
      </c>
      <c r="P33" s="471"/>
      <c r="Q33" s="472">
        <f>IF(C33&gt;0,(EXP(LN(G33/C33)/5)-1)*100,0)</f>
        <v>0.92566778104445913</v>
      </c>
      <c r="R33" s="472">
        <f>IF(G33&gt;0,(EXP(LN(K33/G33)/5)-1)*100,0)</f>
        <v>1.708502361915909</v>
      </c>
      <c r="S33" s="471"/>
      <c r="T33" s="472">
        <f>IF(D33&gt;0,(EXP(LN(H33/D33)/5)-1)*100,0)</f>
        <v>-2.3958711319769233</v>
      </c>
      <c r="U33" s="472">
        <f>IF(H33&gt;0,(EXP(LN(L33/H33)/5)-1)*100,0)</f>
        <v>-0.12088870308931687</v>
      </c>
    </row>
    <row r="34" spans="1:21" x14ac:dyDescent="0.2">
      <c r="A34" s="473"/>
      <c r="B34" s="474"/>
      <c r="C34" s="474"/>
      <c r="D34" s="474"/>
      <c r="E34" s="475"/>
      <c r="F34" s="474"/>
      <c r="G34" s="474"/>
      <c r="H34" s="474"/>
      <c r="I34" s="475"/>
      <c r="J34" s="474"/>
      <c r="K34" s="474"/>
      <c r="L34" s="474"/>
      <c r="M34" s="347"/>
      <c r="N34" s="471"/>
      <c r="O34" s="471"/>
      <c r="P34" s="471"/>
      <c r="Q34" s="471"/>
      <c r="R34" s="471"/>
      <c r="S34" s="471"/>
      <c r="T34" s="471"/>
      <c r="U34" s="471"/>
    </row>
    <row r="35" spans="1:21" x14ac:dyDescent="0.2">
      <c r="A35" s="476" t="str">
        <f>name!D3</f>
        <v>All occupations</v>
      </c>
      <c r="B35" s="477">
        <f>SUM(B9:B33)</f>
        <v>670.37300000151856</v>
      </c>
      <c r="C35" s="477">
        <f>SUM(C9:C33)</f>
        <v>738.59400000042535</v>
      </c>
      <c r="D35" s="477">
        <f t="shared" ref="D35:L35" si="9">SUM(D9:D33)</f>
        <v>1408.9670000019439</v>
      </c>
      <c r="E35" s="477"/>
      <c r="F35" s="477">
        <f t="shared" si="9"/>
        <v>758.2540000007391</v>
      </c>
      <c r="G35" s="477">
        <f t="shared" si="9"/>
        <v>771.50600000010377</v>
      </c>
      <c r="H35" s="477">
        <f t="shared" si="9"/>
        <v>1529.7600000008429</v>
      </c>
      <c r="I35" s="477"/>
      <c r="J35" s="477">
        <f t="shared" si="9"/>
        <v>795.72600000083776</v>
      </c>
      <c r="K35" s="477">
        <f t="shared" si="9"/>
        <v>773.4470000010474</v>
      </c>
      <c r="L35" s="477">
        <f t="shared" si="9"/>
        <v>1569.1730000018852</v>
      </c>
      <c r="M35" s="478"/>
      <c r="N35" s="479">
        <f>IF(B35&gt;0,(EXP(LN(F35/B35)/5)-1)*100,0)</f>
        <v>2.4942824022358145</v>
      </c>
      <c r="O35" s="479">
        <f>IF(F35&gt;0,(EXP(LN(J35/F35)/5)-1)*100,0)</f>
        <v>0.9693981899148385</v>
      </c>
      <c r="P35" s="480"/>
      <c r="Q35" s="479">
        <f>IF(C35&gt;0,(EXP(LN(G35/C35)/5)-1)*100,0)</f>
        <v>0.87573370510749537</v>
      </c>
      <c r="R35" s="479">
        <f>IF(G35&gt;0,(EXP(LN(K35/G35)/5)-1)*100,0)</f>
        <v>5.0266611839733244E-2</v>
      </c>
      <c r="S35" s="480"/>
      <c r="T35" s="479">
        <f>IF(D35&gt;0,(EXP(LN(H35/D35)/5)-1)*100,0)</f>
        <v>1.6586869358856449</v>
      </c>
      <c r="U35" s="479">
        <f>IF(H35&gt;0,(EXP(LN(L35/H35)/5)-1)*100,0)</f>
        <v>0.5100537404673311</v>
      </c>
    </row>
    <row r="36" spans="1:21" x14ac:dyDescent="0.2">
      <c r="A36" s="348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50"/>
      <c r="M36" s="351"/>
    </row>
    <row r="37" spans="1:21" x14ac:dyDescent="0.2">
      <c r="A37" s="348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410"/>
      <c r="M37" s="347"/>
    </row>
    <row r="38" spans="1:21" x14ac:dyDescent="0.2">
      <c r="A38" s="374"/>
      <c r="B38" s="354"/>
      <c r="C38" s="354"/>
      <c r="D38" s="354"/>
      <c r="E38" s="354"/>
      <c r="F38" s="354"/>
      <c r="G38" s="354"/>
      <c r="H38" s="354"/>
      <c r="I38" s="354"/>
      <c r="J38" s="354"/>
      <c r="K38" s="354"/>
      <c r="L38" s="352"/>
      <c r="M38" s="352"/>
    </row>
    <row r="39" spans="1:21" x14ac:dyDescent="0.2">
      <c r="A39" s="354"/>
      <c r="B39" s="517"/>
      <c r="C39" s="517"/>
      <c r="D39" s="517"/>
      <c r="E39" s="369"/>
      <c r="F39" s="517"/>
      <c r="G39" s="517"/>
      <c r="H39" s="517"/>
      <c r="I39" s="369"/>
      <c r="J39" s="517"/>
      <c r="K39" s="517"/>
      <c r="L39" s="517"/>
      <c r="M39" s="352"/>
    </row>
    <row r="40" spans="1:21" x14ac:dyDescent="0.2">
      <c r="A40" s="374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52"/>
    </row>
    <row r="41" spans="1:21" x14ac:dyDescent="0.2">
      <c r="A41" s="374"/>
      <c r="B41" s="375"/>
      <c r="C41" s="375"/>
      <c r="D41" s="375"/>
      <c r="E41" s="375"/>
      <c r="F41" s="375"/>
      <c r="G41" s="375"/>
      <c r="H41" s="375"/>
      <c r="I41" s="375"/>
      <c r="J41" s="375"/>
      <c r="K41" s="375"/>
      <c r="L41" s="375"/>
      <c r="M41" s="352"/>
    </row>
    <row r="42" spans="1:21" x14ac:dyDescent="0.2">
      <c r="A42" s="348"/>
      <c r="B42" s="464"/>
      <c r="C42" s="464"/>
      <c r="D42" s="464"/>
      <c r="E42" s="465"/>
      <c r="F42" s="464"/>
      <c r="G42" s="464"/>
      <c r="H42" s="464"/>
      <c r="I42" s="465"/>
      <c r="J42" s="464"/>
      <c r="K42" s="464"/>
      <c r="L42" s="464"/>
      <c r="M42" s="352"/>
    </row>
    <row r="43" spans="1:21" x14ac:dyDescent="0.2">
      <c r="A43" s="348"/>
      <c r="B43" s="464"/>
      <c r="C43" s="464"/>
      <c r="D43" s="464"/>
      <c r="E43" s="465"/>
      <c r="F43" s="464"/>
      <c r="G43" s="464"/>
      <c r="H43" s="464"/>
      <c r="I43" s="465"/>
      <c r="J43" s="464"/>
      <c r="K43" s="464"/>
      <c r="L43" s="464"/>
      <c r="M43" s="352"/>
    </row>
    <row r="44" spans="1:21" x14ac:dyDescent="0.2">
      <c r="A44" s="348"/>
      <c r="B44" s="464"/>
      <c r="C44" s="464"/>
      <c r="D44" s="464"/>
      <c r="E44" s="465"/>
      <c r="F44" s="464"/>
      <c r="G44" s="464"/>
      <c r="H44" s="464"/>
      <c r="I44" s="465"/>
      <c r="J44" s="464"/>
      <c r="K44" s="464"/>
      <c r="L44" s="464"/>
      <c r="M44" s="352"/>
    </row>
    <row r="45" spans="1:21" x14ac:dyDescent="0.2">
      <c r="A45" s="348"/>
      <c r="B45" s="464"/>
      <c r="C45" s="464"/>
      <c r="D45" s="464"/>
      <c r="E45" s="465"/>
      <c r="F45" s="464"/>
      <c r="G45" s="464"/>
      <c r="H45" s="464"/>
      <c r="I45" s="465"/>
      <c r="J45" s="464"/>
      <c r="K45" s="464"/>
      <c r="L45" s="464"/>
      <c r="M45" s="352"/>
    </row>
    <row r="46" spans="1:21" x14ac:dyDescent="0.2">
      <c r="A46" s="348"/>
      <c r="B46" s="464"/>
      <c r="C46" s="464"/>
      <c r="D46" s="464"/>
      <c r="E46" s="465"/>
      <c r="F46" s="464"/>
      <c r="G46" s="464"/>
      <c r="H46" s="464"/>
      <c r="I46" s="465"/>
      <c r="J46" s="464"/>
      <c r="K46" s="464"/>
      <c r="L46" s="464"/>
      <c r="M46" s="352"/>
    </row>
    <row r="47" spans="1:21" x14ac:dyDescent="0.2">
      <c r="A47" s="348"/>
      <c r="B47" s="464"/>
      <c r="C47" s="464"/>
      <c r="D47" s="464"/>
      <c r="E47" s="465"/>
      <c r="F47" s="464"/>
      <c r="G47" s="464"/>
      <c r="H47" s="464"/>
      <c r="I47" s="465"/>
      <c r="J47" s="464"/>
      <c r="K47" s="464"/>
      <c r="L47" s="464"/>
      <c r="M47" s="352"/>
    </row>
    <row r="48" spans="1:21" x14ac:dyDescent="0.2">
      <c r="A48" s="348"/>
      <c r="B48" s="464"/>
      <c r="C48" s="464"/>
      <c r="D48" s="464"/>
      <c r="E48" s="465"/>
      <c r="F48" s="464"/>
      <c r="G48" s="464"/>
      <c r="H48" s="464"/>
      <c r="I48" s="465"/>
      <c r="J48" s="464"/>
      <c r="K48" s="464"/>
      <c r="L48" s="464"/>
      <c r="M48" s="352"/>
    </row>
    <row r="49" spans="1:13" x14ac:dyDescent="0.2">
      <c r="A49" s="348"/>
      <c r="B49" s="464"/>
      <c r="C49" s="464"/>
      <c r="D49" s="464"/>
      <c r="E49" s="465"/>
      <c r="F49" s="464"/>
      <c r="G49" s="464"/>
      <c r="H49" s="464"/>
      <c r="I49" s="465"/>
      <c r="J49" s="464"/>
      <c r="K49" s="464"/>
      <c r="L49" s="464"/>
      <c r="M49" s="352"/>
    </row>
    <row r="50" spans="1:13" x14ac:dyDescent="0.2">
      <c r="A50" s="348"/>
      <c r="B50" s="464"/>
      <c r="C50" s="464"/>
      <c r="D50" s="464"/>
      <c r="E50" s="465"/>
      <c r="F50" s="464"/>
      <c r="G50" s="464"/>
      <c r="H50" s="464"/>
      <c r="I50" s="465"/>
      <c r="J50" s="464"/>
      <c r="K50" s="464"/>
      <c r="L50" s="464"/>
      <c r="M50" s="352"/>
    </row>
    <row r="51" spans="1:13" x14ac:dyDescent="0.2">
      <c r="A51" s="348"/>
      <c r="B51" s="464"/>
      <c r="C51" s="464"/>
      <c r="D51" s="464"/>
      <c r="E51" s="465"/>
      <c r="F51" s="464"/>
      <c r="G51" s="464"/>
      <c r="H51" s="464"/>
      <c r="I51" s="465"/>
      <c r="J51" s="464"/>
      <c r="K51" s="464"/>
      <c r="L51" s="464"/>
      <c r="M51" s="352"/>
    </row>
    <row r="52" spans="1:13" x14ac:dyDescent="0.2">
      <c r="A52" s="348"/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5"/>
      <c r="M52" s="352"/>
    </row>
    <row r="53" spans="1:13" x14ac:dyDescent="0.2">
      <c r="A53" s="348"/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53"/>
      <c r="M53" s="352"/>
    </row>
    <row r="54" spans="1:13" x14ac:dyDescent="0.2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410"/>
      <c r="M54" s="352"/>
    </row>
    <row r="55" spans="1:13" x14ac:dyDescent="0.2">
      <c r="A55" s="374"/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352"/>
      <c r="M55" s="352"/>
    </row>
    <row r="56" spans="1:13" x14ac:dyDescent="0.2">
      <c r="A56" s="354"/>
      <c r="B56" s="517"/>
      <c r="C56" s="517"/>
      <c r="D56" s="517"/>
      <c r="E56" s="369"/>
      <c r="F56" s="517"/>
      <c r="G56" s="517"/>
      <c r="H56" s="517"/>
      <c r="I56" s="369"/>
      <c r="J56" s="517"/>
      <c r="K56" s="517"/>
      <c r="L56" s="517"/>
      <c r="M56" s="352"/>
    </row>
    <row r="57" spans="1:13" x14ac:dyDescent="0.2">
      <c r="A57" s="374"/>
      <c r="B57" s="375"/>
      <c r="C57" s="375"/>
      <c r="D57" s="375"/>
      <c r="E57" s="375"/>
      <c r="F57" s="375"/>
      <c r="G57" s="375"/>
      <c r="H57" s="375"/>
      <c r="I57" s="375"/>
      <c r="J57" s="375"/>
      <c r="K57" s="375"/>
      <c r="L57" s="375"/>
      <c r="M57" s="352"/>
    </row>
    <row r="58" spans="1:13" x14ac:dyDescent="0.2">
      <c r="A58" s="374"/>
      <c r="B58" s="375"/>
      <c r="C58" s="375"/>
      <c r="D58" s="375"/>
      <c r="E58" s="375"/>
      <c r="F58" s="375"/>
      <c r="G58" s="375"/>
      <c r="H58" s="375"/>
      <c r="I58" s="375"/>
      <c r="J58" s="375"/>
      <c r="K58" s="375"/>
      <c r="L58" s="375"/>
      <c r="M58" s="352"/>
    </row>
    <row r="59" spans="1:13" x14ac:dyDescent="0.2">
      <c r="A59" s="348"/>
      <c r="B59" s="466"/>
      <c r="C59" s="466"/>
      <c r="D59" s="466"/>
      <c r="E59" s="467"/>
      <c r="F59" s="466"/>
      <c r="G59" s="466"/>
      <c r="H59" s="466"/>
      <c r="I59" s="467"/>
      <c r="J59" s="466"/>
      <c r="K59" s="466"/>
      <c r="L59" s="466"/>
      <c r="M59" s="352"/>
    </row>
    <row r="60" spans="1:13" x14ac:dyDescent="0.2">
      <c r="A60" s="348"/>
      <c r="B60" s="466"/>
      <c r="C60" s="466"/>
      <c r="D60" s="466"/>
      <c r="E60" s="467"/>
      <c r="F60" s="466"/>
      <c r="G60" s="466"/>
      <c r="H60" s="466"/>
      <c r="I60" s="467"/>
      <c r="J60" s="466"/>
      <c r="K60" s="466"/>
      <c r="L60" s="466"/>
      <c r="M60" s="352"/>
    </row>
    <row r="61" spans="1:13" x14ac:dyDescent="0.2">
      <c r="A61" s="348"/>
      <c r="B61" s="466"/>
      <c r="C61" s="466"/>
      <c r="D61" s="466"/>
      <c r="E61" s="467"/>
      <c r="F61" s="466"/>
      <c r="G61" s="466"/>
      <c r="H61" s="466"/>
      <c r="I61" s="467"/>
      <c r="J61" s="466"/>
      <c r="K61" s="466"/>
      <c r="L61" s="466"/>
      <c r="M61" s="352"/>
    </row>
    <row r="62" spans="1:13" x14ac:dyDescent="0.2">
      <c r="A62" s="348"/>
      <c r="B62" s="466"/>
      <c r="C62" s="466"/>
      <c r="D62" s="466"/>
      <c r="E62" s="467"/>
      <c r="F62" s="466"/>
      <c r="G62" s="466"/>
      <c r="H62" s="466"/>
      <c r="I62" s="467"/>
      <c r="J62" s="466"/>
      <c r="K62" s="466"/>
      <c r="L62" s="466"/>
      <c r="M62" s="352"/>
    </row>
    <row r="63" spans="1:13" x14ac:dyDescent="0.2">
      <c r="A63" s="348"/>
      <c r="B63" s="466"/>
      <c r="C63" s="466"/>
      <c r="D63" s="466"/>
      <c r="E63" s="467"/>
      <c r="F63" s="466"/>
      <c r="G63" s="466"/>
      <c r="H63" s="466"/>
      <c r="I63" s="467"/>
      <c r="J63" s="466"/>
      <c r="K63" s="466"/>
      <c r="L63" s="466"/>
      <c r="M63" s="352"/>
    </row>
    <row r="64" spans="1:13" x14ac:dyDescent="0.2">
      <c r="A64" s="348"/>
      <c r="B64" s="466"/>
      <c r="C64" s="466"/>
      <c r="D64" s="466"/>
      <c r="E64" s="467"/>
      <c r="F64" s="466"/>
      <c r="G64" s="466"/>
      <c r="H64" s="466"/>
      <c r="I64" s="467"/>
      <c r="J64" s="466"/>
      <c r="K64" s="466"/>
      <c r="L64" s="466"/>
      <c r="M64" s="352"/>
    </row>
    <row r="65" spans="1:13" x14ac:dyDescent="0.2">
      <c r="A65" s="348"/>
      <c r="B65" s="466"/>
      <c r="C65" s="466"/>
      <c r="D65" s="466"/>
      <c r="E65" s="467"/>
      <c r="F65" s="466"/>
      <c r="G65" s="466"/>
      <c r="H65" s="466"/>
      <c r="I65" s="467"/>
      <c r="J65" s="466"/>
      <c r="K65" s="466"/>
      <c r="L65" s="466"/>
      <c r="M65" s="352"/>
    </row>
    <row r="66" spans="1:13" x14ac:dyDescent="0.2">
      <c r="A66" s="348"/>
      <c r="B66" s="466"/>
      <c r="C66" s="466"/>
      <c r="D66" s="466"/>
      <c r="E66" s="467"/>
      <c r="F66" s="466"/>
      <c r="G66" s="466"/>
      <c r="H66" s="466"/>
      <c r="I66" s="467"/>
      <c r="J66" s="466"/>
      <c r="K66" s="466"/>
      <c r="L66" s="466"/>
      <c r="M66" s="352"/>
    </row>
    <row r="67" spans="1:13" x14ac:dyDescent="0.2">
      <c r="A67" s="348"/>
      <c r="B67" s="466"/>
      <c r="C67" s="466"/>
      <c r="D67" s="466"/>
      <c r="E67" s="467"/>
      <c r="F67" s="466"/>
      <c r="G67" s="466"/>
      <c r="H67" s="466"/>
      <c r="I67" s="467"/>
      <c r="J67" s="466"/>
      <c r="K67" s="466"/>
      <c r="L67" s="466"/>
      <c r="M67" s="352"/>
    </row>
    <row r="68" spans="1:13" x14ac:dyDescent="0.2">
      <c r="A68" s="348"/>
      <c r="B68" s="466"/>
      <c r="C68" s="466"/>
      <c r="D68" s="466"/>
      <c r="E68" s="467"/>
      <c r="F68" s="466"/>
      <c r="G68" s="466"/>
      <c r="H68" s="466"/>
      <c r="I68" s="467"/>
      <c r="J68" s="466"/>
      <c r="K68" s="466"/>
      <c r="L68" s="466"/>
      <c r="M68" s="352"/>
    </row>
    <row r="69" spans="1:13" x14ac:dyDescent="0.2">
      <c r="A69" s="348"/>
      <c r="B69" s="467"/>
      <c r="C69" s="467"/>
      <c r="D69" s="467"/>
      <c r="E69" s="467"/>
      <c r="F69" s="467"/>
      <c r="G69" s="467"/>
      <c r="H69" s="467"/>
      <c r="I69" s="467"/>
      <c r="J69" s="467"/>
      <c r="K69" s="467"/>
      <c r="L69" s="467"/>
      <c r="M69" s="352"/>
    </row>
    <row r="70" spans="1:13" x14ac:dyDescent="0.2">
      <c r="A70" s="348"/>
      <c r="B70" s="348"/>
      <c r="C70" s="348"/>
      <c r="D70" s="348"/>
      <c r="E70" s="348"/>
      <c r="F70" s="348"/>
      <c r="G70" s="348"/>
      <c r="H70" s="348"/>
      <c r="I70" s="348"/>
      <c r="J70" s="348"/>
      <c r="K70" s="348"/>
      <c r="L70" s="353"/>
      <c r="M70" s="352"/>
    </row>
    <row r="71" spans="1:13" x14ac:dyDescent="0.2">
      <c r="A71" s="348"/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410"/>
      <c r="M71" s="352"/>
    </row>
    <row r="72" spans="1:13" x14ac:dyDescent="0.2">
      <c r="A72" s="374"/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2"/>
      <c r="M72" s="352"/>
    </row>
    <row r="73" spans="1:13" x14ac:dyDescent="0.2">
      <c r="A73" s="354"/>
      <c r="B73" s="517"/>
      <c r="C73" s="517"/>
      <c r="D73" s="517"/>
      <c r="E73" s="369"/>
      <c r="F73" s="517"/>
      <c r="G73" s="517"/>
      <c r="H73" s="517"/>
      <c r="I73" s="369"/>
      <c r="J73" s="517"/>
      <c r="K73" s="517"/>
      <c r="L73" s="517"/>
      <c r="M73" s="352"/>
    </row>
    <row r="74" spans="1:13" x14ac:dyDescent="0.2">
      <c r="A74" s="374"/>
      <c r="B74" s="375"/>
      <c r="C74" s="375"/>
      <c r="D74" s="375"/>
      <c r="E74" s="375"/>
      <c r="F74" s="375"/>
      <c r="G74" s="375"/>
      <c r="H74" s="375"/>
      <c r="I74" s="375"/>
      <c r="J74" s="375"/>
      <c r="K74" s="375"/>
      <c r="L74" s="375"/>
      <c r="M74" s="352"/>
    </row>
    <row r="75" spans="1:13" x14ac:dyDescent="0.2">
      <c r="A75" s="374"/>
      <c r="B75" s="375"/>
      <c r="C75" s="375"/>
      <c r="D75" s="375"/>
      <c r="E75" s="375"/>
      <c r="F75" s="375"/>
      <c r="G75" s="375"/>
      <c r="H75" s="375"/>
      <c r="I75" s="375"/>
      <c r="J75" s="375"/>
      <c r="K75" s="375"/>
      <c r="L75" s="375"/>
      <c r="M75" s="352"/>
    </row>
    <row r="76" spans="1:13" x14ac:dyDescent="0.2">
      <c r="A76" s="348"/>
      <c r="B76" s="466"/>
      <c r="C76" s="466"/>
      <c r="D76" s="466"/>
      <c r="E76" s="467"/>
      <c r="F76" s="466"/>
      <c r="G76" s="466"/>
      <c r="H76" s="466"/>
      <c r="I76" s="467"/>
      <c r="J76" s="466"/>
      <c r="K76" s="466"/>
      <c r="L76" s="466"/>
      <c r="M76" s="352"/>
    </row>
    <row r="77" spans="1:13" x14ac:dyDescent="0.2">
      <c r="A77" s="348"/>
      <c r="B77" s="466"/>
      <c r="C77" s="466"/>
      <c r="D77" s="466"/>
      <c r="E77" s="467"/>
      <c r="F77" s="466"/>
      <c r="G77" s="466"/>
      <c r="H77" s="466"/>
      <c r="I77" s="467"/>
      <c r="J77" s="466"/>
      <c r="K77" s="466"/>
      <c r="L77" s="466"/>
      <c r="M77" s="352"/>
    </row>
    <row r="78" spans="1:13" x14ac:dyDescent="0.2">
      <c r="A78" s="348"/>
      <c r="B78" s="466"/>
      <c r="C78" s="466"/>
      <c r="D78" s="466"/>
      <c r="E78" s="467"/>
      <c r="F78" s="466"/>
      <c r="G78" s="466"/>
      <c r="H78" s="466"/>
      <c r="I78" s="467"/>
      <c r="J78" s="466"/>
      <c r="K78" s="466"/>
      <c r="L78" s="466"/>
      <c r="M78" s="352"/>
    </row>
    <row r="79" spans="1:13" x14ac:dyDescent="0.2">
      <c r="A79" s="348"/>
      <c r="B79" s="466"/>
      <c r="C79" s="466"/>
      <c r="D79" s="466"/>
      <c r="E79" s="467"/>
      <c r="F79" s="466"/>
      <c r="G79" s="466"/>
      <c r="H79" s="466"/>
      <c r="I79" s="467"/>
      <c r="J79" s="466"/>
      <c r="K79" s="466"/>
      <c r="L79" s="466"/>
      <c r="M79" s="352"/>
    </row>
    <row r="80" spans="1:13" x14ac:dyDescent="0.2">
      <c r="A80" s="348"/>
      <c r="B80" s="466"/>
      <c r="C80" s="466"/>
      <c r="D80" s="466"/>
      <c r="E80" s="467"/>
      <c r="F80" s="466"/>
      <c r="G80" s="466"/>
      <c r="H80" s="466"/>
      <c r="I80" s="467"/>
      <c r="J80" s="466"/>
      <c r="K80" s="466"/>
      <c r="L80" s="466"/>
      <c r="M80" s="352"/>
    </row>
    <row r="81" spans="1:13" x14ac:dyDescent="0.2">
      <c r="A81" s="348"/>
      <c r="B81" s="466"/>
      <c r="C81" s="466"/>
      <c r="D81" s="466"/>
      <c r="E81" s="467"/>
      <c r="F81" s="466"/>
      <c r="G81" s="466"/>
      <c r="H81" s="466"/>
      <c r="I81" s="467"/>
      <c r="J81" s="466"/>
      <c r="K81" s="466"/>
      <c r="L81" s="466"/>
      <c r="M81" s="352"/>
    </row>
    <row r="82" spans="1:13" x14ac:dyDescent="0.2">
      <c r="A82" s="348"/>
      <c r="B82" s="466"/>
      <c r="C82" s="466"/>
      <c r="D82" s="466"/>
      <c r="E82" s="467"/>
      <c r="F82" s="466"/>
      <c r="G82" s="466"/>
      <c r="H82" s="466"/>
      <c r="I82" s="467"/>
      <c r="J82" s="466"/>
      <c r="K82" s="466"/>
      <c r="L82" s="466"/>
      <c r="M82" s="352"/>
    </row>
    <row r="83" spans="1:13" x14ac:dyDescent="0.2">
      <c r="A83" s="348"/>
      <c r="B83" s="466"/>
      <c r="C83" s="466"/>
      <c r="D83" s="466"/>
      <c r="E83" s="467"/>
      <c r="F83" s="466"/>
      <c r="G83" s="466"/>
      <c r="H83" s="466"/>
      <c r="I83" s="467"/>
      <c r="J83" s="466"/>
      <c r="K83" s="466"/>
      <c r="L83" s="466"/>
      <c r="M83" s="352"/>
    </row>
    <row r="84" spans="1:13" x14ac:dyDescent="0.2">
      <c r="A84" s="348"/>
      <c r="B84" s="466"/>
      <c r="C84" s="466"/>
      <c r="D84" s="466"/>
      <c r="E84" s="467"/>
      <c r="F84" s="466"/>
      <c r="G84" s="466"/>
      <c r="H84" s="466"/>
      <c r="I84" s="467"/>
      <c r="J84" s="466"/>
      <c r="K84" s="466"/>
      <c r="L84" s="466"/>
      <c r="M84" s="352"/>
    </row>
    <row r="85" spans="1:13" x14ac:dyDescent="0.2">
      <c r="A85" s="348"/>
      <c r="B85" s="466"/>
      <c r="C85" s="466"/>
      <c r="D85" s="466"/>
      <c r="E85" s="467"/>
      <c r="F85" s="466"/>
      <c r="G85" s="466"/>
      <c r="H85" s="466"/>
      <c r="I85" s="467"/>
      <c r="J85" s="466"/>
      <c r="K85" s="466"/>
      <c r="L85" s="466"/>
      <c r="M85" s="352"/>
    </row>
    <row r="86" spans="1:13" x14ac:dyDescent="0.2">
      <c r="A86" s="348"/>
      <c r="B86" s="46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352"/>
    </row>
    <row r="87" spans="1:13" x14ac:dyDescent="0.2">
      <c r="A87" s="348"/>
      <c r="B87" s="348"/>
      <c r="C87" s="348"/>
      <c r="D87" s="348"/>
      <c r="E87" s="348"/>
      <c r="F87" s="348"/>
      <c r="G87" s="348"/>
      <c r="H87" s="348"/>
      <c r="I87" s="348"/>
      <c r="J87" s="348"/>
      <c r="K87" s="348"/>
      <c r="L87" s="353"/>
      <c r="M87" s="352"/>
    </row>
    <row r="88" spans="1:13" x14ac:dyDescent="0.2">
      <c r="A88" s="348"/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410"/>
      <c r="M88" s="352"/>
    </row>
    <row r="89" spans="1:13" x14ac:dyDescent="0.2">
      <c r="A89" s="374"/>
      <c r="B89" s="354"/>
      <c r="C89" s="354"/>
      <c r="D89" s="354"/>
      <c r="E89" s="354"/>
      <c r="F89" s="354"/>
      <c r="G89" s="354"/>
      <c r="H89" s="354"/>
      <c r="I89" s="354"/>
      <c r="J89" s="354"/>
      <c r="K89" s="354"/>
      <c r="L89" s="352"/>
      <c r="M89" s="352"/>
    </row>
    <row r="90" spans="1:13" x14ac:dyDescent="0.2">
      <c r="A90" s="354"/>
      <c r="B90" s="517"/>
      <c r="C90" s="517"/>
      <c r="D90" s="517"/>
      <c r="E90" s="369"/>
      <c r="F90" s="517"/>
      <c r="G90" s="517"/>
      <c r="H90" s="517"/>
      <c r="I90" s="369"/>
      <c r="J90" s="517"/>
      <c r="K90" s="517"/>
      <c r="L90" s="517"/>
      <c r="M90" s="352"/>
    </row>
    <row r="91" spans="1:13" x14ac:dyDescent="0.2">
      <c r="A91" s="374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52"/>
    </row>
    <row r="92" spans="1:13" x14ac:dyDescent="0.2">
      <c r="A92" s="374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52"/>
    </row>
    <row r="93" spans="1:13" x14ac:dyDescent="0.2">
      <c r="A93" s="348"/>
      <c r="B93" s="466"/>
      <c r="C93" s="466"/>
      <c r="D93" s="466"/>
      <c r="E93" s="467"/>
      <c r="F93" s="466"/>
      <c r="G93" s="466"/>
      <c r="H93" s="466"/>
      <c r="I93" s="467"/>
      <c r="J93" s="466"/>
      <c r="K93" s="466"/>
      <c r="L93" s="466"/>
      <c r="M93" s="352"/>
    </row>
    <row r="94" spans="1:13" x14ac:dyDescent="0.2">
      <c r="A94" s="348"/>
      <c r="B94" s="466"/>
      <c r="C94" s="466"/>
      <c r="D94" s="466"/>
      <c r="E94" s="467"/>
      <c r="F94" s="466"/>
      <c r="G94" s="466"/>
      <c r="H94" s="466"/>
      <c r="I94" s="467"/>
      <c r="J94" s="466"/>
      <c r="K94" s="466"/>
      <c r="L94" s="466"/>
      <c r="M94" s="352"/>
    </row>
    <row r="95" spans="1:13" x14ac:dyDescent="0.2">
      <c r="A95" s="348"/>
      <c r="B95" s="466"/>
      <c r="C95" s="466"/>
      <c r="D95" s="466"/>
      <c r="E95" s="467"/>
      <c r="F95" s="466"/>
      <c r="G95" s="466"/>
      <c r="H95" s="466"/>
      <c r="I95" s="467"/>
      <c r="J95" s="466"/>
      <c r="K95" s="466"/>
      <c r="L95" s="466"/>
      <c r="M95" s="352"/>
    </row>
    <row r="96" spans="1:13" x14ac:dyDescent="0.2">
      <c r="A96" s="348"/>
      <c r="B96" s="466"/>
      <c r="C96" s="466"/>
      <c r="D96" s="466"/>
      <c r="E96" s="467"/>
      <c r="F96" s="466"/>
      <c r="G96" s="466"/>
      <c r="H96" s="466"/>
      <c r="I96" s="467"/>
      <c r="J96" s="466"/>
      <c r="K96" s="466"/>
      <c r="L96" s="466"/>
      <c r="M96" s="352"/>
    </row>
    <row r="97" spans="1:13" x14ac:dyDescent="0.2">
      <c r="A97" s="348"/>
      <c r="B97" s="466"/>
      <c r="C97" s="466"/>
      <c r="D97" s="466"/>
      <c r="E97" s="467"/>
      <c r="F97" s="466"/>
      <c r="G97" s="466"/>
      <c r="H97" s="466"/>
      <c r="I97" s="467"/>
      <c r="J97" s="466"/>
      <c r="K97" s="466"/>
      <c r="L97" s="466"/>
      <c r="M97" s="352"/>
    </row>
    <row r="98" spans="1:13" x14ac:dyDescent="0.2">
      <c r="A98" s="348"/>
      <c r="B98" s="466"/>
      <c r="C98" s="466"/>
      <c r="D98" s="466"/>
      <c r="E98" s="467"/>
      <c r="F98" s="466"/>
      <c r="G98" s="466"/>
      <c r="H98" s="466"/>
      <c r="I98" s="467"/>
      <c r="J98" s="466"/>
      <c r="K98" s="466"/>
      <c r="L98" s="466"/>
      <c r="M98" s="352"/>
    </row>
    <row r="99" spans="1:13" x14ac:dyDescent="0.2">
      <c r="A99" s="348"/>
      <c r="B99" s="466"/>
      <c r="C99" s="466"/>
      <c r="D99" s="466"/>
      <c r="E99" s="467"/>
      <c r="F99" s="466"/>
      <c r="G99" s="466"/>
      <c r="H99" s="466"/>
      <c r="I99" s="467"/>
      <c r="J99" s="466"/>
      <c r="K99" s="466"/>
      <c r="L99" s="466"/>
      <c r="M99" s="352"/>
    </row>
    <row r="100" spans="1:13" x14ac:dyDescent="0.2">
      <c r="A100" s="348"/>
      <c r="B100" s="466"/>
      <c r="C100" s="466"/>
      <c r="D100" s="466"/>
      <c r="E100" s="467"/>
      <c r="F100" s="466"/>
      <c r="G100" s="466"/>
      <c r="H100" s="466"/>
      <c r="I100" s="467"/>
      <c r="J100" s="466"/>
      <c r="K100" s="466"/>
      <c r="L100" s="466"/>
      <c r="M100" s="352"/>
    </row>
    <row r="101" spans="1:13" x14ac:dyDescent="0.2">
      <c r="A101" s="348"/>
      <c r="B101" s="466"/>
      <c r="C101" s="466"/>
      <c r="D101" s="466"/>
      <c r="E101" s="467"/>
      <c r="F101" s="466"/>
      <c r="G101" s="466"/>
      <c r="H101" s="466"/>
      <c r="I101" s="467"/>
      <c r="J101" s="466"/>
      <c r="K101" s="466"/>
      <c r="L101" s="466"/>
      <c r="M101" s="352"/>
    </row>
    <row r="102" spans="1:13" x14ac:dyDescent="0.2">
      <c r="A102" s="348"/>
      <c r="B102" s="466"/>
      <c r="C102" s="466"/>
      <c r="D102" s="466"/>
      <c r="E102" s="467"/>
      <c r="F102" s="466"/>
      <c r="G102" s="466"/>
      <c r="H102" s="466"/>
      <c r="I102" s="467"/>
      <c r="J102" s="466"/>
      <c r="K102" s="466"/>
      <c r="L102" s="466"/>
      <c r="M102" s="352"/>
    </row>
    <row r="103" spans="1:13" x14ac:dyDescent="0.2">
      <c r="A103" s="348"/>
      <c r="B103" s="467"/>
      <c r="C103" s="467"/>
      <c r="D103" s="467"/>
      <c r="E103" s="467"/>
      <c r="F103" s="467"/>
      <c r="G103" s="467"/>
      <c r="H103" s="467"/>
      <c r="I103" s="467"/>
      <c r="J103" s="467"/>
      <c r="K103" s="467"/>
      <c r="L103" s="467"/>
      <c r="M103" s="352"/>
    </row>
    <row r="104" spans="1:13" x14ac:dyDescent="0.2">
      <c r="A104" s="348"/>
      <c r="B104" s="348"/>
      <c r="C104" s="348"/>
      <c r="D104" s="348"/>
      <c r="E104" s="348"/>
      <c r="F104" s="348"/>
      <c r="G104" s="348"/>
      <c r="H104" s="348"/>
      <c r="I104" s="348"/>
      <c r="J104" s="348"/>
      <c r="K104" s="348"/>
      <c r="L104" s="353"/>
      <c r="M104" s="352"/>
    </row>
    <row r="105" spans="1:13" x14ac:dyDescent="0.2">
      <c r="A105" s="348"/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410"/>
      <c r="M105" s="352"/>
    </row>
    <row r="106" spans="1:13" x14ac:dyDescent="0.2">
      <c r="A106" s="374"/>
      <c r="B106" s="354"/>
      <c r="C106" s="354"/>
      <c r="D106" s="354"/>
      <c r="E106" s="354"/>
      <c r="F106" s="354"/>
      <c r="G106" s="354"/>
      <c r="H106" s="354"/>
      <c r="I106" s="354"/>
      <c r="J106" s="354"/>
      <c r="K106" s="354"/>
      <c r="L106" s="352"/>
      <c r="M106" s="352"/>
    </row>
    <row r="107" spans="1:13" x14ac:dyDescent="0.2">
      <c r="A107" s="354"/>
      <c r="B107" s="517"/>
      <c r="C107" s="517"/>
      <c r="D107" s="517"/>
      <c r="E107" s="369"/>
      <c r="F107" s="517"/>
      <c r="G107" s="517"/>
      <c r="H107" s="517"/>
      <c r="I107" s="369"/>
      <c r="J107" s="517"/>
      <c r="K107" s="517"/>
      <c r="L107" s="517"/>
      <c r="M107" s="352"/>
    </row>
    <row r="108" spans="1:13" x14ac:dyDescent="0.2">
      <c r="A108" s="374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52"/>
    </row>
    <row r="109" spans="1:13" x14ac:dyDescent="0.2">
      <c r="A109" s="374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52"/>
    </row>
    <row r="110" spans="1:13" x14ac:dyDescent="0.2">
      <c r="A110" s="348"/>
      <c r="B110" s="466"/>
      <c r="C110" s="466"/>
      <c r="D110" s="466"/>
      <c r="E110" s="467"/>
      <c r="F110" s="466"/>
      <c r="G110" s="466"/>
      <c r="H110" s="466"/>
      <c r="I110" s="467"/>
      <c r="J110" s="466"/>
      <c r="K110" s="466"/>
      <c r="L110" s="466"/>
      <c r="M110" s="352"/>
    </row>
    <row r="111" spans="1:13" x14ac:dyDescent="0.2">
      <c r="A111" s="348"/>
      <c r="B111" s="466"/>
      <c r="C111" s="466"/>
      <c r="D111" s="466"/>
      <c r="E111" s="467"/>
      <c r="F111" s="466"/>
      <c r="G111" s="466"/>
      <c r="H111" s="466"/>
      <c r="I111" s="467"/>
      <c r="J111" s="466"/>
      <c r="K111" s="466"/>
      <c r="L111" s="466"/>
      <c r="M111" s="352"/>
    </row>
    <row r="112" spans="1:13" x14ac:dyDescent="0.2">
      <c r="A112" s="348"/>
      <c r="B112" s="466"/>
      <c r="C112" s="466"/>
      <c r="D112" s="466"/>
      <c r="E112" s="467"/>
      <c r="F112" s="466"/>
      <c r="G112" s="466"/>
      <c r="H112" s="466"/>
      <c r="I112" s="467"/>
      <c r="J112" s="466"/>
      <c r="K112" s="466"/>
      <c r="L112" s="466"/>
      <c r="M112" s="352"/>
    </row>
    <row r="113" spans="1:13" x14ac:dyDescent="0.2">
      <c r="A113" s="348"/>
      <c r="B113" s="466"/>
      <c r="C113" s="466"/>
      <c r="D113" s="466"/>
      <c r="E113" s="467"/>
      <c r="F113" s="466"/>
      <c r="G113" s="466"/>
      <c r="H113" s="466"/>
      <c r="I113" s="467"/>
      <c r="J113" s="466"/>
      <c r="K113" s="466"/>
      <c r="L113" s="466"/>
      <c r="M113" s="352"/>
    </row>
    <row r="114" spans="1:13" x14ac:dyDescent="0.2">
      <c r="A114" s="348"/>
      <c r="B114" s="466"/>
      <c r="C114" s="466"/>
      <c r="D114" s="466"/>
      <c r="E114" s="467"/>
      <c r="F114" s="466"/>
      <c r="G114" s="466"/>
      <c r="H114" s="466"/>
      <c r="I114" s="467"/>
      <c r="J114" s="466"/>
      <c r="K114" s="466"/>
      <c r="L114" s="466"/>
      <c r="M114" s="352"/>
    </row>
    <row r="115" spans="1:13" x14ac:dyDescent="0.2">
      <c r="A115" s="348"/>
      <c r="B115" s="466"/>
      <c r="C115" s="466"/>
      <c r="D115" s="466"/>
      <c r="E115" s="467"/>
      <c r="F115" s="466"/>
      <c r="G115" s="466"/>
      <c r="H115" s="466"/>
      <c r="I115" s="467"/>
      <c r="J115" s="466"/>
      <c r="K115" s="466"/>
      <c r="L115" s="466"/>
      <c r="M115" s="352"/>
    </row>
    <row r="116" spans="1:13" x14ac:dyDescent="0.2">
      <c r="A116" s="348"/>
      <c r="B116" s="466"/>
      <c r="C116" s="466"/>
      <c r="D116" s="466"/>
      <c r="E116" s="467"/>
      <c r="F116" s="466"/>
      <c r="G116" s="466"/>
      <c r="H116" s="466"/>
      <c r="I116" s="467"/>
      <c r="J116" s="466"/>
      <c r="K116" s="466"/>
      <c r="L116" s="466"/>
      <c r="M116" s="352"/>
    </row>
    <row r="117" spans="1:13" x14ac:dyDescent="0.2">
      <c r="A117" s="348"/>
      <c r="B117" s="466"/>
      <c r="C117" s="466"/>
      <c r="D117" s="466"/>
      <c r="E117" s="467"/>
      <c r="F117" s="466"/>
      <c r="G117" s="466"/>
      <c r="H117" s="466"/>
      <c r="I117" s="467"/>
      <c r="J117" s="466"/>
      <c r="K117" s="466"/>
      <c r="L117" s="466"/>
      <c r="M117" s="352"/>
    </row>
    <row r="118" spans="1:13" x14ac:dyDescent="0.2">
      <c r="A118" s="348"/>
      <c r="B118" s="466"/>
      <c r="C118" s="466"/>
      <c r="D118" s="466"/>
      <c r="E118" s="467"/>
      <c r="F118" s="466"/>
      <c r="G118" s="466"/>
      <c r="H118" s="466"/>
      <c r="I118" s="467"/>
      <c r="J118" s="466"/>
      <c r="K118" s="466"/>
      <c r="L118" s="466"/>
      <c r="M118" s="352"/>
    </row>
    <row r="119" spans="1:13" x14ac:dyDescent="0.2">
      <c r="A119" s="348"/>
      <c r="B119" s="466"/>
      <c r="C119" s="466"/>
      <c r="D119" s="466"/>
      <c r="E119" s="467"/>
      <c r="F119" s="466"/>
      <c r="G119" s="466"/>
      <c r="H119" s="466"/>
      <c r="I119" s="467"/>
      <c r="J119" s="466"/>
      <c r="K119" s="466"/>
      <c r="L119" s="466"/>
      <c r="M119" s="352"/>
    </row>
    <row r="120" spans="1:13" x14ac:dyDescent="0.2">
      <c r="A120" s="348"/>
      <c r="B120" s="467"/>
      <c r="C120" s="467"/>
      <c r="D120" s="467"/>
      <c r="E120" s="467"/>
      <c r="F120" s="467"/>
      <c r="G120" s="467"/>
      <c r="H120" s="467"/>
      <c r="I120" s="467"/>
      <c r="J120" s="467"/>
      <c r="K120" s="467"/>
      <c r="L120" s="467"/>
      <c r="M120" s="352"/>
    </row>
    <row r="121" spans="1:13" x14ac:dyDescent="0.2">
      <c r="A121" s="348"/>
      <c r="B121" s="348"/>
      <c r="C121" s="348"/>
      <c r="D121" s="348"/>
      <c r="E121" s="348"/>
      <c r="F121" s="348"/>
      <c r="G121" s="348"/>
      <c r="H121" s="348"/>
      <c r="I121" s="348"/>
      <c r="J121" s="348"/>
      <c r="K121" s="348"/>
      <c r="L121" s="353"/>
      <c r="M121" s="352"/>
    </row>
    <row r="122" spans="1:13" x14ac:dyDescent="0.2">
      <c r="A122" s="348"/>
      <c r="B122" s="348"/>
      <c r="C122" s="348"/>
      <c r="D122" s="348"/>
      <c r="E122" s="348"/>
      <c r="F122" s="348"/>
      <c r="G122" s="348"/>
      <c r="H122" s="348"/>
      <c r="I122" s="348"/>
      <c r="J122" s="348"/>
      <c r="K122" s="348"/>
      <c r="L122" s="410"/>
      <c r="M122" s="352"/>
    </row>
    <row r="123" spans="1:13" x14ac:dyDescent="0.2">
      <c r="A123" s="374"/>
      <c r="B123" s="354"/>
      <c r="C123" s="354"/>
      <c r="D123" s="354"/>
      <c r="E123" s="354"/>
      <c r="F123" s="354"/>
      <c r="G123" s="354"/>
      <c r="H123" s="354"/>
      <c r="I123" s="354"/>
      <c r="J123" s="354"/>
      <c r="K123" s="354"/>
      <c r="L123" s="352"/>
      <c r="M123" s="352"/>
    </row>
    <row r="124" spans="1:13" x14ac:dyDescent="0.2">
      <c r="A124" s="354"/>
      <c r="B124" s="517"/>
      <c r="C124" s="517"/>
      <c r="D124" s="517"/>
      <c r="E124" s="369"/>
      <c r="F124" s="517"/>
      <c r="G124" s="517"/>
      <c r="H124" s="517"/>
      <c r="I124" s="369"/>
      <c r="J124" s="517"/>
      <c r="K124" s="517"/>
      <c r="L124" s="517"/>
      <c r="M124" s="352"/>
    </row>
    <row r="125" spans="1:13" x14ac:dyDescent="0.2">
      <c r="A125" s="374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52"/>
    </row>
    <row r="126" spans="1:13" x14ac:dyDescent="0.2">
      <c r="A126" s="374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52"/>
    </row>
    <row r="127" spans="1:13" x14ac:dyDescent="0.2">
      <c r="A127" s="348"/>
      <c r="B127" s="466"/>
      <c r="C127" s="466"/>
      <c r="D127" s="466"/>
      <c r="E127" s="467"/>
      <c r="F127" s="466"/>
      <c r="G127" s="466"/>
      <c r="H127" s="466"/>
      <c r="I127" s="467"/>
      <c r="J127" s="466"/>
      <c r="K127" s="466"/>
      <c r="L127" s="466"/>
      <c r="M127" s="352"/>
    </row>
    <row r="128" spans="1:13" x14ac:dyDescent="0.2">
      <c r="A128" s="348"/>
      <c r="B128" s="466"/>
      <c r="C128" s="466"/>
      <c r="D128" s="466"/>
      <c r="E128" s="467"/>
      <c r="F128" s="466"/>
      <c r="G128" s="466"/>
      <c r="H128" s="466"/>
      <c r="I128" s="467"/>
      <c r="J128" s="466"/>
      <c r="K128" s="466"/>
      <c r="L128" s="466"/>
      <c r="M128" s="352"/>
    </row>
    <row r="129" spans="1:13" x14ac:dyDescent="0.2">
      <c r="A129" s="348"/>
      <c r="B129" s="466"/>
      <c r="C129" s="466"/>
      <c r="D129" s="466"/>
      <c r="E129" s="467"/>
      <c r="F129" s="466"/>
      <c r="G129" s="466"/>
      <c r="H129" s="466"/>
      <c r="I129" s="467"/>
      <c r="J129" s="466"/>
      <c r="K129" s="466"/>
      <c r="L129" s="466"/>
      <c r="M129" s="352"/>
    </row>
    <row r="130" spans="1:13" x14ac:dyDescent="0.2">
      <c r="A130" s="348"/>
      <c r="B130" s="466"/>
      <c r="C130" s="466"/>
      <c r="D130" s="466"/>
      <c r="E130" s="467"/>
      <c r="F130" s="466"/>
      <c r="G130" s="466"/>
      <c r="H130" s="466"/>
      <c r="I130" s="467"/>
      <c r="J130" s="466"/>
      <c r="K130" s="466"/>
      <c r="L130" s="466"/>
      <c r="M130" s="352"/>
    </row>
    <row r="131" spans="1:13" x14ac:dyDescent="0.2">
      <c r="A131" s="348"/>
      <c r="B131" s="466"/>
      <c r="C131" s="466"/>
      <c r="D131" s="466"/>
      <c r="E131" s="467"/>
      <c r="F131" s="466"/>
      <c r="G131" s="466"/>
      <c r="H131" s="466"/>
      <c r="I131" s="467"/>
      <c r="J131" s="466"/>
      <c r="K131" s="466"/>
      <c r="L131" s="466"/>
      <c r="M131" s="352"/>
    </row>
    <row r="132" spans="1:13" x14ac:dyDescent="0.2">
      <c r="A132" s="348"/>
      <c r="B132" s="466"/>
      <c r="C132" s="466"/>
      <c r="D132" s="466"/>
      <c r="E132" s="467"/>
      <c r="F132" s="466"/>
      <c r="G132" s="466"/>
      <c r="H132" s="466"/>
      <c r="I132" s="467"/>
      <c r="J132" s="466"/>
      <c r="K132" s="466"/>
      <c r="L132" s="466"/>
      <c r="M132" s="352"/>
    </row>
    <row r="133" spans="1:13" x14ac:dyDescent="0.2">
      <c r="A133" s="348"/>
      <c r="B133" s="466"/>
      <c r="C133" s="466"/>
      <c r="D133" s="466"/>
      <c r="E133" s="467"/>
      <c r="F133" s="466"/>
      <c r="G133" s="466"/>
      <c r="H133" s="466"/>
      <c r="I133" s="467"/>
      <c r="J133" s="466"/>
      <c r="K133" s="466"/>
      <c r="L133" s="466"/>
      <c r="M133" s="352"/>
    </row>
    <row r="134" spans="1:13" x14ac:dyDescent="0.2">
      <c r="A134" s="348"/>
      <c r="B134" s="466"/>
      <c r="C134" s="466"/>
      <c r="D134" s="466"/>
      <c r="E134" s="467"/>
      <c r="F134" s="466"/>
      <c r="G134" s="466"/>
      <c r="H134" s="466"/>
      <c r="I134" s="467"/>
      <c r="J134" s="466"/>
      <c r="K134" s="466"/>
      <c r="L134" s="466"/>
      <c r="M134" s="352"/>
    </row>
    <row r="135" spans="1:13" x14ac:dyDescent="0.2">
      <c r="A135" s="348"/>
      <c r="B135" s="466"/>
      <c r="C135" s="466"/>
      <c r="D135" s="466"/>
      <c r="E135" s="467"/>
      <c r="F135" s="466"/>
      <c r="G135" s="466"/>
      <c r="H135" s="466"/>
      <c r="I135" s="467"/>
      <c r="J135" s="466"/>
      <c r="K135" s="466"/>
      <c r="L135" s="466"/>
      <c r="M135" s="352"/>
    </row>
    <row r="136" spans="1:13" x14ac:dyDescent="0.2">
      <c r="A136" s="348"/>
      <c r="B136" s="466"/>
      <c r="C136" s="466"/>
      <c r="D136" s="466"/>
      <c r="E136" s="467"/>
      <c r="F136" s="466"/>
      <c r="G136" s="466"/>
      <c r="H136" s="466"/>
      <c r="I136" s="467"/>
      <c r="J136" s="466"/>
      <c r="K136" s="466"/>
      <c r="L136" s="466"/>
      <c r="M136" s="352"/>
    </row>
    <row r="137" spans="1:13" x14ac:dyDescent="0.2">
      <c r="A137" s="348"/>
      <c r="B137" s="467"/>
      <c r="C137" s="467"/>
      <c r="D137" s="467"/>
      <c r="E137" s="467"/>
      <c r="F137" s="467"/>
      <c r="G137" s="467"/>
      <c r="H137" s="467"/>
      <c r="I137" s="467"/>
      <c r="J137" s="467"/>
      <c r="K137" s="467"/>
      <c r="L137" s="467"/>
      <c r="M137" s="352"/>
    </row>
    <row r="138" spans="1:13" x14ac:dyDescent="0.2">
      <c r="A138" s="348"/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53"/>
      <c r="M138" s="352"/>
    </row>
    <row r="139" spans="1:13" x14ac:dyDescent="0.2">
      <c r="A139" s="348"/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410"/>
      <c r="M139" s="352"/>
    </row>
    <row r="140" spans="1:13" x14ac:dyDescent="0.2">
      <c r="A140" s="374"/>
      <c r="B140" s="354"/>
      <c r="C140" s="354"/>
      <c r="D140" s="354"/>
      <c r="E140" s="354"/>
      <c r="F140" s="354"/>
      <c r="G140" s="354"/>
      <c r="H140" s="354"/>
      <c r="I140" s="354"/>
      <c r="J140" s="354"/>
      <c r="K140" s="354"/>
      <c r="L140" s="352"/>
      <c r="M140" s="352"/>
    </row>
    <row r="141" spans="1:13" x14ac:dyDescent="0.2">
      <c r="A141" s="354"/>
      <c r="B141" s="517"/>
      <c r="C141" s="517"/>
      <c r="D141" s="517"/>
      <c r="E141" s="369"/>
      <c r="F141" s="517"/>
      <c r="G141" s="517"/>
      <c r="H141" s="517"/>
      <c r="I141" s="369"/>
      <c r="J141" s="517"/>
      <c r="K141" s="517"/>
      <c r="L141" s="517"/>
      <c r="M141" s="352"/>
    </row>
    <row r="142" spans="1:13" x14ac:dyDescent="0.2">
      <c r="A142" s="374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52"/>
    </row>
    <row r="143" spans="1:13" x14ac:dyDescent="0.2">
      <c r="A143" s="374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52"/>
    </row>
    <row r="144" spans="1:13" x14ac:dyDescent="0.2">
      <c r="A144" s="348"/>
      <c r="B144" s="466"/>
      <c r="C144" s="466"/>
      <c r="D144" s="466"/>
      <c r="E144" s="467"/>
      <c r="F144" s="466"/>
      <c r="G144" s="466"/>
      <c r="H144" s="466"/>
      <c r="I144" s="467"/>
      <c r="J144" s="466"/>
      <c r="K144" s="466"/>
      <c r="L144" s="466"/>
      <c r="M144" s="352"/>
    </row>
    <row r="145" spans="1:13" x14ac:dyDescent="0.2">
      <c r="A145" s="348"/>
      <c r="B145" s="466"/>
      <c r="C145" s="466"/>
      <c r="D145" s="466"/>
      <c r="E145" s="467"/>
      <c r="F145" s="466"/>
      <c r="G145" s="466"/>
      <c r="H145" s="466"/>
      <c r="I145" s="467"/>
      <c r="J145" s="466"/>
      <c r="K145" s="466"/>
      <c r="L145" s="466"/>
      <c r="M145" s="352"/>
    </row>
    <row r="146" spans="1:13" x14ac:dyDescent="0.2">
      <c r="A146" s="348"/>
      <c r="B146" s="466"/>
      <c r="C146" s="466"/>
      <c r="D146" s="466"/>
      <c r="E146" s="467"/>
      <c r="F146" s="466"/>
      <c r="G146" s="466"/>
      <c r="H146" s="466"/>
      <c r="I146" s="467"/>
      <c r="J146" s="466"/>
      <c r="K146" s="466"/>
      <c r="L146" s="466"/>
      <c r="M146" s="352"/>
    </row>
    <row r="147" spans="1:13" x14ac:dyDescent="0.2">
      <c r="A147" s="348"/>
      <c r="B147" s="466"/>
      <c r="C147" s="466"/>
      <c r="D147" s="466"/>
      <c r="E147" s="467"/>
      <c r="F147" s="466"/>
      <c r="G147" s="466"/>
      <c r="H147" s="466"/>
      <c r="I147" s="467"/>
      <c r="J147" s="466"/>
      <c r="K147" s="466"/>
      <c r="L147" s="466"/>
      <c r="M147" s="352"/>
    </row>
    <row r="148" spans="1:13" x14ac:dyDescent="0.2">
      <c r="A148" s="348"/>
      <c r="B148" s="466"/>
      <c r="C148" s="466"/>
      <c r="D148" s="466"/>
      <c r="E148" s="467"/>
      <c r="F148" s="466"/>
      <c r="G148" s="466"/>
      <c r="H148" s="466"/>
      <c r="I148" s="467"/>
      <c r="J148" s="466"/>
      <c r="K148" s="466"/>
      <c r="L148" s="466"/>
      <c r="M148" s="352"/>
    </row>
    <row r="149" spans="1:13" x14ac:dyDescent="0.2">
      <c r="A149" s="348"/>
      <c r="B149" s="466"/>
      <c r="C149" s="466"/>
      <c r="D149" s="466"/>
      <c r="E149" s="467"/>
      <c r="F149" s="466"/>
      <c r="G149" s="466"/>
      <c r="H149" s="466"/>
      <c r="I149" s="467"/>
      <c r="J149" s="466"/>
      <c r="K149" s="466"/>
      <c r="L149" s="466"/>
      <c r="M149" s="352"/>
    </row>
    <row r="150" spans="1:13" x14ac:dyDescent="0.2">
      <c r="A150" s="348"/>
      <c r="B150" s="466"/>
      <c r="C150" s="466"/>
      <c r="D150" s="466"/>
      <c r="E150" s="467"/>
      <c r="F150" s="466"/>
      <c r="G150" s="466"/>
      <c r="H150" s="466"/>
      <c r="I150" s="467"/>
      <c r="J150" s="466"/>
      <c r="K150" s="466"/>
      <c r="L150" s="466"/>
      <c r="M150" s="352"/>
    </row>
    <row r="151" spans="1:13" x14ac:dyDescent="0.2">
      <c r="A151" s="348"/>
      <c r="B151" s="466"/>
      <c r="C151" s="466"/>
      <c r="D151" s="466"/>
      <c r="E151" s="467"/>
      <c r="F151" s="466"/>
      <c r="G151" s="466"/>
      <c r="H151" s="466"/>
      <c r="I151" s="467"/>
      <c r="J151" s="466"/>
      <c r="K151" s="466"/>
      <c r="L151" s="466"/>
      <c r="M151" s="352"/>
    </row>
    <row r="152" spans="1:13" x14ac:dyDescent="0.2">
      <c r="A152" s="348"/>
      <c r="B152" s="466"/>
      <c r="C152" s="466"/>
      <c r="D152" s="466"/>
      <c r="E152" s="467"/>
      <c r="F152" s="466"/>
      <c r="G152" s="466"/>
      <c r="H152" s="466"/>
      <c r="I152" s="467"/>
      <c r="J152" s="466"/>
      <c r="K152" s="466"/>
      <c r="L152" s="466"/>
      <c r="M152" s="352"/>
    </row>
    <row r="153" spans="1:13" x14ac:dyDescent="0.2">
      <c r="A153" s="348"/>
      <c r="B153" s="466"/>
      <c r="C153" s="466"/>
      <c r="D153" s="466"/>
      <c r="E153" s="467"/>
      <c r="F153" s="466"/>
      <c r="G153" s="466"/>
      <c r="H153" s="466"/>
      <c r="I153" s="467"/>
      <c r="J153" s="466"/>
      <c r="K153" s="466"/>
      <c r="L153" s="466"/>
      <c r="M153" s="352"/>
    </row>
    <row r="154" spans="1:13" x14ac:dyDescent="0.2">
      <c r="A154" s="348"/>
      <c r="B154" s="467"/>
      <c r="C154" s="467"/>
      <c r="D154" s="467"/>
      <c r="E154" s="467"/>
      <c r="F154" s="467"/>
      <c r="G154" s="467"/>
      <c r="H154" s="467"/>
      <c r="I154" s="467"/>
      <c r="J154" s="467"/>
      <c r="K154" s="467"/>
      <c r="L154" s="467"/>
      <c r="M154" s="352"/>
    </row>
    <row r="155" spans="1:13" x14ac:dyDescent="0.2">
      <c r="A155" s="348"/>
      <c r="B155" s="348"/>
      <c r="C155" s="348"/>
      <c r="D155" s="348"/>
      <c r="E155" s="348"/>
      <c r="F155" s="348"/>
      <c r="G155" s="348"/>
      <c r="H155" s="348"/>
      <c r="I155" s="348"/>
      <c r="J155" s="348"/>
      <c r="K155" s="348"/>
      <c r="L155" s="353"/>
      <c r="M155" s="352"/>
    </row>
    <row r="156" spans="1:13" x14ac:dyDescent="0.2">
      <c r="A156" s="348"/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  <c r="L156" s="410"/>
      <c r="M156" s="352"/>
    </row>
    <row r="157" spans="1:13" x14ac:dyDescent="0.2">
      <c r="A157" s="374"/>
      <c r="B157" s="354"/>
      <c r="C157" s="354"/>
      <c r="D157" s="354"/>
      <c r="E157" s="354"/>
      <c r="F157" s="354"/>
      <c r="G157" s="354"/>
      <c r="H157" s="354"/>
      <c r="I157" s="354"/>
      <c r="J157" s="354"/>
      <c r="K157" s="354"/>
      <c r="L157" s="352"/>
      <c r="M157" s="352"/>
    </row>
    <row r="158" spans="1:13" x14ac:dyDescent="0.2">
      <c r="A158" s="354"/>
      <c r="B158" s="517"/>
      <c r="C158" s="517"/>
      <c r="D158" s="517"/>
      <c r="E158" s="369"/>
      <c r="F158" s="517"/>
      <c r="G158" s="517"/>
      <c r="H158" s="517"/>
      <c r="I158" s="369"/>
      <c r="J158" s="517"/>
      <c r="K158" s="517"/>
      <c r="L158" s="517"/>
      <c r="M158" s="352"/>
    </row>
    <row r="159" spans="1:13" x14ac:dyDescent="0.2">
      <c r="A159" s="374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52"/>
    </row>
    <row r="160" spans="1:13" x14ac:dyDescent="0.2">
      <c r="A160" s="374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52"/>
    </row>
    <row r="161" spans="1:13" x14ac:dyDescent="0.2">
      <c r="A161" s="348"/>
      <c r="B161" s="466"/>
      <c r="C161" s="466"/>
      <c r="D161" s="466"/>
      <c r="E161" s="467"/>
      <c r="F161" s="466"/>
      <c r="G161" s="466"/>
      <c r="H161" s="466"/>
      <c r="I161" s="467"/>
      <c r="J161" s="466"/>
      <c r="K161" s="466"/>
      <c r="L161" s="466"/>
      <c r="M161" s="352"/>
    </row>
    <row r="162" spans="1:13" x14ac:dyDescent="0.2">
      <c r="A162" s="348"/>
      <c r="B162" s="466"/>
      <c r="C162" s="466"/>
      <c r="D162" s="466"/>
      <c r="E162" s="467"/>
      <c r="F162" s="466"/>
      <c r="G162" s="466"/>
      <c r="H162" s="466"/>
      <c r="I162" s="467"/>
      <c r="J162" s="466"/>
      <c r="K162" s="466"/>
      <c r="L162" s="466"/>
      <c r="M162" s="352"/>
    </row>
    <row r="163" spans="1:13" x14ac:dyDescent="0.2">
      <c r="A163" s="348"/>
      <c r="B163" s="466"/>
      <c r="C163" s="466"/>
      <c r="D163" s="466"/>
      <c r="E163" s="467"/>
      <c r="F163" s="466"/>
      <c r="G163" s="466"/>
      <c r="H163" s="466"/>
      <c r="I163" s="467"/>
      <c r="J163" s="466"/>
      <c r="K163" s="466"/>
      <c r="L163" s="466"/>
      <c r="M163" s="352"/>
    </row>
    <row r="164" spans="1:13" x14ac:dyDescent="0.2">
      <c r="A164" s="348"/>
      <c r="B164" s="466"/>
      <c r="C164" s="466"/>
      <c r="D164" s="466"/>
      <c r="E164" s="467"/>
      <c r="F164" s="466"/>
      <c r="G164" s="466"/>
      <c r="H164" s="466"/>
      <c r="I164" s="467"/>
      <c r="J164" s="466"/>
      <c r="K164" s="466"/>
      <c r="L164" s="466"/>
      <c r="M164" s="352"/>
    </row>
    <row r="165" spans="1:13" x14ac:dyDescent="0.2">
      <c r="A165" s="348"/>
      <c r="B165" s="466"/>
      <c r="C165" s="466"/>
      <c r="D165" s="466"/>
      <c r="E165" s="467"/>
      <c r="F165" s="466"/>
      <c r="G165" s="466"/>
      <c r="H165" s="466"/>
      <c r="I165" s="467"/>
      <c r="J165" s="466"/>
      <c r="K165" s="466"/>
      <c r="L165" s="466"/>
      <c r="M165" s="352"/>
    </row>
    <row r="166" spans="1:13" x14ac:dyDescent="0.2">
      <c r="A166" s="348"/>
      <c r="B166" s="466"/>
      <c r="C166" s="466"/>
      <c r="D166" s="466"/>
      <c r="E166" s="467"/>
      <c r="F166" s="466"/>
      <c r="G166" s="466"/>
      <c r="H166" s="466"/>
      <c r="I166" s="467"/>
      <c r="J166" s="466"/>
      <c r="K166" s="466"/>
      <c r="L166" s="466"/>
      <c r="M166" s="352"/>
    </row>
    <row r="167" spans="1:13" x14ac:dyDescent="0.2">
      <c r="A167" s="348"/>
      <c r="B167" s="466"/>
      <c r="C167" s="466"/>
      <c r="D167" s="466"/>
      <c r="E167" s="467"/>
      <c r="F167" s="466"/>
      <c r="G167" s="466"/>
      <c r="H167" s="466"/>
      <c r="I167" s="467"/>
      <c r="J167" s="466"/>
      <c r="K167" s="466"/>
      <c r="L167" s="466"/>
      <c r="M167" s="352"/>
    </row>
    <row r="168" spans="1:13" x14ac:dyDescent="0.2">
      <c r="A168" s="348"/>
      <c r="B168" s="466"/>
      <c r="C168" s="466"/>
      <c r="D168" s="466"/>
      <c r="E168" s="467"/>
      <c r="F168" s="466"/>
      <c r="G168" s="466"/>
      <c r="H168" s="466"/>
      <c r="I168" s="467"/>
      <c r="J168" s="466"/>
      <c r="K168" s="466"/>
      <c r="L168" s="466"/>
      <c r="M168" s="352"/>
    </row>
    <row r="169" spans="1:13" x14ac:dyDescent="0.2">
      <c r="A169" s="348"/>
      <c r="B169" s="466"/>
      <c r="C169" s="466"/>
      <c r="D169" s="466"/>
      <c r="E169" s="467"/>
      <c r="F169" s="466"/>
      <c r="G169" s="466"/>
      <c r="H169" s="466"/>
      <c r="I169" s="467"/>
      <c r="J169" s="466"/>
      <c r="K169" s="466"/>
      <c r="L169" s="466"/>
      <c r="M169" s="352"/>
    </row>
    <row r="170" spans="1:13" x14ac:dyDescent="0.2">
      <c r="A170" s="348"/>
      <c r="B170" s="466"/>
      <c r="C170" s="466"/>
      <c r="D170" s="466"/>
      <c r="E170" s="467"/>
      <c r="F170" s="466"/>
      <c r="G170" s="466"/>
      <c r="H170" s="466"/>
      <c r="I170" s="467"/>
      <c r="J170" s="466"/>
      <c r="K170" s="466"/>
      <c r="L170" s="466"/>
      <c r="M170" s="352"/>
    </row>
    <row r="171" spans="1:13" x14ac:dyDescent="0.2">
      <c r="A171" s="348"/>
      <c r="B171" s="467"/>
      <c r="C171" s="467"/>
      <c r="D171" s="467"/>
      <c r="E171" s="467"/>
      <c r="F171" s="467"/>
      <c r="G171" s="467"/>
      <c r="H171" s="467"/>
      <c r="I171" s="467"/>
      <c r="J171" s="467"/>
      <c r="K171" s="467"/>
      <c r="L171" s="467"/>
      <c r="M171" s="352"/>
    </row>
    <row r="172" spans="1:13" x14ac:dyDescent="0.2">
      <c r="A172" s="348"/>
      <c r="B172" s="348"/>
      <c r="C172" s="348"/>
      <c r="D172" s="348"/>
      <c r="E172" s="348"/>
      <c r="F172" s="348"/>
      <c r="G172" s="348"/>
      <c r="H172" s="348"/>
      <c r="I172" s="348"/>
      <c r="J172" s="348"/>
      <c r="K172" s="348"/>
      <c r="L172" s="353"/>
      <c r="M172" s="352"/>
    </row>
    <row r="173" spans="1:13" x14ac:dyDescent="0.2">
      <c r="A173" s="348"/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410"/>
      <c r="M173" s="352"/>
    </row>
    <row r="174" spans="1:13" x14ac:dyDescent="0.2">
      <c r="A174" s="374"/>
      <c r="B174" s="354"/>
      <c r="C174" s="354"/>
      <c r="D174" s="354"/>
      <c r="E174" s="354"/>
      <c r="F174" s="354"/>
      <c r="G174" s="354"/>
      <c r="H174" s="354"/>
      <c r="I174" s="354"/>
      <c r="J174" s="354"/>
      <c r="K174" s="354"/>
      <c r="L174" s="352"/>
      <c r="M174" s="352"/>
    </row>
    <row r="175" spans="1:13" x14ac:dyDescent="0.2">
      <c r="A175" s="354"/>
      <c r="B175" s="517"/>
      <c r="C175" s="517"/>
      <c r="D175" s="517"/>
      <c r="E175" s="369"/>
      <c r="F175" s="517"/>
      <c r="G175" s="517"/>
      <c r="H175" s="517"/>
      <c r="I175" s="369"/>
      <c r="J175" s="517"/>
      <c r="K175" s="517"/>
      <c r="L175" s="517"/>
      <c r="M175" s="352"/>
    </row>
    <row r="176" spans="1:13" x14ac:dyDescent="0.2">
      <c r="A176" s="374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52"/>
    </row>
    <row r="177" spans="1:13" x14ac:dyDescent="0.2">
      <c r="A177" s="374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52"/>
    </row>
    <row r="178" spans="1:13" x14ac:dyDescent="0.2">
      <c r="A178" s="348"/>
      <c r="B178" s="466"/>
      <c r="C178" s="466"/>
      <c r="D178" s="466"/>
      <c r="E178" s="467"/>
      <c r="F178" s="466"/>
      <c r="G178" s="466"/>
      <c r="H178" s="466"/>
      <c r="I178" s="467"/>
      <c r="J178" s="466"/>
      <c r="K178" s="466"/>
      <c r="L178" s="466"/>
      <c r="M178" s="352"/>
    </row>
    <row r="179" spans="1:13" x14ac:dyDescent="0.2">
      <c r="A179" s="348"/>
      <c r="B179" s="466"/>
      <c r="C179" s="466"/>
      <c r="D179" s="466"/>
      <c r="E179" s="467"/>
      <c r="F179" s="466"/>
      <c r="G179" s="466"/>
      <c r="H179" s="466"/>
      <c r="I179" s="467"/>
      <c r="J179" s="466"/>
      <c r="K179" s="466"/>
      <c r="L179" s="466"/>
      <c r="M179" s="352"/>
    </row>
    <row r="180" spans="1:13" x14ac:dyDescent="0.2">
      <c r="A180" s="348"/>
      <c r="B180" s="466"/>
      <c r="C180" s="466"/>
      <c r="D180" s="466"/>
      <c r="E180" s="467"/>
      <c r="F180" s="466"/>
      <c r="G180" s="466"/>
      <c r="H180" s="466"/>
      <c r="I180" s="467"/>
      <c r="J180" s="466"/>
      <c r="K180" s="466"/>
      <c r="L180" s="466"/>
      <c r="M180" s="352"/>
    </row>
    <row r="181" spans="1:13" x14ac:dyDescent="0.2">
      <c r="A181" s="348"/>
      <c r="B181" s="466"/>
      <c r="C181" s="466"/>
      <c r="D181" s="466"/>
      <c r="E181" s="467"/>
      <c r="F181" s="466"/>
      <c r="G181" s="466"/>
      <c r="H181" s="466"/>
      <c r="I181" s="467"/>
      <c r="J181" s="466"/>
      <c r="K181" s="466"/>
      <c r="L181" s="466"/>
      <c r="M181" s="352"/>
    </row>
    <row r="182" spans="1:13" x14ac:dyDescent="0.2">
      <c r="A182" s="348"/>
      <c r="B182" s="466"/>
      <c r="C182" s="466"/>
      <c r="D182" s="466"/>
      <c r="E182" s="467"/>
      <c r="F182" s="466"/>
      <c r="G182" s="466"/>
      <c r="H182" s="466"/>
      <c r="I182" s="467"/>
      <c r="J182" s="466"/>
      <c r="K182" s="466"/>
      <c r="L182" s="466"/>
      <c r="M182" s="352"/>
    </row>
    <row r="183" spans="1:13" x14ac:dyDescent="0.2">
      <c r="A183" s="348"/>
      <c r="B183" s="466"/>
      <c r="C183" s="466"/>
      <c r="D183" s="466"/>
      <c r="E183" s="467"/>
      <c r="F183" s="466"/>
      <c r="G183" s="466"/>
      <c r="H183" s="466"/>
      <c r="I183" s="467"/>
      <c r="J183" s="466"/>
      <c r="K183" s="466"/>
      <c r="L183" s="466"/>
      <c r="M183" s="352"/>
    </row>
    <row r="184" spans="1:13" x14ac:dyDescent="0.2">
      <c r="A184" s="348"/>
      <c r="B184" s="466"/>
      <c r="C184" s="466"/>
      <c r="D184" s="466"/>
      <c r="E184" s="467"/>
      <c r="F184" s="466"/>
      <c r="G184" s="466"/>
      <c r="H184" s="466"/>
      <c r="I184" s="467"/>
      <c r="J184" s="466"/>
      <c r="K184" s="466"/>
      <c r="L184" s="466"/>
      <c r="M184" s="352"/>
    </row>
    <row r="185" spans="1:13" x14ac:dyDescent="0.2">
      <c r="A185" s="348"/>
      <c r="B185" s="466"/>
      <c r="C185" s="466"/>
      <c r="D185" s="466"/>
      <c r="E185" s="467"/>
      <c r="F185" s="466"/>
      <c r="G185" s="466"/>
      <c r="H185" s="466"/>
      <c r="I185" s="467"/>
      <c r="J185" s="466"/>
      <c r="K185" s="466"/>
      <c r="L185" s="466"/>
      <c r="M185" s="352"/>
    </row>
    <row r="186" spans="1:13" x14ac:dyDescent="0.2">
      <c r="A186" s="348"/>
      <c r="B186" s="466"/>
      <c r="C186" s="466"/>
      <c r="D186" s="466"/>
      <c r="E186" s="467"/>
      <c r="F186" s="466"/>
      <c r="G186" s="466"/>
      <c r="H186" s="466"/>
      <c r="I186" s="467"/>
      <c r="J186" s="466"/>
      <c r="K186" s="466"/>
      <c r="L186" s="466"/>
      <c r="M186" s="352"/>
    </row>
    <row r="187" spans="1:13" x14ac:dyDescent="0.2">
      <c r="A187" s="348"/>
      <c r="B187" s="466"/>
      <c r="C187" s="466"/>
      <c r="D187" s="466"/>
      <c r="E187" s="467"/>
      <c r="F187" s="466"/>
      <c r="G187" s="466"/>
      <c r="H187" s="466"/>
      <c r="I187" s="467"/>
      <c r="J187" s="466"/>
      <c r="K187" s="466"/>
      <c r="L187" s="466"/>
      <c r="M187" s="352"/>
    </row>
    <row r="188" spans="1:13" x14ac:dyDescent="0.2">
      <c r="A188" s="348"/>
      <c r="B188" s="467"/>
      <c r="C188" s="467"/>
      <c r="D188" s="467"/>
      <c r="E188" s="467"/>
      <c r="F188" s="467"/>
      <c r="G188" s="467"/>
      <c r="H188" s="467"/>
      <c r="I188" s="467"/>
      <c r="J188" s="467"/>
      <c r="K188" s="467"/>
      <c r="L188" s="467"/>
      <c r="M188" s="352"/>
    </row>
    <row r="189" spans="1:13" x14ac:dyDescent="0.2">
      <c r="A189" s="348"/>
      <c r="B189" s="348"/>
      <c r="C189" s="348"/>
      <c r="D189" s="348"/>
      <c r="E189" s="348"/>
      <c r="F189" s="348"/>
      <c r="G189" s="348"/>
      <c r="H189" s="348"/>
      <c r="I189" s="348"/>
      <c r="J189" s="348"/>
      <c r="K189" s="348"/>
      <c r="L189" s="353"/>
      <c r="M189" s="352"/>
    </row>
    <row r="190" spans="1:13" x14ac:dyDescent="0.2">
      <c r="A190" s="348"/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410"/>
      <c r="M190" s="352"/>
    </row>
    <row r="191" spans="1:13" x14ac:dyDescent="0.2">
      <c r="A191" s="374"/>
      <c r="B191" s="354"/>
      <c r="C191" s="354"/>
      <c r="D191" s="354"/>
      <c r="E191" s="354"/>
      <c r="F191" s="354"/>
      <c r="G191" s="354"/>
      <c r="H191" s="354"/>
      <c r="I191" s="354"/>
      <c r="J191" s="354"/>
      <c r="K191" s="354"/>
      <c r="L191" s="352"/>
      <c r="M191" s="352"/>
    </row>
    <row r="192" spans="1:13" x14ac:dyDescent="0.2">
      <c r="A192" s="354"/>
      <c r="B192" s="517"/>
      <c r="C192" s="517"/>
      <c r="D192" s="517"/>
      <c r="E192" s="369"/>
      <c r="F192" s="517"/>
      <c r="G192" s="517"/>
      <c r="H192" s="517"/>
      <c r="I192" s="369"/>
      <c r="J192" s="517"/>
      <c r="K192" s="517"/>
      <c r="L192" s="517"/>
      <c r="M192" s="352"/>
    </row>
    <row r="193" spans="1:13" x14ac:dyDescent="0.2">
      <c r="A193" s="374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52"/>
    </row>
    <row r="194" spans="1:13" x14ac:dyDescent="0.2">
      <c r="A194" s="374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52"/>
    </row>
    <row r="195" spans="1:13" x14ac:dyDescent="0.2">
      <c r="A195" s="348"/>
      <c r="B195" s="466"/>
      <c r="C195" s="466"/>
      <c r="D195" s="466"/>
      <c r="E195" s="467"/>
      <c r="F195" s="466"/>
      <c r="G195" s="466"/>
      <c r="H195" s="466"/>
      <c r="I195" s="467"/>
      <c r="J195" s="466"/>
      <c r="K195" s="466"/>
      <c r="L195" s="466"/>
      <c r="M195" s="352"/>
    </row>
    <row r="196" spans="1:13" x14ac:dyDescent="0.2">
      <c r="A196" s="348"/>
      <c r="B196" s="466"/>
      <c r="C196" s="466"/>
      <c r="D196" s="466"/>
      <c r="E196" s="467"/>
      <c r="F196" s="466"/>
      <c r="G196" s="466"/>
      <c r="H196" s="466"/>
      <c r="I196" s="467"/>
      <c r="J196" s="466"/>
      <c r="K196" s="466"/>
      <c r="L196" s="466"/>
      <c r="M196" s="352"/>
    </row>
    <row r="197" spans="1:13" x14ac:dyDescent="0.2">
      <c r="A197" s="348"/>
      <c r="B197" s="466"/>
      <c r="C197" s="466"/>
      <c r="D197" s="466"/>
      <c r="E197" s="467"/>
      <c r="F197" s="466"/>
      <c r="G197" s="466"/>
      <c r="H197" s="466"/>
      <c r="I197" s="467"/>
      <c r="J197" s="466"/>
      <c r="K197" s="466"/>
      <c r="L197" s="466"/>
      <c r="M197" s="352"/>
    </row>
    <row r="198" spans="1:13" x14ac:dyDescent="0.2">
      <c r="A198" s="348"/>
      <c r="B198" s="466"/>
      <c r="C198" s="466"/>
      <c r="D198" s="466"/>
      <c r="E198" s="467"/>
      <c r="F198" s="466"/>
      <c r="G198" s="466"/>
      <c r="H198" s="466"/>
      <c r="I198" s="467"/>
      <c r="J198" s="466"/>
      <c r="K198" s="466"/>
      <c r="L198" s="466"/>
      <c r="M198" s="352"/>
    </row>
    <row r="199" spans="1:13" x14ac:dyDescent="0.2">
      <c r="A199" s="348"/>
      <c r="B199" s="466"/>
      <c r="C199" s="466"/>
      <c r="D199" s="466"/>
      <c r="E199" s="467"/>
      <c r="F199" s="466"/>
      <c r="G199" s="466"/>
      <c r="H199" s="466"/>
      <c r="I199" s="467"/>
      <c r="J199" s="466"/>
      <c r="K199" s="466"/>
      <c r="L199" s="466"/>
      <c r="M199" s="352"/>
    </row>
    <row r="200" spans="1:13" x14ac:dyDescent="0.2">
      <c r="A200" s="348"/>
      <c r="B200" s="466"/>
      <c r="C200" s="466"/>
      <c r="D200" s="466"/>
      <c r="E200" s="467"/>
      <c r="F200" s="466"/>
      <c r="G200" s="466"/>
      <c r="H200" s="466"/>
      <c r="I200" s="467"/>
      <c r="J200" s="466"/>
      <c r="K200" s="466"/>
      <c r="L200" s="466"/>
      <c r="M200" s="352"/>
    </row>
    <row r="201" spans="1:13" x14ac:dyDescent="0.2">
      <c r="A201" s="348"/>
      <c r="B201" s="466"/>
      <c r="C201" s="466"/>
      <c r="D201" s="466"/>
      <c r="E201" s="467"/>
      <c r="F201" s="466"/>
      <c r="G201" s="466"/>
      <c r="H201" s="466"/>
      <c r="I201" s="467"/>
      <c r="J201" s="466"/>
      <c r="K201" s="466"/>
      <c r="L201" s="466"/>
      <c r="M201" s="352"/>
    </row>
    <row r="202" spans="1:13" x14ac:dyDescent="0.2">
      <c r="A202" s="348"/>
      <c r="B202" s="466"/>
      <c r="C202" s="466"/>
      <c r="D202" s="466"/>
      <c r="E202" s="467"/>
      <c r="F202" s="466"/>
      <c r="G202" s="466"/>
      <c r="H202" s="466"/>
      <c r="I202" s="467"/>
      <c r="J202" s="466"/>
      <c r="K202" s="466"/>
      <c r="L202" s="466"/>
      <c r="M202" s="352"/>
    </row>
    <row r="203" spans="1:13" x14ac:dyDescent="0.2">
      <c r="A203" s="348"/>
      <c r="B203" s="466"/>
      <c r="C203" s="466"/>
      <c r="D203" s="466"/>
      <c r="E203" s="467"/>
      <c r="F203" s="466"/>
      <c r="G203" s="466"/>
      <c r="H203" s="466"/>
      <c r="I203" s="467"/>
      <c r="J203" s="466"/>
      <c r="K203" s="466"/>
      <c r="L203" s="466"/>
      <c r="M203" s="352"/>
    </row>
    <row r="204" spans="1:13" x14ac:dyDescent="0.2">
      <c r="A204" s="348"/>
      <c r="B204" s="466"/>
      <c r="C204" s="466"/>
      <c r="D204" s="466"/>
      <c r="E204" s="467"/>
      <c r="F204" s="466"/>
      <c r="G204" s="466"/>
      <c r="H204" s="466"/>
      <c r="I204" s="467"/>
      <c r="J204" s="466"/>
      <c r="K204" s="466"/>
      <c r="L204" s="466"/>
      <c r="M204" s="352"/>
    </row>
    <row r="205" spans="1:13" x14ac:dyDescent="0.2">
      <c r="A205" s="348"/>
      <c r="B205" s="467"/>
      <c r="C205" s="467"/>
      <c r="D205" s="467"/>
      <c r="E205" s="467"/>
      <c r="F205" s="467"/>
      <c r="G205" s="467"/>
      <c r="H205" s="467"/>
      <c r="I205" s="467"/>
      <c r="J205" s="467"/>
      <c r="K205" s="467"/>
      <c r="L205" s="467"/>
      <c r="M205" s="352"/>
    </row>
    <row r="206" spans="1:13" x14ac:dyDescent="0.2">
      <c r="A206" s="348"/>
      <c r="B206" s="348"/>
      <c r="C206" s="348"/>
      <c r="D206" s="348"/>
      <c r="E206" s="348"/>
      <c r="F206" s="348"/>
      <c r="G206" s="348"/>
      <c r="H206" s="348"/>
      <c r="I206" s="348"/>
      <c r="J206" s="348"/>
      <c r="K206" s="348"/>
      <c r="L206" s="353"/>
      <c r="M206" s="352"/>
    </row>
    <row r="207" spans="1:13" x14ac:dyDescent="0.2">
      <c r="A207" s="348"/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410"/>
      <c r="M207" s="352"/>
    </row>
    <row r="208" spans="1:13" x14ac:dyDescent="0.2">
      <c r="A208" s="374"/>
      <c r="B208" s="354"/>
      <c r="C208" s="354"/>
      <c r="D208" s="354"/>
      <c r="E208" s="354"/>
      <c r="F208" s="354"/>
      <c r="G208" s="354"/>
      <c r="H208" s="354"/>
      <c r="I208" s="354"/>
      <c r="J208" s="354"/>
      <c r="K208" s="354"/>
      <c r="L208" s="352"/>
      <c r="M208" s="352"/>
    </row>
    <row r="209" spans="1:13" x14ac:dyDescent="0.2">
      <c r="A209" s="354"/>
      <c r="B209" s="517"/>
      <c r="C209" s="517"/>
      <c r="D209" s="517"/>
      <c r="E209" s="369"/>
      <c r="F209" s="517"/>
      <c r="G209" s="517"/>
      <c r="H209" s="517"/>
      <c r="I209" s="369"/>
      <c r="J209" s="517"/>
      <c r="K209" s="517"/>
      <c r="L209" s="517"/>
      <c r="M209" s="352"/>
    </row>
    <row r="210" spans="1:13" x14ac:dyDescent="0.2">
      <c r="A210" s="374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52"/>
    </row>
    <row r="211" spans="1:13" x14ac:dyDescent="0.2">
      <c r="A211" s="374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52"/>
    </row>
    <row r="212" spans="1:13" x14ac:dyDescent="0.2">
      <c r="A212" s="348"/>
      <c r="B212" s="466"/>
      <c r="C212" s="466"/>
      <c r="D212" s="466"/>
      <c r="E212" s="467"/>
      <c r="F212" s="466"/>
      <c r="G212" s="466"/>
      <c r="H212" s="466"/>
      <c r="I212" s="467"/>
      <c r="J212" s="466"/>
      <c r="K212" s="466"/>
      <c r="L212" s="466"/>
      <c r="M212" s="352"/>
    </row>
    <row r="213" spans="1:13" x14ac:dyDescent="0.2">
      <c r="A213" s="348"/>
      <c r="B213" s="466"/>
      <c r="C213" s="466"/>
      <c r="D213" s="466"/>
      <c r="E213" s="467"/>
      <c r="F213" s="466"/>
      <c r="G213" s="466"/>
      <c r="H213" s="466"/>
      <c r="I213" s="467"/>
      <c r="J213" s="466"/>
      <c r="K213" s="466"/>
      <c r="L213" s="466"/>
      <c r="M213" s="352"/>
    </row>
    <row r="214" spans="1:13" x14ac:dyDescent="0.2">
      <c r="A214" s="348"/>
      <c r="B214" s="466"/>
      <c r="C214" s="466"/>
      <c r="D214" s="466"/>
      <c r="E214" s="467"/>
      <c r="F214" s="466"/>
      <c r="G214" s="466"/>
      <c r="H214" s="466"/>
      <c r="I214" s="467"/>
      <c r="J214" s="466"/>
      <c r="K214" s="466"/>
      <c r="L214" s="466"/>
      <c r="M214" s="352"/>
    </row>
    <row r="215" spans="1:13" x14ac:dyDescent="0.2">
      <c r="A215" s="348"/>
      <c r="B215" s="466"/>
      <c r="C215" s="466"/>
      <c r="D215" s="466"/>
      <c r="E215" s="467"/>
      <c r="F215" s="466"/>
      <c r="G215" s="466"/>
      <c r="H215" s="466"/>
      <c r="I215" s="467"/>
      <c r="J215" s="466"/>
      <c r="K215" s="466"/>
      <c r="L215" s="466"/>
      <c r="M215" s="352"/>
    </row>
    <row r="216" spans="1:13" x14ac:dyDescent="0.2">
      <c r="A216" s="348"/>
      <c r="B216" s="466"/>
      <c r="C216" s="466"/>
      <c r="D216" s="466"/>
      <c r="E216" s="467"/>
      <c r="F216" s="466"/>
      <c r="G216" s="466"/>
      <c r="H216" s="466"/>
      <c r="I216" s="467"/>
      <c r="J216" s="466"/>
      <c r="K216" s="466"/>
      <c r="L216" s="466"/>
      <c r="M216" s="352"/>
    </row>
    <row r="217" spans="1:13" x14ac:dyDescent="0.2">
      <c r="A217" s="348"/>
      <c r="B217" s="466"/>
      <c r="C217" s="466"/>
      <c r="D217" s="466"/>
      <c r="E217" s="467"/>
      <c r="F217" s="466"/>
      <c r="G217" s="466"/>
      <c r="H217" s="466"/>
      <c r="I217" s="467"/>
      <c r="J217" s="466"/>
      <c r="K217" s="466"/>
      <c r="L217" s="466"/>
      <c r="M217" s="352"/>
    </row>
    <row r="218" spans="1:13" x14ac:dyDescent="0.2">
      <c r="A218" s="348"/>
      <c r="B218" s="466"/>
      <c r="C218" s="466"/>
      <c r="D218" s="466"/>
      <c r="E218" s="467"/>
      <c r="F218" s="466"/>
      <c r="G218" s="466"/>
      <c r="H218" s="466"/>
      <c r="I218" s="467"/>
      <c r="J218" s="466"/>
      <c r="K218" s="466"/>
      <c r="L218" s="466"/>
      <c r="M218" s="352"/>
    </row>
    <row r="219" spans="1:13" x14ac:dyDescent="0.2">
      <c r="A219" s="348"/>
      <c r="B219" s="466"/>
      <c r="C219" s="466"/>
      <c r="D219" s="466"/>
      <c r="E219" s="467"/>
      <c r="F219" s="466"/>
      <c r="G219" s="466"/>
      <c r="H219" s="466"/>
      <c r="I219" s="467"/>
      <c r="J219" s="466"/>
      <c r="K219" s="466"/>
      <c r="L219" s="466"/>
      <c r="M219" s="352"/>
    </row>
    <row r="220" spans="1:13" x14ac:dyDescent="0.2">
      <c r="A220" s="348"/>
      <c r="B220" s="466"/>
      <c r="C220" s="466"/>
      <c r="D220" s="466"/>
      <c r="E220" s="467"/>
      <c r="F220" s="466"/>
      <c r="G220" s="466"/>
      <c r="H220" s="466"/>
      <c r="I220" s="467"/>
      <c r="J220" s="466"/>
      <c r="K220" s="466"/>
      <c r="L220" s="466"/>
      <c r="M220" s="352"/>
    </row>
    <row r="221" spans="1:13" x14ac:dyDescent="0.2">
      <c r="A221" s="348"/>
      <c r="B221" s="466"/>
      <c r="C221" s="466"/>
      <c r="D221" s="466"/>
      <c r="E221" s="467"/>
      <c r="F221" s="466"/>
      <c r="G221" s="466"/>
      <c r="H221" s="466"/>
      <c r="I221" s="467"/>
      <c r="J221" s="466"/>
      <c r="K221" s="466"/>
      <c r="L221" s="466"/>
      <c r="M221" s="352"/>
    </row>
    <row r="222" spans="1:13" x14ac:dyDescent="0.2">
      <c r="A222" s="348"/>
      <c r="B222" s="467"/>
      <c r="C222" s="467"/>
      <c r="D222" s="467"/>
      <c r="E222" s="467"/>
      <c r="F222" s="467"/>
      <c r="G222" s="467"/>
      <c r="H222" s="467"/>
      <c r="I222" s="467"/>
      <c r="J222" s="467"/>
      <c r="K222" s="467"/>
      <c r="L222" s="467"/>
      <c r="M222" s="352"/>
    </row>
    <row r="223" spans="1:13" x14ac:dyDescent="0.2">
      <c r="A223" s="348"/>
      <c r="B223" s="348"/>
      <c r="C223" s="348"/>
      <c r="D223" s="348"/>
      <c r="E223" s="348"/>
      <c r="F223" s="348"/>
      <c r="G223" s="348"/>
      <c r="H223" s="348"/>
      <c r="I223" s="348"/>
      <c r="J223" s="348"/>
      <c r="K223" s="348"/>
      <c r="L223" s="353"/>
      <c r="M223" s="352"/>
    </row>
    <row r="224" spans="1:13" x14ac:dyDescent="0.2">
      <c r="A224" s="348"/>
      <c r="B224" s="348"/>
      <c r="C224" s="348"/>
      <c r="D224" s="348"/>
      <c r="E224" s="348"/>
      <c r="F224" s="348"/>
      <c r="G224" s="348"/>
      <c r="H224" s="348"/>
      <c r="I224" s="348"/>
      <c r="J224" s="348"/>
      <c r="K224" s="348"/>
      <c r="L224" s="410"/>
      <c r="M224" s="352"/>
    </row>
    <row r="225" spans="1:13" x14ac:dyDescent="0.2">
      <c r="A225" s="374"/>
      <c r="B225" s="354"/>
      <c r="C225" s="354"/>
      <c r="D225" s="354"/>
      <c r="E225" s="354"/>
      <c r="F225" s="354"/>
      <c r="G225" s="354"/>
      <c r="H225" s="354"/>
      <c r="I225" s="354"/>
      <c r="J225" s="354"/>
      <c r="K225" s="354"/>
      <c r="L225" s="352"/>
      <c r="M225" s="352"/>
    </row>
    <row r="226" spans="1:13" x14ac:dyDescent="0.2">
      <c r="A226" s="354"/>
      <c r="B226" s="517"/>
      <c r="C226" s="517"/>
      <c r="D226" s="517"/>
      <c r="E226" s="369"/>
      <c r="F226" s="517"/>
      <c r="G226" s="517"/>
      <c r="H226" s="517"/>
      <c r="I226" s="369"/>
      <c r="J226" s="517"/>
      <c r="K226" s="517"/>
      <c r="L226" s="517"/>
      <c r="M226" s="352"/>
    </row>
    <row r="227" spans="1:13" x14ac:dyDescent="0.2">
      <c r="A227" s="374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52"/>
    </row>
    <row r="228" spans="1:13" x14ac:dyDescent="0.2">
      <c r="A228" s="374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52"/>
    </row>
    <row r="229" spans="1:13" x14ac:dyDescent="0.2">
      <c r="A229" s="348"/>
      <c r="B229" s="466"/>
      <c r="C229" s="466"/>
      <c r="D229" s="466"/>
      <c r="E229" s="467"/>
      <c r="F229" s="466"/>
      <c r="G229" s="466"/>
      <c r="H229" s="466"/>
      <c r="I229" s="467"/>
      <c r="J229" s="466"/>
      <c r="K229" s="466"/>
      <c r="L229" s="466"/>
      <c r="M229" s="352"/>
    </row>
    <row r="230" spans="1:13" x14ac:dyDescent="0.2">
      <c r="A230" s="348"/>
      <c r="B230" s="466"/>
      <c r="C230" s="466"/>
      <c r="D230" s="466"/>
      <c r="E230" s="467"/>
      <c r="F230" s="466"/>
      <c r="G230" s="466"/>
      <c r="H230" s="466"/>
      <c r="I230" s="467"/>
      <c r="J230" s="466"/>
      <c r="K230" s="466"/>
      <c r="L230" s="466"/>
      <c r="M230" s="352"/>
    </row>
    <row r="231" spans="1:13" x14ac:dyDescent="0.2">
      <c r="A231" s="348"/>
      <c r="B231" s="466"/>
      <c r="C231" s="466"/>
      <c r="D231" s="466"/>
      <c r="E231" s="467"/>
      <c r="F231" s="466"/>
      <c r="G231" s="466"/>
      <c r="H231" s="466"/>
      <c r="I231" s="467"/>
      <c r="J231" s="466"/>
      <c r="K231" s="466"/>
      <c r="L231" s="466"/>
      <c r="M231" s="352"/>
    </row>
    <row r="232" spans="1:13" x14ac:dyDescent="0.2">
      <c r="A232" s="348"/>
      <c r="B232" s="466"/>
      <c r="C232" s="466"/>
      <c r="D232" s="466"/>
      <c r="E232" s="467"/>
      <c r="F232" s="466"/>
      <c r="G232" s="466"/>
      <c r="H232" s="466"/>
      <c r="I232" s="467"/>
      <c r="J232" s="466"/>
      <c r="K232" s="466"/>
      <c r="L232" s="466"/>
      <c r="M232" s="352"/>
    </row>
    <row r="233" spans="1:13" x14ac:dyDescent="0.2">
      <c r="A233" s="348"/>
      <c r="B233" s="466"/>
      <c r="C233" s="466"/>
      <c r="D233" s="466"/>
      <c r="E233" s="467"/>
      <c r="F233" s="466"/>
      <c r="G233" s="466"/>
      <c r="H233" s="466"/>
      <c r="I233" s="467"/>
      <c r="J233" s="466"/>
      <c r="K233" s="466"/>
      <c r="L233" s="466"/>
      <c r="M233" s="352"/>
    </row>
    <row r="234" spans="1:13" x14ac:dyDescent="0.2">
      <c r="A234" s="348"/>
      <c r="B234" s="466"/>
      <c r="C234" s="466"/>
      <c r="D234" s="466"/>
      <c r="E234" s="467"/>
      <c r="F234" s="466"/>
      <c r="G234" s="466"/>
      <c r="H234" s="466"/>
      <c r="I234" s="467"/>
      <c r="J234" s="466"/>
      <c r="K234" s="466"/>
      <c r="L234" s="466"/>
      <c r="M234" s="352"/>
    </row>
    <row r="235" spans="1:13" x14ac:dyDescent="0.2">
      <c r="A235" s="348"/>
      <c r="B235" s="466"/>
      <c r="C235" s="466"/>
      <c r="D235" s="466"/>
      <c r="E235" s="467"/>
      <c r="F235" s="466"/>
      <c r="G235" s="466"/>
      <c r="H235" s="466"/>
      <c r="I235" s="467"/>
      <c r="J235" s="466"/>
      <c r="K235" s="466"/>
      <c r="L235" s="466"/>
      <c r="M235" s="352"/>
    </row>
    <row r="236" spans="1:13" x14ac:dyDescent="0.2">
      <c r="A236" s="348"/>
      <c r="B236" s="466"/>
      <c r="C236" s="466"/>
      <c r="D236" s="466"/>
      <c r="E236" s="467"/>
      <c r="F236" s="466"/>
      <c r="G236" s="466"/>
      <c r="H236" s="466"/>
      <c r="I236" s="467"/>
      <c r="J236" s="466"/>
      <c r="K236" s="466"/>
      <c r="L236" s="466"/>
      <c r="M236" s="352"/>
    </row>
    <row r="237" spans="1:13" x14ac:dyDescent="0.2">
      <c r="A237" s="348"/>
      <c r="B237" s="466"/>
      <c r="C237" s="466"/>
      <c r="D237" s="466"/>
      <c r="E237" s="467"/>
      <c r="F237" s="466"/>
      <c r="G237" s="466"/>
      <c r="H237" s="466"/>
      <c r="I237" s="467"/>
      <c r="J237" s="466"/>
      <c r="K237" s="466"/>
      <c r="L237" s="466"/>
      <c r="M237" s="352"/>
    </row>
    <row r="238" spans="1:13" x14ac:dyDescent="0.2">
      <c r="A238" s="348"/>
      <c r="B238" s="466"/>
      <c r="C238" s="466"/>
      <c r="D238" s="466"/>
      <c r="E238" s="467"/>
      <c r="F238" s="466"/>
      <c r="G238" s="466"/>
      <c r="H238" s="466"/>
      <c r="I238" s="467"/>
      <c r="J238" s="466"/>
      <c r="K238" s="466"/>
      <c r="L238" s="466"/>
      <c r="M238" s="352"/>
    </row>
    <row r="239" spans="1:13" x14ac:dyDescent="0.2">
      <c r="A239" s="348"/>
      <c r="B239" s="467"/>
      <c r="C239" s="467"/>
      <c r="D239" s="467"/>
      <c r="E239" s="467"/>
      <c r="F239" s="467"/>
      <c r="G239" s="467"/>
      <c r="H239" s="467"/>
      <c r="I239" s="467"/>
      <c r="J239" s="467"/>
      <c r="K239" s="467"/>
      <c r="L239" s="467"/>
      <c r="M239" s="352"/>
    </row>
    <row r="240" spans="1:13" x14ac:dyDescent="0.2">
      <c r="A240" s="348"/>
      <c r="B240" s="348"/>
      <c r="C240" s="348"/>
      <c r="D240" s="348"/>
      <c r="E240" s="348"/>
      <c r="F240" s="348"/>
      <c r="G240" s="348"/>
      <c r="H240" s="348"/>
      <c r="I240" s="348"/>
      <c r="J240" s="348"/>
      <c r="K240" s="348"/>
      <c r="L240" s="353"/>
      <c r="M240" s="352"/>
    </row>
    <row r="241" spans="1:13" x14ac:dyDescent="0.2">
      <c r="A241" s="348"/>
      <c r="B241" s="348"/>
      <c r="C241" s="348"/>
      <c r="D241" s="348"/>
      <c r="E241" s="348"/>
      <c r="F241" s="348"/>
      <c r="G241" s="348"/>
      <c r="H241" s="348"/>
      <c r="I241" s="348"/>
      <c r="J241" s="348"/>
      <c r="K241" s="348"/>
      <c r="L241" s="410"/>
      <c r="M241" s="352"/>
    </row>
    <row r="242" spans="1:13" x14ac:dyDescent="0.2">
      <c r="A242" s="374"/>
      <c r="B242" s="354"/>
      <c r="C242" s="354"/>
      <c r="D242" s="354"/>
      <c r="E242" s="354"/>
      <c r="F242" s="354"/>
      <c r="G242" s="354"/>
      <c r="H242" s="354"/>
      <c r="I242" s="354"/>
      <c r="J242" s="354"/>
      <c r="K242" s="354"/>
      <c r="L242" s="352"/>
      <c r="M242" s="352"/>
    </row>
    <row r="243" spans="1:13" x14ac:dyDescent="0.2">
      <c r="A243" s="354"/>
      <c r="B243" s="517"/>
      <c r="C243" s="517"/>
      <c r="D243" s="517"/>
      <c r="E243" s="369"/>
      <c r="F243" s="517"/>
      <c r="G243" s="517"/>
      <c r="H243" s="517"/>
      <c r="I243" s="369"/>
      <c r="J243" s="517"/>
      <c r="K243" s="517"/>
      <c r="L243" s="517"/>
      <c r="M243" s="352"/>
    </row>
    <row r="244" spans="1:13" x14ac:dyDescent="0.2">
      <c r="A244" s="374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52"/>
    </row>
    <row r="245" spans="1:13" x14ac:dyDescent="0.2">
      <c r="A245" s="374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52"/>
    </row>
    <row r="246" spans="1:13" x14ac:dyDescent="0.2">
      <c r="A246" s="348"/>
      <c r="B246" s="466"/>
      <c r="C246" s="466"/>
      <c r="D246" s="466"/>
      <c r="E246" s="467"/>
      <c r="F246" s="466"/>
      <c r="G246" s="466"/>
      <c r="H246" s="466"/>
      <c r="I246" s="467"/>
      <c r="J246" s="466"/>
      <c r="K246" s="466"/>
      <c r="L246" s="466"/>
      <c r="M246" s="352"/>
    </row>
    <row r="247" spans="1:13" x14ac:dyDescent="0.2">
      <c r="A247" s="348"/>
      <c r="B247" s="466"/>
      <c r="C247" s="466"/>
      <c r="D247" s="466"/>
      <c r="E247" s="467"/>
      <c r="F247" s="466"/>
      <c r="G247" s="466"/>
      <c r="H247" s="466"/>
      <c r="I247" s="467"/>
      <c r="J247" s="466"/>
      <c r="K247" s="466"/>
      <c r="L247" s="466"/>
      <c r="M247" s="352"/>
    </row>
    <row r="248" spans="1:13" x14ac:dyDescent="0.2">
      <c r="A248" s="348"/>
      <c r="B248" s="466"/>
      <c r="C248" s="466"/>
      <c r="D248" s="466"/>
      <c r="E248" s="467"/>
      <c r="F248" s="466"/>
      <c r="G248" s="466"/>
      <c r="H248" s="466"/>
      <c r="I248" s="467"/>
      <c r="J248" s="466"/>
      <c r="K248" s="466"/>
      <c r="L248" s="466"/>
      <c r="M248" s="352"/>
    </row>
    <row r="249" spans="1:13" x14ac:dyDescent="0.2">
      <c r="A249" s="348"/>
      <c r="B249" s="466"/>
      <c r="C249" s="466"/>
      <c r="D249" s="466"/>
      <c r="E249" s="467"/>
      <c r="F249" s="466"/>
      <c r="G249" s="466"/>
      <c r="H249" s="466"/>
      <c r="I249" s="467"/>
      <c r="J249" s="466"/>
      <c r="K249" s="466"/>
      <c r="L249" s="466"/>
      <c r="M249" s="352"/>
    </row>
    <row r="250" spans="1:13" x14ac:dyDescent="0.2">
      <c r="A250" s="348"/>
      <c r="B250" s="466"/>
      <c r="C250" s="466"/>
      <c r="D250" s="466"/>
      <c r="E250" s="467"/>
      <c r="F250" s="466"/>
      <c r="G250" s="466"/>
      <c r="H250" s="466"/>
      <c r="I250" s="467"/>
      <c r="J250" s="466"/>
      <c r="K250" s="466"/>
      <c r="L250" s="466"/>
      <c r="M250" s="352"/>
    </row>
    <row r="251" spans="1:13" x14ac:dyDescent="0.2">
      <c r="A251" s="348"/>
      <c r="B251" s="466"/>
      <c r="C251" s="466"/>
      <c r="D251" s="466"/>
      <c r="E251" s="467"/>
      <c r="F251" s="466"/>
      <c r="G251" s="466"/>
      <c r="H251" s="466"/>
      <c r="I251" s="467"/>
      <c r="J251" s="466"/>
      <c r="K251" s="466"/>
      <c r="L251" s="466"/>
      <c r="M251" s="352"/>
    </row>
    <row r="252" spans="1:13" x14ac:dyDescent="0.2">
      <c r="A252" s="348"/>
      <c r="B252" s="466"/>
      <c r="C252" s="466"/>
      <c r="D252" s="466"/>
      <c r="E252" s="467"/>
      <c r="F252" s="466"/>
      <c r="G252" s="466"/>
      <c r="H252" s="466"/>
      <c r="I252" s="467"/>
      <c r="J252" s="466"/>
      <c r="K252" s="466"/>
      <c r="L252" s="466"/>
      <c r="M252" s="352"/>
    </row>
    <row r="253" spans="1:13" x14ac:dyDescent="0.2">
      <c r="A253" s="348"/>
      <c r="B253" s="466"/>
      <c r="C253" s="466"/>
      <c r="D253" s="466"/>
      <c r="E253" s="467"/>
      <c r="F253" s="466"/>
      <c r="G253" s="466"/>
      <c r="H253" s="466"/>
      <c r="I253" s="467"/>
      <c r="J253" s="466"/>
      <c r="K253" s="466"/>
      <c r="L253" s="466"/>
      <c r="M253" s="352"/>
    </row>
    <row r="254" spans="1:13" x14ac:dyDescent="0.2">
      <c r="A254" s="348"/>
      <c r="B254" s="466"/>
      <c r="C254" s="466"/>
      <c r="D254" s="466"/>
      <c r="E254" s="467"/>
      <c r="F254" s="466"/>
      <c r="G254" s="466"/>
      <c r="H254" s="466"/>
      <c r="I254" s="467"/>
      <c r="J254" s="466"/>
      <c r="K254" s="466"/>
      <c r="L254" s="466"/>
      <c r="M254" s="352"/>
    </row>
    <row r="255" spans="1:13" x14ac:dyDescent="0.2">
      <c r="A255" s="348"/>
      <c r="B255" s="466"/>
      <c r="C255" s="466"/>
      <c r="D255" s="466"/>
      <c r="E255" s="467"/>
      <c r="F255" s="466"/>
      <c r="G255" s="466"/>
      <c r="H255" s="466"/>
      <c r="I255" s="467"/>
      <c r="J255" s="466"/>
      <c r="K255" s="466"/>
      <c r="L255" s="466"/>
      <c r="M255" s="352"/>
    </row>
    <row r="256" spans="1:13" x14ac:dyDescent="0.2">
      <c r="A256" s="348"/>
      <c r="B256" s="467"/>
      <c r="C256" s="467"/>
      <c r="D256" s="467"/>
      <c r="E256" s="467"/>
      <c r="F256" s="467"/>
      <c r="G256" s="467"/>
      <c r="H256" s="467"/>
      <c r="I256" s="467"/>
      <c r="J256" s="467"/>
      <c r="K256" s="467"/>
      <c r="L256" s="467"/>
      <c r="M256" s="352"/>
    </row>
    <row r="257" spans="1:13" x14ac:dyDescent="0.2">
      <c r="A257" s="348"/>
      <c r="B257" s="348"/>
      <c r="C257" s="348"/>
      <c r="D257" s="348"/>
      <c r="E257" s="348"/>
      <c r="F257" s="348"/>
      <c r="G257" s="348"/>
      <c r="H257" s="348"/>
      <c r="I257" s="348"/>
      <c r="J257" s="348"/>
      <c r="K257" s="348"/>
      <c r="L257" s="353"/>
      <c r="M257" s="352"/>
    </row>
    <row r="258" spans="1:13" x14ac:dyDescent="0.2">
      <c r="A258" s="348"/>
      <c r="B258" s="348"/>
      <c r="C258" s="348"/>
      <c r="D258" s="348"/>
      <c r="E258" s="348"/>
      <c r="F258" s="348"/>
      <c r="G258" s="348"/>
      <c r="H258" s="348"/>
      <c r="I258" s="348"/>
      <c r="J258" s="348"/>
      <c r="K258" s="348"/>
      <c r="L258" s="410"/>
      <c r="M258" s="352"/>
    </row>
    <row r="259" spans="1:13" x14ac:dyDescent="0.2">
      <c r="A259" s="374"/>
      <c r="B259" s="354"/>
      <c r="C259" s="354"/>
      <c r="D259" s="354"/>
      <c r="E259" s="354"/>
      <c r="F259" s="354"/>
      <c r="G259" s="354"/>
      <c r="H259" s="354"/>
      <c r="I259" s="354"/>
      <c r="J259" s="354"/>
      <c r="K259" s="354"/>
      <c r="L259" s="352"/>
      <c r="M259" s="352"/>
    </row>
    <row r="260" spans="1:13" x14ac:dyDescent="0.2">
      <c r="A260" s="354"/>
      <c r="B260" s="517"/>
      <c r="C260" s="517"/>
      <c r="D260" s="517"/>
      <c r="E260" s="369"/>
      <c r="F260" s="517"/>
      <c r="G260" s="517"/>
      <c r="H260" s="517"/>
      <c r="I260" s="369"/>
      <c r="J260" s="517"/>
      <c r="K260" s="517"/>
      <c r="L260" s="517"/>
      <c r="M260" s="352"/>
    </row>
    <row r="261" spans="1:13" x14ac:dyDescent="0.2">
      <c r="A261" s="374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52"/>
    </row>
    <row r="262" spans="1:13" x14ac:dyDescent="0.2">
      <c r="A262" s="374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52"/>
    </row>
    <row r="263" spans="1:13" x14ac:dyDescent="0.2">
      <c r="A263" s="348"/>
      <c r="B263" s="466"/>
      <c r="C263" s="466"/>
      <c r="D263" s="466"/>
      <c r="E263" s="467"/>
      <c r="F263" s="466"/>
      <c r="G263" s="466"/>
      <c r="H263" s="466"/>
      <c r="I263" s="467"/>
      <c r="J263" s="466"/>
      <c r="K263" s="466"/>
      <c r="L263" s="466"/>
      <c r="M263" s="352"/>
    </row>
    <row r="264" spans="1:13" x14ac:dyDescent="0.2">
      <c r="A264" s="348"/>
      <c r="B264" s="466"/>
      <c r="C264" s="466"/>
      <c r="D264" s="466"/>
      <c r="E264" s="467"/>
      <c r="F264" s="466"/>
      <c r="G264" s="466"/>
      <c r="H264" s="466"/>
      <c r="I264" s="467"/>
      <c r="J264" s="466"/>
      <c r="K264" s="466"/>
      <c r="L264" s="466"/>
      <c r="M264" s="352"/>
    </row>
    <row r="265" spans="1:13" x14ac:dyDescent="0.2">
      <c r="A265" s="348"/>
      <c r="B265" s="466"/>
      <c r="C265" s="466"/>
      <c r="D265" s="466"/>
      <c r="E265" s="467"/>
      <c r="F265" s="466"/>
      <c r="G265" s="466"/>
      <c r="H265" s="466"/>
      <c r="I265" s="467"/>
      <c r="J265" s="466"/>
      <c r="K265" s="466"/>
      <c r="L265" s="466"/>
      <c r="M265" s="352"/>
    </row>
    <row r="266" spans="1:13" x14ac:dyDescent="0.2">
      <c r="A266" s="348"/>
      <c r="B266" s="466"/>
      <c r="C266" s="466"/>
      <c r="D266" s="466"/>
      <c r="E266" s="467"/>
      <c r="F266" s="466"/>
      <c r="G266" s="466"/>
      <c r="H266" s="466"/>
      <c r="I266" s="467"/>
      <c r="J266" s="466"/>
      <c r="K266" s="466"/>
      <c r="L266" s="466"/>
      <c r="M266" s="352"/>
    </row>
    <row r="267" spans="1:13" x14ac:dyDescent="0.2">
      <c r="A267" s="348"/>
      <c r="B267" s="466"/>
      <c r="C267" s="466"/>
      <c r="D267" s="466"/>
      <c r="E267" s="467"/>
      <c r="F267" s="466"/>
      <c r="G267" s="466"/>
      <c r="H267" s="466"/>
      <c r="I267" s="467"/>
      <c r="J267" s="466"/>
      <c r="K267" s="466"/>
      <c r="L267" s="466"/>
      <c r="M267" s="352"/>
    </row>
    <row r="268" spans="1:13" x14ac:dyDescent="0.2">
      <c r="A268" s="348"/>
      <c r="B268" s="466"/>
      <c r="C268" s="466"/>
      <c r="D268" s="466"/>
      <c r="E268" s="467"/>
      <c r="F268" s="466"/>
      <c r="G268" s="466"/>
      <c r="H268" s="466"/>
      <c r="I268" s="467"/>
      <c r="J268" s="466"/>
      <c r="K268" s="466"/>
      <c r="L268" s="466"/>
      <c r="M268" s="352"/>
    </row>
    <row r="269" spans="1:13" x14ac:dyDescent="0.2">
      <c r="A269" s="348"/>
      <c r="B269" s="466"/>
      <c r="C269" s="466"/>
      <c r="D269" s="466"/>
      <c r="E269" s="467"/>
      <c r="F269" s="466"/>
      <c r="G269" s="466"/>
      <c r="H269" s="466"/>
      <c r="I269" s="467"/>
      <c r="J269" s="466"/>
      <c r="K269" s="466"/>
      <c r="L269" s="466"/>
      <c r="M269" s="352"/>
    </row>
    <row r="270" spans="1:13" x14ac:dyDescent="0.2">
      <c r="A270" s="348"/>
      <c r="B270" s="466"/>
      <c r="C270" s="466"/>
      <c r="D270" s="466"/>
      <c r="E270" s="467"/>
      <c r="F270" s="466"/>
      <c r="G270" s="466"/>
      <c r="H270" s="466"/>
      <c r="I270" s="467"/>
      <c r="J270" s="466"/>
      <c r="K270" s="466"/>
      <c r="L270" s="466"/>
      <c r="M270" s="352"/>
    </row>
    <row r="271" spans="1:13" x14ac:dyDescent="0.2">
      <c r="A271" s="348"/>
      <c r="B271" s="466"/>
      <c r="C271" s="466"/>
      <c r="D271" s="466"/>
      <c r="E271" s="467"/>
      <c r="F271" s="466"/>
      <c r="G271" s="466"/>
      <c r="H271" s="466"/>
      <c r="I271" s="467"/>
      <c r="J271" s="466"/>
      <c r="K271" s="466"/>
      <c r="L271" s="466"/>
      <c r="M271" s="352"/>
    </row>
    <row r="272" spans="1:13" x14ac:dyDescent="0.2">
      <c r="A272" s="348"/>
      <c r="B272" s="466"/>
      <c r="C272" s="466"/>
      <c r="D272" s="466"/>
      <c r="E272" s="467"/>
      <c r="F272" s="466"/>
      <c r="G272" s="466"/>
      <c r="H272" s="466"/>
      <c r="I272" s="467"/>
      <c r="J272" s="466"/>
      <c r="K272" s="466"/>
      <c r="L272" s="466"/>
      <c r="M272" s="352"/>
    </row>
    <row r="273" spans="1:13" x14ac:dyDescent="0.2">
      <c r="A273" s="348"/>
      <c r="B273" s="467"/>
      <c r="C273" s="467"/>
      <c r="D273" s="467"/>
      <c r="E273" s="467"/>
      <c r="F273" s="467"/>
      <c r="G273" s="467"/>
      <c r="H273" s="467"/>
      <c r="I273" s="467"/>
      <c r="J273" s="467"/>
      <c r="K273" s="467"/>
      <c r="L273" s="467"/>
      <c r="M273" s="352"/>
    </row>
    <row r="274" spans="1:13" x14ac:dyDescent="0.2">
      <c r="A274" s="348"/>
      <c r="B274" s="348"/>
      <c r="C274" s="348"/>
      <c r="D274" s="348"/>
      <c r="E274" s="348"/>
      <c r="F274" s="348"/>
      <c r="G274" s="348"/>
      <c r="H274" s="348"/>
      <c r="I274" s="348"/>
      <c r="J274" s="348"/>
      <c r="K274" s="348"/>
      <c r="L274" s="353"/>
      <c r="M274" s="352"/>
    </row>
    <row r="275" spans="1:13" x14ac:dyDescent="0.2">
      <c r="A275" s="348"/>
      <c r="B275" s="348"/>
      <c r="C275" s="348"/>
      <c r="D275" s="348"/>
      <c r="E275" s="348"/>
      <c r="F275" s="348"/>
      <c r="G275" s="348"/>
      <c r="H275" s="348"/>
      <c r="I275" s="348"/>
      <c r="J275" s="348"/>
      <c r="K275" s="348"/>
      <c r="L275" s="410"/>
      <c r="M275" s="352"/>
    </row>
    <row r="276" spans="1:13" x14ac:dyDescent="0.2">
      <c r="A276" s="374"/>
      <c r="B276" s="354"/>
      <c r="C276" s="354"/>
      <c r="D276" s="354"/>
      <c r="E276" s="354"/>
      <c r="F276" s="354"/>
      <c r="G276" s="354"/>
      <c r="H276" s="354"/>
      <c r="I276" s="354"/>
      <c r="J276" s="354"/>
      <c r="K276" s="354"/>
      <c r="L276" s="352"/>
      <c r="M276" s="352"/>
    </row>
    <row r="277" spans="1:13" x14ac:dyDescent="0.2">
      <c r="A277" s="354"/>
      <c r="B277" s="517"/>
      <c r="C277" s="517"/>
      <c r="D277" s="517"/>
      <c r="E277" s="369"/>
      <c r="F277" s="517"/>
      <c r="G277" s="517"/>
      <c r="H277" s="517"/>
      <c r="I277" s="369"/>
      <c r="J277" s="517"/>
      <c r="K277" s="517"/>
      <c r="L277" s="517"/>
      <c r="M277" s="352"/>
    </row>
    <row r="278" spans="1:13" x14ac:dyDescent="0.2">
      <c r="A278" s="374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52"/>
    </row>
    <row r="279" spans="1:13" x14ac:dyDescent="0.2">
      <c r="A279" s="374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52"/>
    </row>
    <row r="280" spans="1:13" x14ac:dyDescent="0.2">
      <c r="A280" s="348"/>
      <c r="B280" s="466"/>
      <c r="C280" s="466"/>
      <c r="D280" s="466"/>
      <c r="E280" s="467"/>
      <c r="F280" s="466"/>
      <c r="G280" s="466"/>
      <c r="H280" s="466"/>
      <c r="I280" s="467"/>
      <c r="J280" s="466"/>
      <c r="K280" s="466"/>
      <c r="L280" s="466"/>
      <c r="M280" s="352"/>
    </row>
    <row r="281" spans="1:13" x14ac:dyDescent="0.2">
      <c r="A281" s="348"/>
      <c r="B281" s="466"/>
      <c r="C281" s="466"/>
      <c r="D281" s="466"/>
      <c r="E281" s="467"/>
      <c r="F281" s="466"/>
      <c r="G281" s="466"/>
      <c r="H281" s="466"/>
      <c r="I281" s="467"/>
      <c r="J281" s="466"/>
      <c r="K281" s="466"/>
      <c r="L281" s="466"/>
      <c r="M281" s="352"/>
    </row>
    <row r="282" spans="1:13" x14ac:dyDescent="0.2">
      <c r="A282" s="348"/>
      <c r="B282" s="466"/>
      <c r="C282" s="466"/>
      <c r="D282" s="466"/>
      <c r="E282" s="467"/>
      <c r="F282" s="466"/>
      <c r="G282" s="466"/>
      <c r="H282" s="466"/>
      <c r="I282" s="467"/>
      <c r="J282" s="466"/>
      <c r="K282" s="466"/>
      <c r="L282" s="466"/>
      <c r="M282" s="352"/>
    </row>
    <row r="283" spans="1:13" x14ac:dyDescent="0.2">
      <c r="A283" s="348"/>
      <c r="B283" s="466"/>
      <c r="C283" s="466"/>
      <c r="D283" s="466"/>
      <c r="E283" s="467"/>
      <c r="F283" s="466"/>
      <c r="G283" s="466"/>
      <c r="H283" s="466"/>
      <c r="I283" s="467"/>
      <c r="J283" s="466"/>
      <c r="K283" s="466"/>
      <c r="L283" s="466"/>
      <c r="M283" s="352"/>
    </row>
    <row r="284" spans="1:13" x14ac:dyDescent="0.2">
      <c r="A284" s="348"/>
      <c r="B284" s="466"/>
      <c r="C284" s="466"/>
      <c r="D284" s="466"/>
      <c r="E284" s="467"/>
      <c r="F284" s="466"/>
      <c r="G284" s="466"/>
      <c r="H284" s="466"/>
      <c r="I284" s="467"/>
      <c r="J284" s="466"/>
      <c r="K284" s="466"/>
      <c r="L284" s="466"/>
      <c r="M284" s="352"/>
    </row>
    <row r="285" spans="1:13" x14ac:dyDescent="0.2">
      <c r="A285" s="348"/>
      <c r="B285" s="466"/>
      <c r="C285" s="466"/>
      <c r="D285" s="466"/>
      <c r="E285" s="467"/>
      <c r="F285" s="466"/>
      <c r="G285" s="466"/>
      <c r="H285" s="466"/>
      <c r="I285" s="467"/>
      <c r="J285" s="466"/>
      <c r="K285" s="466"/>
      <c r="L285" s="466"/>
      <c r="M285" s="352"/>
    </row>
    <row r="286" spans="1:13" x14ac:dyDescent="0.2">
      <c r="A286" s="348"/>
      <c r="B286" s="466"/>
      <c r="C286" s="466"/>
      <c r="D286" s="466"/>
      <c r="E286" s="467"/>
      <c r="F286" s="466"/>
      <c r="G286" s="466"/>
      <c r="H286" s="466"/>
      <c r="I286" s="467"/>
      <c r="J286" s="466"/>
      <c r="K286" s="466"/>
      <c r="L286" s="466"/>
      <c r="M286" s="352"/>
    </row>
    <row r="287" spans="1:13" x14ac:dyDescent="0.2">
      <c r="A287" s="348"/>
      <c r="B287" s="466"/>
      <c r="C287" s="466"/>
      <c r="D287" s="466"/>
      <c r="E287" s="467"/>
      <c r="F287" s="466"/>
      <c r="G287" s="466"/>
      <c r="H287" s="466"/>
      <c r="I287" s="467"/>
      <c r="J287" s="466"/>
      <c r="K287" s="466"/>
      <c r="L287" s="466"/>
      <c r="M287" s="352"/>
    </row>
    <row r="288" spans="1:13" x14ac:dyDescent="0.2">
      <c r="A288" s="348"/>
      <c r="B288" s="466"/>
      <c r="C288" s="466"/>
      <c r="D288" s="466"/>
      <c r="E288" s="467"/>
      <c r="F288" s="466"/>
      <c r="G288" s="466"/>
      <c r="H288" s="466"/>
      <c r="I288" s="467"/>
      <c r="J288" s="466"/>
      <c r="K288" s="466"/>
      <c r="L288" s="466"/>
      <c r="M288" s="352"/>
    </row>
    <row r="289" spans="1:13" x14ac:dyDescent="0.2">
      <c r="A289" s="348"/>
      <c r="B289" s="466"/>
      <c r="C289" s="466"/>
      <c r="D289" s="466"/>
      <c r="E289" s="467"/>
      <c r="F289" s="466"/>
      <c r="G289" s="466"/>
      <c r="H289" s="466"/>
      <c r="I289" s="467"/>
      <c r="J289" s="466"/>
      <c r="K289" s="466"/>
      <c r="L289" s="466"/>
      <c r="M289" s="352"/>
    </row>
    <row r="290" spans="1:13" x14ac:dyDescent="0.2">
      <c r="A290" s="348"/>
      <c r="B290" s="467"/>
      <c r="C290" s="467"/>
      <c r="D290" s="467"/>
      <c r="E290" s="467"/>
      <c r="F290" s="467"/>
      <c r="G290" s="467"/>
      <c r="H290" s="467"/>
      <c r="I290" s="467"/>
      <c r="J290" s="467"/>
      <c r="K290" s="467"/>
      <c r="L290" s="467"/>
      <c r="M290" s="352"/>
    </row>
    <row r="291" spans="1:13" x14ac:dyDescent="0.2">
      <c r="A291" s="348"/>
      <c r="B291" s="348"/>
      <c r="C291" s="348"/>
      <c r="D291" s="348"/>
      <c r="E291" s="348"/>
      <c r="F291" s="348"/>
      <c r="G291" s="348"/>
      <c r="H291" s="348"/>
      <c r="I291" s="348"/>
      <c r="J291" s="348"/>
      <c r="K291" s="348"/>
      <c r="L291" s="353"/>
      <c r="M291" s="352"/>
    </row>
    <row r="292" spans="1:13" x14ac:dyDescent="0.2">
      <c r="A292" s="348"/>
      <c r="B292" s="348"/>
      <c r="C292" s="348"/>
      <c r="D292" s="348"/>
      <c r="E292" s="348"/>
      <c r="F292" s="348"/>
      <c r="G292" s="348"/>
      <c r="H292" s="348"/>
      <c r="I292" s="348"/>
      <c r="J292" s="348"/>
      <c r="K292" s="348"/>
      <c r="L292" s="410"/>
      <c r="M292" s="352"/>
    </row>
    <row r="293" spans="1:13" x14ac:dyDescent="0.2">
      <c r="A293" s="374"/>
      <c r="B293" s="354"/>
      <c r="C293" s="354"/>
      <c r="D293" s="354"/>
      <c r="E293" s="354"/>
      <c r="F293" s="354"/>
      <c r="G293" s="354"/>
      <c r="H293" s="354"/>
      <c r="I293" s="354"/>
      <c r="J293" s="354"/>
      <c r="K293" s="354"/>
      <c r="L293" s="352"/>
      <c r="M293" s="352"/>
    </row>
    <row r="294" spans="1:13" x14ac:dyDescent="0.2">
      <c r="A294" s="354"/>
      <c r="B294" s="517"/>
      <c r="C294" s="517"/>
      <c r="D294" s="517"/>
      <c r="E294" s="369"/>
      <c r="F294" s="517"/>
      <c r="G294" s="517"/>
      <c r="H294" s="517"/>
      <c r="I294" s="369"/>
      <c r="J294" s="517"/>
      <c r="K294" s="517"/>
      <c r="L294" s="517"/>
      <c r="M294" s="352"/>
    </row>
    <row r="295" spans="1:13" x14ac:dyDescent="0.2">
      <c r="A295" s="374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52"/>
    </row>
    <row r="296" spans="1:13" x14ac:dyDescent="0.2">
      <c r="A296" s="374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52"/>
    </row>
    <row r="297" spans="1:13" x14ac:dyDescent="0.2">
      <c r="A297" s="348"/>
      <c r="B297" s="466"/>
      <c r="C297" s="466"/>
      <c r="D297" s="466"/>
      <c r="E297" s="467"/>
      <c r="F297" s="466"/>
      <c r="G297" s="466"/>
      <c r="H297" s="466"/>
      <c r="I297" s="467"/>
      <c r="J297" s="466"/>
      <c r="K297" s="466"/>
      <c r="L297" s="466"/>
      <c r="M297" s="352"/>
    </row>
    <row r="298" spans="1:13" x14ac:dyDescent="0.2">
      <c r="A298" s="348"/>
      <c r="B298" s="466"/>
      <c r="C298" s="466"/>
      <c r="D298" s="466"/>
      <c r="E298" s="467"/>
      <c r="F298" s="466"/>
      <c r="G298" s="466"/>
      <c r="H298" s="466"/>
      <c r="I298" s="467"/>
      <c r="J298" s="466"/>
      <c r="K298" s="466"/>
      <c r="L298" s="466"/>
      <c r="M298" s="352"/>
    </row>
    <row r="299" spans="1:13" x14ac:dyDescent="0.2">
      <c r="A299" s="348"/>
      <c r="B299" s="466"/>
      <c r="C299" s="466"/>
      <c r="D299" s="466"/>
      <c r="E299" s="467"/>
      <c r="F299" s="466"/>
      <c r="G299" s="466"/>
      <c r="H299" s="466"/>
      <c r="I299" s="467"/>
      <c r="J299" s="466"/>
      <c r="K299" s="466"/>
      <c r="L299" s="466"/>
      <c r="M299" s="352"/>
    </row>
    <row r="300" spans="1:13" x14ac:dyDescent="0.2">
      <c r="A300" s="348"/>
      <c r="B300" s="466"/>
      <c r="C300" s="466"/>
      <c r="D300" s="466"/>
      <c r="E300" s="467"/>
      <c r="F300" s="466"/>
      <c r="G300" s="466"/>
      <c r="H300" s="466"/>
      <c r="I300" s="467"/>
      <c r="J300" s="466"/>
      <c r="K300" s="466"/>
      <c r="L300" s="466"/>
      <c r="M300" s="352"/>
    </row>
    <row r="301" spans="1:13" x14ac:dyDescent="0.2">
      <c r="A301" s="348"/>
      <c r="B301" s="466"/>
      <c r="C301" s="466"/>
      <c r="D301" s="466"/>
      <c r="E301" s="467"/>
      <c r="F301" s="466"/>
      <c r="G301" s="466"/>
      <c r="H301" s="466"/>
      <c r="I301" s="467"/>
      <c r="J301" s="466"/>
      <c r="K301" s="466"/>
      <c r="L301" s="466"/>
      <c r="M301" s="352"/>
    </row>
    <row r="302" spans="1:13" x14ac:dyDescent="0.2">
      <c r="A302" s="348"/>
      <c r="B302" s="466"/>
      <c r="C302" s="466"/>
      <c r="D302" s="466"/>
      <c r="E302" s="467"/>
      <c r="F302" s="466"/>
      <c r="G302" s="466"/>
      <c r="H302" s="466"/>
      <c r="I302" s="467"/>
      <c r="J302" s="466"/>
      <c r="K302" s="466"/>
      <c r="L302" s="466"/>
      <c r="M302" s="352"/>
    </row>
    <row r="303" spans="1:13" x14ac:dyDescent="0.2">
      <c r="A303" s="348"/>
      <c r="B303" s="466"/>
      <c r="C303" s="466"/>
      <c r="D303" s="466"/>
      <c r="E303" s="467"/>
      <c r="F303" s="466"/>
      <c r="G303" s="466"/>
      <c r="H303" s="466"/>
      <c r="I303" s="467"/>
      <c r="J303" s="466"/>
      <c r="K303" s="466"/>
      <c r="L303" s="466"/>
      <c r="M303" s="352"/>
    </row>
    <row r="304" spans="1:13" x14ac:dyDescent="0.2">
      <c r="A304" s="348"/>
      <c r="B304" s="466"/>
      <c r="C304" s="466"/>
      <c r="D304" s="466"/>
      <c r="E304" s="467"/>
      <c r="F304" s="466"/>
      <c r="G304" s="466"/>
      <c r="H304" s="466"/>
      <c r="I304" s="467"/>
      <c r="J304" s="466"/>
      <c r="K304" s="466"/>
      <c r="L304" s="466"/>
      <c r="M304" s="352"/>
    </row>
    <row r="305" spans="1:13" x14ac:dyDescent="0.2">
      <c r="A305" s="348"/>
      <c r="B305" s="466"/>
      <c r="C305" s="466"/>
      <c r="D305" s="466"/>
      <c r="E305" s="467"/>
      <c r="F305" s="466"/>
      <c r="G305" s="466"/>
      <c r="H305" s="466"/>
      <c r="I305" s="467"/>
      <c r="J305" s="466"/>
      <c r="K305" s="466"/>
      <c r="L305" s="466"/>
      <c r="M305" s="352"/>
    </row>
    <row r="306" spans="1:13" x14ac:dyDescent="0.2">
      <c r="A306" s="348"/>
      <c r="B306" s="466"/>
      <c r="C306" s="466"/>
      <c r="D306" s="466"/>
      <c r="E306" s="467"/>
      <c r="F306" s="466"/>
      <c r="G306" s="466"/>
      <c r="H306" s="466"/>
      <c r="I306" s="467"/>
      <c r="J306" s="466"/>
      <c r="K306" s="466"/>
      <c r="L306" s="466"/>
      <c r="M306" s="352"/>
    </row>
    <row r="307" spans="1:13" x14ac:dyDescent="0.2">
      <c r="A307" s="348"/>
      <c r="B307" s="467"/>
      <c r="C307" s="467"/>
      <c r="D307" s="467"/>
      <c r="E307" s="467"/>
      <c r="F307" s="467"/>
      <c r="G307" s="467"/>
      <c r="H307" s="467"/>
      <c r="I307" s="467"/>
      <c r="J307" s="467"/>
      <c r="K307" s="467"/>
      <c r="L307" s="467"/>
      <c r="M307" s="352"/>
    </row>
    <row r="308" spans="1:13" x14ac:dyDescent="0.2">
      <c r="A308" s="348"/>
      <c r="B308" s="348"/>
      <c r="C308" s="348"/>
      <c r="D308" s="348"/>
      <c r="E308" s="348"/>
      <c r="F308" s="348"/>
      <c r="G308" s="348"/>
      <c r="H308" s="348"/>
      <c r="I308" s="348"/>
      <c r="J308" s="348"/>
      <c r="K308" s="348"/>
      <c r="L308" s="353"/>
      <c r="M308" s="352"/>
    </row>
    <row r="309" spans="1:13" x14ac:dyDescent="0.2">
      <c r="A309" s="348"/>
      <c r="B309" s="348"/>
      <c r="C309" s="348"/>
      <c r="D309" s="348"/>
      <c r="E309" s="348"/>
      <c r="F309" s="348"/>
      <c r="G309" s="348"/>
      <c r="H309" s="348"/>
      <c r="I309" s="348"/>
      <c r="J309" s="348"/>
      <c r="K309" s="348"/>
      <c r="L309" s="410"/>
      <c r="M309" s="352"/>
    </row>
    <row r="310" spans="1:13" x14ac:dyDescent="0.2">
      <c r="A310" s="374"/>
      <c r="B310" s="354"/>
      <c r="C310" s="354"/>
      <c r="D310" s="354"/>
      <c r="E310" s="354"/>
      <c r="F310" s="354"/>
      <c r="G310" s="354"/>
      <c r="H310" s="354"/>
      <c r="I310" s="354"/>
      <c r="J310" s="354"/>
      <c r="K310" s="354"/>
      <c r="L310" s="352"/>
      <c r="M310" s="352"/>
    </row>
    <row r="311" spans="1:13" x14ac:dyDescent="0.2">
      <c r="A311" s="354"/>
      <c r="B311" s="517"/>
      <c r="C311" s="517"/>
      <c r="D311" s="517"/>
      <c r="E311" s="369"/>
      <c r="F311" s="517"/>
      <c r="G311" s="517"/>
      <c r="H311" s="517"/>
      <c r="I311" s="369"/>
      <c r="J311" s="517"/>
      <c r="K311" s="517"/>
      <c r="L311" s="517"/>
      <c r="M311" s="352"/>
    </row>
    <row r="312" spans="1:13" x14ac:dyDescent="0.2">
      <c r="A312" s="374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52"/>
    </row>
    <row r="313" spans="1:13" x14ac:dyDescent="0.2">
      <c r="A313" s="374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52"/>
    </row>
    <row r="314" spans="1:13" x14ac:dyDescent="0.2">
      <c r="A314" s="348"/>
      <c r="B314" s="466"/>
      <c r="C314" s="466"/>
      <c r="D314" s="466"/>
      <c r="E314" s="467"/>
      <c r="F314" s="466"/>
      <c r="G314" s="466"/>
      <c r="H314" s="466"/>
      <c r="I314" s="467"/>
      <c r="J314" s="466"/>
      <c r="K314" s="466"/>
      <c r="L314" s="466"/>
      <c r="M314" s="352"/>
    </row>
    <row r="315" spans="1:13" x14ac:dyDescent="0.2">
      <c r="A315" s="348"/>
      <c r="B315" s="466"/>
      <c r="C315" s="466"/>
      <c r="D315" s="466"/>
      <c r="E315" s="467"/>
      <c r="F315" s="466"/>
      <c r="G315" s="466"/>
      <c r="H315" s="466"/>
      <c r="I315" s="467"/>
      <c r="J315" s="466"/>
      <c r="K315" s="466"/>
      <c r="L315" s="466"/>
      <c r="M315" s="352"/>
    </row>
    <row r="316" spans="1:13" x14ac:dyDescent="0.2">
      <c r="A316" s="348"/>
      <c r="B316" s="466"/>
      <c r="C316" s="466"/>
      <c r="D316" s="466"/>
      <c r="E316" s="467"/>
      <c r="F316" s="466"/>
      <c r="G316" s="466"/>
      <c r="H316" s="466"/>
      <c r="I316" s="467"/>
      <c r="J316" s="466"/>
      <c r="K316" s="466"/>
      <c r="L316" s="466"/>
      <c r="M316" s="352"/>
    </row>
    <row r="317" spans="1:13" x14ac:dyDescent="0.2">
      <c r="A317" s="348"/>
      <c r="B317" s="466"/>
      <c r="C317" s="466"/>
      <c r="D317" s="466"/>
      <c r="E317" s="467"/>
      <c r="F317" s="466"/>
      <c r="G317" s="466"/>
      <c r="H317" s="466"/>
      <c r="I317" s="467"/>
      <c r="J317" s="466"/>
      <c r="K317" s="466"/>
      <c r="L317" s="466"/>
      <c r="M317" s="352"/>
    </row>
    <row r="318" spans="1:13" x14ac:dyDescent="0.2">
      <c r="A318" s="348"/>
      <c r="B318" s="466"/>
      <c r="C318" s="466"/>
      <c r="D318" s="466"/>
      <c r="E318" s="467"/>
      <c r="F318" s="466"/>
      <c r="G318" s="466"/>
      <c r="H318" s="466"/>
      <c r="I318" s="467"/>
      <c r="J318" s="466"/>
      <c r="K318" s="466"/>
      <c r="L318" s="466"/>
      <c r="M318" s="352"/>
    </row>
    <row r="319" spans="1:13" x14ac:dyDescent="0.2">
      <c r="A319" s="348"/>
      <c r="B319" s="466"/>
      <c r="C319" s="466"/>
      <c r="D319" s="466"/>
      <c r="E319" s="467"/>
      <c r="F319" s="466"/>
      <c r="G319" s="466"/>
      <c r="H319" s="466"/>
      <c r="I319" s="467"/>
      <c r="J319" s="466"/>
      <c r="K319" s="466"/>
      <c r="L319" s="466"/>
      <c r="M319" s="352"/>
    </row>
    <row r="320" spans="1:13" x14ac:dyDescent="0.2">
      <c r="A320" s="348"/>
      <c r="B320" s="466"/>
      <c r="C320" s="466"/>
      <c r="D320" s="466"/>
      <c r="E320" s="467"/>
      <c r="F320" s="466"/>
      <c r="G320" s="466"/>
      <c r="H320" s="466"/>
      <c r="I320" s="467"/>
      <c r="J320" s="466"/>
      <c r="K320" s="466"/>
      <c r="L320" s="466"/>
      <c r="M320" s="352"/>
    </row>
    <row r="321" spans="1:13" x14ac:dyDescent="0.2">
      <c r="A321" s="348"/>
      <c r="B321" s="466"/>
      <c r="C321" s="466"/>
      <c r="D321" s="466"/>
      <c r="E321" s="467"/>
      <c r="F321" s="466"/>
      <c r="G321" s="466"/>
      <c r="H321" s="466"/>
      <c r="I321" s="467"/>
      <c r="J321" s="466"/>
      <c r="K321" s="466"/>
      <c r="L321" s="466"/>
      <c r="M321" s="352"/>
    </row>
    <row r="322" spans="1:13" x14ac:dyDescent="0.2">
      <c r="A322" s="348"/>
      <c r="B322" s="466"/>
      <c r="C322" s="466"/>
      <c r="D322" s="466"/>
      <c r="E322" s="467"/>
      <c r="F322" s="466"/>
      <c r="G322" s="466"/>
      <c r="H322" s="466"/>
      <c r="I322" s="467"/>
      <c r="J322" s="466"/>
      <c r="K322" s="466"/>
      <c r="L322" s="466"/>
      <c r="M322" s="352"/>
    </row>
    <row r="323" spans="1:13" x14ac:dyDescent="0.2">
      <c r="A323" s="348"/>
      <c r="B323" s="466"/>
      <c r="C323" s="466"/>
      <c r="D323" s="466"/>
      <c r="E323" s="467"/>
      <c r="F323" s="466"/>
      <c r="G323" s="466"/>
      <c r="H323" s="466"/>
      <c r="I323" s="467"/>
      <c r="J323" s="466"/>
      <c r="K323" s="466"/>
      <c r="L323" s="466"/>
      <c r="M323" s="352"/>
    </row>
    <row r="324" spans="1:13" x14ac:dyDescent="0.2">
      <c r="A324" s="348"/>
      <c r="B324" s="467"/>
      <c r="C324" s="467"/>
      <c r="D324" s="467"/>
      <c r="E324" s="467"/>
      <c r="F324" s="467"/>
      <c r="G324" s="467"/>
      <c r="H324" s="467"/>
      <c r="I324" s="467"/>
      <c r="J324" s="467"/>
      <c r="K324" s="467"/>
      <c r="L324" s="467"/>
      <c r="M324" s="352"/>
    </row>
    <row r="325" spans="1:13" x14ac:dyDescent="0.2">
      <c r="A325" s="348"/>
      <c r="B325" s="348"/>
      <c r="C325" s="348"/>
      <c r="D325" s="348"/>
      <c r="E325" s="348"/>
      <c r="F325" s="348"/>
      <c r="G325" s="348"/>
      <c r="H325" s="348"/>
      <c r="I325" s="348"/>
      <c r="J325" s="348"/>
      <c r="K325" s="348"/>
      <c r="L325" s="353"/>
      <c r="M325" s="352"/>
    </row>
    <row r="326" spans="1:13" x14ac:dyDescent="0.2">
      <c r="A326" s="348"/>
      <c r="B326" s="348"/>
      <c r="C326" s="348"/>
      <c r="D326" s="348"/>
      <c r="E326" s="348"/>
      <c r="F326" s="348"/>
      <c r="G326" s="348"/>
      <c r="H326" s="348"/>
      <c r="I326" s="348"/>
      <c r="J326" s="348"/>
      <c r="K326" s="348"/>
      <c r="L326" s="410"/>
      <c r="M326" s="352"/>
    </row>
    <row r="327" spans="1:13" x14ac:dyDescent="0.2">
      <c r="A327" s="374"/>
      <c r="B327" s="354"/>
      <c r="C327" s="354"/>
      <c r="D327" s="354"/>
      <c r="E327" s="354"/>
      <c r="F327" s="354"/>
      <c r="G327" s="354"/>
      <c r="H327" s="354"/>
      <c r="I327" s="354"/>
      <c r="J327" s="354"/>
      <c r="K327" s="354"/>
      <c r="L327" s="352"/>
      <c r="M327" s="352"/>
    </row>
    <row r="328" spans="1:13" x14ac:dyDescent="0.2">
      <c r="A328" s="354"/>
      <c r="B328" s="517"/>
      <c r="C328" s="517"/>
      <c r="D328" s="517"/>
      <c r="E328" s="369"/>
      <c r="F328" s="517"/>
      <c r="G328" s="517"/>
      <c r="H328" s="517"/>
      <c r="I328" s="369"/>
      <c r="J328" s="517"/>
      <c r="K328" s="517"/>
      <c r="L328" s="517"/>
      <c r="M328" s="352"/>
    </row>
    <row r="329" spans="1:13" x14ac:dyDescent="0.2">
      <c r="A329" s="374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52"/>
    </row>
    <row r="330" spans="1:13" x14ac:dyDescent="0.2">
      <c r="A330" s="374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52"/>
    </row>
    <row r="331" spans="1:13" x14ac:dyDescent="0.2">
      <c r="A331" s="348"/>
      <c r="B331" s="466"/>
      <c r="C331" s="466"/>
      <c r="D331" s="466"/>
      <c r="E331" s="467"/>
      <c r="F331" s="466"/>
      <c r="G331" s="466"/>
      <c r="H331" s="466"/>
      <c r="I331" s="467"/>
      <c r="J331" s="466"/>
      <c r="K331" s="466"/>
      <c r="L331" s="466"/>
      <c r="M331" s="352"/>
    </row>
    <row r="332" spans="1:13" x14ac:dyDescent="0.2">
      <c r="A332" s="348"/>
      <c r="B332" s="466"/>
      <c r="C332" s="466"/>
      <c r="D332" s="466"/>
      <c r="E332" s="467"/>
      <c r="F332" s="466"/>
      <c r="G332" s="466"/>
      <c r="H332" s="466"/>
      <c r="I332" s="467"/>
      <c r="J332" s="466"/>
      <c r="K332" s="466"/>
      <c r="L332" s="466"/>
      <c r="M332" s="352"/>
    </row>
    <row r="333" spans="1:13" x14ac:dyDescent="0.2">
      <c r="A333" s="348"/>
      <c r="B333" s="466"/>
      <c r="C333" s="466"/>
      <c r="D333" s="466"/>
      <c r="E333" s="467"/>
      <c r="F333" s="466"/>
      <c r="G333" s="466"/>
      <c r="H333" s="466"/>
      <c r="I333" s="467"/>
      <c r="J333" s="466"/>
      <c r="K333" s="466"/>
      <c r="L333" s="466"/>
      <c r="M333" s="352"/>
    </row>
    <row r="334" spans="1:13" x14ac:dyDescent="0.2">
      <c r="A334" s="348"/>
      <c r="B334" s="466"/>
      <c r="C334" s="466"/>
      <c r="D334" s="466"/>
      <c r="E334" s="467"/>
      <c r="F334" s="466"/>
      <c r="G334" s="466"/>
      <c r="H334" s="466"/>
      <c r="I334" s="467"/>
      <c r="J334" s="466"/>
      <c r="K334" s="466"/>
      <c r="L334" s="466"/>
      <c r="M334" s="352"/>
    </row>
    <row r="335" spans="1:13" x14ac:dyDescent="0.2">
      <c r="A335" s="348"/>
      <c r="B335" s="466"/>
      <c r="C335" s="466"/>
      <c r="D335" s="466"/>
      <c r="E335" s="467"/>
      <c r="F335" s="466"/>
      <c r="G335" s="466"/>
      <c r="H335" s="466"/>
      <c r="I335" s="467"/>
      <c r="J335" s="466"/>
      <c r="K335" s="466"/>
      <c r="L335" s="466"/>
      <c r="M335" s="352"/>
    </row>
    <row r="336" spans="1:13" x14ac:dyDescent="0.2">
      <c r="A336" s="348"/>
      <c r="B336" s="466"/>
      <c r="C336" s="466"/>
      <c r="D336" s="466"/>
      <c r="E336" s="467"/>
      <c r="F336" s="466"/>
      <c r="G336" s="466"/>
      <c r="H336" s="466"/>
      <c r="I336" s="467"/>
      <c r="J336" s="466"/>
      <c r="K336" s="466"/>
      <c r="L336" s="466"/>
      <c r="M336" s="352"/>
    </row>
    <row r="337" spans="1:13" x14ac:dyDescent="0.2">
      <c r="A337" s="348"/>
      <c r="B337" s="466"/>
      <c r="C337" s="466"/>
      <c r="D337" s="466"/>
      <c r="E337" s="467"/>
      <c r="F337" s="466"/>
      <c r="G337" s="466"/>
      <c r="H337" s="466"/>
      <c r="I337" s="467"/>
      <c r="J337" s="466"/>
      <c r="K337" s="466"/>
      <c r="L337" s="466"/>
      <c r="M337" s="352"/>
    </row>
    <row r="338" spans="1:13" x14ac:dyDescent="0.2">
      <c r="A338" s="348"/>
      <c r="B338" s="466"/>
      <c r="C338" s="466"/>
      <c r="D338" s="466"/>
      <c r="E338" s="467"/>
      <c r="F338" s="466"/>
      <c r="G338" s="466"/>
      <c r="H338" s="466"/>
      <c r="I338" s="467"/>
      <c r="J338" s="466"/>
      <c r="K338" s="466"/>
      <c r="L338" s="466"/>
      <c r="M338" s="352"/>
    </row>
    <row r="339" spans="1:13" x14ac:dyDescent="0.2">
      <c r="A339" s="348"/>
      <c r="B339" s="466"/>
      <c r="C339" s="466"/>
      <c r="D339" s="466"/>
      <c r="E339" s="467"/>
      <c r="F339" s="466"/>
      <c r="G339" s="466"/>
      <c r="H339" s="466"/>
      <c r="I339" s="467"/>
      <c r="J339" s="466"/>
      <c r="K339" s="466"/>
      <c r="L339" s="466"/>
      <c r="M339" s="352"/>
    </row>
    <row r="340" spans="1:13" x14ac:dyDescent="0.2">
      <c r="A340" s="348"/>
      <c r="B340" s="466"/>
      <c r="C340" s="466"/>
      <c r="D340" s="466"/>
      <c r="E340" s="467"/>
      <c r="F340" s="466"/>
      <c r="G340" s="466"/>
      <c r="H340" s="466"/>
      <c r="I340" s="467"/>
      <c r="J340" s="466"/>
      <c r="K340" s="466"/>
      <c r="L340" s="466"/>
      <c r="M340" s="352"/>
    </row>
    <row r="341" spans="1:13" x14ac:dyDescent="0.2">
      <c r="A341" s="348"/>
      <c r="B341" s="467"/>
      <c r="C341" s="467"/>
      <c r="D341" s="467"/>
      <c r="E341" s="467"/>
      <c r="F341" s="467"/>
      <c r="G341" s="467"/>
      <c r="H341" s="467"/>
      <c r="I341" s="467"/>
      <c r="J341" s="467"/>
      <c r="K341" s="467"/>
      <c r="L341" s="467"/>
      <c r="M341" s="352"/>
    </row>
    <row r="342" spans="1:13" x14ac:dyDescent="0.2">
      <c r="A342" s="348"/>
      <c r="B342" s="348"/>
      <c r="C342" s="348"/>
      <c r="D342" s="348"/>
      <c r="E342" s="348"/>
      <c r="F342" s="348"/>
      <c r="G342" s="348"/>
      <c r="H342" s="348"/>
      <c r="I342" s="348"/>
      <c r="J342" s="348"/>
      <c r="K342" s="348"/>
      <c r="L342" s="353"/>
      <c r="M342" s="352"/>
    </row>
    <row r="343" spans="1:13" x14ac:dyDescent="0.2">
      <c r="A343" s="348"/>
      <c r="B343" s="348"/>
      <c r="C343" s="348"/>
      <c r="D343" s="348"/>
      <c r="E343" s="348"/>
      <c r="F343" s="348"/>
      <c r="G343" s="348"/>
      <c r="H343" s="348"/>
      <c r="I343" s="348"/>
      <c r="J343" s="348"/>
      <c r="K343" s="348"/>
      <c r="L343" s="410"/>
      <c r="M343" s="352"/>
    </row>
    <row r="344" spans="1:13" x14ac:dyDescent="0.2">
      <c r="A344" s="374"/>
      <c r="B344" s="354"/>
      <c r="C344" s="354"/>
      <c r="D344" s="354"/>
      <c r="E344" s="354"/>
      <c r="F344" s="354"/>
      <c r="G344" s="354"/>
      <c r="H344" s="354"/>
      <c r="I344" s="354"/>
      <c r="J344" s="354"/>
      <c r="K344" s="354"/>
      <c r="L344" s="352"/>
      <c r="M344" s="352"/>
    </row>
    <row r="345" spans="1:13" x14ac:dyDescent="0.2">
      <c r="A345" s="354"/>
      <c r="B345" s="517"/>
      <c r="C345" s="517"/>
      <c r="D345" s="517"/>
      <c r="E345" s="369"/>
      <c r="F345" s="517"/>
      <c r="G345" s="517"/>
      <c r="H345" s="517"/>
      <c r="I345" s="369"/>
      <c r="J345" s="517"/>
      <c r="K345" s="517"/>
      <c r="L345" s="517"/>
      <c r="M345" s="352"/>
    </row>
    <row r="346" spans="1:13" x14ac:dyDescent="0.2">
      <c r="A346" s="374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52"/>
    </row>
    <row r="347" spans="1:13" x14ac:dyDescent="0.2">
      <c r="A347" s="374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52"/>
    </row>
    <row r="348" spans="1:13" x14ac:dyDescent="0.2">
      <c r="A348" s="348"/>
      <c r="B348" s="466"/>
      <c r="C348" s="466"/>
      <c r="D348" s="466"/>
      <c r="E348" s="467"/>
      <c r="F348" s="466"/>
      <c r="G348" s="466"/>
      <c r="H348" s="466"/>
      <c r="I348" s="467"/>
      <c r="J348" s="466"/>
      <c r="K348" s="466"/>
      <c r="L348" s="466"/>
      <c r="M348" s="352"/>
    </row>
    <row r="349" spans="1:13" x14ac:dyDescent="0.2">
      <c r="A349" s="348"/>
      <c r="B349" s="466"/>
      <c r="C349" s="466"/>
      <c r="D349" s="466"/>
      <c r="E349" s="467"/>
      <c r="F349" s="466"/>
      <c r="G349" s="466"/>
      <c r="H349" s="466"/>
      <c r="I349" s="467"/>
      <c r="J349" s="466"/>
      <c r="K349" s="466"/>
      <c r="L349" s="466"/>
      <c r="M349" s="352"/>
    </row>
    <row r="350" spans="1:13" x14ac:dyDescent="0.2">
      <c r="A350" s="348"/>
      <c r="B350" s="466"/>
      <c r="C350" s="466"/>
      <c r="D350" s="466"/>
      <c r="E350" s="467"/>
      <c r="F350" s="466"/>
      <c r="G350" s="466"/>
      <c r="H350" s="466"/>
      <c r="I350" s="467"/>
      <c r="J350" s="466"/>
      <c r="K350" s="466"/>
      <c r="L350" s="466"/>
      <c r="M350" s="352"/>
    </row>
    <row r="351" spans="1:13" x14ac:dyDescent="0.2">
      <c r="A351" s="348"/>
      <c r="B351" s="466"/>
      <c r="C351" s="466"/>
      <c r="D351" s="466"/>
      <c r="E351" s="467"/>
      <c r="F351" s="466"/>
      <c r="G351" s="466"/>
      <c r="H351" s="466"/>
      <c r="I351" s="467"/>
      <c r="J351" s="466"/>
      <c r="K351" s="466"/>
      <c r="L351" s="466"/>
      <c r="M351" s="352"/>
    </row>
    <row r="352" spans="1:13" x14ac:dyDescent="0.2">
      <c r="A352" s="348"/>
      <c r="B352" s="466"/>
      <c r="C352" s="466"/>
      <c r="D352" s="466"/>
      <c r="E352" s="467"/>
      <c r="F352" s="466"/>
      <c r="G352" s="466"/>
      <c r="H352" s="466"/>
      <c r="I352" s="467"/>
      <c r="J352" s="466"/>
      <c r="K352" s="466"/>
      <c r="L352" s="466"/>
      <c r="M352" s="352"/>
    </row>
    <row r="353" spans="1:13" x14ac:dyDescent="0.2">
      <c r="A353" s="348"/>
      <c r="B353" s="466"/>
      <c r="C353" s="466"/>
      <c r="D353" s="466"/>
      <c r="E353" s="467"/>
      <c r="F353" s="466"/>
      <c r="G353" s="466"/>
      <c r="H353" s="466"/>
      <c r="I353" s="467"/>
      <c r="J353" s="466"/>
      <c r="K353" s="466"/>
      <c r="L353" s="466"/>
      <c r="M353" s="352"/>
    </row>
    <row r="354" spans="1:13" x14ac:dyDescent="0.2">
      <c r="A354" s="348"/>
      <c r="B354" s="466"/>
      <c r="C354" s="466"/>
      <c r="D354" s="466"/>
      <c r="E354" s="467"/>
      <c r="F354" s="466"/>
      <c r="G354" s="466"/>
      <c r="H354" s="466"/>
      <c r="I354" s="467"/>
      <c r="J354" s="466"/>
      <c r="K354" s="466"/>
      <c r="L354" s="466"/>
      <c r="M354" s="352"/>
    </row>
    <row r="355" spans="1:13" x14ac:dyDescent="0.2">
      <c r="A355" s="348"/>
      <c r="B355" s="466"/>
      <c r="C355" s="466"/>
      <c r="D355" s="466"/>
      <c r="E355" s="467"/>
      <c r="F355" s="466"/>
      <c r="G355" s="466"/>
      <c r="H355" s="466"/>
      <c r="I355" s="467"/>
      <c r="J355" s="466"/>
      <c r="K355" s="466"/>
      <c r="L355" s="466"/>
      <c r="M355" s="352"/>
    </row>
    <row r="356" spans="1:13" x14ac:dyDescent="0.2">
      <c r="A356" s="348"/>
      <c r="B356" s="466"/>
      <c r="C356" s="466"/>
      <c r="D356" s="466"/>
      <c r="E356" s="467"/>
      <c r="F356" s="466"/>
      <c r="G356" s="466"/>
      <c r="H356" s="466"/>
      <c r="I356" s="467"/>
      <c r="J356" s="466"/>
      <c r="K356" s="466"/>
      <c r="L356" s="466"/>
      <c r="M356" s="352"/>
    </row>
    <row r="357" spans="1:13" x14ac:dyDescent="0.2">
      <c r="A357" s="348"/>
      <c r="B357" s="466"/>
      <c r="C357" s="466"/>
      <c r="D357" s="466"/>
      <c r="E357" s="467"/>
      <c r="F357" s="466"/>
      <c r="G357" s="466"/>
      <c r="H357" s="466"/>
      <c r="I357" s="467"/>
      <c r="J357" s="466"/>
      <c r="K357" s="466"/>
      <c r="L357" s="466"/>
      <c r="M357" s="352"/>
    </row>
    <row r="358" spans="1:13" x14ac:dyDescent="0.2">
      <c r="A358" s="348"/>
      <c r="B358" s="467"/>
      <c r="C358" s="467"/>
      <c r="D358" s="467"/>
      <c r="E358" s="467"/>
      <c r="F358" s="467"/>
      <c r="G358" s="467"/>
      <c r="H358" s="467"/>
      <c r="I358" s="467"/>
      <c r="J358" s="467"/>
      <c r="K358" s="467"/>
      <c r="L358" s="467"/>
      <c r="M358" s="352"/>
    </row>
    <row r="359" spans="1:13" x14ac:dyDescent="0.2">
      <c r="A359" s="348"/>
      <c r="B359" s="348"/>
      <c r="C359" s="348"/>
      <c r="D359" s="348"/>
      <c r="E359" s="348"/>
      <c r="F359" s="348"/>
      <c r="G359" s="348"/>
      <c r="H359" s="348"/>
      <c r="I359" s="348"/>
      <c r="J359" s="348"/>
      <c r="K359" s="348"/>
      <c r="L359" s="353"/>
      <c r="M359" s="352"/>
    </row>
    <row r="360" spans="1:13" x14ac:dyDescent="0.2">
      <c r="A360" s="348"/>
      <c r="B360" s="348"/>
      <c r="C360" s="348"/>
      <c r="D360" s="348"/>
      <c r="E360" s="348"/>
      <c r="F360" s="348"/>
      <c r="G360" s="348"/>
      <c r="H360" s="348"/>
      <c r="I360" s="348"/>
      <c r="J360" s="348"/>
      <c r="K360" s="348"/>
      <c r="L360" s="410"/>
      <c r="M360" s="352"/>
    </row>
    <row r="361" spans="1:13" x14ac:dyDescent="0.2">
      <c r="A361" s="374"/>
      <c r="B361" s="354"/>
      <c r="C361" s="354"/>
      <c r="D361" s="354"/>
      <c r="E361" s="354"/>
      <c r="F361" s="354"/>
      <c r="G361" s="354"/>
      <c r="H361" s="354"/>
      <c r="I361" s="354"/>
      <c r="J361" s="354"/>
      <c r="K361" s="354"/>
      <c r="L361" s="352"/>
      <c r="M361" s="352"/>
    </row>
    <row r="362" spans="1:13" x14ac:dyDescent="0.2">
      <c r="A362" s="354"/>
      <c r="B362" s="517"/>
      <c r="C362" s="517"/>
      <c r="D362" s="517"/>
      <c r="E362" s="369"/>
      <c r="F362" s="517"/>
      <c r="G362" s="517"/>
      <c r="H362" s="517"/>
      <c r="I362" s="369"/>
      <c r="J362" s="517"/>
      <c r="K362" s="517"/>
      <c r="L362" s="517"/>
      <c r="M362" s="352"/>
    </row>
    <row r="363" spans="1:13" x14ac:dyDescent="0.2">
      <c r="A363" s="374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52"/>
    </row>
    <row r="364" spans="1:13" x14ac:dyDescent="0.2">
      <c r="A364" s="374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52"/>
    </row>
    <row r="365" spans="1:13" x14ac:dyDescent="0.2">
      <c r="A365" s="348"/>
      <c r="B365" s="466"/>
      <c r="C365" s="466"/>
      <c r="D365" s="466"/>
      <c r="E365" s="467"/>
      <c r="F365" s="466"/>
      <c r="G365" s="466"/>
      <c r="H365" s="466"/>
      <c r="I365" s="467"/>
      <c r="J365" s="466"/>
      <c r="K365" s="466"/>
      <c r="L365" s="466"/>
      <c r="M365" s="352"/>
    </row>
    <row r="366" spans="1:13" x14ac:dyDescent="0.2">
      <c r="A366" s="348"/>
      <c r="B366" s="466"/>
      <c r="C366" s="466"/>
      <c r="D366" s="466"/>
      <c r="E366" s="467"/>
      <c r="F366" s="466"/>
      <c r="G366" s="466"/>
      <c r="H366" s="466"/>
      <c r="I366" s="467"/>
      <c r="J366" s="466"/>
      <c r="K366" s="466"/>
      <c r="L366" s="466"/>
      <c r="M366" s="352"/>
    </row>
    <row r="367" spans="1:13" x14ac:dyDescent="0.2">
      <c r="A367" s="348"/>
      <c r="B367" s="466"/>
      <c r="C367" s="466"/>
      <c r="D367" s="466"/>
      <c r="E367" s="467"/>
      <c r="F367" s="466"/>
      <c r="G367" s="466"/>
      <c r="H367" s="466"/>
      <c r="I367" s="467"/>
      <c r="J367" s="466"/>
      <c r="K367" s="466"/>
      <c r="L367" s="466"/>
      <c r="M367" s="352"/>
    </row>
    <row r="368" spans="1:13" x14ac:dyDescent="0.2">
      <c r="A368" s="348"/>
      <c r="B368" s="466"/>
      <c r="C368" s="466"/>
      <c r="D368" s="466"/>
      <c r="E368" s="467"/>
      <c r="F368" s="466"/>
      <c r="G368" s="466"/>
      <c r="H368" s="466"/>
      <c r="I368" s="467"/>
      <c r="J368" s="466"/>
      <c r="K368" s="466"/>
      <c r="L368" s="466"/>
      <c r="M368" s="352"/>
    </row>
    <row r="369" spans="1:13" x14ac:dyDescent="0.2">
      <c r="A369" s="348"/>
      <c r="B369" s="466"/>
      <c r="C369" s="466"/>
      <c r="D369" s="466"/>
      <c r="E369" s="467"/>
      <c r="F369" s="466"/>
      <c r="G369" s="466"/>
      <c r="H369" s="466"/>
      <c r="I369" s="467"/>
      <c r="J369" s="466"/>
      <c r="K369" s="466"/>
      <c r="L369" s="466"/>
      <c r="M369" s="352"/>
    </row>
    <row r="370" spans="1:13" x14ac:dyDescent="0.2">
      <c r="A370" s="348"/>
      <c r="B370" s="466"/>
      <c r="C370" s="466"/>
      <c r="D370" s="466"/>
      <c r="E370" s="467"/>
      <c r="F370" s="466"/>
      <c r="G370" s="466"/>
      <c r="H370" s="466"/>
      <c r="I370" s="467"/>
      <c r="J370" s="466"/>
      <c r="K370" s="466"/>
      <c r="L370" s="466"/>
      <c r="M370" s="352"/>
    </row>
    <row r="371" spans="1:13" x14ac:dyDescent="0.2">
      <c r="A371" s="348"/>
      <c r="B371" s="466"/>
      <c r="C371" s="466"/>
      <c r="D371" s="466"/>
      <c r="E371" s="467"/>
      <c r="F371" s="466"/>
      <c r="G371" s="466"/>
      <c r="H371" s="466"/>
      <c r="I371" s="467"/>
      <c r="J371" s="466"/>
      <c r="K371" s="466"/>
      <c r="L371" s="466"/>
      <c r="M371" s="352"/>
    </row>
    <row r="372" spans="1:13" x14ac:dyDescent="0.2">
      <c r="A372" s="348"/>
      <c r="B372" s="466"/>
      <c r="C372" s="466"/>
      <c r="D372" s="466"/>
      <c r="E372" s="467"/>
      <c r="F372" s="466"/>
      <c r="G372" s="466"/>
      <c r="H372" s="466"/>
      <c r="I372" s="467"/>
      <c r="J372" s="466"/>
      <c r="K372" s="466"/>
      <c r="L372" s="466"/>
      <c r="M372" s="352"/>
    </row>
    <row r="373" spans="1:13" x14ac:dyDescent="0.2">
      <c r="A373" s="348"/>
      <c r="B373" s="466"/>
      <c r="C373" s="466"/>
      <c r="D373" s="466"/>
      <c r="E373" s="467"/>
      <c r="F373" s="466"/>
      <c r="G373" s="466"/>
      <c r="H373" s="466"/>
      <c r="I373" s="467"/>
      <c r="J373" s="466"/>
      <c r="K373" s="466"/>
      <c r="L373" s="466"/>
      <c r="M373" s="352"/>
    </row>
    <row r="374" spans="1:13" x14ac:dyDescent="0.2">
      <c r="A374" s="348"/>
      <c r="B374" s="466"/>
      <c r="C374" s="466"/>
      <c r="D374" s="466"/>
      <c r="E374" s="467"/>
      <c r="F374" s="466"/>
      <c r="G374" s="466"/>
      <c r="H374" s="466"/>
      <c r="I374" s="467"/>
      <c r="J374" s="466"/>
      <c r="K374" s="466"/>
      <c r="L374" s="466"/>
      <c r="M374" s="352"/>
    </row>
    <row r="375" spans="1:13" x14ac:dyDescent="0.2">
      <c r="A375" s="348"/>
      <c r="B375" s="467"/>
      <c r="C375" s="467"/>
      <c r="D375" s="467"/>
      <c r="E375" s="467"/>
      <c r="F375" s="467"/>
      <c r="G375" s="467"/>
      <c r="H375" s="467"/>
      <c r="I375" s="467"/>
      <c r="J375" s="467"/>
      <c r="K375" s="467"/>
      <c r="L375" s="467"/>
      <c r="M375" s="352"/>
    </row>
    <row r="376" spans="1:13" x14ac:dyDescent="0.2">
      <c r="A376" s="348"/>
      <c r="B376" s="348"/>
      <c r="C376" s="348"/>
      <c r="D376" s="348"/>
      <c r="E376" s="348"/>
      <c r="F376" s="348"/>
      <c r="G376" s="348"/>
      <c r="H376" s="348"/>
      <c r="I376" s="348"/>
      <c r="J376" s="348"/>
      <c r="K376" s="348"/>
      <c r="L376" s="353"/>
      <c r="M376" s="352"/>
    </row>
    <row r="377" spans="1:13" x14ac:dyDescent="0.2">
      <c r="A377" s="348"/>
      <c r="B377" s="348"/>
      <c r="C377" s="348"/>
      <c r="D377" s="348"/>
      <c r="E377" s="348"/>
      <c r="F377" s="348"/>
      <c r="G377" s="348"/>
      <c r="H377" s="348"/>
      <c r="I377" s="348"/>
      <c r="J377" s="348"/>
      <c r="K377" s="348"/>
      <c r="L377" s="410"/>
      <c r="M377" s="352"/>
    </row>
    <row r="378" spans="1:13" x14ac:dyDescent="0.2">
      <c r="A378" s="374"/>
      <c r="B378" s="354"/>
      <c r="C378" s="354"/>
      <c r="D378" s="354"/>
      <c r="E378" s="354"/>
      <c r="F378" s="354"/>
      <c r="G378" s="354"/>
      <c r="H378" s="354"/>
      <c r="I378" s="354"/>
      <c r="J378" s="354"/>
      <c r="K378" s="354"/>
      <c r="L378" s="352"/>
      <c r="M378" s="352"/>
    </row>
    <row r="379" spans="1:13" x14ac:dyDescent="0.2">
      <c r="A379" s="354"/>
      <c r="B379" s="517"/>
      <c r="C379" s="517"/>
      <c r="D379" s="517"/>
      <c r="E379" s="369"/>
      <c r="F379" s="517"/>
      <c r="G379" s="517"/>
      <c r="H379" s="517"/>
      <c r="I379" s="369"/>
      <c r="J379" s="517"/>
      <c r="K379" s="517"/>
      <c r="L379" s="517"/>
      <c r="M379" s="352"/>
    </row>
    <row r="380" spans="1:13" x14ac:dyDescent="0.2">
      <c r="A380" s="374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52"/>
    </row>
    <row r="381" spans="1:13" x14ac:dyDescent="0.2">
      <c r="A381" s="374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52"/>
    </row>
    <row r="382" spans="1:13" x14ac:dyDescent="0.2">
      <c r="A382" s="348"/>
      <c r="B382" s="466"/>
      <c r="C382" s="466"/>
      <c r="D382" s="466"/>
      <c r="E382" s="467"/>
      <c r="F382" s="466"/>
      <c r="G382" s="466"/>
      <c r="H382" s="466"/>
      <c r="I382" s="467"/>
      <c r="J382" s="466"/>
      <c r="K382" s="466"/>
      <c r="L382" s="466"/>
      <c r="M382" s="352"/>
    </row>
    <row r="383" spans="1:13" x14ac:dyDescent="0.2">
      <c r="A383" s="348"/>
      <c r="B383" s="466"/>
      <c r="C383" s="466"/>
      <c r="D383" s="466"/>
      <c r="E383" s="467"/>
      <c r="F383" s="466"/>
      <c r="G383" s="466"/>
      <c r="H383" s="466"/>
      <c r="I383" s="467"/>
      <c r="J383" s="466"/>
      <c r="K383" s="466"/>
      <c r="L383" s="466"/>
      <c r="M383" s="352"/>
    </row>
    <row r="384" spans="1:13" x14ac:dyDescent="0.2">
      <c r="A384" s="348"/>
      <c r="B384" s="466"/>
      <c r="C384" s="466"/>
      <c r="D384" s="466"/>
      <c r="E384" s="467"/>
      <c r="F384" s="466"/>
      <c r="G384" s="466"/>
      <c r="H384" s="466"/>
      <c r="I384" s="467"/>
      <c r="J384" s="466"/>
      <c r="K384" s="466"/>
      <c r="L384" s="466"/>
      <c r="M384" s="352"/>
    </row>
    <row r="385" spans="1:13" x14ac:dyDescent="0.2">
      <c r="A385" s="348"/>
      <c r="B385" s="466"/>
      <c r="C385" s="466"/>
      <c r="D385" s="466"/>
      <c r="E385" s="467"/>
      <c r="F385" s="466"/>
      <c r="G385" s="466"/>
      <c r="H385" s="466"/>
      <c r="I385" s="467"/>
      <c r="J385" s="466"/>
      <c r="K385" s="466"/>
      <c r="L385" s="466"/>
      <c r="M385" s="352"/>
    </row>
    <row r="386" spans="1:13" x14ac:dyDescent="0.2">
      <c r="A386" s="348"/>
      <c r="B386" s="466"/>
      <c r="C386" s="466"/>
      <c r="D386" s="466"/>
      <c r="E386" s="467"/>
      <c r="F386" s="466"/>
      <c r="G386" s="466"/>
      <c r="H386" s="466"/>
      <c r="I386" s="467"/>
      <c r="J386" s="466"/>
      <c r="K386" s="466"/>
      <c r="L386" s="466"/>
      <c r="M386" s="352"/>
    </row>
    <row r="387" spans="1:13" x14ac:dyDescent="0.2">
      <c r="A387" s="348"/>
      <c r="B387" s="466"/>
      <c r="C387" s="466"/>
      <c r="D387" s="466"/>
      <c r="E387" s="467"/>
      <c r="F387" s="466"/>
      <c r="G387" s="466"/>
      <c r="H387" s="466"/>
      <c r="I387" s="467"/>
      <c r="J387" s="466"/>
      <c r="K387" s="466"/>
      <c r="L387" s="466"/>
      <c r="M387" s="352"/>
    </row>
    <row r="388" spans="1:13" x14ac:dyDescent="0.2">
      <c r="A388" s="348"/>
      <c r="B388" s="466"/>
      <c r="C388" s="466"/>
      <c r="D388" s="466"/>
      <c r="E388" s="467"/>
      <c r="F388" s="466"/>
      <c r="G388" s="466"/>
      <c r="H388" s="466"/>
      <c r="I388" s="467"/>
      <c r="J388" s="466"/>
      <c r="K388" s="466"/>
      <c r="L388" s="466"/>
      <c r="M388" s="352"/>
    </row>
    <row r="389" spans="1:13" x14ac:dyDescent="0.2">
      <c r="A389" s="348"/>
      <c r="B389" s="466"/>
      <c r="C389" s="466"/>
      <c r="D389" s="466"/>
      <c r="E389" s="467"/>
      <c r="F389" s="466"/>
      <c r="G389" s="466"/>
      <c r="H389" s="466"/>
      <c r="I389" s="467"/>
      <c r="J389" s="466"/>
      <c r="K389" s="466"/>
      <c r="L389" s="466"/>
      <c r="M389" s="352"/>
    </row>
    <row r="390" spans="1:13" x14ac:dyDescent="0.2">
      <c r="A390" s="348"/>
      <c r="B390" s="466"/>
      <c r="C390" s="466"/>
      <c r="D390" s="466"/>
      <c r="E390" s="467"/>
      <c r="F390" s="466"/>
      <c r="G390" s="466"/>
      <c r="H390" s="466"/>
      <c r="I390" s="467"/>
      <c r="J390" s="466"/>
      <c r="K390" s="466"/>
      <c r="L390" s="466"/>
      <c r="M390" s="352"/>
    </row>
    <row r="391" spans="1:13" x14ac:dyDescent="0.2">
      <c r="A391" s="348"/>
      <c r="B391" s="466"/>
      <c r="C391" s="466"/>
      <c r="D391" s="466"/>
      <c r="E391" s="467"/>
      <c r="F391" s="466"/>
      <c r="G391" s="466"/>
      <c r="H391" s="466"/>
      <c r="I391" s="467"/>
      <c r="J391" s="466"/>
      <c r="K391" s="466"/>
      <c r="L391" s="466"/>
      <c r="M391" s="352"/>
    </row>
    <row r="392" spans="1:13" x14ac:dyDescent="0.2">
      <c r="A392" s="348"/>
      <c r="B392" s="467"/>
      <c r="C392" s="467"/>
      <c r="D392" s="467"/>
      <c r="E392" s="467"/>
      <c r="F392" s="467"/>
      <c r="G392" s="467"/>
      <c r="H392" s="467"/>
      <c r="I392" s="467"/>
      <c r="J392" s="467"/>
      <c r="K392" s="467"/>
      <c r="L392" s="467"/>
      <c r="M392" s="352"/>
    </row>
    <row r="393" spans="1:13" x14ac:dyDescent="0.2">
      <c r="A393" s="348"/>
      <c r="B393" s="348"/>
      <c r="C393" s="348"/>
      <c r="D393" s="348"/>
      <c r="E393" s="348"/>
      <c r="F393" s="348"/>
      <c r="G393" s="348"/>
      <c r="H393" s="348"/>
      <c r="I393" s="348"/>
      <c r="J393" s="348"/>
      <c r="K393" s="348"/>
      <c r="L393" s="353"/>
      <c r="M393" s="352"/>
    </row>
    <row r="394" spans="1:13" x14ac:dyDescent="0.2">
      <c r="A394" s="348"/>
      <c r="B394" s="348"/>
      <c r="C394" s="348"/>
      <c r="D394" s="348"/>
      <c r="E394" s="348"/>
      <c r="F394" s="348"/>
      <c r="G394" s="348"/>
      <c r="H394" s="348"/>
      <c r="I394" s="348"/>
      <c r="J394" s="348"/>
      <c r="K394" s="348"/>
      <c r="L394" s="410"/>
      <c r="M394" s="352"/>
    </row>
    <row r="395" spans="1:13" x14ac:dyDescent="0.2">
      <c r="A395" s="374"/>
      <c r="B395" s="354"/>
      <c r="C395" s="354"/>
      <c r="D395" s="354"/>
      <c r="E395" s="354"/>
      <c r="F395" s="354"/>
      <c r="G395" s="354"/>
      <c r="H395" s="354"/>
      <c r="I395" s="354"/>
      <c r="J395" s="354"/>
      <c r="K395" s="354"/>
      <c r="L395" s="352"/>
      <c r="M395" s="352"/>
    </row>
    <row r="396" spans="1:13" x14ac:dyDescent="0.2">
      <c r="A396" s="354"/>
      <c r="B396" s="517"/>
      <c r="C396" s="517"/>
      <c r="D396" s="517"/>
      <c r="E396" s="369"/>
      <c r="F396" s="517"/>
      <c r="G396" s="517"/>
      <c r="H396" s="517"/>
      <c r="I396" s="369"/>
      <c r="J396" s="517"/>
      <c r="K396" s="517"/>
      <c r="L396" s="517"/>
      <c r="M396" s="352"/>
    </row>
    <row r="397" spans="1:13" x14ac:dyDescent="0.2">
      <c r="A397" s="374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52"/>
    </row>
    <row r="398" spans="1:13" x14ac:dyDescent="0.2">
      <c r="A398" s="374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52"/>
    </row>
    <row r="399" spans="1:13" x14ac:dyDescent="0.2">
      <c r="A399" s="348"/>
      <c r="B399" s="466"/>
      <c r="C399" s="466"/>
      <c r="D399" s="466"/>
      <c r="E399" s="467"/>
      <c r="F399" s="466"/>
      <c r="G399" s="466"/>
      <c r="H399" s="466"/>
      <c r="I399" s="467"/>
      <c r="J399" s="466"/>
      <c r="K399" s="466"/>
      <c r="L399" s="466"/>
      <c r="M399" s="352"/>
    </row>
    <row r="400" spans="1:13" x14ac:dyDescent="0.2">
      <c r="A400" s="348"/>
      <c r="B400" s="466"/>
      <c r="C400" s="466"/>
      <c r="D400" s="466"/>
      <c r="E400" s="467"/>
      <c r="F400" s="466"/>
      <c r="G400" s="466"/>
      <c r="H400" s="466"/>
      <c r="I400" s="467"/>
      <c r="J400" s="466"/>
      <c r="K400" s="466"/>
      <c r="L400" s="466"/>
      <c r="M400" s="352"/>
    </row>
    <row r="401" spans="1:13" x14ac:dyDescent="0.2">
      <c r="A401" s="348"/>
      <c r="B401" s="466"/>
      <c r="C401" s="466"/>
      <c r="D401" s="466"/>
      <c r="E401" s="467"/>
      <c r="F401" s="466"/>
      <c r="G401" s="466"/>
      <c r="H401" s="466"/>
      <c r="I401" s="467"/>
      <c r="J401" s="466"/>
      <c r="K401" s="466"/>
      <c r="L401" s="466"/>
      <c r="M401" s="352"/>
    </row>
    <row r="402" spans="1:13" x14ac:dyDescent="0.2">
      <c r="A402" s="348"/>
      <c r="B402" s="466"/>
      <c r="C402" s="466"/>
      <c r="D402" s="466"/>
      <c r="E402" s="467"/>
      <c r="F402" s="466"/>
      <c r="G402" s="466"/>
      <c r="H402" s="466"/>
      <c r="I402" s="467"/>
      <c r="J402" s="466"/>
      <c r="K402" s="466"/>
      <c r="L402" s="466"/>
      <c r="M402" s="352"/>
    </row>
    <row r="403" spans="1:13" x14ac:dyDescent="0.2">
      <c r="A403" s="348"/>
      <c r="B403" s="466"/>
      <c r="C403" s="466"/>
      <c r="D403" s="466"/>
      <c r="E403" s="467"/>
      <c r="F403" s="466"/>
      <c r="G403" s="466"/>
      <c r="H403" s="466"/>
      <c r="I403" s="467"/>
      <c r="J403" s="466"/>
      <c r="K403" s="466"/>
      <c r="L403" s="466"/>
      <c r="M403" s="352"/>
    </row>
    <row r="404" spans="1:13" x14ac:dyDescent="0.2">
      <c r="A404" s="348"/>
      <c r="B404" s="466"/>
      <c r="C404" s="466"/>
      <c r="D404" s="466"/>
      <c r="E404" s="467"/>
      <c r="F404" s="466"/>
      <c r="G404" s="466"/>
      <c r="H404" s="466"/>
      <c r="I404" s="467"/>
      <c r="J404" s="466"/>
      <c r="K404" s="466"/>
      <c r="L404" s="466"/>
      <c r="M404" s="352"/>
    </row>
    <row r="405" spans="1:13" x14ac:dyDescent="0.2">
      <c r="A405" s="348"/>
      <c r="B405" s="466"/>
      <c r="C405" s="466"/>
      <c r="D405" s="466"/>
      <c r="E405" s="467"/>
      <c r="F405" s="466"/>
      <c r="G405" s="466"/>
      <c r="H405" s="466"/>
      <c r="I405" s="467"/>
      <c r="J405" s="466"/>
      <c r="K405" s="466"/>
      <c r="L405" s="466"/>
      <c r="M405" s="352"/>
    </row>
    <row r="406" spans="1:13" x14ac:dyDescent="0.2">
      <c r="A406" s="348"/>
      <c r="B406" s="466"/>
      <c r="C406" s="466"/>
      <c r="D406" s="466"/>
      <c r="E406" s="467"/>
      <c r="F406" s="466"/>
      <c r="G406" s="466"/>
      <c r="H406" s="466"/>
      <c r="I406" s="467"/>
      <c r="J406" s="466"/>
      <c r="K406" s="466"/>
      <c r="L406" s="466"/>
      <c r="M406" s="352"/>
    </row>
    <row r="407" spans="1:13" x14ac:dyDescent="0.2">
      <c r="A407" s="348"/>
      <c r="B407" s="466"/>
      <c r="C407" s="466"/>
      <c r="D407" s="466"/>
      <c r="E407" s="467"/>
      <c r="F407" s="466"/>
      <c r="G407" s="466"/>
      <c r="H407" s="466"/>
      <c r="I407" s="467"/>
      <c r="J407" s="466"/>
      <c r="K407" s="466"/>
      <c r="L407" s="466"/>
      <c r="M407" s="352"/>
    </row>
    <row r="408" spans="1:13" x14ac:dyDescent="0.2">
      <c r="A408" s="348"/>
      <c r="B408" s="466"/>
      <c r="C408" s="466"/>
      <c r="D408" s="466"/>
      <c r="E408" s="467"/>
      <c r="F408" s="466"/>
      <c r="G408" s="466"/>
      <c r="H408" s="466"/>
      <c r="I408" s="467"/>
      <c r="J408" s="466"/>
      <c r="K408" s="466"/>
      <c r="L408" s="466"/>
      <c r="M408" s="352"/>
    </row>
    <row r="409" spans="1:13" x14ac:dyDescent="0.2">
      <c r="A409" s="348"/>
      <c r="B409" s="467"/>
      <c r="C409" s="467"/>
      <c r="D409" s="467"/>
      <c r="E409" s="467"/>
      <c r="F409" s="467"/>
      <c r="G409" s="467"/>
      <c r="H409" s="467"/>
      <c r="I409" s="467"/>
      <c r="J409" s="467"/>
      <c r="K409" s="467"/>
      <c r="L409" s="467"/>
      <c r="M409" s="352"/>
    </row>
    <row r="410" spans="1:13" x14ac:dyDescent="0.2">
      <c r="A410" s="348"/>
      <c r="B410" s="348"/>
      <c r="C410" s="348"/>
      <c r="D410" s="348"/>
      <c r="E410" s="348"/>
      <c r="F410" s="348"/>
      <c r="G410" s="348"/>
      <c r="H410" s="348"/>
      <c r="I410" s="348"/>
      <c r="J410" s="348"/>
      <c r="K410" s="348"/>
      <c r="L410" s="353"/>
      <c r="M410" s="352"/>
    </row>
    <row r="411" spans="1:13" x14ac:dyDescent="0.2">
      <c r="A411" s="348"/>
      <c r="B411" s="348"/>
      <c r="C411" s="348"/>
      <c r="D411" s="348"/>
      <c r="E411" s="348"/>
      <c r="F411" s="348"/>
      <c r="G411" s="348"/>
      <c r="H411" s="348"/>
      <c r="I411" s="348"/>
      <c r="J411" s="348"/>
      <c r="K411" s="348"/>
      <c r="L411" s="410"/>
      <c r="M411" s="352"/>
    </row>
    <row r="412" spans="1:13" x14ac:dyDescent="0.2">
      <c r="A412" s="374"/>
      <c r="B412" s="354"/>
      <c r="C412" s="354"/>
      <c r="D412" s="354"/>
      <c r="E412" s="354"/>
      <c r="F412" s="354"/>
      <c r="G412" s="354"/>
      <c r="H412" s="354"/>
      <c r="I412" s="354"/>
      <c r="J412" s="354"/>
      <c r="K412" s="354"/>
      <c r="L412" s="352"/>
      <c r="M412" s="352"/>
    </row>
    <row r="413" spans="1:13" x14ac:dyDescent="0.2">
      <c r="A413" s="354"/>
      <c r="B413" s="517"/>
      <c r="C413" s="517"/>
      <c r="D413" s="517"/>
      <c r="E413" s="369"/>
      <c r="F413" s="517"/>
      <c r="G413" s="517"/>
      <c r="H413" s="517"/>
      <c r="I413" s="369"/>
      <c r="J413" s="517"/>
      <c r="K413" s="517"/>
      <c r="L413" s="517"/>
      <c r="M413" s="352"/>
    </row>
    <row r="414" spans="1:13" x14ac:dyDescent="0.2">
      <c r="A414" s="374"/>
      <c r="B414" s="375"/>
      <c r="C414" s="375"/>
      <c r="D414" s="375"/>
      <c r="E414" s="375"/>
      <c r="F414" s="375"/>
      <c r="G414" s="375"/>
      <c r="H414" s="375"/>
      <c r="I414" s="375"/>
      <c r="J414" s="375"/>
      <c r="K414" s="375"/>
      <c r="L414" s="375"/>
      <c r="M414" s="352"/>
    </row>
    <row r="415" spans="1:13" x14ac:dyDescent="0.2">
      <c r="A415" s="374"/>
      <c r="B415" s="375"/>
      <c r="C415" s="375"/>
      <c r="D415" s="375"/>
      <c r="E415" s="375"/>
      <c r="F415" s="375"/>
      <c r="G415" s="375"/>
      <c r="H415" s="375"/>
      <c r="I415" s="375"/>
      <c r="J415" s="375"/>
      <c r="K415" s="375"/>
      <c r="L415" s="375"/>
      <c r="M415" s="352"/>
    </row>
    <row r="416" spans="1:13" x14ac:dyDescent="0.2">
      <c r="A416" s="348"/>
      <c r="B416" s="466"/>
      <c r="C416" s="466"/>
      <c r="D416" s="466"/>
      <c r="E416" s="467"/>
      <c r="F416" s="466"/>
      <c r="G416" s="466"/>
      <c r="H416" s="466"/>
      <c r="I416" s="467"/>
      <c r="J416" s="466"/>
      <c r="K416" s="466"/>
      <c r="L416" s="466"/>
      <c r="M416" s="352"/>
    </row>
    <row r="417" spans="1:13" x14ac:dyDescent="0.2">
      <c r="A417" s="348"/>
      <c r="B417" s="466"/>
      <c r="C417" s="466"/>
      <c r="D417" s="466"/>
      <c r="E417" s="467"/>
      <c r="F417" s="466"/>
      <c r="G417" s="466"/>
      <c r="H417" s="466"/>
      <c r="I417" s="467"/>
      <c r="J417" s="466"/>
      <c r="K417" s="466"/>
      <c r="L417" s="466"/>
      <c r="M417" s="352"/>
    </row>
    <row r="418" spans="1:13" x14ac:dyDescent="0.2">
      <c r="A418" s="348"/>
      <c r="B418" s="466"/>
      <c r="C418" s="466"/>
      <c r="D418" s="466"/>
      <c r="E418" s="467"/>
      <c r="F418" s="466"/>
      <c r="G418" s="466"/>
      <c r="H418" s="466"/>
      <c r="I418" s="467"/>
      <c r="J418" s="466"/>
      <c r="K418" s="466"/>
      <c r="L418" s="466"/>
      <c r="M418" s="352"/>
    </row>
    <row r="419" spans="1:13" x14ac:dyDescent="0.2">
      <c r="A419" s="348"/>
      <c r="B419" s="466"/>
      <c r="C419" s="466"/>
      <c r="D419" s="466"/>
      <c r="E419" s="467"/>
      <c r="F419" s="466"/>
      <c r="G419" s="466"/>
      <c r="H419" s="466"/>
      <c r="I419" s="467"/>
      <c r="J419" s="466"/>
      <c r="K419" s="466"/>
      <c r="L419" s="466"/>
      <c r="M419" s="352"/>
    </row>
    <row r="420" spans="1:13" x14ac:dyDescent="0.2">
      <c r="A420" s="348"/>
      <c r="B420" s="466"/>
      <c r="C420" s="466"/>
      <c r="D420" s="466"/>
      <c r="E420" s="467"/>
      <c r="F420" s="466"/>
      <c r="G420" s="466"/>
      <c r="H420" s="466"/>
      <c r="I420" s="467"/>
      <c r="J420" s="466"/>
      <c r="K420" s="466"/>
      <c r="L420" s="466"/>
      <c r="M420" s="352"/>
    </row>
    <row r="421" spans="1:13" x14ac:dyDescent="0.2">
      <c r="A421" s="348"/>
      <c r="B421" s="466"/>
      <c r="C421" s="466"/>
      <c r="D421" s="466"/>
      <c r="E421" s="467"/>
      <c r="F421" s="466"/>
      <c r="G421" s="466"/>
      <c r="H421" s="466"/>
      <c r="I421" s="467"/>
      <c r="J421" s="466"/>
      <c r="K421" s="466"/>
      <c r="L421" s="466"/>
      <c r="M421" s="352"/>
    </row>
    <row r="422" spans="1:13" x14ac:dyDescent="0.2">
      <c r="A422" s="348"/>
      <c r="B422" s="466"/>
      <c r="C422" s="466"/>
      <c r="D422" s="466"/>
      <c r="E422" s="467"/>
      <c r="F422" s="466"/>
      <c r="G422" s="466"/>
      <c r="H422" s="466"/>
      <c r="I422" s="467"/>
      <c r="J422" s="466"/>
      <c r="K422" s="466"/>
      <c r="L422" s="466"/>
      <c r="M422" s="352"/>
    </row>
    <row r="423" spans="1:13" x14ac:dyDescent="0.2">
      <c r="A423" s="348"/>
      <c r="B423" s="466"/>
      <c r="C423" s="466"/>
      <c r="D423" s="466"/>
      <c r="E423" s="467"/>
      <c r="F423" s="466"/>
      <c r="G423" s="466"/>
      <c r="H423" s="466"/>
      <c r="I423" s="467"/>
      <c r="J423" s="466"/>
      <c r="K423" s="466"/>
      <c r="L423" s="466"/>
      <c r="M423" s="352"/>
    </row>
    <row r="424" spans="1:13" x14ac:dyDescent="0.2">
      <c r="A424" s="348"/>
      <c r="B424" s="466"/>
      <c r="C424" s="466"/>
      <c r="D424" s="466"/>
      <c r="E424" s="467"/>
      <c r="F424" s="466"/>
      <c r="G424" s="466"/>
      <c r="H424" s="466"/>
      <c r="I424" s="467"/>
      <c r="J424" s="466"/>
      <c r="K424" s="466"/>
      <c r="L424" s="466"/>
      <c r="M424" s="352"/>
    </row>
    <row r="425" spans="1:13" x14ac:dyDescent="0.2">
      <c r="A425" s="348"/>
      <c r="B425" s="466"/>
      <c r="C425" s="466"/>
      <c r="D425" s="466"/>
      <c r="E425" s="467"/>
      <c r="F425" s="466"/>
      <c r="G425" s="466"/>
      <c r="H425" s="466"/>
      <c r="I425" s="467"/>
      <c r="J425" s="466"/>
      <c r="K425" s="466"/>
      <c r="L425" s="466"/>
      <c r="M425" s="352"/>
    </row>
    <row r="426" spans="1:13" x14ac:dyDescent="0.2">
      <c r="A426" s="348"/>
      <c r="B426" s="467"/>
      <c r="C426" s="467"/>
      <c r="D426" s="467"/>
      <c r="E426" s="467"/>
      <c r="F426" s="467"/>
      <c r="G426" s="467"/>
      <c r="H426" s="467"/>
      <c r="I426" s="467"/>
      <c r="J426" s="467"/>
      <c r="K426" s="467"/>
      <c r="L426" s="467"/>
      <c r="M426" s="352"/>
    </row>
    <row r="427" spans="1:13" x14ac:dyDescent="0.2">
      <c r="A427" s="348"/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53"/>
      <c r="M427" s="352"/>
    </row>
    <row r="428" spans="1:13" x14ac:dyDescent="0.2">
      <c r="A428" s="348"/>
      <c r="B428" s="348"/>
      <c r="C428" s="348"/>
      <c r="D428" s="348"/>
      <c r="E428" s="348"/>
      <c r="F428" s="348"/>
      <c r="G428" s="348"/>
      <c r="H428" s="348"/>
      <c r="I428" s="348"/>
      <c r="J428" s="348"/>
      <c r="K428" s="348"/>
      <c r="L428" s="410"/>
      <c r="M428" s="352"/>
    </row>
    <row r="429" spans="1:13" x14ac:dyDescent="0.2">
      <c r="A429" s="374"/>
      <c r="B429" s="354"/>
      <c r="C429" s="354"/>
      <c r="D429" s="354"/>
      <c r="E429" s="354"/>
      <c r="F429" s="354"/>
      <c r="G429" s="354"/>
      <c r="H429" s="354"/>
      <c r="I429" s="354"/>
      <c r="J429" s="354"/>
      <c r="K429" s="354"/>
      <c r="L429" s="352"/>
      <c r="M429" s="352"/>
    </row>
    <row r="430" spans="1:13" x14ac:dyDescent="0.2">
      <c r="A430" s="354"/>
      <c r="B430" s="517"/>
      <c r="C430" s="517"/>
      <c r="D430" s="517"/>
      <c r="E430" s="369"/>
      <c r="F430" s="517"/>
      <c r="G430" s="517"/>
      <c r="H430" s="517"/>
      <c r="I430" s="369"/>
      <c r="J430" s="517"/>
      <c r="K430" s="517"/>
      <c r="L430" s="517"/>
      <c r="M430" s="352"/>
    </row>
    <row r="431" spans="1:13" x14ac:dyDescent="0.2">
      <c r="A431" s="374"/>
      <c r="B431" s="375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52"/>
    </row>
    <row r="432" spans="1:13" x14ac:dyDescent="0.2">
      <c r="A432" s="374"/>
      <c r="B432" s="375"/>
      <c r="C432" s="375"/>
      <c r="D432" s="375"/>
      <c r="E432" s="375"/>
      <c r="F432" s="375"/>
      <c r="G432" s="375"/>
      <c r="H432" s="375"/>
      <c r="I432" s="375"/>
      <c r="J432" s="375"/>
      <c r="K432" s="375"/>
      <c r="L432" s="375"/>
      <c r="M432" s="352"/>
    </row>
    <row r="433" spans="1:13" x14ac:dyDescent="0.2">
      <c r="A433" s="348"/>
      <c r="B433" s="466"/>
      <c r="C433" s="466"/>
      <c r="D433" s="466"/>
      <c r="E433" s="467"/>
      <c r="F433" s="466"/>
      <c r="G433" s="466"/>
      <c r="H433" s="466"/>
      <c r="I433" s="467"/>
      <c r="J433" s="466"/>
      <c r="K433" s="466"/>
      <c r="L433" s="466"/>
      <c r="M433" s="352"/>
    </row>
    <row r="434" spans="1:13" x14ac:dyDescent="0.2">
      <c r="A434" s="348"/>
      <c r="B434" s="466"/>
      <c r="C434" s="466"/>
      <c r="D434" s="466"/>
      <c r="E434" s="467"/>
      <c r="F434" s="466"/>
      <c r="G434" s="466"/>
      <c r="H434" s="466"/>
      <c r="I434" s="467"/>
      <c r="J434" s="466"/>
      <c r="K434" s="466"/>
      <c r="L434" s="466"/>
      <c r="M434" s="352"/>
    </row>
    <row r="435" spans="1:13" x14ac:dyDescent="0.2">
      <c r="A435" s="348"/>
      <c r="B435" s="466"/>
      <c r="C435" s="466"/>
      <c r="D435" s="466"/>
      <c r="E435" s="467"/>
      <c r="F435" s="466"/>
      <c r="G435" s="466"/>
      <c r="H435" s="466"/>
      <c r="I435" s="467"/>
      <c r="J435" s="466"/>
      <c r="K435" s="466"/>
      <c r="L435" s="466"/>
      <c r="M435" s="352"/>
    </row>
    <row r="436" spans="1:13" x14ac:dyDescent="0.2">
      <c r="A436" s="348"/>
      <c r="B436" s="466"/>
      <c r="C436" s="466"/>
      <c r="D436" s="466"/>
      <c r="E436" s="467"/>
      <c r="F436" s="466"/>
      <c r="G436" s="466"/>
      <c r="H436" s="466"/>
      <c r="I436" s="467"/>
      <c r="J436" s="466"/>
      <c r="K436" s="466"/>
      <c r="L436" s="466"/>
      <c r="M436" s="352"/>
    </row>
    <row r="437" spans="1:13" x14ac:dyDescent="0.2">
      <c r="A437" s="348"/>
      <c r="B437" s="466"/>
      <c r="C437" s="466"/>
      <c r="D437" s="466"/>
      <c r="E437" s="467"/>
      <c r="F437" s="466"/>
      <c r="G437" s="466"/>
      <c r="H437" s="466"/>
      <c r="I437" s="467"/>
      <c r="J437" s="466"/>
      <c r="K437" s="466"/>
      <c r="L437" s="466"/>
      <c r="M437" s="352"/>
    </row>
    <row r="438" spans="1:13" x14ac:dyDescent="0.2">
      <c r="A438" s="348"/>
      <c r="B438" s="466"/>
      <c r="C438" s="466"/>
      <c r="D438" s="466"/>
      <c r="E438" s="467"/>
      <c r="F438" s="466"/>
      <c r="G438" s="466"/>
      <c r="H438" s="466"/>
      <c r="I438" s="467"/>
      <c r="J438" s="466"/>
      <c r="K438" s="466"/>
      <c r="L438" s="466"/>
      <c r="M438" s="352"/>
    </row>
    <row r="439" spans="1:13" x14ac:dyDescent="0.2">
      <c r="A439" s="348"/>
      <c r="B439" s="466"/>
      <c r="C439" s="466"/>
      <c r="D439" s="466"/>
      <c r="E439" s="467"/>
      <c r="F439" s="466"/>
      <c r="G439" s="466"/>
      <c r="H439" s="466"/>
      <c r="I439" s="467"/>
      <c r="J439" s="466"/>
      <c r="K439" s="466"/>
      <c r="L439" s="466"/>
      <c r="M439" s="352"/>
    </row>
    <row r="440" spans="1:13" x14ac:dyDescent="0.2">
      <c r="A440" s="348"/>
      <c r="B440" s="466"/>
      <c r="C440" s="466"/>
      <c r="D440" s="466"/>
      <c r="E440" s="467"/>
      <c r="F440" s="466"/>
      <c r="G440" s="466"/>
      <c r="H440" s="466"/>
      <c r="I440" s="467"/>
      <c r="J440" s="466"/>
      <c r="K440" s="466"/>
      <c r="L440" s="466"/>
      <c r="M440" s="352"/>
    </row>
    <row r="441" spans="1:13" x14ac:dyDescent="0.2">
      <c r="A441" s="348"/>
      <c r="B441" s="466"/>
      <c r="C441" s="466"/>
      <c r="D441" s="466"/>
      <c r="E441" s="467"/>
      <c r="F441" s="466"/>
      <c r="G441" s="466"/>
      <c r="H441" s="466"/>
      <c r="I441" s="467"/>
      <c r="J441" s="466"/>
      <c r="K441" s="466"/>
      <c r="L441" s="466"/>
      <c r="M441" s="352"/>
    </row>
    <row r="442" spans="1:13" x14ac:dyDescent="0.2">
      <c r="A442" s="348"/>
      <c r="B442" s="466"/>
      <c r="C442" s="466"/>
      <c r="D442" s="466"/>
      <c r="E442" s="467"/>
      <c r="F442" s="466"/>
      <c r="G442" s="466"/>
      <c r="H442" s="466"/>
      <c r="I442" s="467"/>
      <c r="J442" s="466"/>
      <c r="K442" s="466"/>
      <c r="L442" s="466"/>
      <c r="M442" s="352"/>
    </row>
    <row r="443" spans="1:13" x14ac:dyDescent="0.2">
      <c r="A443" s="348"/>
      <c r="B443" s="467"/>
      <c r="C443" s="467"/>
      <c r="D443" s="467"/>
      <c r="E443" s="467"/>
      <c r="F443" s="467"/>
      <c r="G443" s="467"/>
      <c r="H443" s="467"/>
      <c r="I443" s="467"/>
      <c r="J443" s="467"/>
      <c r="K443" s="467"/>
      <c r="L443" s="467"/>
      <c r="M443" s="352"/>
    </row>
    <row r="444" spans="1:13" x14ac:dyDescent="0.2">
      <c r="A444" s="348"/>
      <c r="B444" s="348"/>
      <c r="C444" s="348"/>
      <c r="D444" s="348"/>
      <c r="E444" s="348"/>
      <c r="F444" s="348"/>
      <c r="G444" s="348"/>
      <c r="H444" s="348"/>
      <c r="I444" s="348"/>
      <c r="J444" s="348"/>
      <c r="K444" s="348"/>
      <c r="L444" s="353"/>
      <c r="M444" s="352"/>
    </row>
    <row r="445" spans="1:13" x14ac:dyDescent="0.2">
      <c r="A445" s="348"/>
      <c r="B445" s="348"/>
      <c r="C445" s="348"/>
      <c r="D445" s="348"/>
      <c r="E445" s="348"/>
      <c r="F445" s="348"/>
      <c r="G445" s="348"/>
      <c r="H445" s="348"/>
      <c r="I445" s="348"/>
      <c r="J445" s="348"/>
      <c r="K445" s="348"/>
      <c r="L445" s="410"/>
      <c r="M445" s="352"/>
    </row>
    <row r="446" spans="1:13" x14ac:dyDescent="0.2">
      <c r="A446" s="374"/>
      <c r="B446" s="354"/>
      <c r="C446" s="354"/>
      <c r="D446" s="354"/>
      <c r="E446" s="354"/>
      <c r="F446" s="354"/>
      <c r="G446" s="354"/>
      <c r="H446" s="354"/>
      <c r="I446" s="354"/>
      <c r="J446" s="354"/>
      <c r="K446" s="354"/>
      <c r="L446" s="352"/>
      <c r="M446" s="352"/>
    </row>
    <row r="447" spans="1:13" x14ac:dyDescent="0.2">
      <c r="A447" s="354"/>
      <c r="B447" s="517"/>
      <c r="C447" s="517"/>
      <c r="D447" s="517"/>
      <c r="E447" s="369"/>
      <c r="F447" s="517"/>
      <c r="G447" s="517"/>
      <c r="H447" s="517"/>
      <c r="I447" s="369"/>
      <c r="J447" s="517"/>
      <c r="K447" s="517"/>
      <c r="L447" s="517"/>
      <c r="M447" s="352"/>
    </row>
    <row r="448" spans="1:13" x14ac:dyDescent="0.2">
      <c r="A448" s="374"/>
      <c r="B448" s="375"/>
      <c r="C448" s="375"/>
      <c r="D448" s="375"/>
      <c r="E448" s="375"/>
      <c r="F448" s="375"/>
      <c r="G448" s="375"/>
      <c r="H448" s="375"/>
      <c r="I448" s="375"/>
      <c r="J448" s="375"/>
      <c r="K448" s="375"/>
      <c r="L448" s="375"/>
      <c r="M448" s="352"/>
    </row>
    <row r="449" spans="1:13" x14ac:dyDescent="0.2">
      <c r="A449" s="374"/>
      <c r="B449" s="375"/>
      <c r="C449" s="375"/>
      <c r="D449" s="375"/>
      <c r="E449" s="375"/>
      <c r="F449" s="375"/>
      <c r="G449" s="375"/>
      <c r="H449" s="375"/>
      <c r="I449" s="375"/>
      <c r="J449" s="375"/>
      <c r="K449" s="375"/>
      <c r="L449" s="375"/>
      <c r="M449" s="352"/>
    </row>
    <row r="450" spans="1:13" x14ac:dyDescent="0.2">
      <c r="A450" s="348"/>
      <c r="B450" s="466"/>
      <c r="C450" s="466"/>
      <c r="D450" s="466"/>
      <c r="E450" s="467"/>
      <c r="F450" s="466"/>
      <c r="G450" s="466"/>
      <c r="H450" s="466"/>
      <c r="I450" s="467"/>
      <c r="J450" s="466"/>
      <c r="K450" s="466"/>
      <c r="L450" s="466"/>
      <c r="M450" s="352"/>
    </row>
    <row r="451" spans="1:13" x14ac:dyDescent="0.2">
      <c r="A451" s="348"/>
      <c r="B451" s="466"/>
      <c r="C451" s="466"/>
      <c r="D451" s="466"/>
      <c r="E451" s="467"/>
      <c r="F451" s="466"/>
      <c r="G451" s="466"/>
      <c r="H451" s="466"/>
      <c r="I451" s="467"/>
      <c r="J451" s="466"/>
      <c r="K451" s="466"/>
      <c r="L451" s="466"/>
      <c r="M451" s="352"/>
    </row>
    <row r="452" spans="1:13" x14ac:dyDescent="0.2">
      <c r="A452" s="348"/>
      <c r="B452" s="466"/>
      <c r="C452" s="466"/>
      <c r="D452" s="466"/>
      <c r="E452" s="467"/>
      <c r="F452" s="466"/>
      <c r="G452" s="466"/>
      <c r="H452" s="466"/>
      <c r="I452" s="467"/>
      <c r="J452" s="466"/>
      <c r="K452" s="466"/>
      <c r="L452" s="466"/>
      <c r="M452" s="352"/>
    </row>
    <row r="453" spans="1:13" x14ac:dyDescent="0.2">
      <c r="A453" s="348"/>
      <c r="B453" s="466"/>
      <c r="C453" s="466"/>
      <c r="D453" s="466"/>
      <c r="E453" s="467"/>
      <c r="F453" s="466"/>
      <c r="G453" s="466"/>
      <c r="H453" s="466"/>
      <c r="I453" s="467"/>
      <c r="J453" s="466"/>
      <c r="K453" s="466"/>
      <c r="L453" s="466"/>
      <c r="M453" s="352"/>
    </row>
    <row r="454" spans="1:13" x14ac:dyDescent="0.2">
      <c r="A454" s="348"/>
      <c r="B454" s="466"/>
      <c r="C454" s="466"/>
      <c r="D454" s="466"/>
      <c r="E454" s="467"/>
      <c r="F454" s="466"/>
      <c r="G454" s="466"/>
      <c r="H454" s="466"/>
      <c r="I454" s="467"/>
      <c r="J454" s="466"/>
      <c r="K454" s="466"/>
      <c r="L454" s="466"/>
      <c r="M454" s="352"/>
    </row>
    <row r="455" spans="1:13" x14ac:dyDescent="0.2">
      <c r="A455" s="348"/>
      <c r="B455" s="466"/>
      <c r="C455" s="466"/>
      <c r="D455" s="466"/>
      <c r="E455" s="467"/>
      <c r="F455" s="466"/>
      <c r="G455" s="466"/>
      <c r="H455" s="466"/>
      <c r="I455" s="467"/>
      <c r="J455" s="466"/>
      <c r="K455" s="466"/>
      <c r="L455" s="466"/>
      <c r="M455" s="352"/>
    </row>
    <row r="456" spans="1:13" x14ac:dyDescent="0.2">
      <c r="A456" s="348"/>
      <c r="B456" s="466"/>
      <c r="C456" s="466"/>
      <c r="D456" s="466"/>
      <c r="E456" s="467"/>
      <c r="F456" s="466"/>
      <c r="G456" s="466"/>
      <c r="H456" s="466"/>
      <c r="I456" s="467"/>
      <c r="J456" s="466"/>
      <c r="K456" s="466"/>
      <c r="L456" s="466"/>
      <c r="M456" s="352"/>
    </row>
    <row r="457" spans="1:13" x14ac:dyDescent="0.2">
      <c r="A457" s="348"/>
      <c r="B457" s="466"/>
      <c r="C457" s="466"/>
      <c r="D457" s="466"/>
      <c r="E457" s="467"/>
      <c r="F457" s="466"/>
      <c r="G457" s="466"/>
      <c r="H457" s="466"/>
      <c r="I457" s="467"/>
      <c r="J457" s="466"/>
      <c r="K457" s="466"/>
      <c r="L457" s="466"/>
      <c r="M457" s="352"/>
    </row>
    <row r="458" spans="1:13" x14ac:dyDescent="0.2">
      <c r="A458" s="348"/>
      <c r="B458" s="466"/>
      <c r="C458" s="466"/>
      <c r="D458" s="466"/>
      <c r="E458" s="467"/>
      <c r="F458" s="466"/>
      <c r="G458" s="466"/>
      <c r="H458" s="466"/>
      <c r="I458" s="467"/>
      <c r="J458" s="466"/>
      <c r="K458" s="466"/>
      <c r="L458" s="466"/>
      <c r="M458" s="352"/>
    </row>
    <row r="459" spans="1:13" x14ac:dyDescent="0.2">
      <c r="A459" s="348"/>
      <c r="B459" s="466"/>
      <c r="C459" s="466"/>
      <c r="D459" s="466"/>
      <c r="E459" s="467"/>
      <c r="F459" s="466"/>
      <c r="G459" s="466"/>
      <c r="H459" s="466"/>
      <c r="I459" s="467"/>
      <c r="J459" s="466"/>
      <c r="K459" s="466"/>
      <c r="L459" s="466"/>
      <c r="M459" s="352"/>
    </row>
    <row r="460" spans="1:13" x14ac:dyDescent="0.2">
      <c r="A460" s="348"/>
      <c r="B460" s="467"/>
      <c r="C460" s="467"/>
      <c r="D460" s="467"/>
      <c r="E460" s="467"/>
      <c r="F460" s="467"/>
      <c r="G460" s="467"/>
      <c r="H460" s="467"/>
      <c r="I460" s="467"/>
      <c r="J460" s="467"/>
      <c r="K460" s="467"/>
      <c r="L460" s="467"/>
      <c r="M460" s="352"/>
    </row>
    <row r="461" spans="1:13" x14ac:dyDescent="0.2">
      <c r="A461" s="348"/>
      <c r="B461" s="348"/>
      <c r="C461" s="348"/>
      <c r="D461" s="348"/>
      <c r="E461" s="348"/>
      <c r="F461" s="348"/>
      <c r="G461" s="348"/>
      <c r="H461" s="348"/>
      <c r="I461" s="348"/>
      <c r="J461" s="348"/>
      <c r="K461" s="348"/>
      <c r="L461" s="353"/>
      <c r="M461" s="352"/>
    </row>
    <row r="462" spans="1:13" x14ac:dyDescent="0.2">
      <c r="A462" s="348"/>
      <c r="B462" s="348"/>
      <c r="C462" s="348"/>
      <c r="D462" s="348"/>
      <c r="E462" s="348"/>
      <c r="F462" s="348"/>
      <c r="G462" s="348"/>
      <c r="H462" s="348"/>
      <c r="I462" s="348"/>
      <c r="J462" s="348"/>
      <c r="K462" s="348"/>
      <c r="L462" s="410"/>
      <c r="M462" s="352"/>
    </row>
    <row r="463" spans="1:13" x14ac:dyDescent="0.2">
      <c r="A463" s="374"/>
      <c r="B463" s="354"/>
      <c r="C463" s="354"/>
      <c r="D463" s="354"/>
      <c r="E463" s="354"/>
      <c r="F463" s="354"/>
      <c r="G463" s="354"/>
      <c r="H463" s="354"/>
      <c r="I463" s="354"/>
      <c r="J463" s="354"/>
      <c r="K463" s="354"/>
      <c r="L463" s="352"/>
      <c r="M463" s="352"/>
    </row>
    <row r="464" spans="1:13" x14ac:dyDescent="0.2">
      <c r="A464" s="354"/>
      <c r="B464" s="517"/>
      <c r="C464" s="517"/>
      <c r="D464" s="517"/>
      <c r="E464" s="369"/>
      <c r="F464" s="517"/>
      <c r="G464" s="517"/>
      <c r="H464" s="517"/>
      <c r="I464" s="369"/>
      <c r="J464" s="517"/>
      <c r="K464" s="517"/>
      <c r="L464" s="517"/>
      <c r="M464" s="352"/>
    </row>
    <row r="465" spans="1:13" x14ac:dyDescent="0.2">
      <c r="A465" s="374"/>
      <c r="B465" s="375"/>
      <c r="C465" s="375"/>
      <c r="D465" s="375"/>
      <c r="E465" s="375"/>
      <c r="F465" s="375"/>
      <c r="G465" s="375"/>
      <c r="H465" s="375"/>
      <c r="I465" s="375"/>
      <c r="J465" s="375"/>
      <c r="K465" s="375"/>
      <c r="L465" s="375"/>
      <c r="M465" s="352"/>
    </row>
    <row r="466" spans="1:13" x14ac:dyDescent="0.2">
      <c r="A466" s="374"/>
      <c r="B466" s="375"/>
      <c r="C466" s="375"/>
      <c r="D466" s="375"/>
      <c r="E466" s="375"/>
      <c r="F466" s="375"/>
      <c r="G466" s="375"/>
      <c r="H466" s="375"/>
      <c r="I466" s="375"/>
      <c r="J466" s="375"/>
      <c r="K466" s="375"/>
      <c r="L466" s="375"/>
      <c r="M466" s="352"/>
    </row>
    <row r="467" spans="1:13" x14ac:dyDescent="0.2">
      <c r="A467" s="348"/>
      <c r="B467" s="466"/>
      <c r="C467" s="466"/>
      <c r="D467" s="466"/>
      <c r="E467" s="467"/>
      <c r="F467" s="466"/>
      <c r="G467" s="466"/>
      <c r="H467" s="466"/>
      <c r="I467" s="467"/>
      <c r="J467" s="466"/>
      <c r="K467" s="466"/>
      <c r="L467" s="466"/>
      <c r="M467" s="352"/>
    </row>
    <row r="468" spans="1:13" x14ac:dyDescent="0.2">
      <c r="A468" s="348"/>
      <c r="B468" s="466"/>
      <c r="C468" s="466"/>
      <c r="D468" s="466"/>
      <c r="E468" s="467"/>
      <c r="F468" s="466"/>
      <c r="G468" s="466"/>
      <c r="H468" s="466"/>
      <c r="I468" s="467"/>
      <c r="J468" s="466"/>
      <c r="K468" s="466"/>
      <c r="L468" s="466"/>
      <c r="M468" s="352"/>
    </row>
    <row r="469" spans="1:13" x14ac:dyDescent="0.2">
      <c r="A469" s="348"/>
      <c r="B469" s="466"/>
      <c r="C469" s="466"/>
      <c r="D469" s="466"/>
      <c r="E469" s="467"/>
      <c r="F469" s="466"/>
      <c r="G469" s="466"/>
      <c r="H469" s="466"/>
      <c r="I469" s="467"/>
      <c r="J469" s="466"/>
      <c r="K469" s="466"/>
      <c r="L469" s="466"/>
      <c r="M469" s="352"/>
    </row>
    <row r="470" spans="1:13" x14ac:dyDescent="0.2">
      <c r="A470" s="348"/>
      <c r="B470" s="466"/>
      <c r="C470" s="466"/>
      <c r="D470" s="466"/>
      <c r="E470" s="467"/>
      <c r="F470" s="466"/>
      <c r="G470" s="466"/>
      <c r="H470" s="466"/>
      <c r="I470" s="467"/>
      <c r="J470" s="466"/>
      <c r="K470" s="466"/>
      <c r="L470" s="466"/>
      <c r="M470" s="352"/>
    </row>
    <row r="471" spans="1:13" x14ac:dyDescent="0.2">
      <c r="A471" s="348"/>
      <c r="B471" s="466"/>
      <c r="C471" s="466"/>
      <c r="D471" s="466"/>
      <c r="E471" s="467"/>
      <c r="F471" s="466"/>
      <c r="G471" s="466"/>
      <c r="H471" s="466"/>
      <c r="I471" s="467"/>
      <c r="J471" s="466"/>
      <c r="K471" s="466"/>
      <c r="L471" s="466"/>
      <c r="M471" s="352"/>
    </row>
    <row r="472" spans="1:13" x14ac:dyDescent="0.2">
      <c r="A472" s="348"/>
      <c r="B472" s="466"/>
      <c r="C472" s="466"/>
      <c r="D472" s="466"/>
      <c r="E472" s="467"/>
      <c r="F472" s="466"/>
      <c r="G472" s="466"/>
      <c r="H472" s="466"/>
      <c r="I472" s="467"/>
      <c r="J472" s="466"/>
      <c r="K472" s="466"/>
      <c r="L472" s="466"/>
      <c r="M472" s="352"/>
    </row>
    <row r="473" spans="1:13" x14ac:dyDescent="0.2">
      <c r="A473" s="348"/>
      <c r="B473" s="466"/>
      <c r="C473" s="466"/>
      <c r="D473" s="466"/>
      <c r="E473" s="467"/>
      <c r="F473" s="466"/>
      <c r="G473" s="466"/>
      <c r="H473" s="466"/>
      <c r="I473" s="467"/>
      <c r="J473" s="466"/>
      <c r="K473" s="466"/>
      <c r="L473" s="466"/>
      <c r="M473" s="352"/>
    </row>
    <row r="474" spans="1:13" x14ac:dyDescent="0.2">
      <c r="A474" s="348"/>
      <c r="B474" s="466"/>
      <c r="C474" s="466"/>
      <c r="D474" s="466"/>
      <c r="E474" s="467"/>
      <c r="F474" s="466"/>
      <c r="G474" s="466"/>
      <c r="H474" s="466"/>
      <c r="I474" s="467"/>
      <c r="J474" s="466"/>
      <c r="K474" s="466"/>
      <c r="L474" s="466"/>
      <c r="M474" s="352"/>
    </row>
    <row r="475" spans="1:13" x14ac:dyDescent="0.2">
      <c r="A475" s="348"/>
      <c r="B475" s="466"/>
      <c r="C475" s="466"/>
      <c r="D475" s="466"/>
      <c r="E475" s="467"/>
      <c r="F475" s="466"/>
      <c r="G475" s="466"/>
      <c r="H475" s="466"/>
      <c r="I475" s="467"/>
      <c r="J475" s="466"/>
      <c r="K475" s="466"/>
      <c r="L475" s="466"/>
      <c r="M475" s="352"/>
    </row>
    <row r="476" spans="1:13" x14ac:dyDescent="0.2">
      <c r="A476" s="348"/>
      <c r="B476" s="466"/>
      <c r="C476" s="466"/>
      <c r="D476" s="466"/>
      <c r="E476" s="467"/>
      <c r="F476" s="466"/>
      <c r="G476" s="466"/>
      <c r="H476" s="466"/>
      <c r="I476" s="467"/>
      <c r="J476" s="466"/>
      <c r="K476" s="466"/>
      <c r="L476" s="466"/>
      <c r="M476" s="352"/>
    </row>
    <row r="477" spans="1:13" x14ac:dyDescent="0.2">
      <c r="A477" s="348"/>
      <c r="B477" s="467"/>
      <c r="C477" s="467"/>
      <c r="D477" s="467"/>
      <c r="E477" s="467"/>
      <c r="F477" s="467"/>
      <c r="G477" s="467"/>
      <c r="H477" s="467"/>
      <c r="I477" s="467"/>
      <c r="J477" s="467"/>
      <c r="K477" s="467"/>
      <c r="L477" s="467"/>
      <c r="M477" s="352"/>
    </row>
    <row r="478" spans="1:13" x14ac:dyDescent="0.2">
      <c r="A478" s="348"/>
      <c r="B478" s="348"/>
      <c r="C478" s="348"/>
      <c r="D478" s="348"/>
      <c r="E478" s="348"/>
      <c r="F478" s="348"/>
      <c r="G478" s="348"/>
      <c r="H478" s="348"/>
      <c r="I478" s="348"/>
      <c r="J478" s="348"/>
      <c r="K478" s="348"/>
      <c r="L478" s="353"/>
      <c r="M478" s="352"/>
    </row>
    <row r="479" spans="1:13" x14ac:dyDescent="0.2">
      <c r="A479" s="348"/>
      <c r="B479" s="348"/>
      <c r="C479" s="348"/>
      <c r="D479" s="348"/>
      <c r="E479" s="348"/>
      <c r="F479" s="348"/>
      <c r="G479" s="348"/>
      <c r="H479" s="348"/>
      <c r="I479" s="348"/>
      <c r="J479" s="348"/>
      <c r="K479" s="348"/>
      <c r="L479" s="410"/>
      <c r="M479" s="352"/>
    </row>
    <row r="480" spans="1:13" x14ac:dyDescent="0.2">
      <c r="A480" s="374"/>
      <c r="B480" s="354"/>
      <c r="C480" s="354"/>
      <c r="D480" s="354"/>
      <c r="E480" s="354"/>
      <c r="F480" s="354"/>
      <c r="G480" s="354"/>
      <c r="H480" s="354"/>
      <c r="I480" s="354"/>
      <c r="J480" s="354"/>
      <c r="K480" s="354"/>
      <c r="L480" s="352"/>
      <c r="M480" s="352"/>
    </row>
    <row r="481" spans="1:13" x14ac:dyDescent="0.2">
      <c r="A481" s="354"/>
      <c r="B481" s="517"/>
      <c r="C481" s="517"/>
      <c r="D481" s="517"/>
      <c r="E481" s="369"/>
      <c r="F481" s="517"/>
      <c r="G481" s="517"/>
      <c r="H481" s="517"/>
      <c r="I481" s="369"/>
      <c r="J481" s="517"/>
      <c r="K481" s="517"/>
      <c r="L481" s="517"/>
      <c r="M481" s="352"/>
    </row>
    <row r="482" spans="1:13" x14ac:dyDescent="0.2">
      <c r="A482" s="374"/>
      <c r="B482" s="375"/>
      <c r="C482" s="375"/>
      <c r="D482" s="375"/>
      <c r="E482" s="375"/>
      <c r="F482" s="375"/>
      <c r="G482" s="375"/>
      <c r="H482" s="375"/>
      <c r="I482" s="375"/>
      <c r="J482" s="375"/>
      <c r="K482" s="375"/>
      <c r="L482" s="375"/>
      <c r="M482" s="352"/>
    </row>
    <row r="483" spans="1:13" x14ac:dyDescent="0.2">
      <c r="A483" s="374"/>
      <c r="B483" s="375"/>
      <c r="C483" s="375"/>
      <c r="D483" s="375"/>
      <c r="E483" s="375"/>
      <c r="F483" s="375"/>
      <c r="G483" s="375"/>
      <c r="H483" s="375"/>
      <c r="I483" s="375"/>
      <c r="J483" s="375"/>
      <c r="K483" s="375"/>
      <c r="L483" s="375"/>
      <c r="M483" s="352"/>
    </row>
    <row r="484" spans="1:13" x14ac:dyDescent="0.2">
      <c r="A484" s="348"/>
      <c r="B484" s="466"/>
      <c r="C484" s="466"/>
      <c r="D484" s="466"/>
      <c r="E484" s="467"/>
      <c r="F484" s="466"/>
      <c r="G484" s="466"/>
      <c r="H484" s="466"/>
      <c r="I484" s="467"/>
      <c r="J484" s="466"/>
      <c r="K484" s="466"/>
      <c r="L484" s="466"/>
      <c r="M484" s="352"/>
    </row>
    <row r="485" spans="1:13" x14ac:dyDescent="0.2">
      <c r="A485" s="348"/>
      <c r="B485" s="466"/>
      <c r="C485" s="466"/>
      <c r="D485" s="466"/>
      <c r="E485" s="467"/>
      <c r="F485" s="466"/>
      <c r="G485" s="466"/>
      <c r="H485" s="466"/>
      <c r="I485" s="467"/>
      <c r="J485" s="466"/>
      <c r="K485" s="466"/>
      <c r="L485" s="466"/>
      <c r="M485" s="352"/>
    </row>
    <row r="486" spans="1:13" x14ac:dyDescent="0.2">
      <c r="A486" s="348"/>
      <c r="B486" s="466"/>
      <c r="C486" s="466"/>
      <c r="D486" s="466"/>
      <c r="E486" s="467"/>
      <c r="F486" s="466"/>
      <c r="G486" s="466"/>
      <c r="H486" s="466"/>
      <c r="I486" s="467"/>
      <c r="J486" s="466"/>
      <c r="K486" s="466"/>
      <c r="L486" s="466"/>
      <c r="M486" s="352"/>
    </row>
    <row r="487" spans="1:13" x14ac:dyDescent="0.2">
      <c r="A487" s="348"/>
      <c r="B487" s="466"/>
      <c r="C487" s="466"/>
      <c r="D487" s="466"/>
      <c r="E487" s="467"/>
      <c r="F487" s="466"/>
      <c r="G487" s="466"/>
      <c r="H487" s="466"/>
      <c r="I487" s="467"/>
      <c r="J487" s="466"/>
      <c r="K487" s="466"/>
      <c r="L487" s="466"/>
      <c r="M487" s="352"/>
    </row>
    <row r="488" spans="1:13" x14ac:dyDescent="0.2">
      <c r="A488" s="348"/>
      <c r="B488" s="466"/>
      <c r="C488" s="466"/>
      <c r="D488" s="466"/>
      <c r="E488" s="467"/>
      <c r="F488" s="466"/>
      <c r="G488" s="466"/>
      <c r="H488" s="466"/>
      <c r="I488" s="467"/>
      <c r="J488" s="466"/>
      <c r="K488" s="466"/>
      <c r="L488" s="466"/>
      <c r="M488" s="352"/>
    </row>
    <row r="489" spans="1:13" x14ac:dyDescent="0.2">
      <c r="A489" s="348"/>
      <c r="B489" s="466"/>
      <c r="C489" s="466"/>
      <c r="D489" s="466"/>
      <c r="E489" s="467"/>
      <c r="F489" s="466"/>
      <c r="G489" s="466"/>
      <c r="H489" s="466"/>
      <c r="I489" s="467"/>
      <c r="J489" s="466"/>
      <c r="K489" s="466"/>
      <c r="L489" s="466"/>
      <c r="M489" s="352"/>
    </row>
    <row r="490" spans="1:13" x14ac:dyDescent="0.2">
      <c r="A490" s="348"/>
      <c r="B490" s="466"/>
      <c r="C490" s="466"/>
      <c r="D490" s="466"/>
      <c r="E490" s="467"/>
      <c r="F490" s="466"/>
      <c r="G490" s="466"/>
      <c r="H490" s="466"/>
      <c r="I490" s="467"/>
      <c r="J490" s="466"/>
      <c r="K490" s="466"/>
      <c r="L490" s="466"/>
      <c r="M490" s="352"/>
    </row>
    <row r="491" spans="1:13" x14ac:dyDescent="0.2">
      <c r="A491" s="348"/>
      <c r="B491" s="466"/>
      <c r="C491" s="466"/>
      <c r="D491" s="466"/>
      <c r="E491" s="467"/>
      <c r="F491" s="466"/>
      <c r="G491" s="466"/>
      <c r="H491" s="466"/>
      <c r="I491" s="467"/>
      <c r="J491" s="466"/>
      <c r="K491" s="466"/>
      <c r="L491" s="466"/>
      <c r="M491" s="352"/>
    </row>
    <row r="492" spans="1:13" x14ac:dyDescent="0.2">
      <c r="A492" s="348"/>
      <c r="B492" s="466"/>
      <c r="C492" s="466"/>
      <c r="D492" s="466"/>
      <c r="E492" s="467"/>
      <c r="F492" s="466"/>
      <c r="G492" s="466"/>
      <c r="H492" s="466"/>
      <c r="I492" s="467"/>
      <c r="J492" s="466"/>
      <c r="K492" s="466"/>
      <c r="L492" s="466"/>
      <c r="M492" s="352"/>
    </row>
    <row r="493" spans="1:13" x14ac:dyDescent="0.2">
      <c r="A493" s="348"/>
      <c r="B493" s="466"/>
      <c r="C493" s="466"/>
      <c r="D493" s="466"/>
      <c r="E493" s="467"/>
      <c r="F493" s="466"/>
      <c r="G493" s="466"/>
      <c r="H493" s="466"/>
      <c r="I493" s="467"/>
      <c r="J493" s="466"/>
      <c r="K493" s="466"/>
      <c r="L493" s="466"/>
      <c r="M493" s="352"/>
    </row>
    <row r="494" spans="1:13" x14ac:dyDescent="0.2">
      <c r="A494" s="348"/>
      <c r="B494" s="467"/>
      <c r="C494" s="467"/>
      <c r="D494" s="467"/>
      <c r="E494" s="467"/>
      <c r="F494" s="467"/>
      <c r="G494" s="467"/>
      <c r="H494" s="467"/>
      <c r="I494" s="467"/>
      <c r="J494" s="467"/>
      <c r="K494" s="467"/>
      <c r="L494" s="467"/>
      <c r="M494" s="352"/>
    </row>
    <row r="495" spans="1:13" x14ac:dyDescent="0.2">
      <c r="A495" s="348"/>
      <c r="B495" s="348"/>
      <c r="C495" s="348"/>
      <c r="D495" s="348"/>
      <c r="E495" s="348"/>
      <c r="F495" s="348"/>
      <c r="G495" s="348"/>
      <c r="H495" s="348"/>
      <c r="I495" s="348"/>
      <c r="J495" s="348"/>
      <c r="K495" s="348"/>
      <c r="L495" s="353"/>
      <c r="M495" s="352"/>
    </row>
    <row r="496" spans="1:13" x14ac:dyDescent="0.2">
      <c r="A496" s="348"/>
      <c r="B496" s="348"/>
      <c r="C496" s="348"/>
      <c r="D496" s="348"/>
      <c r="E496" s="348"/>
      <c r="F496" s="348"/>
      <c r="G496" s="348"/>
      <c r="H496" s="348"/>
      <c r="I496" s="348"/>
      <c r="J496" s="348"/>
      <c r="K496" s="348"/>
      <c r="L496" s="410"/>
      <c r="M496" s="352"/>
    </row>
    <row r="497" spans="1:13" x14ac:dyDescent="0.2">
      <c r="A497" s="374"/>
      <c r="B497" s="354"/>
      <c r="C497" s="354"/>
      <c r="D497" s="354"/>
      <c r="E497" s="354"/>
      <c r="F497" s="354"/>
      <c r="G497" s="354"/>
      <c r="H497" s="354"/>
      <c r="I497" s="354"/>
      <c r="J497" s="354"/>
      <c r="K497" s="354"/>
      <c r="L497" s="352"/>
      <c r="M497" s="352"/>
    </row>
    <row r="498" spans="1:13" x14ac:dyDescent="0.2">
      <c r="A498" s="354"/>
      <c r="B498" s="517"/>
      <c r="C498" s="517"/>
      <c r="D498" s="517"/>
      <c r="E498" s="369"/>
      <c r="F498" s="517"/>
      <c r="G498" s="517"/>
      <c r="H498" s="517"/>
      <c r="I498" s="369"/>
      <c r="J498" s="517"/>
      <c r="K498" s="517"/>
      <c r="L498" s="517"/>
      <c r="M498" s="352"/>
    </row>
    <row r="499" spans="1:13" x14ac:dyDescent="0.2">
      <c r="A499" s="374"/>
      <c r="B499" s="375"/>
      <c r="C499" s="375"/>
      <c r="D499" s="375"/>
      <c r="E499" s="375"/>
      <c r="F499" s="375"/>
      <c r="G499" s="375"/>
      <c r="H499" s="375"/>
      <c r="I499" s="375"/>
      <c r="J499" s="375"/>
      <c r="K499" s="375"/>
      <c r="L499" s="375"/>
      <c r="M499" s="352"/>
    </row>
    <row r="500" spans="1:13" x14ac:dyDescent="0.2">
      <c r="A500" s="374"/>
      <c r="B500" s="375"/>
      <c r="C500" s="375"/>
      <c r="D500" s="375"/>
      <c r="E500" s="375"/>
      <c r="F500" s="375"/>
      <c r="G500" s="375"/>
      <c r="H500" s="375"/>
      <c r="I500" s="375"/>
      <c r="J500" s="375"/>
      <c r="K500" s="375"/>
      <c r="L500" s="375"/>
      <c r="M500" s="352"/>
    </row>
    <row r="501" spans="1:13" x14ac:dyDescent="0.2">
      <c r="A501" s="348"/>
      <c r="B501" s="466"/>
      <c r="C501" s="466"/>
      <c r="D501" s="466"/>
      <c r="E501" s="467"/>
      <c r="F501" s="466"/>
      <c r="G501" s="466"/>
      <c r="H501" s="466"/>
      <c r="I501" s="467"/>
      <c r="J501" s="466"/>
      <c r="K501" s="466"/>
      <c r="L501" s="466"/>
      <c r="M501" s="352"/>
    </row>
    <row r="502" spans="1:13" x14ac:dyDescent="0.2">
      <c r="A502" s="348"/>
      <c r="B502" s="466"/>
      <c r="C502" s="466"/>
      <c r="D502" s="466"/>
      <c r="E502" s="467"/>
      <c r="F502" s="466"/>
      <c r="G502" s="466"/>
      <c r="H502" s="466"/>
      <c r="I502" s="467"/>
      <c r="J502" s="466"/>
      <c r="K502" s="466"/>
      <c r="L502" s="466"/>
      <c r="M502" s="352"/>
    </row>
    <row r="503" spans="1:13" x14ac:dyDescent="0.2">
      <c r="A503" s="348"/>
      <c r="B503" s="466"/>
      <c r="C503" s="466"/>
      <c r="D503" s="466"/>
      <c r="E503" s="467"/>
      <c r="F503" s="466"/>
      <c r="G503" s="466"/>
      <c r="H503" s="466"/>
      <c r="I503" s="467"/>
      <c r="J503" s="466"/>
      <c r="K503" s="466"/>
      <c r="L503" s="466"/>
      <c r="M503" s="352"/>
    </row>
    <row r="504" spans="1:13" x14ac:dyDescent="0.2">
      <c r="A504" s="348"/>
      <c r="B504" s="466"/>
      <c r="C504" s="466"/>
      <c r="D504" s="466"/>
      <c r="E504" s="467"/>
      <c r="F504" s="466"/>
      <c r="G504" s="466"/>
      <c r="H504" s="466"/>
      <c r="I504" s="467"/>
      <c r="J504" s="466"/>
      <c r="K504" s="466"/>
      <c r="L504" s="466"/>
      <c r="M504" s="352"/>
    </row>
    <row r="505" spans="1:13" x14ac:dyDescent="0.2">
      <c r="A505" s="348"/>
      <c r="B505" s="466"/>
      <c r="C505" s="466"/>
      <c r="D505" s="466"/>
      <c r="E505" s="467"/>
      <c r="F505" s="466"/>
      <c r="G505" s="466"/>
      <c r="H505" s="466"/>
      <c r="I505" s="467"/>
      <c r="J505" s="466"/>
      <c r="K505" s="466"/>
      <c r="L505" s="466"/>
      <c r="M505" s="352"/>
    </row>
    <row r="506" spans="1:13" x14ac:dyDescent="0.2">
      <c r="A506" s="348"/>
      <c r="B506" s="466"/>
      <c r="C506" s="466"/>
      <c r="D506" s="466"/>
      <c r="E506" s="467"/>
      <c r="F506" s="466"/>
      <c r="G506" s="466"/>
      <c r="H506" s="466"/>
      <c r="I506" s="467"/>
      <c r="J506" s="466"/>
      <c r="K506" s="466"/>
      <c r="L506" s="466"/>
      <c r="M506" s="352"/>
    </row>
    <row r="507" spans="1:13" x14ac:dyDescent="0.2">
      <c r="A507" s="348"/>
      <c r="B507" s="466"/>
      <c r="C507" s="466"/>
      <c r="D507" s="466"/>
      <c r="E507" s="467"/>
      <c r="F507" s="466"/>
      <c r="G507" s="466"/>
      <c r="H507" s="466"/>
      <c r="I507" s="467"/>
      <c r="J507" s="466"/>
      <c r="K507" s="466"/>
      <c r="L507" s="466"/>
      <c r="M507" s="352"/>
    </row>
    <row r="508" spans="1:13" x14ac:dyDescent="0.2">
      <c r="A508" s="348"/>
      <c r="B508" s="466"/>
      <c r="C508" s="466"/>
      <c r="D508" s="466"/>
      <c r="E508" s="467"/>
      <c r="F508" s="466"/>
      <c r="G508" s="466"/>
      <c r="H508" s="466"/>
      <c r="I508" s="467"/>
      <c r="J508" s="466"/>
      <c r="K508" s="466"/>
      <c r="L508" s="466"/>
      <c r="M508" s="352"/>
    </row>
    <row r="509" spans="1:13" x14ac:dyDescent="0.2">
      <c r="A509" s="348"/>
      <c r="B509" s="466"/>
      <c r="C509" s="466"/>
      <c r="D509" s="466"/>
      <c r="E509" s="467"/>
      <c r="F509" s="466"/>
      <c r="G509" s="466"/>
      <c r="H509" s="466"/>
      <c r="I509" s="467"/>
      <c r="J509" s="466"/>
      <c r="K509" s="466"/>
      <c r="L509" s="466"/>
      <c r="M509" s="352"/>
    </row>
    <row r="510" spans="1:13" x14ac:dyDescent="0.2">
      <c r="A510" s="348"/>
      <c r="B510" s="466"/>
      <c r="C510" s="466"/>
      <c r="D510" s="466"/>
      <c r="E510" s="467"/>
      <c r="F510" s="466"/>
      <c r="G510" s="466"/>
      <c r="H510" s="466"/>
      <c r="I510" s="467"/>
      <c r="J510" s="466"/>
      <c r="K510" s="466"/>
      <c r="L510" s="466"/>
      <c r="M510" s="352"/>
    </row>
    <row r="511" spans="1:13" x14ac:dyDescent="0.2">
      <c r="A511" s="348"/>
      <c r="B511" s="467"/>
      <c r="C511" s="467"/>
      <c r="D511" s="467"/>
      <c r="E511" s="467"/>
      <c r="F511" s="467"/>
      <c r="G511" s="467"/>
      <c r="H511" s="467"/>
      <c r="I511" s="467"/>
      <c r="J511" s="467"/>
      <c r="K511" s="467"/>
      <c r="L511" s="467"/>
      <c r="M511" s="352"/>
    </row>
    <row r="512" spans="1:13" x14ac:dyDescent="0.2">
      <c r="A512" s="348"/>
      <c r="B512" s="348"/>
      <c r="C512" s="348"/>
      <c r="D512" s="348"/>
      <c r="E512" s="348"/>
      <c r="F512" s="348"/>
      <c r="G512" s="348"/>
      <c r="H512" s="348"/>
      <c r="I512" s="348"/>
      <c r="J512" s="348"/>
      <c r="K512" s="348"/>
      <c r="L512" s="353"/>
      <c r="M512" s="352"/>
    </row>
    <row r="513" spans="1:13" x14ac:dyDescent="0.2">
      <c r="A513" s="348"/>
      <c r="B513" s="348"/>
      <c r="C513" s="348"/>
      <c r="D513" s="348"/>
      <c r="E513" s="348"/>
      <c r="F513" s="348"/>
      <c r="G513" s="348"/>
      <c r="H513" s="348"/>
      <c r="I513" s="348"/>
      <c r="J513" s="348"/>
      <c r="K513" s="348"/>
      <c r="L513" s="410"/>
      <c r="M513" s="352"/>
    </row>
    <row r="514" spans="1:13" x14ac:dyDescent="0.2">
      <c r="A514" s="374"/>
      <c r="B514" s="354"/>
      <c r="C514" s="354"/>
      <c r="D514" s="354"/>
      <c r="E514" s="354"/>
      <c r="F514" s="354"/>
      <c r="G514" s="354"/>
      <c r="H514" s="354"/>
      <c r="I514" s="354"/>
      <c r="J514" s="354"/>
      <c r="K514" s="354"/>
      <c r="L514" s="352"/>
      <c r="M514" s="352"/>
    </row>
    <row r="515" spans="1:13" x14ac:dyDescent="0.2">
      <c r="A515" s="354"/>
      <c r="B515" s="517"/>
      <c r="C515" s="517"/>
      <c r="D515" s="517"/>
      <c r="E515" s="369"/>
      <c r="F515" s="517"/>
      <c r="G515" s="517"/>
      <c r="H515" s="517"/>
      <c r="I515" s="369"/>
      <c r="J515" s="517"/>
      <c r="K515" s="517"/>
      <c r="L515" s="517"/>
      <c r="M515" s="352"/>
    </row>
    <row r="516" spans="1:13" x14ac:dyDescent="0.2">
      <c r="A516" s="374"/>
      <c r="B516" s="375"/>
      <c r="C516" s="375"/>
      <c r="D516" s="375"/>
      <c r="E516" s="375"/>
      <c r="F516" s="375"/>
      <c r="G516" s="375"/>
      <c r="H516" s="375"/>
      <c r="I516" s="375"/>
      <c r="J516" s="375"/>
      <c r="K516" s="375"/>
      <c r="L516" s="375"/>
      <c r="M516" s="352"/>
    </row>
    <row r="517" spans="1:13" x14ac:dyDescent="0.2">
      <c r="A517" s="374"/>
      <c r="B517" s="375"/>
      <c r="C517" s="375"/>
      <c r="D517" s="375"/>
      <c r="E517" s="375"/>
      <c r="F517" s="375"/>
      <c r="G517" s="375"/>
      <c r="H517" s="375"/>
      <c r="I517" s="375"/>
      <c r="J517" s="375"/>
      <c r="K517" s="375"/>
      <c r="L517" s="375"/>
      <c r="M517" s="352"/>
    </row>
    <row r="518" spans="1:13" x14ac:dyDescent="0.2">
      <c r="A518" s="348"/>
      <c r="B518" s="466"/>
      <c r="C518" s="466"/>
      <c r="D518" s="466"/>
      <c r="E518" s="467"/>
      <c r="F518" s="466"/>
      <c r="G518" s="466"/>
      <c r="H518" s="466"/>
      <c r="I518" s="467"/>
      <c r="J518" s="466"/>
      <c r="K518" s="466"/>
      <c r="L518" s="466"/>
      <c r="M518" s="352"/>
    </row>
    <row r="519" spans="1:13" x14ac:dyDescent="0.2">
      <c r="A519" s="348"/>
      <c r="B519" s="466"/>
      <c r="C519" s="466"/>
      <c r="D519" s="466"/>
      <c r="E519" s="467"/>
      <c r="F519" s="466"/>
      <c r="G519" s="466"/>
      <c r="H519" s="466"/>
      <c r="I519" s="467"/>
      <c r="J519" s="466"/>
      <c r="K519" s="466"/>
      <c r="L519" s="466"/>
      <c r="M519" s="352"/>
    </row>
    <row r="520" spans="1:13" x14ac:dyDescent="0.2">
      <c r="A520" s="348"/>
      <c r="B520" s="466"/>
      <c r="C520" s="466"/>
      <c r="D520" s="466"/>
      <c r="E520" s="467"/>
      <c r="F520" s="466"/>
      <c r="G520" s="466"/>
      <c r="H520" s="466"/>
      <c r="I520" s="467"/>
      <c r="J520" s="466"/>
      <c r="K520" s="466"/>
      <c r="L520" s="466"/>
      <c r="M520" s="352"/>
    </row>
    <row r="521" spans="1:13" x14ac:dyDescent="0.2">
      <c r="A521" s="348"/>
      <c r="B521" s="466"/>
      <c r="C521" s="466"/>
      <c r="D521" s="466"/>
      <c r="E521" s="467"/>
      <c r="F521" s="466"/>
      <c r="G521" s="466"/>
      <c r="H521" s="466"/>
      <c r="I521" s="467"/>
      <c r="J521" s="466"/>
      <c r="K521" s="466"/>
      <c r="L521" s="466"/>
      <c r="M521" s="352"/>
    </row>
    <row r="522" spans="1:13" x14ac:dyDescent="0.2">
      <c r="A522" s="348"/>
      <c r="B522" s="466"/>
      <c r="C522" s="466"/>
      <c r="D522" s="466"/>
      <c r="E522" s="467"/>
      <c r="F522" s="466"/>
      <c r="G522" s="466"/>
      <c r="H522" s="466"/>
      <c r="I522" s="467"/>
      <c r="J522" s="466"/>
      <c r="K522" s="466"/>
      <c r="L522" s="466"/>
      <c r="M522" s="352"/>
    </row>
    <row r="523" spans="1:13" x14ac:dyDescent="0.2">
      <c r="A523" s="348"/>
      <c r="B523" s="466"/>
      <c r="C523" s="466"/>
      <c r="D523" s="466"/>
      <c r="E523" s="467"/>
      <c r="F523" s="466"/>
      <c r="G523" s="466"/>
      <c r="H523" s="466"/>
      <c r="I523" s="467"/>
      <c r="J523" s="466"/>
      <c r="K523" s="466"/>
      <c r="L523" s="466"/>
      <c r="M523" s="352"/>
    </row>
    <row r="524" spans="1:13" x14ac:dyDescent="0.2">
      <c r="A524" s="348"/>
      <c r="B524" s="466"/>
      <c r="C524" s="466"/>
      <c r="D524" s="466"/>
      <c r="E524" s="467"/>
      <c r="F524" s="466"/>
      <c r="G524" s="466"/>
      <c r="H524" s="466"/>
      <c r="I524" s="467"/>
      <c r="J524" s="466"/>
      <c r="K524" s="466"/>
      <c r="L524" s="466"/>
      <c r="M524" s="352"/>
    </row>
    <row r="525" spans="1:13" x14ac:dyDescent="0.2">
      <c r="A525" s="348"/>
      <c r="B525" s="466"/>
      <c r="C525" s="466"/>
      <c r="D525" s="466"/>
      <c r="E525" s="467"/>
      <c r="F525" s="466"/>
      <c r="G525" s="466"/>
      <c r="H525" s="466"/>
      <c r="I525" s="467"/>
      <c r="J525" s="466"/>
      <c r="K525" s="466"/>
      <c r="L525" s="466"/>
      <c r="M525" s="352"/>
    </row>
    <row r="526" spans="1:13" x14ac:dyDescent="0.2">
      <c r="A526" s="348"/>
      <c r="B526" s="466"/>
      <c r="C526" s="466"/>
      <c r="D526" s="466"/>
      <c r="E526" s="467"/>
      <c r="F526" s="466"/>
      <c r="G526" s="466"/>
      <c r="H526" s="466"/>
      <c r="I526" s="467"/>
      <c r="J526" s="466"/>
      <c r="K526" s="466"/>
      <c r="L526" s="466"/>
      <c r="M526" s="352"/>
    </row>
    <row r="527" spans="1:13" x14ac:dyDescent="0.2">
      <c r="A527" s="348"/>
      <c r="B527" s="466"/>
      <c r="C527" s="466"/>
      <c r="D527" s="466"/>
      <c r="E527" s="467"/>
      <c r="F527" s="466"/>
      <c r="G527" s="466"/>
      <c r="H527" s="466"/>
      <c r="I527" s="467"/>
      <c r="J527" s="466"/>
      <c r="K527" s="466"/>
      <c r="L527" s="466"/>
      <c r="M527" s="352"/>
    </row>
    <row r="528" spans="1:13" x14ac:dyDescent="0.2">
      <c r="A528" s="348"/>
      <c r="B528" s="467"/>
      <c r="C528" s="467"/>
      <c r="D528" s="467"/>
      <c r="E528" s="467"/>
      <c r="F528" s="467"/>
      <c r="G528" s="467"/>
      <c r="H528" s="467"/>
      <c r="I528" s="467"/>
      <c r="J528" s="467"/>
      <c r="K528" s="467"/>
      <c r="L528" s="467"/>
      <c r="M528" s="352"/>
    </row>
    <row r="529" spans="1:13" x14ac:dyDescent="0.2">
      <c r="A529" s="348"/>
      <c r="B529" s="348"/>
      <c r="C529" s="348"/>
      <c r="D529" s="348"/>
      <c r="E529" s="348"/>
      <c r="F529" s="348"/>
      <c r="G529" s="348"/>
      <c r="H529" s="348"/>
      <c r="I529" s="348"/>
      <c r="J529" s="348"/>
      <c r="K529" s="348"/>
      <c r="L529" s="353"/>
      <c r="M529" s="352"/>
    </row>
    <row r="530" spans="1:13" x14ac:dyDescent="0.2">
      <c r="A530" s="348"/>
      <c r="B530" s="348"/>
      <c r="C530" s="348"/>
      <c r="D530" s="348"/>
      <c r="E530" s="348"/>
      <c r="F530" s="348"/>
      <c r="G530" s="348"/>
      <c r="H530" s="348"/>
      <c r="I530" s="348"/>
      <c r="J530" s="348"/>
      <c r="K530" s="348"/>
      <c r="L530" s="410"/>
      <c r="M530" s="352"/>
    </row>
    <row r="531" spans="1:13" x14ac:dyDescent="0.2">
      <c r="A531" s="374"/>
      <c r="B531" s="354"/>
      <c r="C531" s="354"/>
      <c r="D531" s="354"/>
      <c r="E531" s="354"/>
      <c r="F531" s="354"/>
      <c r="G531" s="354"/>
      <c r="H531" s="354"/>
      <c r="I531" s="354"/>
      <c r="J531" s="354"/>
      <c r="K531" s="354"/>
      <c r="L531" s="352"/>
      <c r="M531" s="352"/>
    </row>
    <row r="532" spans="1:13" x14ac:dyDescent="0.2">
      <c r="A532" s="354"/>
      <c r="B532" s="517"/>
      <c r="C532" s="517"/>
      <c r="D532" s="517"/>
      <c r="E532" s="369"/>
      <c r="F532" s="517"/>
      <c r="G532" s="517"/>
      <c r="H532" s="517"/>
      <c r="I532" s="369"/>
      <c r="J532" s="517"/>
      <c r="K532" s="517"/>
      <c r="L532" s="517"/>
      <c r="M532" s="352"/>
    </row>
    <row r="533" spans="1:13" x14ac:dyDescent="0.2">
      <c r="A533" s="374"/>
      <c r="B533" s="375"/>
      <c r="C533" s="375"/>
      <c r="D533" s="375"/>
      <c r="E533" s="375"/>
      <c r="F533" s="375"/>
      <c r="G533" s="375"/>
      <c r="H533" s="375"/>
      <c r="I533" s="375"/>
      <c r="J533" s="375"/>
      <c r="K533" s="375"/>
      <c r="L533" s="375"/>
      <c r="M533" s="352"/>
    </row>
    <row r="534" spans="1:13" x14ac:dyDescent="0.2">
      <c r="A534" s="374"/>
      <c r="B534" s="375"/>
      <c r="C534" s="375"/>
      <c r="D534" s="375"/>
      <c r="E534" s="375"/>
      <c r="F534" s="375"/>
      <c r="G534" s="375"/>
      <c r="H534" s="375"/>
      <c r="I534" s="375"/>
      <c r="J534" s="375"/>
      <c r="K534" s="375"/>
      <c r="L534" s="375"/>
      <c r="M534" s="352"/>
    </row>
    <row r="535" spans="1:13" x14ac:dyDescent="0.2">
      <c r="A535" s="348"/>
      <c r="B535" s="466"/>
      <c r="C535" s="466"/>
      <c r="D535" s="466"/>
      <c r="E535" s="467"/>
      <c r="F535" s="466"/>
      <c r="G535" s="466"/>
      <c r="H535" s="466"/>
      <c r="I535" s="467"/>
      <c r="J535" s="466"/>
      <c r="K535" s="466"/>
      <c r="L535" s="466"/>
      <c r="M535" s="352"/>
    </row>
    <row r="536" spans="1:13" x14ac:dyDescent="0.2">
      <c r="A536" s="348"/>
      <c r="B536" s="466"/>
      <c r="C536" s="466"/>
      <c r="D536" s="466"/>
      <c r="E536" s="467"/>
      <c r="F536" s="466"/>
      <c r="G536" s="466"/>
      <c r="H536" s="466"/>
      <c r="I536" s="467"/>
      <c r="J536" s="466"/>
      <c r="K536" s="466"/>
      <c r="L536" s="466"/>
      <c r="M536" s="352"/>
    </row>
    <row r="537" spans="1:13" x14ac:dyDescent="0.2">
      <c r="A537" s="348"/>
      <c r="B537" s="466"/>
      <c r="C537" s="466"/>
      <c r="D537" s="466"/>
      <c r="E537" s="467"/>
      <c r="F537" s="466"/>
      <c r="G537" s="466"/>
      <c r="H537" s="466"/>
      <c r="I537" s="467"/>
      <c r="J537" s="466"/>
      <c r="K537" s="466"/>
      <c r="L537" s="466"/>
      <c r="M537" s="352"/>
    </row>
    <row r="538" spans="1:13" x14ac:dyDescent="0.2">
      <c r="A538" s="348"/>
      <c r="B538" s="466"/>
      <c r="C538" s="466"/>
      <c r="D538" s="466"/>
      <c r="E538" s="467"/>
      <c r="F538" s="466"/>
      <c r="G538" s="466"/>
      <c r="H538" s="466"/>
      <c r="I538" s="467"/>
      <c r="J538" s="466"/>
      <c r="K538" s="466"/>
      <c r="L538" s="466"/>
      <c r="M538" s="352"/>
    </row>
    <row r="539" spans="1:13" x14ac:dyDescent="0.2">
      <c r="A539" s="348"/>
      <c r="B539" s="466"/>
      <c r="C539" s="466"/>
      <c r="D539" s="466"/>
      <c r="E539" s="467"/>
      <c r="F539" s="466"/>
      <c r="G539" s="466"/>
      <c r="H539" s="466"/>
      <c r="I539" s="467"/>
      <c r="J539" s="466"/>
      <c r="K539" s="466"/>
      <c r="L539" s="466"/>
      <c r="M539" s="352"/>
    </row>
    <row r="540" spans="1:13" x14ac:dyDescent="0.2">
      <c r="A540" s="348"/>
      <c r="B540" s="466"/>
      <c r="C540" s="466"/>
      <c r="D540" s="466"/>
      <c r="E540" s="467"/>
      <c r="F540" s="466"/>
      <c r="G540" s="466"/>
      <c r="H540" s="466"/>
      <c r="I540" s="467"/>
      <c r="J540" s="466"/>
      <c r="K540" s="466"/>
      <c r="L540" s="466"/>
      <c r="M540" s="352"/>
    </row>
    <row r="541" spans="1:13" x14ac:dyDescent="0.2">
      <c r="A541" s="348"/>
      <c r="B541" s="466"/>
      <c r="C541" s="466"/>
      <c r="D541" s="466"/>
      <c r="E541" s="467"/>
      <c r="F541" s="466"/>
      <c r="G541" s="466"/>
      <c r="H541" s="466"/>
      <c r="I541" s="467"/>
      <c r="J541" s="466"/>
      <c r="K541" s="466"/>
      <c r="L541" s="466"/>
      <c r="M541" s="352"/>
    </row>
    <row r="542" spans="1:13" x14ac:dyDescent="0.2">
      <c r="A542" s="348"/>
      <c r="B542" s="466"/>
      <c r="C542" s="466"/>
      <c r="D542" s="466"/>
      <c r="E542" s="467"/>
      <c r="F542" s="466"/>
      <c r="G542" s="466"/>
      <c r="H542" s="466"/>
      <c r="I542" s="467"/>
      <c r="J542" s="466"/>
      <c r="K542" s="466"/>
      <c r="L542" s="466"/>
      <c r="M542" s="352"/>
    </row>
    <row r="543" spans="1:13" x14ac:dyDescent="0.2">
      <c r="A543" s="348"/>
      <c r="B543" s="466"/>
      <c r="C543" s="466"/>
      <c r="D543" s="466"/>
      <c r="E543" s="467"/>
      <c r="F543" s="466"/>
      <c r="G543" s="466"/>
      <c r="H543" s="466"/>
      <c r="I543" s="467"/>
      <c r="J543" s="466"/>
      <c r="K543" s="466"/>
      <c r="L543" s="466"/>
      <c r="M543" s="352"/>
    </row>
    <row r="544" spans="1:13" x14ac:dyDescent="0.2">
      <c r="A544" s="348"/>
      <c r="B544" s="466"/>
      <c r="C544" s="466"/>
      <c r="D544" s="466"/>
      <c r="E544" s="467"/>
      <c r="F544" s="466"/>
      <c r="G544" s="466"/>
      <c r="H544" s="466"/>
      <c r="I544" s="467"/>
      <c r="J544" s="466"/>
      <c r="K544" s="466"/>
      <c r="L544" s="466"/>
      <c r="M544" s="352"/>
    </row>
    <row r="545" spans="1:13" x14ac:dyDescent="0.2">
      <c r="A545" s="348"/>
      <c r="B545" s="467"/>
      <c r="C545" s="467"/>
      <c r="D545" s="467"/>
      <c r="E545" s="467"/>
      <c r="F545" s="467"/>
      <c r="G545" s="467"/>
      <c r="H545" s="467"/>
      <c r="I545" s="467"/>
      <c r="J545" s="467"/>
      <c r="K545" s="467"/>
      <c r="L545" s="467"/>
      <c r="M545" s="352"/>
    </row>
    <row r="546" spans="1:13" x14ac:dyDescent="0.2">
      <c r="A546" s="348"/>
      <c r="B546" s="348"/>
      <c r="C546" s="348"/>
      <c r="D546" s="348"/>
      <c r="E546" s="348"/>
      <c r="F546" s="348"/>
      <c r="G546" s="348"/>
      <c r="H546" s="348"/>
      <c r="I546" s="348"/>
      <c r="J546" s="348"/>
      <c r="K546" s="348"/>
      <c r="L546" s="353"/>
      <c r="M546" s="352"/>
    </row>
    <row r="547" spans="1:13" x14ac:dyDescent="0.2">
      <c r="A547" s="348"/>
      <c r="B547" s="348"/>
      <c r="C547" s="348"/>
      <c r="D547" s="348"/>
      <c r="E547" s="348"/>
      <c r="F547" s="348"/>
      <c r="G547" s="348"/>
      <c r="H547" s="348"/>
      <c r="I547" s="348"/>
      <c r="J547" s="348"/>
      <c r="K547" s="348"/>
      <c r="L547" s="410"/>
      <c r="M547" s="352"/>
    </row>
    <row r="548" spans="1:13" x14ac:dyDescent="0.2">
      <c r="A548" s="374"/>
      <c r="B548" s="354"/>
      <c r="C548" s="354"/>
      <c r="D548" s="354"/>
      <c r="E548" s="354"/>
      <c r="F548" s="354"/>
      <c r="G548" s="354"/>
      <c r="H548" s="354"/>
      <c r="I548" s="354"/>
      <c r="J548" s="354"/>
      <c r="K548" s="354"/>
      <c r="L548" s="352"/>
      <c r="M548" s="352"/>
    </row>
    <row r="549" spans="1:13" x14ac:dyDescent="0.2">
      <c r="A549" s="354"/>
      <c r="B549" s="517"/>
      <c r="C549" s="517"/>
      <c r="D549" s="517"/>
      <c r="E549" s="369"/>
      <c r="F549" s="517"/>
      <c r="G549" s="517"/>
      <c r="H549" s="517"/>
      <c r="I549" s="369"/>
      <c r="J549" s="517"/>
      <c r="K549" s="517"/>
      <c r="L549" s="517"/>
      <c r="M549" s="352"/>
    </row>
    <row r="550" spans="1:13" x14ac:dyDescent="0.2">
      <c r="A550" s="374"/>
      <c r="B550" s="375"/>
      <c r="C550" s="375"/>
      <c r="D550" s="375"/>
      <c r="E550" s="375"/>
      <c r="F550" s="375"/>
      <c r="G550" s="375"/>
      <c r="H550" s="375"/>
      <c r="I550" s="375"/>
      <c r="J550" s="375"/>
      <c r="K550" s="375"/>
      <c r="L550" s="375"/>
      <c r="M550" s="352"/>
    </row>
    <row r="551" spans="1:13" x14ac:dyDescent="0.2">
      <c r="A551" s="374"/>
      <c r="B551" s="375"/>
      <c r="C551" s="375"/>
      <c r="D551" s="375"/>
      <c r="E551" s="375"/>
      <c r="F551" s="375"/>
      <c r="G551" s="375"/>
      <c r="H551" s="375"/>
      <c r="I551" s="375"/>
      <c r="J551" s="375"/>
      <c r="K551" s="375"/>
      <c r="L551" s="375"/>
      <c r="M551" s="352"/>
    </row>
    <row r="552" spans="1:13" x14ac:dyDescent="0.2">
      <c r="A552" s="348"/>
      <c r="B552" s="466"/>
      <c r="C552" s="466"/>
      <c r="D552" s="466"/>
      <c r="E552" s="467"/>
      <c r="F552" s="466"/>
      <c r="G552" s="466"/>
      <c r="H552" s="466"/>
      <c r="I552" s="467"/>
      <c r="J552" s="466"/>
      <c r="K552" s="466"/>
      <c r="L552" s="466"/>
      <c r="M552" s="352"/>
    </row>
    <row r="553" spans="1:13" x14ac:dyDescent="0.2">
      <c r="A553" s="348"/>
      <c r="B553" s="466"/>
      <c r="C553" s="466"/>
      <c r="D553" s="466"/>
      <c r="E553" s="467"/>
      <c r="F553" s="466"/>
      <c r="G553" s="466"/>
      <c r="H553" s="466"/>
      <c r="I553" s="467"/>
      <c r="J553" s="466"/>
      <c r="K553" s="466"/>
      <c r="L553" s="466"/>
      <c r="M553" s="352"/>
    </row>
    <row r="554" spans="1:13" x14ac:dyDescent="0.2">
      <c r="A554" s="348"/>
      <c r="B554" s="466"/>
      <c r="C554" s="466"/>
      <c r="D554" s="466"/>
      <c r="E554" s="467"/>
      <c r="F554" s="466"/>
      <c r="G554" s="466"/>
      <c r="H554" s="466"/>
      <c r="I554" s="467"/>
      <c r="J554" s="466"/>
      <c r="K554" s="466"/>
      <c r="L554" s="466"/>
      <c r="M554" s="352"/>
    </row>
    <row r="555" spans="1:13" x14ac:dyDescent="0.2">
      <c r="A555" s="348"/>
      <c r="B555" s="466"/>
      <c r="C555" s="466"/>
      <c r="D555" s="466"/>
      <c r="E555" s="467"/>
      <c r="F555" s="466"/>
      <c r="G555" s="466"/>
      <c r="H555" s="466"/>
      <c r="I555" s="467"/>
      <c r="J555" s="466"/>
      <c r="K555" s="466"/>
      <c r="L555" s="466"/>
      <c r="M555" s="352"/>
    </row>
    <row r="556" spans="1:13" x14ac:dyDescent="0.2">
      <c r="A556" s="348"/>
      <c r="B556" s="466"/>
      <c r="C556" s="466"/>
      <c r="D556" s="466"/>
      <c r="E556" s="467"/>
      <c r="F556" s="466"/>
      <c r="G556" s="466"/>
      <c r="H556" s="466"/>
      <c r="I556" s="467"/>
      <c r="J556" s="466"/>
      <c r="K556" s="466"/>
      <c r="L556" s="466"/>
      <c r="M556" s="352"/>
    </row>
    <row r="557" spans="1:13" x14ac:dyDescent="0.2">
      <c r="A557" s="348"/>
      <c r="B557" s="466"/>
      <c r="C557" s="466"/>
      <c r="D557" s="466"/>
      <c r="E557" s="467"/>
      <c r="F557" s="466"/>
      <c r="G557" s="466"/>
      <c r="H557" s="466"/>
      <c r="I557" s="467"/>
      <c r="J557" s="466"/>
      <c r="K557" s="466"/>
      <c r="L557" s="466"/>
      <c r="M557" s="352"/>
    </row>
    <row r="558" spans="1:13" x14ac:dyDescent="0.2">
      <c r="A558" s="348"/>
      <c r="B558" s="466"/>
      <c r="C558" s="466"/>
      <c r="D558" s="466"/>
      <c r="E558" s="467"/>
      <c r="F558" s="466"/>
      <c r="G558" s="466"/>
      <c r="H558" s="466"/>
      <c r="I558" s="467"/>
      <c r="J558" s="466"/>
      <c r="K558" s="466"/>
      <c r="L558" s="466"/>
      <c r="M558" s="352"/>
    </row>
    <row r="559" spans="1:13" x14ac:dyDescent="0.2">
      <c r="A559" s="348"/>
      <c r="B559" s="466"/>
      <c r="C559" s="466"/>
      <c r="D559" s="466"/>
      <c r="E559" s="467"/>
      <c r="F559" s="466"/>
      <c r="G559" s="466"/>
      <c r="H559" s="466"/>
      <c r="I559" s="467"/>
      <c r="J559" s="466"/>
      <c r="K559" s="466"/>
      <c r="L559" s="466"/>
      <c r="M559" s="352"/>
    </row>
    <row r="560" spans="1:13" x14ac:dyDescent="0.2">
      <c r="A560" s="348"/>
      <c r="B560" s="466"/>
      <c r="C560" s="466"/>
      <c r="D560" s="466"/>
      <c r="E560" s="467"/>
      <c r="F560" s="466"/>
      <c r="G560" s="466"/>
      <c r="H560" s="466"/>
      <c r="I560" s="467"/>
      <c r="J560" s="466"/>
      <c r="K560" s="466"/>
      <c r="L560" s="466"/>
      <c r="M560" s="352"/>
    </row>
    <row r="561" spans="1:13" x14ac:dyDescent="0.2">
      <c r="A561" s="348"/>
      <c r="B561" s="466"/>
      <c r="C561" s="466"/>
      <c r="D561" s="466"/>
      <c r="E561" s="467"/>
      <c r="F561" s="466"/>
      <c r="G561" s="466"/>
      <c r="H561" s="466"/>
      <c r="I561" s="467"/>
      <c r="J561" s="466"/>
      <c r="K561" s="466"/>
      <c r="L561" s="466"/>
      <c r="M561" s="352"/>
    </row>
    <row r="562" spans="1:13" x14ac:dyDescent="0.2">
      <c r="A562" s="348"/>
      <c r="B562" s="467"/>
      <c r="C562" s="467"/>
      <c r="D562" s="467"/>
      <c r="E562" s="467"/>
      <c r="F562" s="467"/>
      <c r="G562" s="467"/>
      <c r="H562" s="467"/>
      <c r="I562" s="467"/>
      <c r="J562" s="467"/>
      <c r="K562" s="467"/>
      <c r="L562" s="467"/>
      <c r="M562" s="352"/>
    </row>
    <row r="563" spans="1:13" x14ac:dyDescent="0.2">
      <c r="A563" s="348"/>
      <c r="B563" s="348"/>
      <c r="C563" s="348"/>
      <c r="D563" s="348"/>
      <c r="E563" s="348"/>
      <c r="F563" s="348"/>
      <c r="G563" s="348"/>
      <c r="H563" s="348"/>
      <c r="I563" s="348"/>
      <c r="J563" s="348"/>
      <c r="K563" s="348"/>
      <c r="L563" s="353"/>
      <c r="M563" s="352"/>
    </row>
    <row r="564" spans="1:13" x14ac:dyDescent="0.2">
      <c r="A564" s="348"/>
      <c r="B564" s="348"/>
      <c r="C564" s="348"/>
      <c r="D564" s="348"/>
      <c r="E564" s="348"/>
      <c r="F564" s="348"/>
      <c r="G564" s="348"/>
      <c r="H564" s="348"/>
      <c r="I564" s="348"/>
      <c r="J564" s="348"/>
      <c r="K564" s="348"/>
      <c r="L564" s="410"/>
      <c r="M564" s="352"/>
    </row>
    <row r="565" spans="1:13" x14ac:dyDescent="0.2">
      <c r="A565" s="374"/>
      <c r="B565" s="354"/>
      <c r="C565" s="354"/>
      <c r="D565" s="354"/>
      <c r="E565" s="354"/>
      <c r="F565" s="354"/>
      <c r="G565" s="354"/>
      <c r="H565" s="354"/>
      <c r="I565" s="354"/>
      <c r="J565" s="354"/>
      <c r="K565" s="354"/>
      <c r="L565" s="352"/>
      <c r="M565" s="352"/>
    </row>
    <row r="566" spans="1:13" x14ac:dyDescent="0.2">
      <c r="A566" s="354"/>
      <c r="B566" s="517"/>
      <c r="C566" s="517"/>
      <c r="D566" s="517"/>
      <c r="E566" s="369"/>
      <c r="F566" s="517"/>
      <c r="G566" s="517"/>
      <c r="H566" s="517"/>
      <c r="I566" s="369"/>
      <c r="J566" s="517"/>
      <c r="K566" s="517"/>
      <c r="L566" s="517"/>
      <c r="M566" s="352"/>
    </row>
    <row r="567" spans="1:13" x14ac:dyDescent="0.2">
      <c r="A567" s="374"/>
      <c r="B567" s="375"/>
      <c r="C567" s="375"/>
      <c r="D567" s="375"/>
      <c r="E567" s="375"/>
      <c r="F567" s="375"/>
      <c r="G567" s="375"/>
      <c r="H567" s="375"/>
      <c r="I567" s="375"/>
      <c r="J567" s="375"/>
      <c r="K567" s="375"/>
      <c r="L567" s="375"/>
      <c r="M567" s="352"/>
    </row>
    <row r="568" spans="1:13" x14ac:dyDescent="0.2">
      <c r="A568" s="374"/>
      <c r="B568" s="375"/>
      <c r="C568" s="375"/>
      <c r="D568" s="375"/>
      <c r="E568" s="375"/>
      <c r="F568" s="375"/>
      <c r="G568" s="375"/>
      <c r="H568" s="375"/>
      <c r="I568" s="375"/>
      <c r="J568" s="375"/>
      <c r="K568" s="375"/>
      <c r="L568" s="375"/>
      <c r="M568" s="352"/>
    </row>
    <row r="569" spans="1:13" x14ac:dyDescent="0.2">
      <c r="A569" s="348"/>
      <c r="B569" s="466"/>
      <c r="C569" s="466"/>
      <c r="D569" s="466"/>
      <c r="E569" s="467"/>
      <c r="F569" s="466"/>
      <c r="G569" s="466"/>
      <c r="H569" s="466"/>
      <c r="I569" s="467"/>
      <c r="J569" s="466"/>
      <c r="K569" s="466"/>
      <c r="L569" s="466"/>
      <c r="M569" s="352"/>
    </row>
    <row r="570" spans="1:13" x14ac:dyDescent="0.2">
      <c r="A570" s="348"/>
      <c r="B570" s="466"/>
      <c r="C570" s="466"/>
      <c r="D570" s="466"/>
      <c r="E570" s="467"/>
      <c r="F570" s="466"/>
      <c r="G570" s="466"/>
      <c r="H570" s="466"/>
      <c r="I570" s="467"/>
      <c r="J570" s="466"/>
      <c r="K570" s="466"/>
      <c r="L570" s="466"/>
      <c r="M570" s="352"/>
    </row>
    <row r="571" spans="1:13" x14ac:dyDescent="0.2">
      <c r="A571" s="348"/>
      <c r="B571" s="466"/>
      <c r="C571" s="466"/>
      <c r="D571" s="466"/>
      <c r="E571" s="467"/>
      <c r="F571" s="466"/>
      <c r="G571" s="466"/>
      <c r="H571" s="466"/>
      <c r="I571" s="467"/>
      <c r="J571" s="466"/>
      <c r="K571" s="466"/>
      <c r="L571" s="466"/>
      <c r="M571" s="352"/>
    </row>
    <row r="572" spans="1:13" x14ac:dyDescent="0.2">
      <c r="A572" s="348"/>
      <c r="B572" s="466"/>
      <c r="C572" s="466"/>
      <c r="D572" s="466"/>
      <c r="E572" s="467"/>
      <c r="F572" s="466"/>
      <c r="G572" s="466"/>
      <c r="H572" s="466"/>
      <c r="I572" s="467"/>
      <c r="J572" s="466"/>
      <c r="K572" s="466"/>
      <c r="L572" s="466"/>
      <c r="M572" s="352"/>
    </row>
    <row r="573" spans="1:13" x14ac:dyDescent="0.2">
      <c r="A573" s="348"/>
      <c r="B573" s="466"/>
      <c r="C573" s="466"/>
      <c r="D573" s="466"/>
      <c r="E573" s="467"/>
      <c r="F573" s="466"/>
      <c r="G573" s="466"/>
      <c r="H573" s="466"/>
      <c r="I573" s="467"/>
      <c r="J573" s="466"/>
      <c r="K573" s="466"/>
      <c r="L573" s="466"/>
      <c r="M573" s="352"/>
    </row>
    <row r="574" spans="1:13" x14ac:dyDescent="0.2">
      <c r="A574" s="348"/>
      <c r="B574" s="466"/>
      <c r="C574" s="466"/>
      <c r="D574" s="466"/>
      <c r="E574" s="467"/>
      <c r="F574" s="466"/>
      <c r="G574" s="466"/>
      <c r="H574" s="466"/>
      <c r="I574" s="467"/>
      <c r="J574" s="466"/>
      <c r="K574" s="466"/>
      <c r="L574" s="466"/>
      <c r="M574" s="352"/>
    </row>
    <row r="575" spans="1:13" x14ac:dyDescent="0.2">
      <c r="A575" s="348"/>
      <c r="B575" s="466"/>
      <c r="C575" s="466"/>
      <c r="D575" s="466"/>
      <c r="E575" s="467"/>
      <c r="F575" s="466"/>
      <c r="G575" s="466"/>
      <c r="H575" s="466"/>
      <c r="I575" s="467"/>
      <c r="J575" s="466"/>
      <c r="K575" s="466"/>
      <c r="L575" s="466"/>
      <c r="M575" s="352"/>
    </row>
    <row r="576" spans="1:13" x14ac:dyDescent="0.2">
      <c r="A576" s="348"/>
      <c r="B576" s="466"/>
      <c r="C576" s="466"/>
      <c r="D576" s="466"/>
      <c r="E576" s="467"/>
      <c r="F576" s="466"/>
      <c r="G576" s="466"/>
      <c r="H576" s="466"/>
      <c r="I576" s="467"/>
      <c r="J576" s="466"/>
      <c r="K576" s="466"/>
      <c r="L576" s="466"/>
      <c r="M576" s="352"/>
    </row>
    <row r="577" spans="1:13" x14ac:dyDescent="0.2">
      <c r="A577" s="348"/>
      <c r="B577" s="466"/>
      <c r="C577" s="466"/>
      <c r="D577" s="466"/>
      <c r="E577" s="467"/>
      <c r="F577" s="466"/>
      <c r="G577" s="466"/>
      <c r="H577" s="466"/>
      <c r="I577" s="467"/>
      <c r="J577" s="466"/>
      <c r="K577" s="466"/>
      <c r="L577" s="466"/>
      <c r="M577" s="352"/>
    </row>
    <row r="578" spans="1:13" x14ac:dyDescent="0.2">
      <c r="A578" s="348"/>
      <c r="B578" s="466"/>
      <c r="C578" s="466"/>
      <c r="D578" s="466"/>
      <c r="E578" s="467"/>
      <c r="F578" s="466"/>
      <c r="G578" s="466"/>
      <c r="H578" s="466"/>
      <c r="I578" s="467"/>
      <c r="J578" s="466"/>
      <c r="K578" s="466"/>
      <c r="L578" s="466"/>
      <c r="M578" s="352"/>
    </row>
    <row r="579" spans="1:13" x14ac:dyDescent="0.2">
      <c r="A579" s="348"/>
      <c r="B579" s="467"/>
      <c r="C579" s="467"/>
      <c r="D579" s="467"/>
      <c r="E579" s="467"/>
      <c r="F579" s="467"/>
      <c r="G579" s="467"/>
      <c r="H579" s="467"/>
      <c r="I579" s="467"/>
      <c r="J579" s="467"/>
      <c r="K579" s="467"/>
      <c r="L579" s="467"/>
      <c r="M579" s="352"/>
    </row>
    <row r="580" spans="1:13" x14ac:dyDescent="0.2">
      <c r="A580" s="348"/>
      <c r="B580" s="348"/>
      <c r="C580" s="348"/>
      <c r="D580" s="348"/>
      <c r="E580" s="348"/>
      <c r="F580" s="348"/>
      <c r="G580" s="348"/>
      <c r="H580" s="348"/>
      <c r="I580" s="348"/>
      <c r="J580" s="348"/>
      <c r="K580" s="348"/>
      <c r="L580" s="353"/>
      <c r="M580" s="352"/>
    </row>
    <row r="581" spans="1:13" x14ac:dyDescent="0.2">
      <c r="A581" s="348"/>
      <c r="B581" s="348"/>
      <c r="C581" s="348"/>
      <c r="D581" s="348"/>
      <c r="E581" s="348"/>
      <c r="F581" s="348"/>
      <c r="G581" s="348"/>
      <c r="H581" s="348"/>
      <c r="I581" s="348"/>
      <c r="J581" s="348"/>
      <c r="K581" s="348"/>
      <c r="L581" s="410"/>
      <c r="M581" s="352"/>
    </row>
    <row r="582" spans="1:13" x14ac:dyDescent="0.2">
      <c r="A582" s="374"/>
      <c r="B582" s="354"/>
      <c r="C582" s="354"/>
      <c r="D582" s="354"/>
      <c r="E582" s="354"/>
      <c r="F582" s="354"/>
      <c r="G582" s="354"/>
      <c r="H582" s="354"/>
      <c r="I582" s="354"/>
      <c r="J582" s="354"/>
      <c r="K582" s="354"/>
      <c r="L582" s="352"/>
      <c r="M582" s="352"/>
    </row>
    <row r="583" spans="1:13" x14ac:dyDescent="0.2">
      <c r="A583" s="354"/>
      <c r="B583" s="517"/>
      <c r="C583" s="517"/>
      <c r="D583" s="517"/>
      <c r="E583" s="369"/>
      <c r="F583" s="517"/>
      <c r="G583" s="517"/>
      <c r="H583" s="517"/>
      <c r="I583" s="369"/>
      <c r="J583" s="517"/>
      <c r="K583" s="517"/>
      <c r="L583" s="517"/>
      <c r="M583" s="352"/>
    </row>
    <row r="584" spans="1:13" x14ac:dyDescent="0.2">
      <c r="A584" s="374"/>
      <c r="B584" s="375"/>
      <c r="C584" s="375"/>
      <c r="D584" s="375"/>
      <c r="E584" s="375"/>
      <c r="F584" s="375"/>
      <c r="G584" s="375"/>
      <c r="H584" s="375"/>
      <c r="I584" s="375"/>
      <c r="J584" s="375"/>
      <c r="K584" s="375"/>
      <c r="L584" s="375"/>
      <c r="M584" s="352"/>
    </row>
    <row r="585" spans="1:13" x14ac:dyDescent="0.2">
      <c r="A585" s="374"/>
      <c r="B585" s="375"/>
      <c r="C585" s="375"/>
      <c r="D585" s="375"/>
      <c r="E585" s="375"/>
      <c r="F585" s="375"/>
      <c r="G585" s="375"/>
      <c r="H585" s="375"/>
      <c r="I585" s="375"/>
      <c r="J585" s="375"/>
      <c r="K585" s="375"/>
      <c r="L585" s="375"/>
      <c r="M585" s="352"/>
    </row>
    <row r="586" spans="1:13" x14ac:dyDescent="0.2">
      <c r="A586" s="348"/>
      <c r="B586" s="466"/>
      <c r="C586" s="466"/>
      <c r="D586" s="466"/>
      <c r="E586" s="467"/>
      <c r="F586" s="466"/>
      <c r="G586" s="466"/>
      <c r="H586" s="466"/>
      <c r="I586" s="467"/>
      <c r="J586" s="466"/>
      <c r="K586" s="466"/>
      <c r="L586" s="466"/>
      <c r="M586" s="352"/>
    </row>
    <row r="587" spans="1:13" x14ac:dyDescent="0.2">
      <c r="A587" s="348"/>
      <c r="B587" s="466"/>
      <c r="C587" s="466"/>
      <c r="D587" s="466"/>
      <c r="E587" s="467"/>
      <c r="F587" s="466"/>
      <c r="G587" s="466"/>
      <c r="H587" s="466"/>
      <c r="I587" s="467"/>
      <c r="J587" s="466"/>
      <c r="K587" s="466"/>
      <c r="L587" s="466"/>
      <c r="M587" s="352"/>
    </row>
    <row r="588" spans="1:13" x14ac:dyDescent="0.2">
      <c r="A588" s="348"/>
      <c r="B588" s="466"/>
      <c r="C588" s="466"/>
      <c r="D588" s="466"/>
      <c r="E588" s="467"/>
      <c r="F588" s="466"/>
      <c r="G588" s="466"/>
      <c r="H588" s="466"/>
      <c r="I588" s="467"/>
      <c r="J588" s="466"/>
      <c r="K588" s="466"/>
      <c r="L588" s="466"/>
      <c r="M588" s="352"/>
    </row>
    <row r="589" spans="1:13" x14ac:dyDescent="0.2">
      <c r="A589" s="348"/>
      <c r="B589" s="466"/>
      <c r="C589" s="466"/>
      <c r="D589" s="466"/>
      <c r="E589" s="467"/>
      <c r="F589" s="466"/>
      <c r="G589" s="466"/>
      <c r="H589" s="466"/>
      <c r="I589" s="467"/>
      <c r="J589" s="466"/>
      <c r="K589" s="466"/>
      <c r="L589" s="466"/>
      <c r="M589" s="352"/>
    </row>
    <row r="590" spans="1:13" x14ac:dyDescent="0.2">
      <c r="A590" s="348"/>
      <c r="B590" s="466"/>
      <c r="C590" s="466"/>
      <c r="D590" s="466"/>
      <c r="E590" s="467"/>
      <c r="F590" s="466"/>
      <c r="G590" s="466"/>
      <c r="H590" s="466"/>
      <c r="I590" s="467"/>
      <c r="J590" s="466"/>
      <c r="K590" s="466"/>
      <c r="L590" s="466"/>
      <c r="M590" s="352"/>
    </row>
    <row r="591" spans="1:13" x14ac:dyDescent="0.2">
      <c r="A591" s="348"/>
      <c r="B591" s="466"/>
      <c r="C591" s="466"/>
      <c r="D591" s="466"/>
      <c r="E591" s="467"/>
      <c r="F591" s="466"/>
      <c r="G591" s="466"/>
      <c r="H591" s="466"/>
      <c r="I591" s="467"/>
      <c r="J591" s="466"/>
      <c r="K591" s="466"/>
      <c r="L591" s="466"/>
      <c r="M591" s="352"/>
    </row>
    <row r="592" spans="1:13" x14ac:dyDescent="0.2">
      <c r="A592" s="348"/>
      <c r="B592" s="466"/>
      <c r="C592" s="466"/>
      <c r="D592" s="466"/>
      <c r="E592" s="467"/>
      <c r="F592" s="466"/>
      <c r="G592" s="466"/>
      <c r="H592" s="466"/>
      <c r="I592" s="467"/>
      <c r="J592" s="466"/>
      <c r="K592" s="466"/>
      <c r="L592" s="466"/>
      <c r="M592" s="352"/>
    </row>
    <row r="593" spans="1:13" x14ac:dyDescent="0.2">
      <c r="A593" s="348"/>
      <c r="B593" s="466"/>
      <c r="C593" s="466"/>
      <c r="D593" s="466"/>
      <c r="E593" s="467"/>
      <c r="F593" s="466"/>
      <c r="G593" s="466"/>
      <c r="H593" s="466"/>
      <c r="I593" s="467"/>
      <c r="J593" s="466"/>
      <c r="K593" s="466"/>
      <c r="L593" s="466"/>
      <c r="M593" s="352"/>
    </row>
    <row r="594" spans="1:13" x14ac:dyDescent="0.2">
      <c r="A594" s="348"/>
      <c r="B594" s="466"/>
      <c r="C594" s="466"/>
      <c r="D594" s="466"/>
      <c r="E594" s="467"/>
      <c r="F594" s="466"/>
      <c r="G594" s="466"/>
      <c r="H594" s="466"/>
      <c r="I594" s="467"/>
      <c r="J594" s="466"/>
      <c r="K594" s="466"/>
      <c r="L594" s="466"/>
      <c r="M594" s="352"/>
    </row>
    <row r="595" spans="1:13" x14ac:dyDescent="0.2">
      <c r="A595" s="348"/>
      <c r="B595" s="466"/>
      <c r="C595" s="466"/>
      <c r="D595" s="466"/>
      <c r="E595" s="467"/>
      <c r="F595" s="466"/>
      <c r="G595" s="466"/>
      <c r="H595" s="466"/>
      <c r="I595" s="467"/>
      <c r="J595" s="466"/>
      <c r="K595" s="466"/>
      <c r="L595" s="466"/>
      <c r="M595" s="352"/>
    </row>
    <row r="596" spans="1:13" x14ac:dyDescent="0.2">
      <c r="A596" s="348"/>
      <c r="B596" s="467"/>
      <c r="C596" s="467"/>
      <c r="D596" s="467"/>
      <c r="E596" s="467"/>
      <c r="F596" s="467"/>
      <c r="G596" s="467"/>
      <c r="H596" s="467"/>
      <c r="I596" s="467"/>
      <c r="J596" s="467"/>
      <c r="K596" s="467"/>
      <c r="L596" s="467"/>
      <c r="M596" s="352"/>
    </row>
    <row r="597" spans="1:13" x14ac:dyDescent="0.2">
      <c r="A597" s="348"/>
      <c r="B597" s="348"/>
      <c r="C597" s="348"/>
      <c r="D597" s="348"/>
      <c r="E597" s="348"/>
      <c r="F597" s="348"/>
      <c r="G597" s="348"/>
      <c r="H597" s="348"/>
      <c r="I597" s="348"/>
      <c r="J597" s="348"/>
      <c r="K597" s="348"/>
      <c r="L597" s="353"/>
      <c r="M597" s="352"/>
    </row>
    <row r="598" spans="1:13" x14ac:dyDescent="0.2">
      <c r="A598" s="348"/>
      <c r="B598" s="348"/>
      <c r="C598" s="348"/>
      <c r="D598" s="348"/>
      <c r="E598" s="348"/>
      <c r="F598" s="348"/>
      <c r="G598" s="348"/>
      <c r="H598" s="348"/>
      <c r="I598" s="348"/>
      <c r="J598" s="348"/>
      <c r="K598" s="348"/>
      <c r="L598" s="410"/>
      <c r="M598" s="352"/>
    </row>
    <row r="599" spans="1:13" x14ac:dyDescent="0.2">
      <c r="A599" s="374"/>
      <c r="B599" s="354"/>
      <c r="C599" s="354"/>
      <c r="D599" s="354"/>
      <c r="E599" s="354"/>
      <c r="F599" s="354"/>
      <c r="G599" s="354"/>
      <c r="H599" s="354"/>
      <c r="I599" s="354"/>
      <c r="J599" s="354"/>
      <c r="K599" s="354"/>
      <c r="L599" s="352"/>
      <c r="M599" s="352"/>
    </row>
    <row r="600" spans="1:13" x14ac:dyDescent="0.2">
      <c r="A600" s="354"/>
      <c r="B600" s="517"/>
      <c r="C600" s="517"/>
      <c r="D600" s="517"/>
      <c r="E600" s="369"/>
      <c r="F600" s="517"/>
      <c r="G600" s="517"/>
      <c r="H600" s="517"/>
      <c r="I600" s="369"/>
      <c r="J600" s="517"/>
      <c r="K600" s="517"/>
      <c r="L600" s="517"/>
      <c r="M600" s="352"/>
    </row>
    <row r="601" spans="1:13" x14ac:dyDescent="0.2">
      <c r="A601" s="374"/>
      <c r="B601" s="375"/>
      <c r="C601" s="375"/>
      <c r="D601" s="375"/>
      <c r="E601" s="375"/>
      <c r="F601" s="375"/>
      <c r="G601" s="375"/>
      <c r="H601" s="375"/>
      <c r="I601" s="375"/>
      <c r="J601" s="375"/>
      <c r="K601" s="375"/>
      <c r="L601" s="375"/>
      <c r="M601" s="352"/>
    </row>
    <row r="602" spans="1:13" x14ac:dyDescent="0.2">
      <c r="A602" s="374"/>
      <c r="B602" s="375"/>
      <c r="C602" s="375"/>
      <c r="D602" s="375"/>
      <c r="E602" s="375"/>
      <c r="F602" s="375"/>
      <c r="G602" s="375"/>
      <c r="H602" s="375"/>
      <c r="I602" s="375"/>
      <c r="J602" s="375"/>
      <c r="K602" s="375"/>
      <c r="L602" s="375"/>
      <c r="M602" s="352"/>
    </row>
    <row r="603" spans="1:13" x14ac:dyDescent="0.2">
      <c r="A603" s="348"/>
      <c r="B603" s="466"/>
      <c r="C603" s="466"/>
      <c r="D603" s="466"/>
      <c r="E603" s="467"/>
      <c r="F603" s="466"/>
      <c r="G603" s="466"/>
      <c r="H603" s="466"/>
      <c r="I603" s="467"/>
      <c r="J603" s="466"/>
      <c r="K603" s="466"/>
      <c r="L603" s="466"/>
      <c r="M603" s="352"/>
    </row>
    <row r="604" spans="1:13" x14ac:dyDescent="0.2">
      <c r="A604" s="348"/>
      <c r="B604" s="466"/>
      <c r="C604" s="466"/>
      <c r="D604" s="466"/>
      <c r="E604" s="467"/>
      <c r="F604" s="466"/>
      <c r="G604" s="466"/>
      <c r="H604" s="466"/>
      <c r="I604" s="467"/>
      <c r="J604" s="466"/>
      <c r="K604" s="466"/>
      <c r="L604" s="466"/>
      <c r="M604" s="352"/>
    </row>
    <row r="605" spans="1:13" x14ac:dyDescent="0.2">
      <c r="A605" s="348"/>
      <c r="B605" s="466"/>
      <c r="C605" s="466"/>
      <c r="D605" s="466"/>
      <c r="E605" s="467"/>
      <c r="F605" s="466"/>
      <c r="G605" s="466"/>
      <c r="H605" s="466"/>
      <c r="I605" s="467"/>
      <c r="J605" s="466"/>
      <c r="K605" s="466"/>
      <c r="L605" s="466"/>
      <c r="M605" s="352"/>
    </row>
    <row r="606" spans="1:13" x14ac:dyDescent="0.2">
      <c r="A606" s="348"/>
      <c r="B606" s="466"/>
      <c r="C606" s="466"/>
      <c r="D606" s="466"/>
      <c r="E606" s="467"/>
      <c r="F606" s="466"/>
      <c r="G606" s="466"/>
      <c r="H606" s="466"/>
      <c r="I606" s="467"/>
      <c r="J606" s="466"/>
      <c r="K606" s="466"/>
      <c r="L606" s="466"/>
      <c r="M606" s="352"/>
    </row>
    <row r="607" spans="1:13" x14ac:dyDescent="0.2">
      <c r="A607" s="348"/>
      <c r="B607" s="466"/>
      <c r="C607" s="466"/>
      <c r="D607" s="466"/>
      <c r="E607" s="467"/>
      <c r="F607" s="466"/>
      <c r="G607" s="466"/>
      <c r="H607" s="466"/>
      <c r="I607" s="467"/>
      <c r="J607" s="466"/>
      <c r="K607" s="466"/>
      <c r="L607" s="466"/>
      <c r="M607" s="352"/>
    </row>
    <row r="608" spans="1:13" x14ac:dyDescent="0.2">
      <c r="A608" s="348"/>
      <c r="B608" s="466"/>
      <c r="C608" s="466"/>
      <c r="D608" s="466"/>
      <c r="E608" s="467"/>
      <c r="F608" s="466"/>
      <c r="G608" s="466"/>
      <c r="H608" s="466"/>
      <c r="I608" s="467"/>
      <c r="J608" s="466"/>
      <c r="K608" s="466"/>
      <c r="L608" s="466"/>
      <c r="M608" s="352"/>
    </row>
    <row r="609" spans="1:13" x14ac:dyDescent="0.2">
      <c r="A609" s="348"/>
      <c r="B609" s="466"/>
      <c r="C609" s="466"/>
      <c r="D609" s="466"/>
      <c r="E609" s="467"/>
      <c r="F609" s="466"/>
      <c r="G609" s="466"/>
      <c r="H609" s="466"/>
      <c r="I609" s="467"/>
      <c r="J609" s="466"/>
      <c r="K609" s="466"/>
      <c r="L609" s="466"/>
      <c r="M609" s="352"/>
    </row>
    <row r="610" spans="1:13" x14ac:dyDescent="0.2">
      <c r="A610" s="348"/>
      <c r="B610" s="466"/>
      <c r="C610" s="466"/>
      <c r="D610" s="466"/>
      <c r="E610" s="467"/>
      <c r="F610" s="466"/>
      <c r="G610" s="466"/>
      <c r="H610" s="466"/>
      <c r="I610" s="467"/>
      <c r="J610" s="466"/>
      <c r="K610" s="466"/>
      <c r="L610" s="466"/>
      <c r="M610" s="352"/>
    </row>
    <row r="611" spans="1:13" x14ac:dyDescent="0.2">
      <c r="A611" s="348"/>
      <c r="B611" s="466"/>
      <c r="C611" s="466"/>
      <c r="D611" s="466"/>
      <c r="E611" s="467"/>
      <c r="F611" s="466"/>
      <c r="G611" s="466"/>
      <c r="H611" s="466"/>
      <c r="I611" s="467"/>
      <c r="J611" s="466"/>
      <c r="K611" s="466"/>
      <c r="L611" s="466"/>
      <c r="M611" s="352"/>
    </row>
    <row r="612" spans="1:13" x14ac:dyDescent="0.2">
      <c r="A612" s="348"/>
      <c r="B612" s="466"/>
      <c r="C612" s="466"/>
      <c r="D612" s="466"/>
      <c r="E612" s="467"/>
      <c r="F612" s="466"/>
      <c r="G612" s="466"/>
      <c r="H612" s="466"/>
      <c r="I612" s="467"/>
      <c r="J612" s="466"/>
      <c r="K612" s="466"/>
      <c r="L612" s="466"/>
      <c r="M612" s="352"/>
    </row>
    <row r="613" spans="1:13" x14ac:dyDescent="0.2">
      <c r="A613" s="348"/>
      <c r="B613" s="467"/>
      <c r="C613" s="467"/>
      <c r="D613" s="467"/>
      <c r="E613" s="467"/>
      <c r="F613" s="467"/>
      <c r="G613" s="467"/>
      <c r="H613" s="467"/>
      <c r="I613" s="467"/>
      <c r="J613" s="467"/>
      <c r="K613" s="467"/>
      <c r="L613" s="467"/>
      <c r="M613" s="352"/>
    </row>
    <row r="614" spans="1:13" x14ac:dyDescent="0.2">
      <c r="A614" s="348"/>
      <c r="B614" s="348"/>
      <c r="C614" s="348"/>
      <c r="D614" s="348"/>
      <c r="E614" s="348"/>
      <c r="F614" s="348"/>
      <c r="G614" s="348"/>
      <c r="H614" s="348"/>
      <c r="I614" s="348"/>
      <c r="J614" s="348"/>
      <c r="K614" s="348"/>
      <c r="L614" s="353"/>
      <c r="M614" s="352"/>
    </row>
    <row r="615" spans="1:13" x14ac:dyDescent="0.2">
      <c r="A615" s="348"/>
      <c r="B615" s="348"/>
      <c r="C615" s="348"/>
      <c r="D615" s="348"/>
      <c r="E615" s="348"/>
      <c r="F615" s="348"/>
      <c r="G615" s="348"/>
      <c r="H615" s="348"/>
      <c r="I615" s="348"/>
      <c r="J615" s="348"/>
      <c r="K615" s="348"/>
      <c r="L615" s="410"/>
      <c r="M615" s="352"/>
    </row>
    <row r="616" spans="1:13" x14ac:dyDescent="0.2">
      <c r="A616" s="374"/>
      <c r="B616" s="354"/>
      <c r="C616" s="354"/>
      <c r="D616" s="354"/>
      <c r="E616" s="354"/>
      <c r="F616" s="354"/>
      <c r="G616" s="354"/>
      <c r="H616" s="354"/>
      <c r="I616" s="354"/>
      <c r="J616" s="354"/>
      <c r="K616" s="354"/>
      <c r="L616" s="352"/>
      <c r="M616" s="352"/>
    </row>
    <row r="617" spans="1:13" x14ac:dyDescent="0.2">
      <c r="A617" s="354"/>
      <c r="B617" s="517"/>
      <c r="C617" s="517"/>
      <c r="D617" s="517"/>
      <c r="E617" s="369"/>
      <c r="F617" s="517"/>
      <c r="G617" s="517"/>
      <c r="H617" s="517"/>
      <c r="I617" s="369"/>
      <c r="J617" s="517"/>
      <c r="K617" s="517"/>
      <c r="L617" s="517"/>
      <c r="M617" s="352"/>
    </row>
    <row r="618" spans="1:13" x14ac:dyDescent="0.2">
      <c r="A618" s="374"/>
      <c r="B618" s="375"/>
      <c r="C618" s="375"/>
      <c r="D618" s="375"/>
      <c r="E618" s="375"/>
      <c r="F618" s="375"/>
      <c r="G618" s="375"/>
      <c r="H618" s="375"/>
      <c r="I618" s="375"/>
      <c r="J618" s="375"/>
      <c r="K618" s="375"/>
      <c r="L618" s="375"/>
      <c r="M618" s="352"/>
    </row>
    <row r="619" spans="1:13" x14ac:dyDescent="0.2">
      <c r="A619" s="374"/>
      <c r="B619" s="375"/>
      <c r="C619" s="375"/>
      <c r="D619" s="375"/>
      <c r="E619" s="375"/>
      <c r="F619" s="375"/>
      <c r="G619" s="375"/>
      <c r="H619" s="375"/>
      <c r="I619" s="375"/>
      <c r="J619" s="375"/>
      <c r="K619" s="375"/>
      <c r="L619" s="375"/>
      <c r="M619" s="352"/>
    </row>
    <row r="620" spans="1:13" x14ac:dyDescent="0.2">
      <c r="A620" s="348"/>
      <c r="B620" s="466"/>
      <c r="C620" s="466"/>
      <c r="D620" s="466"/>
      <c r="E620" s="467"/>
      <c r="F620" s="466"/>
      <c r="G620" s="466"/>
      <c r="H620" s="466"/>
      <c r="I620" s="467"/>
      <c r="J620" s="466"/>
      <c r="K620" s="466"/>
      <c r="L620" s="466"/>
      <c r="M620" s="352"/>
    </row>
    <row r="621" spans="1:13" x14ac:dyDescent="0.2">
      <c r="A621" s="348"/>
      <c r="B621" s="466"/>
      <c r="C621" s="466"/>
      <c r="D621" s="466"/>
      <c r="E621" s="467"/>
      <c r="F621" s="466"/>
      <c r="G621" s="466"/>
      <c r="H621" s="466"/>
      <c r="I621" s="467"/>
      <c r="J621" s="466"/>
      <c r="K621" s="466"/>
      <c r="L621" s="466"/>
      <c r="M621" s="352"/>
    </row>
    <row r="622" spans="1:13" x14ac:dyDescent="0.2">
      <c r="A622" s="348"/>
      <c r="B622" s="466"/>
      <c r="C622" s="466"/>
      <c r="D622" s="466"/>
      <c r="E622" s="467"/>
      <c r="F622" s="466"/>
      <c r="G622" s="466"/>
      <c r="H622" s="466"/>
      <c r="I622" s="467"/>
      <c r="J622" s="466"/>
      <c r="K622" s="466"/>
      <c r="L622" s="466"/>
      <c r="M622" s="352"/>
    </row>
    <row r="623" spans="1:13" x14ac:dyDescent="0.2">
      <c r="A623" s="348"/>
      <c r="B623" s="466"/>
      <c r="C623" s="466"/>
      <c r="D623" s="466"/>
      <c r="E623" s="467"/>
      <c r="F623" s="466"/>
      <c r="G623" s="466"/>
      <c r="H623" s="466"/>
      <c r="I623" s="467"/>
      <c r="J623" s="466"/>
      <c r="K623" s="466"/>
      <c r="L623" s="466"/>
      <c r="M623" s="352"/>
    </row>
    <row r="624" spans="1:13" x14ac:dyDescent="0.2">
      <c r="A624" s="348"/>
      <c r="B624" s="466"/>
      <c r="C624" s="466"/>
      <c r="D624" s="466"/>
      <c r="E624" s="467"/>
      <c r="F624" s="466"/>
      <c r="G624" s="466"/>
      <c r="H624" s="466"/>
      <c r="I624" s="467"/>
      <c r="J624" s="466"/>
      <c r="K624" s="466"/>
      <c r="L624" s="466"/>
      <c r="M624" s="352"/>
    </row>
    <row r="625" spans="1:13" x14ac:dyDescent="0.2">
      <c r="A625" s="348"/>
      <c r="B625" s="466"/>
      <c r="C625" s="466"/>
      <c r="D625" s="466"/>
      <c r="E625" s="467"/>
      <c r="F625" s="466"/>
      <c r="G625" s="466"/>
      <c r="H625" s="466"/>
      <c r="I625" s="467"/>
      <c r="J625" s="466"/>
      <c r="K625" s="466"/>
      <c r="L625" s="466"/>
      <c r="M625" s="352"/>
    </row>
    <row r="626" spans="1:13" x14ac:dyDescent="0.2">
      <c r="A626" s="348"/>
      <c r="B626" s="466"/>
      <c r="C626" s="466"/>
      <c r="D626" s="466"/>
      <c r="E626" s="467"/>
      <c r="F626" s="466"/>
      <c r="G626" s="466"/>
      <c r="H626" s="466"/>
      <c r="I626" s="467"/>
      <c r="J626" s="466"/>
      <c r="K626" s="466"/>
      <c r="L626" s="466"/>
      <c r="M626" s="352"/>
    </row>
    <row r="627" spans="1:13" x14ac:dyDescent="0.2">
      <c r="A627" s="348"/>
      <c r="B627" s="466"/>
      <c r="C627" s="466"/>
      <c r="D627" s="466"/>
      <c r="E627" s="467"/>
      <c r="F627" s="466"/>
      <c r="G627" s="466"/>
      <c r="H627" s="466"/>
      <c r="I627" s="467"/>
      <c r="J627" s="466"/>
      <c r="K627" s="466"/>
      <c r="L627" s="466"/>
      <c r="M627" s="352"/>
    </row>
    <row r="628" spans="1:13" x14ac:dyDescent="0.2">
      <c r="A628" s="348"/>
      <c r="B628" s="466"/>
      <c r="C628" s="466"/>
      <c r="D628" s="466"/>
      <c r="E628" s="467"/>
      <c r="F628" s="466"/>
      <c r="G628" s="466"/>
      <c r="H628" s="466"/>
      <c r="I628" s="467"/>
      <c r="J628" s="466"/>
      <c r="K628" s="466"/>
      <c r="L628" s="466"/>
      <c r="M628" s="352"/>
    </row>
    <row r="629" spans="1:13" x14ac:dyDescent="0.2">
      <c r="A629" s="348"/>
      <c r="B629" s="466"/>
      <c r="C629" s="466"/>
      <c r="D629" s="466"/>
      <c r="E629" s="467"/>
      <c r="F629" s="466"/>
      <c r="G629" s="466"/>
      <c r="H629" s="466"/>
      <c r="I629" s="467"/>
      <c r="J629" s="466"/>
      <c r="K629" s="466"/>
      <c r="L629" s="466"/>
      <c r="M629" s="352"/>
    </row>
    <row r="630" spans="1:13" x14ac:dyDescent="0.2">
      <c r="A630" s="348"/>
      <c r="B630" s="467"/>
      <c r="C630" s="467"/>
      <c r="D630" s="467"/>
      <c r="E630" s="467"/>
      <c r="F630" s="467"/>
      <c r="G630" s="467"/>
      <c r="H630" s="467"/>
      <c r="I630" s="467"/>
      <c r="J630" s="467"/>
      <c r="K630" s="467"/>
      <c r="L630" s="467"/>
      <c r="M630" s="352"/>
    </row>
    <row r="631" spans="1:13" x14ac:dyDescent="0.2">
      <c r="A631" s="348"/>
      <c r="B631" s="348"/>
      <c r="C631" s="348"/>
      <c r="D631" s="348"/>
      <c r="E631" s="348"/>
      <c r="F631" s="348"/>
      <c r="G631" s="348"/>
      <c r="H631" s="348"/>
      <c r="I631" s="348"/>
      <c r="J631" s="348"/>
      <c r="K631" s="348"/>
      <c r="L631" s="353"/>
      <c r="M631" s="352"/>
    </row>
    <row r="632" spans="1:13" x14ac:dyDescent="0.2">
      <c r="A632" s="348"/>
      <c r="B632" s="348"/>
      <c r="C632" s="348"/>
      <c r="D632" s="348"/>
      <c r="E632" s="348"/>
      <c r="F632" s="348"/>
      <c r="G632" s="348"/>
      <c r="H632" s="348"/>
      <c r="I632" s="348"/>
      <c r="J632" s="348"/>
      <c r="K632" s="348"/>
      <c r="L632" s="410"/>
      <c r="M632" s="352"/>
    </row>
    <row r="633" spans="1:13" x14ac:dyDescent="0.2">
      <c r="A633" s="374"/>
      <c r="B633" s="354"/>
      <c r="C633" s="354"/>
      <c r="D633" s="354"/>
      <c r="E633" s="354"/>
      <c r="F633" s="354"/>
      <c r="G633" s="354"/>
      <c r="H633" s="354"/>
      <c r="I633" s="354"/>
      <c r="J633" s="354"/>
      <c r="K633" s="354"/>
      <c r="L633" s="352"/>
      <c r="M633" s="352"/>
    </row>
    <row r="634" spans="1:13" x14ac:dyDescent="0.2">
      <c r="A634" s="354"/>
      <c r="B634" s="517"/>
      <c r="C634" s="517"/>
      <c r="D634" s="517"/>
      <c r="E634" s="369"/>
      <c r="F634" s="517"/>
      <c r="G634" s="517"/>
      <c r="H634" s="517"/>
      <c r="I634" s="369"/>
      <c r="J634" s="517"/>
      <c r="K634" s="517"/>
      <c r="L634" s="517"/>
      <c r="M634" s="352"/>
    </row>
    <row r="635" spans="1:13" x14ac:dyDescent="0.2">
      <c r="A635" s="374"/>
      <c r="B635" s="375"/>
      <c r="C635" s="375"/>
      <c r="D635" s="375"/>
      <c r="E635" s="375"/>
      <c r="F635" s="375"/>
      <c r="G635" s="375"/>
      <c r="H635" s="375"/>
      <c r="I635" s="375"/>
      <c r="J635" s="375"/>
      <c r="K635" s="375"/>
      <c r="L635" s="375"/>
      <c r="M635" s="352"/>
    </row>
    <row r="636" spans="1:13" x14ac:dyDescent="0.2">
      <c r="A636" s="374"/>
      <c r="B636" s="375"/>
      <c r="C636" s="375"/>
      <c r="D636" s="375"/>
      <c r="E636" s="375"/>
      <c r="F636" s="375"/>
      <c r="G636" s="375"/>
      <c r="H636" s="375"/>
      <c r="I636" s="375"/>
      <c r="J636" s="375"/>
      <c r="K636" s="375"/>
      <c r="L636" s="375"/>
      <c r="M636" s="352"/>
    </row>
    <row r="637" spans="1:13" x14ac:dyDescent="0.2">
      <c r="A637" s="348"/>
      <c r="B637" s="466"/>
      <c r="C637" s="466"/>
      <c r="D637" s="466"/>
      <c r="E637" s="467"/>
      <c r="F637" s="466"/>
      <c r="G637" s="466"/>
      <c r="H637" s="466"/>
      <c r="I637" s="467"/>
      <c r="J637" s="466"/>
      <c r="K637" s="466"/>
      <c r="L637" s="466"/>
      <c r="M637" s="352"/>
    </row>
    <row r="638" spans="1:13" x14ac:dyDescent="0.2">
      <c r="A638" s="348"/>
      <c r="B638" s="466"/>
      <c r="C638" s="466"/>
      <c r="D638" s="466"/>
      <c r="E638" s="467"/>
      <c r="F638" s="466"/>
      <c r="G638" s="466"/>
      <c r="H638" s="466"/>
      <c r="I638" s="467"/>
      <c r="J638" s="466"/>
      <c r="K638" s="466"/>
      <c r="L638" s="466"/>
      <c r="M638" s="352"/>
    </row>
    <row r="639" spans="1:13" x14ac:dyDescent="0.2">
      <c r="A639" s="348"/>
      <c r="B639" s="466"/>
      <c r="C639" s="466"/>
      <c r="D639" s="466"/>
      <c r="E639" s="467"/>
      <c r="F639" s="466"/>
      <c r="G639" s="466"/>
      <c r="H639" s="466"/>
      <c r="I639" s="467"/>
      <c r="J639" s="466"/>
      <c r="K639" s="466"/>
      <c r="L639" s="466"/>
      <c r="M639" s="352"/>
    </row>
    <row r="640" spans="1:13" x14ac:dyDescent="0.2">
      <c r="A640" s="348"/>
      <c r="B640" s="466"/>
      <c r="C640" s="466"/>
      <c r="D640" s="466"/>
      <c r="E640" s="467"/>
      <c r="F640" s="466"/>
      <c r="G640" s="466"/>
      <c r="H640" s="466"/>
      <c r="I640" s="467"/>
      <c r="J640" s="466"/>
      <c r="K640" s="466"/>
      <c r="L640" s="466"/>
      <c r="M640" s="352"/>
    </row>
    <row r="641" spans="1:13" x14ac:dyDescent="0.2">
      <c r="A641" s="348"/>
      <c r="B641" s="466"/>
      <c r="C641" s="466"/>
      <c r="D641" s="466"/>
      <c r="E641" s="467"/>
      <c r="F641" s="466"/>
      <c r="G641" s="466"/>
      <c r="H641" s="466"/>
      <c r="I641" s="467"/>
      <c r="J641" s="466"/>
      <c r="K641" s="466"/>
      <c r="L641" s="466"/>
      <c r="M641" s="352"/>
    </row>
    <row r="642" spans="1:13" x14ac:dyDescent="0.2">
      <c r="A642" s="348"/>
      <c r="B642" s="466"/>
      <c r="C642" s="466"/>
      <c r="D642" s="466"/>
      <c r="E642" s="467"/>
      <c r="F642" s="466"/>
      <c r="G642" s="466"/>
      <c r="H642" s="466"/>
      <c r="I642" s="467"/>
      <c r="J642" s="466"/>
      <c r="K642" s="466"/>
      <c r="L642" s="466"/>
      <c r="M642" s="352"/>
    </row>
    <row r="643" spans="1:13" x14ac:dyDescent="0.2">
      <c r="A643" s="348"/>
      <c r="B643" s="466"/>
      <c r="C643" s="466"/>
      <c r="D643" s="466"/>
      <c r="E643" s="467"/>
      <c r="F643" s="466"/>
      <c r="G643" s="466"/>
      <c r="H643" s="466"/>
      <c r="I643" s="467"/>
      <c r="J643" s="466"/>
      <c r="K643" s="466"/>
      <c r="L643" s="466"/>
      <c r="M643" s="352"/>
    </row>
    <row r="644" spans="1:13" x14ac:dyDescent="0.2">
      <c r="A644" s="348"/>
      <c r="B644" s="466"/>
      <c r="C644" s="466"/>
      <c r="D644" s="466"/>
      <c r="E644" s="467"/>
      <c r="F644" s="466"/>
      <c r="G644" s="466"/>
      <c r="H644" s="466"/>
      <c r="I644" s="467"/>
      <c r="J644" s="466"/>
      <c r="K644" s="466"/>
      <c r="L644" s="466"/>
      <c r="M644" s="352"/>
    </row>
    <row r="645" spans="1:13" x14ac:dyDescent="0.2">
      <c r="A645" s="348"/>
      <c r="B645" s="466"/>
      <c r="C645" s="466"/>
      <c r="D645" s="466"/>
      <c r="E645" s="467"/>
      <c r="F645" s="466"/>
      <c r="G645" s="466"/>
      <c r="H645" s="466"/>
      <c r="I645" s="467"/>
      <c r="J645" s="466"/>
      <c r="K645" s="466"/>
      <c r="L645" s="466"/>
      <c r="M645" s="352"/>
    </row>
    <row r="646" spans="1:13" x14ac:dyDescent="0.2">
      <c r="A646" s="348"/>
      <c r="B646" s="466"/>
      <c r="C646" s="466"/>
      <c r="D646" s="466"/>
      <c r="E646" s="467"/>
      <c r="F646" s="466"/>
      <c r="G646" s="466"/>
      <c r="H646" s="466"/>
      <c r="I646" s="467"/>
      <c r="J646" s="466"/>
      <c r="K646" s="466"/>
      <c r="L646" s="466"/>
      <c r="M646" s="352"/>
    </row>
    <row r="647" spans="1:13" x14ac:dyDescent="0.2">
      <c r="A647" s="348"/>
      <c r="B647" s="467"/>
      <c r="C647" s="467"/>
      <c r="D647" s="467"/>
      <c r="E647" s="467"/>
      <c r="F647" s="467"/>
      <c r="G647" s="467"/>
      <c r="H647" s="467"/>
      <c r="I647" s="467"/>
      <c r="J647" s="467"/>
      <c r="K647" s="467"/>
      <c r="L647" s="467"/>
      <c r="M647" s="352"/>
    </row>
    <row r="648" spans="1:13" x14ac:dyDescent="0.2">
      <c r="A648" s="348"/>
      <c r="B648" s="348"/>
      <c r="C648" s="348"/>
      <c r="D648" s="348"/>
      <c r="E648" s="348"/>
      <c r="F648" s="348"/>
      <c r="G648" s="348"/>
      <c r="H648" s="348"/>
      <c r="I648" s="348"/>
      <c r="J648" s="348"/>
      <c r="K648" s="348"/>
      <c r="L648" s="353"/>
      <c r="M648" s="352"/>
    </row>
    <row r="649" spans="1:13" x14ac:dyDescent="0.2">
      <c r="A649" s="348"/>
      <c r="B649" s="348"/>
      <c r="C649" s="348"/>
      <c r="D649" s="348"/>
      <c r="E649" s="348"/>
      <c r="F649" s="348"/>
      <c r="G649" s="348"/>
      <c r="H649" s="348"/>
      <c r="I649" s="348"/>
      <c r="J649" s="348"/>
      <c r="K649" s="348"/>
      <c r="L649" s="410"/>
      <c r="M649" s="352"/>
    </row>
    <row r="650" spans="1:13" x14ac:dyDescent="0.2">
      <c r="A650" s="374"/>
      <c r="B650" s="354"/>
      <c r="C650" s="354"/>
      <c r="D650" s="354"/>
      <c r="E650" s="354"/>
      <c r="F650" s="354"/>
      <c r="G650" s="354"/>
      <c r="H650" s="354"/>
      <c r="I650" s="354"/>
      <c r="J650" s="354"/>
      <c r="K650" s="354"/>
      <c r="L650" s="352"/>
      <c r="M650" s="352"/>
    </row>
    <row r="651" spans="1:13" x14ac:dyDescent="0.2">
      <c r="A651" s="354"/>
      <c r="B651" s="517"/>
      <c r="C651" s="517"/>
      <c r="D651" s="517"/>
      <c r="E651" s="369"/>
      <c r="F651" s="517"/>
      <c r="G651" s="517"/>
      <c r="H651" s="517"/>
      <c r="I651" s="369"/>
      <c r="J651" s="517"/>
      <c r="K651" s="517"/>
      <c r="L651" s="517"/>
      <c r="M651" s="352"/>
    </row>
    <row r="652" spans="1:13" x14ac:dyDescent="0.2">
      <c r="A652" s="374"/>
      <c r="B652" s="375"/>
      <c r="C652" s="375"/>
      <c r="D652" s="375"/>
      <c r="E652" s="375"/>
      <c r="F652" s="375"/>
      <c r="G652" s="375"/>
      <c r="H652" s="375"/>
      <c r="I652" s="375"/>
      <c r="J652" s="375"/>
      <c r="K652" s="375"/>
      <c r="L652" s="375"/>
      <c r="M652" s="352"/>
    </row>
    <row r="653" spans="1:13" x14ac:dyDescent="0.2">
      <c r="A653" s="374"/>
      <c r="B653" s="375"/>
      <c r="C653" s="375"/>
      <c r="D653" s="375"/>
      <c r="E653" s="375"/>
      <c r="F653" s="375"/>
      <c r="G653" s="375"/>
      <c r="H653" s="375"/>
      <c r="I653" s="375"/>
      <c r="J653" s="375"/>
      <c r="K653" s="375"/>
      <c r="L653" s="375"/>
      <c r="M653" s="352"/>
    </row>
    <row r="654" spans="1:13" x14ac:dyDescent="0.2">
      <c r="A654" s="348"/>
      <c r="B654" s="466"/>
      <c r="C654" s="466"/>
      <c r="D654" s="466"/>
      <c r="E654" s="467"/>
      <c r="F654" s="466"/>
      <c r="G654" s="466"/>
      <c r="H654" s="466"/>
      <c r="I654" s="467"/>
      <c r="J654" s="466"/>
      <c r="K654" s="466"/>
      <c r="L654" s="466"/>
      <c r="M654" s="352"/>
    </row>
    <row r="655" spans="1:13" x14ac:dyDescent="0.2">
      <c r="A655" s="348"/>
      <c r="B655" s="466"/>
      <c r="C655" s="466"/>
      <c r="D655" s="466"/>
      <c r="E655" s="467"/>
      <c r="F655" s="466"/>
      <c r="G655" s="466"/>
      <c r="H655" s="466"/>
      <c r="I655" s="467"/>
      <c r="J655" s="466"/>
      <c r="K655" s="466"/>
      <c r="L655" s="466"/>
      <c r="M655" s="352"/>
    </row>
    <row r="656" spans="1:13" x14ac:dyDescent="0.2">
      <c r="A656" s="348"/>
      <c r="B656" s="466"/>
      <c r="C656" s="466"/>
      <c r="D656" s="466"/>
      <c r="E656" s="467"/>
      <c r="F656" s="466"/>
      <c r="G656" s="466"/>
      <c r="H656" s="466"/>
      <c r="I656" s="467"/>
      <c r="J656" s="466"/>
      <c r="K656" s="466"/>
      <c r="L656" s="466"/>
      <c r="M656" s="352"/>
    </row>
    <row r="657" spans="1:13" x14ac:dyDescent="0.2">
      <c r="A657" s="348"/>
      <c r="B657" s="466"/>
      <c r="C657" s="466"/>
      <c r="D657" s="466"/>
      <c r="E657" s="467"/>
      <c r="F657" s="466"/>
      <c r="G657" s="466"/>
      <c r="H657" s="466"/>
      <c r="I657" s="467"/>
      <c r="J657" s="466"/>
      <c r="K657" s="466"/>
      <c r="L657" s="466"/>
      <c r="M657" s="352"/>
    </row>
    <row r="658" spans="1:13" x14ac:dyDescent="0.2">
      <c r="A658" s="348"/>
      <c r="B658" s="466"/>
      <c r="C658" s="466"/>
      <c r="D658" s="466"/>
      <c r="E658" s="467"/>
      <c r="F658" s="466"/>
      <c r="G658" s="466"/>
      <c r="H658" s="466"/>
      <c r="I658" s="467"/>
      <c r="J658" s="466"/>
      <c r="K658" s="466"/>
      <c r="L658" s="466"/>
      <c r="M658" s="352"/>
    </row>
    <row r="659" spans="1:13" x14ac:dyDescent="0.2">
      <c r="A659" s="348"/>
      <c r="B659" s="466"/>
      <c r="C659" s="466"/>
      <c r="D659" s="466"/>
      <c r="E659" s="467"/>
      <c r="F659" s="466"/>
      <c r="G659" s="466"/>
      <c r="H659" s="466"/>
      <c r="I659" s="467"/>
      <c r="J659" s="466"/>
      <c r="K659" s="466"/>
      <c r="L659" s="466"/>
      <c r="M659" s="352"/>
    </row>
    <row r="660" spans="1:13" x14ac:dyDescent="0.2">
      <c r="A660" s="348"/>
      <c r="B660" s="466"/>
      <c r="C660" s="466"/>
      <c r="D660" s="466"/>
      <c r="E660" s="467"/>
      <c r="F660" s="466"/>
      <c r="G660" s="466"/>
      <c r="H660" s="466"/>
      <c r="I660" s="467"/>
      <c r="J660" s="466"/>
      <c r="K660" s="466"/>
      <c r="L660" s="466"/>
      <c r="M660" s="352"/>
    </row>
    <row r="661" spans="1:13" x14ac:dyDescent="0.2">
      <c r="A661" s="348"/>
      <c r="B661" s="466"/>
      <c r="C661" s="466"/>
      <c r="D661" s="466"/>
      <c r="E661" s="467"/>
      <c r="F661" s="466"/>
      <c r="G661" s="466"/>
      <c r="H661" s="466"/>
      <c r="I661" s="467"/>
      <c r="J661" s="466"/>
      <c r="K661" s="466"/>
      <c r="L661" s="466"/>
      <c r="M661" s="352"/>
    </row>
    <row r="662" spans="1:13" x14ac:dyDescent="0.2">
      <c r="A662" s="348"/>
      <c r="B662" s="466"/>
      <c r="C662" s="466"/>
      <c r="D662" s="466"/>
      <c r="E662" s="467"/>
      <c r="F662" s="466"/>
      <c r="G662" s="466"/>
      <c r="H662" s="466"/>
      <c r="I662" s="467"/>
      <c r="J662" s="466"/>
      <c r="K662" s="466"/>
      <c r="L662" s="466"/>
      <c r="M662" s="352"/>
    </row>
    <row r="663" spans="1:13" x14ac:dyDescent="0.2">
      <c r="A663" s="348"/>
      <c r="B663" s="466"/>
      <c r="C663" s="466"/>
      <c r="D663" s="466"/>
      <c r="E663" s="467"/>
      <c r="F663" s="466"/>
      <c r="G663" s="466"/>
      <c r="H663" s="466"/>
      <c r="I663" s="467"/>
      <c r="J663" s="466"/>
      <c r="K663" s="466"/>
      <c r="L663" s="466"/>
      <c r="M663" s="352"/>
    </row>
    <row r="664" spans="1:13" x14ac:dyDescent="0.2">
      <c r="A664" s="348"/>
      <c r="B664" s="467"/>
      <c r="C664" s="467"/>
      <c r="D664" s="467"/>
      <c r="E664" s="467"/>
      <c r="F664" s="467"/>
      <c r="G664" s="467"/>
      <c r="H664" s="467"/>
      <c r="I664" s="467"/>
      <c r="J664" s="467"/>
      <c r="K664" s="467"/>
      <c r="L664" s="467"/>
      <c r="M664" s="352"/>
    </row>
    <row r="665" spans="1:13" x14ac:dyDescent="0.2">
      <c r="A665" s="348"/>
      <c r="B665" s="348"/>
      <c r="C665" s="348"/>
      <c r="D665" s="348"/>
      <c r="E665" s="348"/>
      <c r="F665" s="348"/>
      <c r="G665" s="348"/>
      <c r="H665" s="348"/>
      <c r="I665" s="348"/>
      <c r="J665" s="348"/>
      <c r="K665" s="348"/>
      <c r="L665" s="353"/>
      <c r="M665" s="352"/>
    </row>
    <row r="666" spans="1:13" x14ac:dyDescent="0.2">
      <c r="A666" s="348"/>
      <c r="B666" s="348"/>
      <c r="C666" s="348"/>
      <c r="D666" s="348"/>
      <c r="E666" s="348"/>
      <c r="F666" s="348"/>
      <c r="G666" s="348"/>
      <c r="H666" s="348"/>
      <c r="I666" s="348"/>
      <c r="J666" s="348"/>
      <c r="K666" s="348"/>
      <c r="L666" s="410"/>
      <c r="M666" s="352"/>
    </row>
    <row r="667" spans="1:13" x14ac:dyDescent="0.2">
      <c r="A667" s="374"/>
      <c r="B667" s="354"/>
      <c r="C667" s="354"/>
      <c r="D667" s="354"/>
      <c r="E667" s="354"/>
      <c r="F667" s="354"/>
      <c r="G667" s="354"/>
      <c r="H667" s="354"/>
      <c r="I667" s="354"/>
      <c r="J667" s="354"/>
      <c r="K667" s="354"/>
      <c r="L667" s="352"/>
      <c r="M667" s="352"/>
    </row>
    <row r="668" spans="1:13" x14ac:dyDescent="0.2">
      <c r="A668" s="354"/>
      <c r="B668" s="517"/>
      <c r="C668" s="517"/>
      <c r="D668" s="517"/>
      <c r="E668" s="369"/>
      <c r="F668" s="517"/>
      <c r="G668" s="517"/>
      <c r="H668" s="517"/>
      <c r="I668" s="369"/>
      <c r="J668" s="517"/>
      <c r="K668" s="517"/>
      <c r="L668" s="517"/>
      <c r="M668" s="352"/>
    </row>
    <row r="669" spans="1:13" x14ac:dyDescent="0.2">
      <c r="A669" s="374"/>
      <c r="B669" s="375"/>
      <c r="C669" s="375"/>
      <c r="D669" s="375"/>
      <c r="E669" s="375"/>
      <c r="F669" s="375"/>
      <c r="G669" s="375"/>
      <c r="H669" s="375"/>
      <c r="I669" s="375"/>
      <c r="J669" s="375"/>
      <c r="K669" s="375"/>
      <c r="L669" s="375"/>
      <c r="M669" s="352"/>
    </row>
    <row r="670" spans="1:13" x14ac:dyDescent="0.2">
      <c r="A670" s="374"/>
      <c r="B670" s="375"/>
      <c r="C670" s="375"/>
      <c r="D670" s="375"/>
      <c r="E670" s="375"/>
      <c r="F670" s="375"/>
      <c r="G670" s="375"/>
      <c r="H670" s="375"/>
      <c r="I670" s="375"/>
      <c r="J670" s="375"/>
      <c r="K670" s="375"/>
      <c r="L670" s="375"/>
      <c r="M670" s="352"/>
    </row>
    <row r="671" spans="1:13" x14ac:dyDescent="0.2">
      <c r="A671" s="348"/>
      <c r="B671" s="466"/>
      <c r="C671" s="466"/>
      <c r="D671" s="466"/>
      <c r="E671" s="467"/>
      <c r="F671" s="466"/>
      <c r="G671" s="466"/>
      <c r="H671" s="466"/>
      <c r="I671" s="467"/>
      <c r="J671" s="466"/>
      <c r="K671" s="466"/>
      <c r="L671" s="466"/>
      <c r="M671" s="352"/>
    </row>
    <row r="672" spans="1:13" x14ac:dyDescent="0.2">
      <c r="A672" s="348"/>
      <c r="B672" s="466"/>
      <c r="C672" s="466"/>
      <c r="D672" s="466"/>
      <c r="E672" s="467"/>
      <c r="F672" s="466"/>
      <c r="G672" s="466"/>
      <c r="H672" s="466"/>
      <c r="I672" s="467"/>
      <c r="J672" s="466"/>
      <c r="K672" s="466"/>
      <c r="L672" s="466"/>
      <c r="M672" s="352"/>
    </row>
    <row r="673" spans="1:13" x14ac:dyDescent="0.2">
      <c r="A673" s="348"/>
      <c r="B673" s="466"/>
      <c r="C673" s="466"/>
      <c r="D673" s="466"/>
      <c r="E673" s="467"/>
      <c r="F673" s="466"/>
      <c r="G673" s="466"/>
      <c r="H673" s="466"/>
      <c r="I673" s="467"/>
      <c r="J673" s="466"/>
      <c r="K673" s="466"/>
      <c r="L673" s="466"/>
      <c r="M673" s="352"/>
    </row>
    <row r="674" spans="1:13" x14ac:dyDescent="0.2">
      <c r="A674" s="348"/>
      <c r="B674" s="466"/>
      <c r="C674" s="466"/>
      <c r="D674" s="466"/>
      <c r="E674" s="467"/>
      <c r="F674" s="466"/>
      <c r="G674" s="466"/>
      <c r="H674" s="466"/>
      <c r="I674" s="467"/>
      <c r="J674" s="466"/>
      <c r="K674" s="466"/>
      <c r="L674" s="466"/>
      <c r="M674" s="352"/>
    </row>
    <row r="675" spans="1:13" x14ac:dyDescent="0.2">
      <c r="A675" s="348"/>
      <c r="B675" s="466"/>
      <c r="C675" s="466"/>
      <c r="D675" s="466"/>
      <c r="E675" s="467"/>
      <c r="F675" s="466"/>
      <c r="G675" s="466"/>
      <c r="H675" s="466"/>
      <c r="I675" s="467"/>
      <c r="J675" s="466"/>
      <c r="K675" s="466"/>
      <c r="L675" s="466"/>
      <c r="M675" s="352"/>
    </row>
    <row r="676" spans="1:13" x14ac:dyDescent="0.2">
      <c r="A676" s="348"/>
      <c r="B676" s="466"/>
      <c r="C676" s="466"/>
      <c r="D676" s="466"/>
      <c r="E676" s="467"/>
      <c r="F676" s="466"/>
      <c r="G676" s="466"/>
      <c r="H676" s="466"/>
      <c r="I676" s="467"/>
      <c r="J676" s="466"/>
      <c r="K676" s="466"/>
      <c r="L676" s="466"/>
      <c r="M676" s="352"/>
    </row>
    <row r="677" spans="1:13" x14ac:dyDescent="0.2">
      <c r="A677" s="348"/>
      <c r="B677" s="466"/>
      <c r="C677" s="466"/>
      <c r="D677" s="466"/>
      <c r="E677" s="467"/>
      <c r="F677" s="466"/>
      <c r="G677" s="466"/>
      <c r="H677" s="466"/>
      <c r="I677" s="467"/>
      <c r="J677" s="466"/>
      <c r="K677" s="466"/>
      <c r="L677" s="466"/>
      <c r="M677" s="352"/>
    </row>
    <row r="678" spans="1:13" x14ac:dyDescent="0.2">
      <c r="A678" s="348"/>
      <c r="B678" s="466"/>
      <c r="C678" s="466"/>
      <c r="D678" s="466"/>
      <c r="E678" s="467"/>
      <c r="F678" s="466"/>
      <c r="G678" s="466"/>
      <c r="H678" s="466"/>
      <c r="I678" s="467"/>
      <c r="J678" s="466"/>
      <c r="K678" s="466"/>
      <c r="L678" s="466"/>
      <c r="M678" s="352"/>
    </row>
    <row r="679" spans="1:13" x14ac:dyDescent="0.2">
      <c r="A679" s="348"/>
      <c r="B679" s="466"/>
      <c r="C679" s="466"/>
      <c r="D679" s="466"/>
      <c r="E679" s="467"/>
      <c r="F679" s="466"/>
      <c r="G679" s="466"/>
      <c r="H679" s="466"/>
      <c r="I679" s="467"/>
      <c r="J679" s="466"/>
      <c r="K679" s="466"/>
      <c r="L679" s="466"/>
      <c r="M679" s="352"/>
    </row>
    <row r="680" spans="1:13" x14ac:dyDescent="0.2">
      <c r="A680" s="348"/>
      <c r="B680" s="466"/>
      <c r="C680" s="466"/>
      <c r="D680" s="466"/>
      <c r="E680" s="467"/>
      <c r="F680" s="466"/>
      <c r="G680" s="466"/>
      <c r="H680" s="466"/>
      <c r="I680" s="467"/>
      <c r="J680" s="466"/>
      <c r="K680" s="466"/>
      <c r="L680" s="466"/>
      <c r="M680" s="352"/>
    </row>
    <row r="681" spans="1:13" x14ac:dyDescent="0.2">
      <c r="A681" s="348"/>
      <c r="B681" s="467"/>
      <c r="C681" s="467"/>
      <c r="D681" s="467"/>
      <c r="E681" s="467"/>
      <c r="F681" s="467"/>
      <c r="G681" s="467"/>
      <c r="H681" s="467"/>
      <c r="I681" s="467"/>
      <c r="J681" s="467"/>
      <c r="K681" s="467"/>
      <c r="L681" s="467"/>
      <c r="M681" s="352"/>
    </row>
    <row r="682" spans="1:13" x14ac:dyDescent="0.2">
      <c r="A682" s="348"/>
      <c r="B682" s="348"/>
      <c r="C682" s="348"/>
      <c r="D682" s="348"/>
      <c r="E682" s="348"/>
      <c r="F682" s="348"/>
      <c r="G682" s="348"/>
      <c r="H682" s="348"/>
      <c r="I682" s="348"/>
      <c r="J682" s="348"/>
      <c r="K682" s="348"/>
      <c r="L682" s="353"/>
      <c r="M682" s="352"/>
    </row>
    <row r="683" spans="1:13" x14ac:dyDescent="0.2">
      <c r="A683" s="348"/>
      <c r="B683" s="348"/>
      <c r="C683" s="348"/>
      <c r="D683" s="348"/>
      <c r="E683" s="348"/>
      <c r="F683" s="348"/>
      <c r="G683" s="348"/>
      <c r="H683" s="348"/>
      <c r="I683" s="348"/>
      <c r="J683" s="348"/>
      <c r="K683" s="348"/>
      <c r="L683" s="410"/>
      <c r="M683" s="352"/>
    </row>
    <row r="684" spans="1:13" x14ac:dyDescent="0.2">
      <c r="A684" s="374"/>
      <c r="B684" s="354"/>
      <c r="C684" s="354"/>
      <c r="D684" s="354"/>
      <c r="E684" s="354"/>
      <c r="F684" s="354"/>
      <c r="G684" s="354"/>
      <c r="H684" s="354"/>
      <c r="I684" s="354"/>
      <c r="J684" s="354"/>
      <c r="K684" s="354"/>
      <c r="L684" s="352"/>
      <c r="M684" s="352"/>
    </row>
    <row r="685" spans="1:13" x14ac:dyDescent="0.2">
      <c r="A685" s="354"/>
      <c r="B685" s="517"/>
      <c r="C685" s="517"/>
      <c r="D685" s="517"/>
      <c r="E685" s="369"/>
      <c r="F685" s="517"/>
      <c r="G685" s="517"/>
      <c r="H685" s="517"/>
      <c r="I685" s="369"/>
      <c r="J685" s="517"/>
      <c r="K685" s="517"/>
      <c r="L685" s="517"/>
      <c r="M685" s="352"/>
    </row>
    <row r="686" spans="1:13" x14ac:dyDescent="0.2">
      <c r="A686" s="374"/>
      <c r="B686" s="375"/>
      <c r="C686" s="375"/>
      <c r="D686" s="375"/>
      <c r="E686" s="375"/>
      <c r="F686" s="375"/>
      <c r="G686" s="375"/>
      <c r="H686" s="375"/>
      <c r="I686" s="375"/>
      <c r="J686" s="375"/>
      <c r="K686" s="375"/>
      <c r="L686" s="375"/>
      <c r="M686" s="352"/>
    </row>
    <row r="687" spans="1:13" x14ac:dyDescent="0.2">
      <c r="A687" s="374"/>
      <c r="B687" s="375"/>
      <c r="C687" s="375"/>
      <c r="D687" s="375"/>
      <c r="E687" s="375"/>
      <c r="F687" s="375"/>
      <c r="G687" s="375"/>
      <c r="H687" s="375"/>
      <c r="I687" s="375"/>
      <c r="J687" s="375"/>
      <c r="K687" s="375"/>
      <c r="L687" s="375"/>
      <c r="M687" s="352"/>
    </row>
    <row r="688" spans="1:13" x14ac:dyDescent="0.2">
      <c r="A688" s="348"/>
      <c r="B688" s="466"/>
      <c r="C688" s="466"/>
      <c r="D688" s="466"/>
      <c r="E688" s="467"/>
      <c r="F688" s="466"/>
      <c r="G688" s="466"/>
      <c r="H688" s="466"/>
      <c r="I688" s="467"/>
      <c r="J688" s="466"/>
      <c r="K688" s="466"/>
      <c r="L688" s="466"/>
      <c r="M688" s="352"/>
    </row>
    <row r="689" spans="1:13" x14ac:dyDescent="0.2">
      <c r="A689" s="348"/>
      <c r="B689" s="466"/>
      <c r="C689" s="466"/>
      <c r="D689" s="466"/>
      <c r="E689" s="467"/>
      <c r="F689" s="466"/>
      <c r="G689" s="466"/>
      <c r="H689" s="466"/>
      <c r="I689" s="467"/>
      <c r="J689" s="466"/>
      <c r="K689" s="466"/>
      <c r="L689" s="466"/>
      <c r="M689" s="352"/>
    </row>
    <row r="690" spans="1:13" x14ac:dyDescent="0.2">
      <c r="A690" s="348"/>
      <c r="B690" s="466"/>
      <c r="C690" s="466"/>
      <c r="D690" s="466"/>
      <c r="E690" s="467"/>
      <c r="F690" s="466"/>
      <c r="G690" s="466"/>
      <c r="H690" s="466"/>
      <c r="I690" s="467"/>
      <c r="J690" s="466"/>
      <c r="K690" s="466"/>
      <c r="L690" s="466"/>
      <c r="M690" s="352"/>
    </row>
    <row r="691" spans="1:13" x14ac:dyDescent="0.2">
      <c r="A691" s="348"/>
      <c r="B691" s="466"/>
      <c r="C691" s="466"/>
      <c r="D691" s="466"/>
      <c r="E691" s="467"/>
      <c r="F691" s="466"/>
      <c r="G691" s="466"/>
      <c r="H691" s="466"/>
      <c r="I691" s="467"/>
      <c r="J691" s="466"/>
      <c r="K691" s="466"/>
      <c r="L691" s="466"/>
      <c r="M691" s="352"/>
    </row>
    <row r="692" spans="1:13" x14ac:dyDescent="0.2">
      <c r="A692" s="348"/>
      <c r="B692" s="466"/>
      <c r="C692" s="466"/>
      <c r="D692" s="466"/>
      <c r="E692" s="467"/>
      <c r="F692" s="466"/>
      <c r="G692" s="466"/>
      <c r="H692" s="466"/>
      <c r="I692" s="467"/>
      <c r="J692" s="466"/>
      <c r="K692" s="466"/>
      <c r="L692" s="466"/>
      <c r="M692" s="352"/>
    </row>
    <row r="693" spans="1:13" x14ac:dyDescent="0.2">
      <c r="A693" s="348"/>
      <c r="B693" s="466"/>
      <c r="C693" s="466"/>
      <c r="D693" s="466"/>
      <c r="E693" s="467"/>
      <c r="F693" s="466"/>
      <c r="G693" s="466"/>
      <c r="H693" s="466"/>
      <c r="I693" s="467"/>
      <c r="J693" s="466"/>
      <c r="K693" s="466"/>
      <c r="L693" s="466"/>
      <c r="M693" s="352"/>
    </row>
    <row r="694" spans="1:13" x14ac:dyDescent="0.2">
      <c r="A694" s="348"/>
      <c r="B694" s="466"/>
      <c r="C694" s="466"/>
      <c r="D694" s="466"/>
      <c r="E694" s="467"/>
      <c r="F694" s="466"/>
      <c r="G694" s="466"/>
      <c r="H694" s="466"/>
      <c r="I694" s="467"/>
      <c r="J694" s="466"/>
      <c r="K694" s="466"/>
      <c r="L694" s="466"/>
      <c r="M694" s="352"/>
    </row>
    <row r="695" spans="1:13" x14ac:dyDescent="0.2">
      <c r="A695" s="348"/>
      <c r="B695" s="466"/>
      <c r="C695" s="466"/>
      <c r="D695" s="466"/>
      <c r="E695" s="467"/>
      <c r="F695" s="466"/>
      <c r="G695" s="466"/>
      <c r="H695" s="466"/>
      <c r="I695" s="467"/>
      <c r="J695" s="466"/>
      <c r="K695" s="466"/>
      <c r="L695" s="466"/>
      <c r="M695" s="352"/>
    </row>
    <row r="696" spans="1:13" x14ac:dyDescent="0.2">
      <c r="A696" s="348"/>
      <c r="B696" s="466"/>
      <c r="C696" s="466"/>
      <c r="D696" s="466"/>
      <c r="E696" s="467"/>
      <c r="F696" s="466"/>
      <c r="G696" s="466"/>
      <c r="H696" s="466"/>
      <c r="I696" s="467"/>
      <c r="J696" s="466"/>
      <c r="K696" s="466"/>
      <c r="L696" s="466"/>
      <c r="M696" s="352"/>
    </row>
    <row r="697" spans="1:13" x14ac:dyDescent="0.2">
      <c r="A697" s="348"/>
      <c r="B697" s="466"/>
      <c r="C697" s="466"/>
      <c r="D697" s="466"/>
      <c r="E697" s="467"/>
      <c r="F697" s="466"/>
      <c r="G697" s="466"/>
      <c r="H697" s="466"/>
      <c r="I697" s="467"/>
      <c r="J697" s="466"/>
      <c r="K697" s="466"/>
      <c r="L697" s="466"/>
      <c r="M697" s="352"/>
    </row>
    <row r="698" spans="1:13" x14ac:dyDescent="0.2">
      <c r="A698" s="348"/>
      <c r="B698" s="467"/>
      <c r="C698" s="467"/>
      <c r="D698" s="467"/>
      <c r="E698" s="467"/>
      <c r="F698" s="467"/>
      <c r="G698" s="467"/>
      <c r="H698" s="467"/>
      <c r="I698" s="467"/>
      <c r="J698" s="467"/>
      <c r="K698" s="467"/>
      <c r="L698" s="467"/>
      <c r="M698" s="352"/>
    </row>
    <row r="699" spans="1:13" x14ac:dyDescent="0.2">
      <c r="A699" s="348"/>
      <c r="B699" s="348"/>
      <c r="C699" s="348"/>
      <c r="D699" s="348"/>
      <c r="E699" s="348"/>
      <c r="F699" s="348"/>
      <c r="G699" s="348"/>
      <c r="H699" s="348"/>
      <c r="I699" s="348"/>
      <c r="J699" s="348"/>
      <c r="K699" s="348"/>
      <c r="L699" s="353"/>
      <c r="M699" s="352"/>
    </row>
    <row r="700" spans="1:13" x14ac:dyDescent="0.2">
      <c r="A700" s="348"/>
      <c r="B700" s="348"/>
      <c r="C700" s="348"/>
      <c r="D700" s="348"/>
      <c r="E700" s="348"/>
      <c r="F700" s="348"/>
      <c r="G700" s="348"/>
      <c r="H700" s="348"/>
      <c r="I700" s="348"/>
      <c r="J700" s="348"/>
      <c r="K700" s="348"/>
      <c r="L700" s="410"/>
      <c r="M700" s="352"/>
    </row>
    <row r="701" spans="1:13" x14ac:dyDescent="0.2">
      <c r="A701" s="374"/>
      <c r="B701" s="354"/>
      <c r="C701" s="354"/>
      <c r="D701" s="354"/>
      <c r="E701" s="354"/>
      <c r="F701" s="354"/>
      <c r="G701" s="354"/>
      <c r="H701" s="354"/>
      <c r="I701" s="354"/>
      <c r="J701" s="354"/>
      <c r="K701" s="354"/>
      <c r="L701" s="352"/>
      <c r="M701" s="352"/>
    </row>
    <row r="702" spans="1:13" x14ac:dyDescent="0.2">
      <c r="A702" s="354"/>
      <c r="B702" s="517"/>
      <c r="C702" s="517"/>
      <c r="D702" s="517"/>
      <c r="E702" s="369"/>
      <c r="F702" s="517"/>
      <c r="G702" s="517"/>
      <c r="H702" s="517"/>
      <c r="I702" s="369"/>
      <c r="J702" s="517"/>
      <c r="K702" s="517"/>
      <c r="L702" s="517"/>
      <c r="M702" s="352"/>
    </row>
    <row r="703" spans="1:13" x14ac:dyDescent="0.2">
      <c r="A703" s="374"/>
      <c r="B703" s="375"/>
      <c r="C703" s="375"/>
      <c r="D703" s="375"/>
      <c r="E703" s="375"/>
      <c r="F703" s="375"/>
      <c r="G703" s="375"/>
      <c r="H703" s="375"/>
      <c r="I703" s="375"/>
      <c r="J703" s="375"/>
      <c r="K703" s="375"/>
      <c r="L703" s="375"/>
      <c r="M703" s="352"/>
    </row>
    <row r="704" spans="1:13" x14ac:dyDescent="0.2">
      <c r="A704" s="374"/>
      <c r="B704" s="375"/>
      <c r="C704" s="375"/>
      <c r="D704" s="375"/>
      <c r="E704" s="375"/>
      <c r="F704" s="375"/>
      <c r="G704" s="375"/>
      <c r="H704" s="375"/>
      <c r="I704" s="375"/>
      <c r="J704" s="375"/>
      <c r="K704" s="375"/>
      <c r="L704" s="375"/>
      <c r="M704" s="352"/>
    </row>
    <row r="705" spans="1:13" x14ac:dyDescent="0.2">
      <c r="A705" s="348"/>
      <c r="B705" s="466"/>
      <c r="C705" s="466"/>
      <c r="D705" s="466"/>
      <c r="E705" s="467"/>
      <c r="F705" s="466"/>
      <c r="G705" s="466"/>
      <c r="H705" s="466"/>
      <c r="I705" s="467"/>
      <c r="J705" s="466"/>
      <c r="K705" s="466"/>
      <c r="L705" s="466"/>
      <c r="M705" s="352"/>
    </row>
    <row r="706" spans="1:13" x14ac:dyDescent="0.2">
      <c r="A706" s="348"/>
      <c r="B706" s="466"/>
      <c r="C706" s="466"/>
      <c r="D706" s="466"/>
      <c r="E706" s="467"/>
      <c r="F706" s="466"/>
      <c r="G706" s="466"/>
      <c r="H706" s="466"/>
      <c r="I706" s="467"/>
      <c r="J706" s="466"/>
      <c r="K706" s="466"/>
      <c r="L706" s="466"/>
      <c r="M706" s="352"/>
    </row>
    <row r="707" spans="1:13" x14ac:dyDescent="0.2">
      <c r="A707" s="348"/>
      <c r="B707" s="466"/>
      <c r="C707" s="466"/>
      <c r="D707" s="466"/>
      <c r="E707" s="467"/>
      <c r="F707" s="466"/>
      <c r="G707" s="466"/>
      <c r="H707" s="466"/>
      <c r="I707" s="467"/>
      <c r="J707" s="466"/>
      <c r="K707" s="466"/>
      <c r="L707" s="466"/>
      <c r="M707" s="352"/>
    </row>
    <row r="708" spans="1:13" x14ac:dyDescent="0.2">
      <c r="A708" s="348"/>
      <c r="B708" s="466"/>
      <c r="C708" s="466"/>
      <c r="D708" s="466"/>
      <c r="E708" s="467"/>
      <c r="F708" s="466"/>
      <c r="G708" s="466"/>
      <c r="H708" s="466"/>
      <c r="I708" s="467"/>
      <c r="J708" s="466"/>
      <c r="K708" s="466"/>
      <c r="L708" s="466"/>
      <c r="M708" s="352"/>
    </row>
    <row r="709" spans="1:13" x14ac:dyDescent="0.2">
      <c r="A709" s="348"/>
      <c r="B709" s="466"/>
      <c r="C709" s="466"/>
      <c r="D709" s="466"/>
      <c r="E709" s="467"/>
      <c r="F709" s="466"/>
      <c r="G709" s="466"/>
      <c r="H709" s="466"/>
      <c r="I709" s="467"/>
      <c r="J709" s="466"/>
      <c r="K709" s="466"/>
      <c r="L709" s="466"/>
      <c r="M709" s="352"/>
    </row>
    <row r="710" spans="1:13" x14ac:dyDescent="0.2">
      <c r="A710" s="348"/>
      <c r="B710" s="466"/>
      <c r="C710" s="466"/>
      <c r="D710" s="466"/>
      <c r="E710" s="467"/>
      <c r="F710" s="466"/>
      <c r="G710" s="466"/>
      <c r="H710" s="466"/>
      <c r="I710" s="467"/>
      <c r="J710" s="466"/>
      <c r="K710" s="466"/>
      <c r="L710" s="466"/>
      <c r="M710" s="352"/>
    </row>
    <row r="711" spans="1:13" x14ac:dyDescent="0.2">
      <c r="A711" s="348"/>
      <c r="B711" s="466"/>
      <c r="C711" s="466"/>
      <c r="D711" s="466"/>
      <c r="E711" s="467"/>
      <c r="F711" s="466"/>
      <c r="G711" s="466"/>
      <c r="H711" s="466"/>
      <c r="I711" s="467"/>
      <c r="J711" s="466"/>
      <c r="K711" s="466"/>
      <c r="L711" s="466"/>
      <c r="M711" s="352"/>
    </row>
    <row r="712" spans="1:13" x14ac:dyDescent="0.2">
      <c r="A712" s="348"/>
      <c r="B712" s="466"/>
      <c r="C712" s="466"/>
      <c r="D712" s="466"/>
      <c r="E712" s="467"/>
      <c r="F712" s="466"/>
      <c r="G712" s="466"/>
      <c r="H712" s="466"/>
      <c r="I712" s="467"/>
      <c r="J712" s="466"/>
      <c r="K712" s="466"/>
      <c r="L712" s="466"/>
      <c r="M712" s="352"/>
    </row>
    <row r="713" spans="1:13" x14ac:dyDescent="0.2">
      <c r="A713" s="348"/>
      <c r="B713" s="466"/>
      <c r="C713" s="466"/>
      <c r="D713" s="466"/>
      <c r="E713" s="467"/>
      <c r="F713" s="466"/>
      <c r="G713" s="466"/>
      <c r="H713" s="466"/>
      <c r="I713" s="467"/>
      <c r="J713" s="466"/>
      <c r="K713" s="466"/>
      <c r="L713" s="466"/>
      <c r="M713" s="352"/>
    </row>
    <row r="714" spans="1:13" x14ac:dyDescent="0.2">
      <c r="A714" s="348"/>
      <c r="B714" s="466"/>
      <c r="C714" s="466"/>
      <c r="D714" s="466"/>
      <c r="E714" s="467"/>
      <c r="F714" s="466"/>
      <c r="G714" s="466"/>
      <c r="H714" s="466"/>
      <c r="I714" s="467"/>
      <c r="J714" s="466"/>
      <c r="K714" s="466"/>
      <c r="L714" s="466"/>
      <c r="M714" s="352"/>
    </row>
    <row r="715" spans="1:13" x14ac:dyDescent="0.2">
      <c r="A715" s="348"/>
      <c r="B715" s="467"/>
      <c r="C715" s="467"/>
      <c r="D715" s="467"/>
      <c r="E715" s="467"/>
      <c r="F715" s="467"/>
      <c r="G715" s="467"/>
      <c r="H715" s="467"/>
      <c r="I715" s="467"/>
      <c r="J715" s="467"/>
      <c r="K715" s="467"/>
      <c r="L715" s="467"/>
      <c r="M715" s="352"/>
    </row>
    <row r="716" spans="1:13" x14ac:dyDescent="0.2">
      <c r="A716" s="348"/>
      <c r="B716" s="348"/>
      <c r="C716" s="348"/>
      <c r="D716" s="348"/>
      <c r="E716" s="348"/>
      <c r="F716" s="348"/>
      <c r="G716" s="348"/>
      <c r="H716" s="348"/>
      <c r="I716" s="348"/>
      <c r="J716" s="348"/>
      <c r="K716" s="348"/>
      <c r="L716" s="353"/>
      <c r="M716" s="352"/>
    </row>
    <row r="717" spans="1:13" x14ac:dyDescent="0.2">
      <c r="A717" s="348"/>
      <c r="B717" s="348"/>
      <c r="C717" s="348"/>
      <c r="D717" s="348"/>
      <c r="E717" s="348"/>
      <c r="F717" s="348"/>
      <c r="G717" s="348"/>
      <c r="H717" s="348"/>
      <c r="I717" s="348"/>
      <c r="J717" s="348"/>
      <c r="K717" s="348"/>
      <c r="L717" s="410"/>
      <c r="M717" s="352"/>
    </row>
    <row r="718" spans="1:13" x14ac:dyDescent="0.2">
      <c r="A718" s="374"/>
      <c r="B718" s="354"/>
      <c r="C718" s="354"/>
      <c r="D718" s="354"/>
      <c r="E718" s="354"/>
      <c r="F718" s="354"/>
      <c r="G718" s="354"/>
      <c r="H718" s="354"/>
      <c r="I718" s="354"/>
      <c r="J718" s="354"/>
      <c r="K718" s="354"/>
      <c r="L718" s="352"/>
      <c r="M718" s="352"/>
    </row>
    <row r="719" spans="1:13" x14ac:dyDescent="0.2">
      <c r="A719" s="354"/>
      <c r="B719" s="517"/>
      <c r="C719" s="517"/>
      <c r="D719" s="517"/>
      <c r="E719" s="369"/>
      <c r="F719" s="517"/>
      <c r="G719" s="517"/>
      <c r="H719" s="517"/>
      <c r="I719" s="369"/>
      <c r="J719" s="517"/>
      <c r="K719" s="517"/>
      <c r="L719" s="517"/>
      <c r="M719" s="352"/>
    </row>
    <row r="720" spans="1:13" x14ac:dyDescent="0.2">
      <c r="A720" s="374"/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52"/>
    </row>
    <row r="721" spans="1:13" x14ac:dyDescent="0.2">
      <c r="A721" s="374"/>
      <c r="B721" s="375"/>
      <c r="C721" s="375"/>
      <c r="D721" s="375"/>
      <c r="E721" s="375"/>
      <c r="F721" s="375"/>
      <c r="G721" s="375"/>
      <c r="H721" s="375"/>
      <c r="I721" s="375"/>
      <c r="J721" s="375"/>
      <c r="K721" s="375"/>
      <c r="L721" s="375"/>
      <c r="M721" s="352"/>
    </row>
    <row r="722" spans="1:13" x14ac:dyDescent="0.2">
      <c r="A722" s="348"/>
      <c r="B722" s="466"/>
      <c r="C722" s="466"/>
      <c r="D722" s="466"/>
      <c r="E722" s="467"/>
      <c r="F722" s="466"/>
      <c r="G722" s="466"/>
      <c r="H722" s="466"/>
      <c r="I722" s="467"/>
      <c r="J722" s="466"/>
      <c r="K722" s="466"/>
      <c r="L722" s="466"/>
      <c r="M722" s="352"/>
    </row>
    <row r="723" spans="1:13" x14ac:dyDescent="0.2">
      <c r="A723" s="348"/>
      <c r="B723" s="466"/>
      <c r="C723" s="466"/>
      <c r="D723" s="466"/>
      <c r="E723" s="467"/>
      <c r="F723" s="466"/>
      <c r="G723" s="466"/>
      <c r="H723" s="466"/>
      <c r="I723" s="467"/>
      <c r="J723" s="466"/>
      <c r="K723" s="466"/>
      <c r="L723" s="466"/>
      <c r="M723" s="352"/>
    </row>
    <row r="724" spans="1:13" x14ac:dyDescent="0.2">
      <c r="A724" s="348"/>
      <c r="B724" s="466"/>
      <c r="C724" s="466"/>
      <c r="D724" s="466"/>
      <c r="E724" s="467"/>
      <c r="F724" s="466"/>
      <c r="G724" s="466"/>
      <c r="H724" s="466"/>
      <c r="I724" s="467"/>
      <c r="J724" s="466"/>
      <c r="K724" s="466"/>
      <c r="L724" s="466"/>
      <c r="M724" s="352"/>
    </row>
    <row r="725" spans="1:13" x14ac:dyDescent="0.2">
      <c r="A725" s="348"/>
      <c r="B725" s="466"/>
      <c r="C725" s="466"/>
      <c r="D725" s="466"/>
      <c r="E725" s="467"/>
      <c r="F725" s="466"/>
      <c r="G725" s="466"/>
      <c r="H725" s="466"/>
      <c r="I725" s="467"/>
      <c r="J725" s="466"/>
      <c r="K725" s="466"/>
      <c r="L725" s="466"/>
      <c r="M725" s="352"/>
    </row>
    <row r="726" spans="1:13" x14ac:dyDescent="0.2">
      <c r="A726" s="348"/>
      <c r="B726" s="466"/>
      <c r="C726" s="466"/>
      <c r="D726" s="466"/>
      <c r="E726" s="467"/>
      <c r="F726" s="466"/>
      <c r="G726" s="466"/>
      <c r="H726" s="466"/>
      <c r="I726" s="467"/>
      <c r="J726" s="466"/>
      <c r="K726" s="466"/>
      <c r="L726" s="466"/>
      <c r="M726" s="352"/>
    </row>
    <row r="727" spans="1:13" x14ac:dyDescent="0.2">
      <c r="A727" s="348"/>
      <c r="B727" s="466"/>
      <c r="C727" s="466"/>
      <c r="D727" s="466"/>
      <c r="E727" s="467"/>
      <c r="F727" s="466"/>
      <c r="G727" s="466"/>
      <c r="H727" s="466"/>
      <c r="I727" s="467"/>
      <c r="J727" s="466"/>
      <c r="K727" s="466"/>
      <c r="L727" s="466"/>
      <c r="M727" s="352"/>
    </row>
    <row r="728" spans="1:13" x14ac:dyDescent="0.2">
      <c r="A728" s="348"/>
      <c r="B728" s="466"/>
      <c r="C728" s="466"/>
      <c r="D728" s="466"/>
      <c r="E728" s="467"/>
      <c r="F728" s="466"/>
      <c r="G728" s="466"/>
      <c r="H728" s="466"/>
      <c r="I728" s="467"/>
      <c r="J728" s="466"/>
      <c r="K728" s="466"/>
      <c r="L728" s="466"/>
      <c r="M728" s="352"/>
    </row>
    <row r="729" spans="1:13" x14ac:dyDescent="0.2">
      <c r="A729" s="348"/>
      <c r="B729" s="466"/>
      <c r="C729" s="466"/>
      <c r="D729" s="466"/>
      <c r="E729" s="467"/>
      <c r="F729" s="466"/>
      <c r="G729" s="466"/>
      <c r="H729" s="466"/>
      <c r="I729" s="467"/>
      <c r="J729" s="466"/>
      <c r="K729" s="466"/>
      <c r="L729" s="466"/>
      <c r="M729" s="352"/>
    </row>
    <row r="730" spans="1:13" x14ac:dyDescent="0.2">
      <c r="A730" s="348"/>
      <c r="B730" s="466"/>
      <c r="C730" s="466"/>
      <c r="D730" s="466"/>
      <c r="E730" s="467"/>
      <c r="F730" s="466"/>
      <c r="G730" s="466"/>
      <c r="H730" s="466"/>
      <c r="I730" s="467"/>
      <c r="J730" s="466"/>
      <c r="K730" s="466"/>
      <c r="L730" s="466"/>
      <c r="M730" s="352"/>
    </row>
    <row r="731" spans="1:13" x14ac:dyDescent="0.2">
      <c r="A731" s="348"/>
      <c r="B731" s="466"/>
      <c r="C731" s="466"/>
      <c r="D731" s="466"/>
      <c r="E731" s="467"/>
      <c r="F731" s="466"/>
      <c r="G731" s="466"/>
      <c r="H731" s="466"/>
      <c r="I731" s="467"/>
      <c r="J731" s="466"/>
      <c r="K731" s="466"/>
      <c r="L731" s="466"/>
      <c r="M731" s="352"/>
    </row>
    <row r="732" spans="1:13" x14ac:dyDescent="0.2">
      <c r="A732" s="348"/>
      <c r="B732" s="467"/>
      <c r="C732" s="467"/>
      <c r="D732" s="467"/>
      <c r="E732" s="467"/>
      <c r="F732" s="467"/>
      <c r="G732" s="467"/>
      <c r="H732" s="467"/>
      <c r="I732" s="467"/>
      <c r="J732" s="467"/>
      <c r="K732" s="467"/>
      <c r="L732" s="467"/>
      <c r="M732" s="352"/>
    </row>
    <row r="733" spans="1:13" x14ac:dyDescent="0.2">
      <c r="A733" s="348"/>
      <c r="B733" s="348"/>
      <c r="C733" s="348"/>
      <c r="D733" s="348"/>
      <c r="E733" s="348"/>
      <c r="F733" s="348"/>
      <c r="G733" s="348"/>
      <c r="H733" s="348"/>
      <c r="I733" s="348"/>
      <c r="J733" s="348"/>
      <c r="K733" s="348"/>
      <c r="L733" s="353"/>
      <c r="M733" s="352"/>
    </row>
    <row r="734" spans="1:13" x14ac:dyDescent="0.2">
      <c r="A734" s="348"/>
      <c r="B734" s="348"/>
      <c r="C734" s="348"/>
      <c r="D734" s="348"/>
      <c r="E734" s="348"/>
      <c r="F734" s="348"/>
      <c r="G734" s="348"/>
      <c r="H734" s="348"/>
      <c r="I734" s="348"/>
      <c r="J734" s="348"/>
      <c r="K734" s="348"/>
      <c r="L734" s="410"/>
      <c r="M734" s="352"/>
    </row>
    <row r="735" spans="1:13" x14ac:dyDescent="0.2">
      <c r="A735" s="374"/>
      <c r="B735" s="354"/>
      <c r="C735" s="354"/>
      <c r="D735" s="354"/>
      <c r="E735" s="354"/>
      <c r="F735" s="354"/>
      <c r="G735" s="354"/>
      <c r="H735" s="354"/>
      <c r="I735" s="354"/>
      <c r="J735" s="354"/>
      <c r="K735" s="354"/>
      <c r="L735" s="352"/>
      <c r="M735" s="352"/>
    </row>
    <row r="736" spans="1:13" x14ac:dyDescent="0.2">
      <c r="A736" s="354"/>
      <c r="B736" s="517"/>
      <c r="C736" s="517"/>
      <c r="D736" s="517"/>
      <c r="E736" s="369"/>
      <c r="F736" s="517"/>
      <c r="G736" s="517"/>
      <c r="H736" s="517"/>
      <c r="I736" s="369"/>
      <c r="J736" s="517"/>
      <c r="K736" s="517"/>
      <c r="L736" s="517"/>
      <c r="M736" s="352"/>
    </row>
    <row r="737" spans="1:13" x14ac:dyDescent="0.2">
      <c r="A737" s="374"/>
      <c r="B737" s="375"/>
      <c r="C737" s="375"/>
      <c r="D737" s="375"/>
      <c r="E737" s="375"/>
      <c r="F737" s="375"/>
      <c r="G737" s="375"/>
      <c r="H737" s="375"/>
      <c r="I737" s="375"/>
      <c r="J737" s="375"/>
      <c r="K737" s="375"/>
      <c r="L737" s="375"/>
      <c r="M737" s="352"/>
    </row>
    <row r="738" spans="1:13" x14ac:dyDescent="0.2">
      <c r="A738" s="374"/>
      <c r="B738" s="375"/>
      <c r="C738" s="375"/>
      <c r="D738" s="375"/>
      <c r="E738" s="375"/>
      <c r="F738" s="375"/>
      <c r="G738" s="375"/>
      <c r="H738" s="375"/>
      <c r="I738" s="375"/>
      <c r="J738" s="375"/>
      <c r="K738" s="375"/>
      <c r="L738" s="375"/>
      <c r="M738" s="352"/>
    </row>
    <row r="739" spans="1:13" x14ac:dyDescent="0.2">
      <c r="A739" s="348"/>
      <c r="B739" s="466"/>
      <c r="C739" s="466"/>
      <c r="D739" s="466"/>
      <c r="E739" s="467"/>
      <c r="F739" s="466"/>
      <c r="G739" s="466"/>
      <c r="H739" s="466"/>
      <c r="I739" s="467"/>
      <c r="J739" s="466"/>
      <c r="K739" s="466"/>
      <c r="L739" s="466"/>
      <c r="M739" s="352"/>
    </row>
    <row r="740" spans="1:13" x14ac:dyDescent="0.2">
      <c r="A740" s="348"/>
      <c r="B740" s="466"/>
      <c r="C740" s="466"/>
      <c r="D740" s="466"/>
      <c r="E740" s="467"/>
      <c r="F740" s="466"/>
      <c r="G740" s="466"/>
      <c r="H740" s="466"/>
      <c r="I740" s="467"/>
      <c r="J740" s="466"/>
      <c r="K740" s="466"/>
      <c r="L740" s="466"/>
      <c r="M740" s="352"/>
    </row>
    <row r="741" spans="1:13" x14ac:dyDescent="0.2">
      <c r="A741" s="348"/>
      <c r="B741" s="466"/>
      <c r="C741" s="466"/>
      <c r="D741" s="466"/>
      <c r="E741" s="467"/>
      <c r="F741" s="466"/>
      <c r="G741" s="466"/>
      <c r="H741" s="466"/>
      <c r="I741" s="467"/>
      <c r="J741" s="466"/>
      <c r="K741" s="466"/>
      <c r="L741" s="466"/>
      <c r="M741" s="352"/>
    </row>
    <row r="742" spans="1:13" x14ac:dyDescent="0.2">
      <c r="A742" s="348"/>
      <c r="B742" s="466"/>
      <c r="C742" s="466"/>
      <c r="D742" s="466"/>
      <c r="E742" s="467"/>
      <c r="F742" s="466"/>
      <c r="G742" s="466"/>
      <c r="H742" s="466"/>
      <c r="I742" s="467"/>
      <c r="J742" s="466"/>
      <c r="K742" s="466"/>
      <c r="L742" s="466"/>
      <c r="M742" s="352"/>
    </row>
    <row r="743" spans="1:13" x14ac:dyDescent="0.2">
      <c r="A743" s="348"/>
      <c r="B743" s="466"/>
      <c r="C743" s="466"/>
      <c r="D743" s="466"/>
      <c r="E743" s="467"/>
      <c r="F743" s="466"/>
      <c r="G743" s="466"/>
      <c r="H743" s="466"/>
      <c r="I743" s="467"/>
      <c r="J743" s="466"/>
      <c r="K743" s="466"/>
      <c r="L743" s="466"/>
      <c r="M743" s="352"/>
    </row>
    <row r="744" spans="1:13" x14ac:dyDescent="0.2">
      <c r="A744" s="348"/>
      <c r="B744" s="466"/>
      <c r="C744" s="466"/>
      <c r="D744" s="466"/>
      <c r="E744" s="467"/>
      <c r="F744" s="466"/>
      <c r="G744" s="466"/>
      <c r="H744" s="466"/>
      <c r="I744" s="467"/>
      <c r="J744" s="466"/>
      <c r="K744" s="466"/>
      <c r="L744" s="466"/>
      <c r="M744" s="352"/>
    </row>
    <row r="745" spans="1:13" x14ac:dyDescent="0.2">
      <c r="A745" s="348"/>
      <c r="B745" s="466"/>
      <c r="C745" s="466"/>
      <c r="D745" s="466"/>
      <c r="E745" s="467"/>
      <c r="F745" s="466"/>
      <c r="G745" s="466"/>
      <c r="H745" s="466"/>
      <c r="I745" s="467"/>
      <c r="J745" s="466"/>
      <c r="K745" s="466"/>
      <c r="L745" s="466"/>
      <c r="M745" s="352"/>
    </row>
    <row r="746" spans="1:13" x14ac:dyDescent="0.2">
      <c r="A746" s="348"/>
      <c r="B746" s="466"/>
      <c r="C746" s="466"/>
      <c r="D746" s="466"/>
      <c r="E746" s="467"/>
      <c r="F746" s="466"/>
      <c r="G746" s="466"/>
      <c r="H746" s="466"/>
      <c r="I746" s="467"/>
      <c r="J746" s="466"/>
      <c r="K746" s="466"/>
      <c r="L746" s="466"/>
      <c r="M746" s="352"/>
    </row>
    <row r="747" spans="1:13" x14ac:dyDescent="0.2">
      <c r="A747" s="348"/>
      <c r="B747" s="466"/>
      <c r="C747" s="466"/>
      <c r="D747" s="466"/>
      <c r="E747" s="467"/>
      <c r="F747" s="466"/>
      <c r="G747" s="466"/>
      <c r="H747" s="466"/>
      <c r="I747" s="467"/>
      <c r="J747" s="466"/>
      <c r="K747" s="466"/>
      <c r="L747" s="466"/>
      <c r="M747" s="352"/>
    </row>
    <row r="748" spans="1:13" x14ac:dyDescent="0.2">
      <c r="A748" s="348"/>
      <c r="B748" s="466"/>
      <c r="C748" s="466"/>
      <c r="D748" s="466"/>
      <c r="E748" s="467"/>
      <c r="F748" s="466"/>
      <c r="G748" s="466"/>
      <c r="H748" s="466"/>
      <c r="I748" s="467"/>
      <c r="J748" s="466"/>
      <c r="K748" s="466"/>
      <c r="L748" s="466"/>
      <c r="M748" s="352"/>
    </row>
    <row r="749" spans="1:13" x14ac:dyDescent="0.2">
      <c r="A749" s="348"/>
      <c r="B749" s="467"/>
      <c r="C749" s="467"/>
      <c r="D749" s="467"/>
      <c r="E749" s="467"/>
      <c r="F749" s="467"/>
      <c r="G749" s="467"/>
      <c r="H749" s="467"/>
      <c r="I749" s="467"/>
      <c r="J749" s="467"/>
      <c r="K749" s="467"/>
      <c r="L749" s="467"/>
      <c r="M749" s="352"/>
    </row>
    <row r="750" spans="1:13" x14ac:dyDescent="0.2">
      <c r="A750" s="348"/>
      <c r="B750" s="348"/>
      <c r="C750" s="348"/>
      <c r="D750" s="348"/>
      <c r="E750" s="348"/>
      <c r="F750" s="348"/>
      <c r="G750" s="348"/>
      <c r="H750" s="348"/>
      <c r="I750" s="348"/>
      <c r="J750" s="348"/>
      <c r="K750" s="348"/>
      <c r="L750" s="353"/>
      <c r="M750" s="352"/>
    </row>
    <row r="751" spans="1:13" x14ac:dyDescent="0.2">
      <c r="A751" s="348"/>
      <c r="B751" s="348"/>
      <c r="C751" s="348"/>
      <c r="D751" s="348"/>
      <c r="E751" s="348"/>
      <c r="F751" s="348"/>
      <c r="G751" s="348"/>
      <c r="H751" s="348"/>
      <c r="I751" s="348"/>
      <c r="J751" s="348"/>
      <c r="K751" s="348"/>
      <c r="L751" s="410"/>
      <c r="M751" s="352"/>
    </row>
    <row r="752" spans="1:13" x14ac:dyDescent="0.2">
      <c r="A752" s="374"/>
      <c r="B752" s="354"/>
      <c r="C752" s="354"/>
      <c r="D752" s="354"/>
      <c r="E752" s="354"/>
      <c r="F752" s="354"/>
      <c r="G752" s="354"/>
      <c r="H752" s="354"/>
      <c r="I752" s="354"/>
      <c r="J752" s="354"/>
      <c r="K752" s="354"/>
      <c r="L752" s="352"/>
      <c r="M752" s="352"/>
    </row>
    <row r="753" spans="1:13" x14ac:dyDescent="0.2">
      <c r="A753" s="354"/>
      <c r="B753" s="517"/>
      <c r="C753" s="517"/>
      <c r="D753" s="517"/>
      <c r="E753" s="369"/>
      <c r="F753" s="517"/>
      <c r="G753" s="517"/>
      <c r="H753" s="517"/>
      <c r="I753" s="369"/>
      <c r="J753" s="517"/>
      <c r="K753" s="517"/>
      <c r="L753" s="517"/>
      <c r="M753" s="352"/>
    </row>
    <row r="754" spans="1:13" x14ac:dyDescent="0.2">
      <c r="A754" s="374"/>
      <c r="B754" s="375"/>
      <c r="C754" s="375"/>
      <c r="D754" s="375"/>
      <c r="E754" s="375"/>
      <c r="F754" s="375"/>
      <c r="G754" s="375"/>
      <c r="H754" s="375"/>
      <c r="I754" s="375"/>
      <c r="J754" s="375"/>
      <c r="K754" s="375"/>
      <c r="L754" s="375"/>
      <c r="M754" s="352"/>
    </row>
    <row r="755" spans="1:13" x14ac:dyDescent="0.2">
      <c r="A755" s="374"/>
      <c r="B755" s="375"/>
      <c r="C755" s="375"/>
      <c r="D755" s="375"/>
      <c r="E755" s="375"/>
      <c r="F755" s="375"/>
      <c r="G755" s="375"/>
      <c r="H755" s="375"/>
      <c r="I755" s="375"/>
      <c r="J755" s="375"/>
      <c r="K755" s="375"/>
      <c r="L755" s="375"/>
      <c r="M755" s="352"/>
    </row>
    <row r="756" spans="1:13" x14ac:dyDescent="0.2">
      <c r="A756" s="348"/>
      <c r="B756" s="466"/>
      <c r="C756" s="466"/>
      <c r="D756" s="466"/>
      <c r="E756" s="467"/>
      <c r="F756" s="466"/>
      <c r="G756" s="466"/>
      <c r="H756" s="466"/>
      <c r="I756" s="467"/>
      <c r="J756" s="466"/>
      <c r="K756" s="466"/>
      <c r="L756" s="466"/>
      <c r="M756" s="352"/>
    </row>
    <row r="757" spans="1:13" x14ac:dyDescent="0.2">
      <c r="A757" s="348"/>
      <c r="B757" s="466"/>
      <c r="C757" s="466"/>
      <c r="D757" s="466"/>
      <c r="E757" s="467"/>
      <c r="F757" s="466"/>
      <c r="G757" s="466"/>
      <c r="H757" s="466"/>
      <c r="I757" s="467"/>
      <c r="J757" s="466"/>
      <c r="K757" s="466"/>
      <c r="L757" s="466"/>
      <c r="M757" s="352"/>
    </row>
    <row r="758" spans="1:13" x14ac:dyDescent="0.2">
      <c r="A758" s="348"/>
      <c r="B758" s="466"/>
      <c r="C758" s="466"/>
      <c r="D758" s="466"/>
      <c r="E758" s="467"/>
      <c r="F758" s="466"/>
      <c r="G758" s="466"/>
      <c r="H758" s="466"/>
      <c r="I758" s="467"/>
      <c r="J758" s="466"/>
      <c r="K758" s="466"/>
      <c r="L758" s="466"/>
      <c r="M758" s="352"/>
    </row>
    <row r="759" spans="1:13" x14ac:dyDescent="0.2">
      <c r="A759" s="348"/>
      <c r="B759" s="466"/>
      <c r="C759" s="466"/>
      <c r="D759" s="466"/>
      <c r="E759" s="467"/>
      <c r="F759" s="466"/>
      <c r="G759" s="466"/>
      <c r="H759" s="466"/>
      <c r="I759" s="467"/>
      <c r="J759" s="466"/>
      <c r="K759" s="466"/>
      <c r="L759" s="466"/>
      <c r="M759" s="352"/>
    </row>
    <row r="760" spans="1:13" x14ac:dyDescent="0.2">
      <c r="A760" s="348"/>
      <c r="B760" s="466"/>
      <c r="C760" s="466"/>
      <c r="D760" s="466"/>
      <c r="E760" s="467"/>
      <c r="F760" s="466"/>
      <c r="G760" s="466"/>
      <c r="H760" s="466"/>
      <c r="I760" s="467"/>
      <c r="J760" s="466"/>
      <c r="K760" s="466"/>
      <c r="L760" s="466"/>
      <c r="M760" s="352"/>
    </row>
    <row r="761" spans="1:13" x14ac:dyDescent="0.2">
      <c r="A761" s="348"/>
      <c r="B761" s="466"/>
      <c r="C761" s="466"/>
      <c r="D761" s="466"/>
      <c r="E761" s="467"/>
      <c r="F761" s="466"/>
      <c r="G761" s="466"/>
      <c r="H761" s="466"/>
      <c r="I761" s="467"/>
      <c r="J761" s="466"/>
      <c r="K761" s="466"/>
      <c r="L761" s="466"/>
      <c r="M761" s="352"/>
    </row>
    <row r="762" spans="1:13" x14ac:dyDescent="0.2">
      <c r="A762" s="348"/>
      <c r="B762" s="466"/>
      <c r="C762" s="466"/>
      <c r="D762" s="466"/>
      <c r="E762" s="467"/>
      <c r="F762" s="466"/>
      <c r="G762" s="466"/>
      <c r="H762" s="466"/>
      <c r="I762" s="467"/>
      <c r="J762" s="466"/>
      <c r="K762" s="466"/>
      <c r="L762" s="466"/>
      <c r="M762" s="352"/>
    </row>
    <row r="763" spans="1:13" x14ac:dyDescent="0.2">
      <c r="A763" s="348"/>
      <c r="B763" s="466"/>
      <c r="C763" s="466"/>
      <c r="D763" s="466"/>
      <c r="E763" s="467"/>
      <c r="F763" s="466"/>
      <c r="G763" s="466"/>
      <c r="H763" s="466"/>
      <c r="I763" s="467"/>
      <c r="J763" s="466"/>
      <c r="K763" s="466"/>
      <c r="L763" s="466"/>
      <c r="M763" s="352"/>
    </row>
    <row r="764" spans="1:13" x14ac:dyDescent="0.2">
      <c r="A764" s="348"/>
      <c r="B764" s="466"/>
      <c r="C764" s="466"/>
      <c r="D764" s="466"/>
      <c r="E764" s="467"/>
      <c r="F764" s="466"/>
      <c r="G764" s="466"/>
      <c r="H764" s="466"/>
      <c r="I764" s="467"/>
      <c r="J764" s="466"/>
      <c r="K764" s="466"/>
      <c r="L764" s="466"/>
      <c r="M764" s="352"/>
    </row>
    <row r="765" spans="1:13" x14ac:dyDescent="0.2">
      <c r="A765" s="348"/>
      <c r="B765" s="466"/>
      <c r="C765" s="466"/>
      <c r="D765" s="466"/>
      <c r="E765" s="467"/>
      <c r="F765" s="466"/>
      <c r="G765" s="466"/>
      <c r="H765" s="466"/>
      <c r="I765" s="467"/>
      <c r="J765" s="466"/>
      <c r="K765" s="466"/>
      <c r="L765" s="466"/>
      <c r="M765" s="352"/>
    </row>
    <row r="766" spans="1:13" x14ac:dyDescent="0.2">
      <c r="A766" s="348"/>
      <c r="B766" s="467"/>
      <c r="C766" s="467"/>
      <c r="D766" s="467"/>
      <c r="E766" s="467"/>
      <c r="F766" s="467"/>
      <c r="G766" s="467"/>
      <c r="H766" s="467"/>
      <c r="I766" s="467"/>
      <c r="J766" s="467"/>
      <c r="K766" s="467"/>
      <c r="L766" s="467"/>
      <c r="M766" s="352"/>
    </row>
    <row r="767" spans="1:13" x14ac:dyDescent="0.2">
      <c r="A767" s="348"/>
      <c r="B767" s="348"/>
      <c r="C767" s="348"/>
      <c r="D767" s="348"/>
      <c r="E767" s="348"/>
      <c r="F767" s="348"/>
      <c r="G767" s="348"/>
      <c r="H767" s="348"/>
      <c r="I767" s="348"/>
      <c r="J767" s="348"/>
      <c r="K767" s="348"/>
      <c r="L767" s="353"/>
      <c r="M767" s="352"/>
    </row>
    <row r="768" spans="1:13" x14ac:dyDescent="0.2">
      <c r="A768" s="348"/>
      <c r="B768" s="348"/>
      <c r="C768" s="348"/>
      <c r="D768" s="348"/>
      <c r="E768" s="348"/>
      <c r="F768" s="348"/>
      <c r="G768" s="348"/>
      <c r="H768" s="348"/>
      <c r="I768" s="348"/>
      <c r="J768" s="348"/>
      <c r="K768" s="348"/>
      <c r="L768" s="410"/>
      <c r="M768" s="352"/>
    </row>
    <row r="769" spans="1:13" x14ac:dyDescent="0.2">
      <c r="A769" s="374"/>
      <c r="B769" s="354"/>
      <c r="C769" s="354"/>
      <c r="D769" s="354"/>
      <c r="E769" s="354"/>
      <c r="F769" s="354"/>
      <c r="G769" s="354"/>
      <c r="H769" s="354"/>
      <c r="I769" s="354"/>
      <c r="J769" s="354"/>
      <c r="K769" s="354"/>
      <c r="L769" s="352"/>
      <c r="M769" s="352"/>
    </row>
    <row r="770" spans="1:13" x14ac:dyDescent="0.2">
      <c r="A770" s="354"/>
      <c r="B770" s="517"/>
      <c r="C770" s="517"/>
      <c r="D770" s="517"/>
      <c r="E770" s="369"/>
      <c r="F770" s="517"/>
      <c r="G770" s="517"/>
      <c r="H770" s="517"/>
      <c r="I770" s="369"/>
      <c r="J770" s="517"/>
      <c r="K770" s="517"/>
      <c r="L770" s="517"/>
      <c r="M770" s="352"/>
    </row>
    <row r="771" spans="1:13" x14ac:dyDescent="0.2">
      <c r="A771" s="374"/>
      <c r="B771" s="375"/>
      <c r="C771" s="375"/>
      <c r="D771" s="375"/>
      <c r="E771" s="375"/>
      <c r="F771" s="375"/>
      <c r="G771" s="375"/>
      <c r="H771" s="375"/>
      <c r="I771" s="375"/>
      <c r="J771" s="375"/>
      <c r="K771" s="375"/>
      <c r="L771" s="375"/>
      <c r="M771" s="352"/>
    </row>
    <row r="772" spans="1:13" x14ac:dyDescent="0.2">
      <c r="A772" s="374"/>
      <c r="B772" s="375"/>
      <c r="C772" s="375"/>
      <c r="D772" s="375"/>
      <c r="E772" s="375"/>
      <c r="F772" s="375"/>
      <c r="G772" s="375"/>
      <c r="H772" s="375"/>
      <c r="I772" s="375"/>
      <c r="J772" s="375"/>
      <c r="K772" s="375"/>
      <c r="L772" s="375"/>
      <c r="M772" s="352"/>
    </row>
    <row r="773" spans="1:13" x14ac:dyDescent="0.2">
      <c r="A773" s="348"/>
      <c r="B773" s="466"/>
      <c r="C773" s="466"/>
      <c r="D773" s="466"/>
      <c r="E773" s="467"/>
      <c r="F773" s="466"/>
      <c r="G773" s="466"/>
      <c r="H773" s="466"/>
      <c r="I773" s="467"/>
      <c r="J773" s="466"/>
      <c r="K773" s="466"/>
      <c r="L773" s="466"/>
      <c r="M773" s="352"/>
    </row>
    <row r="774" spans="1:13" x14ac:dyDescent="0.2">
      <c r="A774" s="348"/>
      <c r="B774" s="466"/>
      <c r="C774" s="466"/>
      <c r="D774" s="466"/>
      <c r="E774" s="467"/>
      <c r="F774" s="466"/>
      <c r="G774" s="466"/>
      <c r="H774" s="466"/>
      <c r="I774" s="467"/>
      <c r="J774" s="466"/>
      <c r="K774" s="466"/>
      <c r="L774" s="466"/>
      <c r="M774" s="352"/>
    </row>
    <row r="775" spans="1:13" x14ac:dyDescent="0.2">
      <c r="A775" s="348"/>
      <c r="B775" s="466"/>
      <c r="C775" s="466"/>
      <c r="D775" s="466"/>
      <c r="E775" s="467"/>
      <c r="F775" s="466"/>
      <c r="G775" s="466"/>
      <c r="H775" s="466"/>
      <c r="I775" s="467"/>
      <c r="J775" s="466"/>
      <c r="K775" s="466"/>
      <c r="L775" s="466"/>
      <c r="M775" s="352"/>
    </row>
    <row r="776" spans="1:13" x14ac:dyDescent="0.2">
      <c r="A776" s="348"/>
      <c r="B776" s="466"/>
      <c r="C776" s="466"/>
      <c r="D776" s="466"/>
      <c r="E776" s="467"/>
      <c r="F776" s="466"/>
      <c r="G776" s="466"/>
      <c r="H776" s="466"/>
      <c r="I776" s="467"/>
      <c r="J776" s="466"/>
      <c r="K776" s="466"/>
      <c r="L776" s="466"/>
      <c r="M776" s="352"/>
    </row>
    <row r="777" spans="1:13" x14ac:dyDescent="0.2">
      <c r="A777" s="348"/>
      <c r="B777" s="466"/>
      <c r="C777" s="466"/>
      <c r="D777" s="466"/>
      <c r="E777" s="467"/>
      <c r="F777" s="466"/>
      <c r="G777" s="466"/>
      <c r="H777" s="466"/>
      <c r="I777" s="467"/>
      <c r="J777" s="466"/>
      <c r="K777" s="466"/>
      <c r="L777" s="466"/>
      <c r="M777" s="352"/>
    </row>
    <row r="778" spans="1:13" x14ac:dyDescent="0.2">
      <c r="A778" s="348"/>
      <c r="B778" s="466"/>
      <c r="C778" s="466"/>
      <c r="D778" s="466"/>
      <c r="E778" s="467"/>
      <c r="F778" s="466"/>
      <c r="G778" s="466"/>
      <c r="H778" s="466"/>
      <c r="I778" s="467"/>
      <c r="J778" s="466"/>
      <c r="K778" s="466"/>
      <c r="L778" s="466"/>
      <c r="M778" s="352"/>
    </row>
    <row r="779" spans="1:13" x14ac:dyDescent="0.2">
      <c r="A779" s="348"/>
      <c r="B779" s="466"/>
      <c r="C779" s="466"/>
      <c r="D779" s="466"/>
      <c r="E779" s="467"/>
      <c r="F779" s="466"/>
      <c r="G779" s="466"/>
      <c r="H779" s="466"/>
      <c r="I779" s="467"/>
      <c r="J779" s="466"/>
      <c r="K779" s="466"/>
      <c r="L779" s="466"/>
      <c r="M779" s="352"/>
    </row>
    <row r="780" spans="1:13" x14ac:dyDescent="0.2">
      <c r="A780" s="348"/>
      <c r="B780" s="466"/>
      <c r="C780" s="466"/>
      <c r="D780" s="466"/>
      <c r="E780" s="467"/>
      <c r="F780" s="466"/>
      <c r="G780" s="466"/>
      <c r="H780" s="466"/>
      <c r="I780" s="467"/>
      <c r="J780" s="466"/>
      <c r="K780" s="466"/>
      <c r="L780" s="466"/>
      <c r="M780" s="352"/>
    </row>
    <row r="781" spans="1:13" x14ac:dyDescent="0.2">
      <c r="A781" s="348"/>
      <c r="B781" s="466"/>
      <c r="C781" s="466"/>
      <c r="D781" s="466"/>
      <c r="E781" s="467"/>
      <c r="F781" s="466"/>
      <c r="G781" s="466"/>
      <c r="H781" s="466"/>
      <c r="I781" s="467"/>
      <c r="J781" s="466"/>
      <c r="K781" s="466"/>
      <c r="L781" s="466"/>
      <c r="M781" s="352"/>
    </row>
    <row r="782" spans="1:13" x14ac:dyDescent="0.2">
      <c r="A782" s="348"/>
      <c r="B782" s="466"/>
      <c r="C782" s="466"/>
      <c r="D782" s="466"/>
      <c r="E782" s="467"/>
      <c r="F782" s="466"/>
      <c r="G782" s="466"/>
      <c r="H782" s="466"/>
      <c r="I782" s="467"/>
      <c r="J782" s="466"/>
      <c r="K782" s="466"/>
      <c r="L782" s="466"/>
      <c r="M782" s="352"/>
    </row>
    <row r="783" spans="1:13" x14ac:dyDescent="0.2">
      <c r="A783" s="348"/>
      <c r="B783" s="467"/>
      <c r="C783" s="467"/>
      <c r="D783" s="467"/>
      <c r="E783" s="467"/>
      <c r="F783" s="467"/>
      <c r="G783" s="467"/>
      <c r="H783" s="467"/>
      <c r="I783" s="467"/>
      <c r="J783" s="467"/>
      <c r="K783" s="467"/>
      <c r="L783" s="467"/>
      <c r="M783" s="352"/>
    </row>
    <row r="784" spans="1:13" x14ac:dyDescent="0.2">
      <c r="A784" s="348"/>
      <c r="B784" s="348"/>
      <c r="C784" s="348"/>
      <c r="D784" s="348"/>
      <c r="E784" s="348"/>
      <c r="F784" s="348"/>
      <c r="G784" s="348"/>
      <c r="H784" s="348"/>
      <c r="I784" s="348"/>
      <c r="J784" s="348"/>
      <c r="K784" s="348"/>
      <c r="L784" s="353"/>
      <c r="M784" s="352"/>
    </row>
    <row r="785" spans="1:13" x14ac:dyDescent="0.2">
      <c r="A785" s="348"/>
      <c r="B785" s="348"/>
      <c r="C785" s="348"/>
      <c r="D785" s="348"/>
      <c r="E785" s="348"/>
      <c r="F785" s="348"/>
      <c r="G785" s="348"/>
      <c r="H785" s="348"/>
      <c r="I785" s="348"/>
      <c r="J785" s="348"/>
      <c r="K785" s="348"/>
      <c r="L785" s="410"/>
      <c r="M785" s="352"/>
    </row>
    <row r="786" spans="1:13" x14ac:dyDescent="0.2">
      <c r="A786" s="374"/>
      <c r="B786" s="354"/>
      <c r="C786" s="354"/>
      <c r="D786" s="354"/>
      <c r="E786" s="354"/>
      <c r="F786" s="354"/>
      <c r="G786" s="354"/>
      <c r="H786" s="354"/>
      <c r="I786" s="354"/>
      <c r="J786" s="354"/>
      <c r="K786" s="354"/>
      <c r="L786" s="352"/>
      <c r="M786" s="352"/>
    </row>
    <row r="787" spans="1:13" x14ac:dyDescent="0.2">
      <c r="A787" s="354"/>
      <c r="B787" s="517"/>
      <c r="C787" s="517"/>
      <c r="D787" s="517"/>
      <c r="E787" s="369"/>
      <c r="F787" s="517"/>
      <c r="G787" s="517"/>
      <c r="H787" s="517"/>
      <c r="I787" s="369"/>
      <c r="J787" s="517"/>
      <c r="K787" s="517"/>
      <c r="L787" s="517"/>
      <c r="M787" s="352"/>
    </row>
    <row r="788" spans="1:13" x14ac:dyDescent="0.2">
      <c r="A788" s="374"/>
      <c r="B788" s="375"/>
      <c r="C788" s="375"/>
      <c r="D788" s="375"/>
      <c r="E788" s="375"/>
      <c r="F788" s="375"/>
      <c r="G788" s="375"/>
      <c r="H788" s="375"/>
      <c r="I788" s="375"/>
      <c r="J788" s="375"/>
      <c r="K788" s="375"/>
      <c r="L788" s="375"/>
      <c r="M788" s="352"/>
    </row>
    <row r="789" spans="1:13" x14ac:dyDescent="0.2">
      <c r="A789" s="374"/>
      <c r="B789" s="375"/>
      <c r="C789" s="375"/>
      <c r="D789" s="375"/>
      <c r="E789" s="375"/>
      <c r="F789" s="375"/>
      <c r="G789" s="375"/>
      <c r="H789" s="375"/>
      <c r="I789" s="375"/>
      <c r="J789" s="375"/>
      <c r="K789" s="375"/>
      <c r="L789" s="375"/>
      <c r="M789" s="352"/>
    </row>
    <row r="790" spans="1:13" x14ac:dyDescent="0.2">
      <c r="A790" s="348"/>
      <c r="B790" s="466"/>
      <c r="C790" s="466"/>
      <c r="D790" s="466"/>
      <c r="E790" s="467"/>
      <c r="F790" s="466"/>
      <c r="G790" s="466"/>
      <c r="H790" s="466"/>
      <c r="I790" s="467"/>
      <c r="J790" s="466"/>
      <c r="K790" s="466"/>
      <c r="L790" s="466"/>
      <c r="M790" s="352"/>
    </row>
    <row r="791" spans="1:13" x14ac:dyDescent="0.2">
      <c r="A791" s="348"/>
      <c r="B791" s="466"/>
      <c r="C791" s="466"/>
      <c r="D791" s="466"/>
      <c r="E791" s="467"/>
      <c r="F791" s="466"/>
      <c r="G791" s="466"/>
      <c r="H791" s="466"/>
      <c r="I791" s="467"/>
      <c r="J791" s="466"/>
      <c r="K791" s="466"/>
      <c r="L791" s="466"/>
      <c r="M791" s="352"/>
    </row>
    <row r="792" spans="1:13" x14ac:dyDescent="0.2">
      <c r="A792" s="348"/>
      <c r="B792" s="466"/>
      <c r="C792" s="466"/>
      <c r="D792" s="466"/>
      <c r="E792" s="467"/>
      <c r="F792" s="466"/>
      <c r="G792" s="466"/>
      <c r="H792" s="466"/>
      <c r="I792" s="467"/>
      <c r="J792" s="466"/>
      <c r="K792" s="466"/>
      <c r="L792" s="466"/>
      <c r="M792" s="352"/>
    </row>
    <row r="793" spans="1:13" x14ac:dyDescent="0.2">
      <c r="A793" s="348"/>
      <c r="B793" s="466"/>
      <c r="C793" s="466"/>
      <c r="D793" s="466"/>
      <c r="E793" s="467"/>
      <c r="F793" s="466"/>
      <c r="G793" s="466"/>
      <c r="H793" s="466"/>
      <c r="I793" s="467"/>
      <c r="J793" s="466"/>
      <c r="K793" s="466"/>
      <c r="L793" s="466"/>
      <c r="M793" s="352"/>
    </row>
    <row r="794" spans="1:13" x14ac:dyDescent="0.2">
      <c r="A794" s="348"/>
      <c r="B794" s="466"/>
      <c r="C794" s="466"/>
      <c r="D794" s="466"/>
      <c r="E794" s="467"/>
      <c r="F794" s="466"/>
      <c r="G794" s="466"/>
      <c r="H794" s="466"/>
      <c r="I794" s="467"/>
      <c r="J794" s="466"/>
      <c r="K794" s="466"/>
      <c r="L794" s="466"/>
      <c r="M794" s="352"/>
    </row>
    <row r="795" spans="1:13" x14ac:dyDescent="0.2">
      <c r="A795" s="348"/>
      <c r="B795" s="466"/>
      <c r="C795" s="466"/>
      <c r="D795" s="466"/>
      <c r="E795" s="467"/>
      <c r="F795" s="466"/>
      <c r="G795" s="466"/>
      <c r="H795" s="466"/>
      <c r="I795" s="467"/>
      <c r="J795" s="466"/>
      <c r="K795" s="466"/>
      <c r="L795" s="466"/>
      <c r="M795" s="352"/>
    </row>
    <row r="796" spans="1:13" x14ac:dyDescent="0.2">
      <c r="A796" s="348"/>
      <c r="B796" s="466"/>
      <c r="C796" s="466"/>
      <c r="D796" s="466"/>
      <c r="E796" s="467"/>
      <c r="F796" s="466"/>
      <c r="G796" s="466"/>
      <c r="H796" s="466"/>
      <c r="I796" s="467"/>
      <c r="J796" s="466"/>
      <c r="K796" s="466"/>
      <c r="L796" s="466"/>
      <c r="M796" s="352"/>
    </row>
    <row r="797" spans="1:13" x14ac:dyDescent="0.2">
      <c r="A797" s="348"/>
      <c r="B797" s="466"/>
      <c r="C797" s="466"/>
      <c r="D797" s="466"/>
      <c r="E797" s="467"/>
      <c r="F797" s="466"/>
      <c r="G797" s="466"/>
      <c r="H797" s="466"/>
      <c r="I797" s="467"/>
      <c r="J797" s="466"/>
      <c r="K797" s="466"/>
      <c r="L797" s="466"/>
      <c r="M797" s="352"/>
    </row>
    <row r="798" spans="1:13" x14ac:dyDescent="0.2">
      <c r="A798" s="348"/>
      <c r="B798" s="466"/>
      <c r="C798" s="466"/>
      <c r="D798" s="466"/>
      <c r="E798" s="467"/>
      <c r="F798" s="466"/>
      <c r="G798" s="466"/>
      <c r="H798" s="466"/>
      <c r="I798" s="467"/>
      <c r="J798" s="466"/>
      <c r="K798" s="466"/>
      <c r="L798" s="466"/>
      <c r="M798" s="352"/>
    </row>
    <row r="799" spans="1:13" x14ac:dyDescent="0.2">
      <c r="A799" s="348"/>
      <c r="B799" s="466"/>
      <c r="C799" s="466"/>
      <c r="D799" s="466"/>
      <c r="E799" s="467"/>
      <c r="F799" s="466"/>
      <c r="G799" s="466"/>
      <c r="H799" s="466"/>
      <c r="I799" s="467"/>
      <c r="J799" s="466"/>
      <c r="K799" s="466"/>
      <c r="L799" s="466"/>
      <c r="M799" s="352"/>
    </row>
    <row r="800" spans="1:13" x14ac:dyDescent="0.2">
      <c r="A800" s="348"/>
      <c r="B800" s="467"/>
      <c r="C800" s="467"/>
      <c r="D800" s="467"/>
      <c r="E800" s="467"/>
      <c r="F800" s="467"/>
      <c r="G800" s="467"/>
      <c r="H800" s="467"/>
      <c r="I800" s="467"/>
      <c r="J800" s="467"/>
      <c r="K800" s="467"/>
      <c r="L800" s="467"/>
      <c r="M800" s="352"/>
    </row>
    <row r="801" spans="1:13" x14ac:dyDescent="0.2">
      <c r="A801" s="348"/>
      <c r="B801" s="348"/>
      <c r="C801" s="348"/>
      <c r="D801" s="348"/>
      <c r="E801" s="348"/>
      <c r="F801" s="348"/>
      <c r="G801" s="348"/>
      <c r="H801" s="348"/>
      <c r="I801" s="348"/>
      <c r="J801" s="348"/>
      <c r="K801" s="348"/>
      <c r="L801" s="353"/>
      <c r="M801" s="352"/>
    </row>
    <row r="802" spans="1:13" x14ac:dyDescent="0.2">
      <c r="A802" s="348"/>
      <c r="B802" s="348"/>
      <c r="C802" s="348"/>
      <c r="D802" s="348"/>
      <c r="E802" s="348"/>
      <c r="F802" s="348"/>
      <c r="G802" s="348"/>
      <c r="H802" s="348"/>
      <c r="I802" s="348"/>
      <c r="J802" s="348"/>
      <c r="K802" s="348"/>
      <c r="L802" s="410"/>
      <c r="M802" s="352"/>
    </row>
    <row r="803" spans="1:13" x14ac:dyDescent="0.2">
      <c r="A803" s="374"/>
      <c r="B803" s="354"/>
      <c r="C803" s="354"/>
      <c r="D803" s="354"/>
      <c r="E803" s="354"/>
      <c r="F803" s="354"/>
      <c r="G803" s="354"/>
      <c r="H803" s="354"/>
      <c r="I803" s="354"/>
      <c r="J803" s="354"/>
      <c r="K803" s="354"/>
      <c r="L803" s="352"/>
      <c r="M803" s="352"/>
    </row>
    <row r="804" spans="1:13" x14ac:dyDescent="0.2">
      <c r="A804" s="354"/>
      <c r="B804" s="517"/>
      <c r="C804" s="517"/>
      <c r="D804" s="517"/>
      <c r="E804" s="369"/>
      <c r="F804" s="517"/>
      <c r="G804" s="517"/>
      <c r="H804" s="517"/>
      <c r="I804" s="369"/>
      <c r="J804" s="517"/>
      <c r="K804" s="517"/>
      <c r="L804" s="517"/>
      <c r="M804" s="352"/>
    </row>
    <row r="805" spans="1:13" x14ac:dyDescent="0.2">
      <c r="A805" s="374"/>
      <c r="B805" s="375"/>
      <c r="C805" s="375"/>
      <c r="D805" s="375"/>
      <c r="E805" s="375"/>
      <c r="F805" s="375"/>
      <c r="G805" s="375"/>
      <c r="H805" s="375"/>
      <c r="I805" s="375"/>
      <c r="J805" s="375"/>
      <c r="K805" s="375"/>
      <c r="L805" s="375"/>
      <c r="M805" s="352"/>
    </row>
    <row r="806" spans="1:13" x14ac:dyDescent="0.2">
      <c r="A806" s="374"/>
      <c r="B806" s="375"/>
      <c r="C806" s="375"/>
      <c r="D806" s="375"/>
      <c r="E806" s="375"/>
      <c r="F806" s="375"/>
      <c r="G806" s="375"/>
      <c r="H806" s="375"/>
      <c r="I806" s="375"/>
      <c r="J806" s="375"/>
      <c r="K806" s="375"/>
      <c r="L806" s="375"/>
      <c r="M806" s="352"/>
    </row>
    <row r="807" spans="1:13" x14ac:dyDescent="0.2">
      <c r="A807" s="348"/>
      <c r="B807" s="466"/>
      <c r="C807" s="466"/>
      <c r="D807" s="466"/>
      <c r="E807" s="467"/>
      <c r="F807" s="466"/>
      <c r="G807" s="466"/>
      <c r="H807" s="466"/>
      <c r="I807" s="467"/>
      <c r="J807" s="466"/>
      <c r="K807" s="466"/>
      <c r="L807" s="466"/>
      <c r="M807" s="352"/>
    </row>
    <row r="808" spans="1:13" x14ac:dyDescent="0.2">
      <c r="A808" s="348"/>
      <c r="B808" s="466"/>
      <c r="C808" s="466"/>
      <c r="D808" s="466"/>
      <c r="E808" s="467"/>
      <c r="F808" s="466"/>
      <c r="G808" s="466"/>
      <c r="H808" s="466"/>
      <c r="I808" s="467"/>
      <c r="J808" s="466"/>
      <c r="K808" s="466"/>
      <c r="L808" s="466"/>
      <c r="M808" s="352"/>
    </row>
    <row r="809" spans="1:13" x14ac:dyDescent="0.2">
      <c r="A809" s="348"/>
      <c r="B809" s="466"/>
      <c r="C809" s="466"/>
      <c r="D809" s="466"/>
      <c r="E809" s="467"/>
      <c r="F809" s="466"/>
      <c r="G809" s="466"/>
      <c r="H809" s="466"/>
      <c r="I809" s="467"/>
      <c r="J809" s="466"/>
      <c r="K809" s="466"/>
      <c r="L809" s="466"/>
      <c r="M809" s="352"/>
    </row>
    <row r="810" spans="1:13" x14ac:dyDescent="0.2">
      <c r="A810" s="348"/>
      <c r="B810" s="466"/>
      <c r="C810" s="466"/>
      <c r="D810" s="466"/>
      <c r="E810" s="467"/>
      <c r="F810" s="466"/>
      <c r="G810" s="466"/>
      <c r="H810" s="466"/>
      <c r="I810" s="467"/>
      <c r="J810" s="466"/>
      <c r="K810" s="466"/>
      <c r="L810" s="466"/>
      <c r="M810" s="352"/>
    </row>
    <row r="811" spans="1:13" x14ac:dyDescent="0.2">
      <c r="A811" s="348"/>
      <c r="B811" s="466"/>
      <c r="C811" s="466"/>
      <c r="D811" s="466"/>
      <c r="E811" s="467"/>
      <c r="F811" s="466"/>
      <c r="G811" s="466"/>
      <c r="H811" s="466"/>
      <c r="I811" s="467"/>
      <c r="J811" s="466"/>
      <c r="K811" s="466"/>
      <c r="L811" s="466"/>
      <c r="M811" s="352"/>
    </row>
    <row r="812" spans="1:13" x14ac:dyDescent="0.2">
      <c r="A812" s="348"/>
      <c r="B812" s="466"/>
      <c r="C812" s="466"/>
      <c r="D812" s="466"/>
      <c r="E812" s="467"/>
      <c r="F812" s="466"/>
      <c r="G812" s="466"/>
      <c r="H812" s="466"/>
      <c r="I812" s="467"/>
      <c r="J812" s="466"/>
      <c r="K812" s="466"/>
      <c r="L812" s="466"/>
      <c r="M812" s="352"/>
    </row>
    <row r="813" spans="1:13" x14ac:dyDescent="0.2">
      <c r="A813" s="348"/>
      <c r="B813" s="466"/>
      <c r="C813" s="466"/>
      <c r="D813" s="466"/>
      <c r="E813" s="467"/>
      <c r="F813" s="466"/>
      <c r="G813" s="466"/>
      <c r="H813" s="466"/>
      <c r="I813" s="467"/>
      <c r="J813" s="466"/>
      <c r="K813" s="466"/>
      <c r="L813" s="466"/>
      <c r="M813" s="352"/>
    </row>
    <row r="814" spans="1:13" x14ac:dyDescent="0.2">
      <c r="A814" s="348"/>
      <c r="B814" s="466"/>
      <c r="C814" s="466"/>
      <c r="D814" s="466"/>
      <c r="E814" s="467"/>
      <c r="F814" s="466"/>
      <c r="G814" s="466"/>
      <c r="H814" s="466"/>
      <c r="I814" s="467"/>
      <c r="J814" s="466"/>
      <c r="K814" s="466"/>
      <c r="L814" s="466"/>
      <c r="M814" s="352"/>
    </row>
    <row r="815" spans="1:13" x14ac:dyDescent="0.2">
      <c r="A815" s="348"/>
      <c r="B815" s="466"/>
      <c r="C815" s="466"/>
      <c r="D815" s="466"/>
      <c r="E815" s="467"/>
      <c r="F815" s="466"/>
      <c r="G815" s="466"/>
      <c r="H815" s="466"/>
      <c r="I815" s="467"/>
      <c r="J815" s="466"/>
      <c r="K815" s="466"/>
      <c r="L815" s="466"/>
      <c r="M815" s="352"/>
    </row>
    <row r="816" spans="1:13" x14ac:dyDescent="0.2">
      <c r="A816" s="348"/>
      <c r="B816" s="466"/>
      <c r="C816" s="466"/>
      <c r="D816" s="466"/>
      <c r="E816" s="467"/>
      <c r="F816" s="466"/>
      <c r="G816" s="466"/>
      <c r="H816" s="466"/>
      <c r="I816" s="467"/>
      <c r="J816" s="466"/>
      <c r="K816" s="466"/>
      <c r="L816" s="466"/>
      <c r="M816" s="352"/>
    </row>
    <row r="817" spans="1:13" x14ac:dyDescent="0.2">
      <c r="A817" s="348"/>
      <c r="B817" s="467"/>
      <c r="C817" s="467"/>
      <c r="D817" s="467"/>
      <c r="E817" s="467"/>
      <c r="F817" s="467"/>
      <c r="G817" s="467"/>
      <c r="H817" s="467"/>
      <c r="I817" s="467"/>
      <c r="J817" s="467"/>
      <c r="K817" s="467"/>
      <c r="L817" s="467"/>
      <c r="M817" s="352"/>
    </row>
    <row r="818" spans="1:13" x14ac:dyDescent="0.2">
      <c r="A818" s="348"/>
      <c r="B818" s="348"/>
      <c r="C818" s="348"/>
      <c r="D818" s="348"/>
      <c r="E818" s="348"/>
      <c r="F818" s="348"/>
      <c r="G818" s="348"/>
      <c r="H818" s="348"/>
      <c r="I818" s="348"/>
      <c r="J818" s="348"/>
      <c r="K818" s="348"/>
      <c r="L818" s="353"/>
      <c r="M818" s="352"/>
    </row>
    <row r="819" spans="1:13" x14ac:dyDescent="0.2">
      <c r="A819" s="348"/>
      <c r="B819" s="348"/>
      <c r="C819" s="348"/>
      <c r="D819" s="348"/>
      <c r="E819" s="348"/>
      <c r="F819" s="348"/>
      <c r="G819" s="348"/>
      <c r="H819" s="348"/>
      <c r="I819" s="348"/>
      <c r="J819" s="348"/>
      <c r="K819" s="348"/>
      <c r="L819" s="410"/>
      <c r="M819" s="352"/>
    </row>
    <row r="820" spans="1:13" x14ac:dyDescent="0.2">
      <c r="A820" s="374"/>
      <c r="B820" s="354"/>
      <c r="C820" s="354"/>
      <c r="D820" s="354"/>
      <c r="E820" s="354"/>
      <c r="F820" s="354"/>
      <c r="G820" s="354"/>
      <c r="H820" s="354"/>
      <c r="I820" s="354"/>
      <c r="J820" s="354"/>
      <c r="K820" s="354"/>
      <c r="L820" s="352"/>
      <c r="M820" s="352"/>
    </row>
    <row r="821" spans="1:13" x14ac:dyDescent="0.2">
      <c r="A821" s="354"/>
      <c r="B821" s="517"/>
      <c r="C821" s="517"/>
      <c r="D821" s="517"/>
      <c r="E821" s="369"/>
      <c r="F821" s="517"/>
      <c r="G821" s="517"/>
      <c r="H821" s="517"/>
      <c r="I821" s="369"/>
      <c r="J821" s="517"/>
      <c r="K821" s="517"/>
      <c r="L821" s="517"/>
      <c r="M821" s="352"/>
    </row>
    <row r="822" spans="1:13" x14ac:dyDescent="0.2">
      <c r="A822" s="374"/>
      <c r="B822" s="375"/>
      <c r="C822" s="375"/>
      <c r="D822" s="375"/>
      <c r="E822" s="375"/>
      <c r="F822" s="375"/>
      <c r="G822" s="375"/>
      <c r="H822" s="375"/>
      <c r="I822" s="375"/>
      <c r="J822" s="375"/>
      <c r="K822" s="375"/>
      <c r="L822" s="375"/>
      <c r="M822" s="352"/>
    </row>
    <row r="823" spans="1:13" x14ac:dyDescent="0.2">
      <c r="A823" s="374"/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52"/>
    </row>
    <row r="824" spans="1:13" x14ac:dyDescent="0.2">
      <c r="A824" s="348"/>
      <c r="B824" s="466"/>
      <c r="C824" s="466"/>
      <c r="D824" s="466"/>
      <c r="E824" s="467"/>
      <c r="F824" s="466"/>
      <c r="G824" s="466"/>
      <c r="H824" s="466"/>
      <c r="I824" s="467"/>
      <c r="J824" s="466"/>
      <c r="K824" s="466"/>
      <c r="L824" s="466"/>
      <c r="M824" s="352"/>
    </row>
    <row r="825" spans="1:13" x14ac:dyDescent="0.2">
      <c r="A825" s="348"/>
      <c r="B825" s="466"/>
      <c r="C825" s="466"/>
      <c r="D825" s="466"/>
      <c r="E825" s="467"/>
      <c r="F825" s="466"/>
      <c r="G825" s="466"/>
      <c r="H825" s="466"/>
      <c r="I825" s="467"/>
      <c r="J825" s="466"/>
      <c r="K825" s="466"/>
      <c r="L825" s="466"/>
      <c r="M825" s="352"/>
    </row>
    <row r="826" spans="1:13" x14ac:dyDescent="0.2">
      <c r="A826" s="348"/>
      <c r="B826" s="466"/>
      <c r="C826" s="466"/>
      <c r="D826" s="466"/>
      <c r="E826" s="467"/>
      <c r="F826" s="466"/>
      <c r="G826" s="466"/>
      <c r="H826" s="466"/>
      <c r="I826" s="467"/>
      <c r="J826" s="466"/>
      <c r="K826" s="466"/>
      <c r="L826" s="466"/>
      <c r="M826" s="352"/>
    </row>
    <row r="827" spans="1:13" x14ac:dyDescent="0.2">
      <c r="A827" s="348"/>
      <c r="B827" s="466"/>
      <c r="C827" s="466"/>
      <c r="D827" s="466"/>
      <c r="E827" s="467"/>
      <c r="F827" s="466"/>
      <c r="G827" s="466"/>
      <c r="H827" s="466"/>
      <c r="I827" s="467"/>
      <c r="J827" s="466"/>
      <c r="K827" s="466"/>
      <c r="L827" s="466"/>
      <c r="M827" s="352"/>
    </row>
    <row r="828" spans="1:13" x14ac:dyDescent="0.2">
      <c r="A828" s="348"/>
      <c r="B828" s="466"/>
      <c r="C828" s="466"/>
      <c r="D828" s="466"/>
      <c r="E828" s="467"/>
      <c r="F828" s="466"/>
      <c r="G828" s="466"/>
      <c r="H828" s="466"/>
      <c r="I828" s="467"/>
      <c r="J828" s="466"/>
      <c r="K828" s="466"/>
      <c r="L828" s="466"/>
      <c r="M828" s="352"/>
    </row>
    <row r="829" spans="1:13" x14ac:dyDescent="0.2">
      <c r="A829" s="348"/>
      <c r="B829" s="466"/>
      <c r="C829" s="466"/>
      <c r="D829" s="466"/>
      <c r="E829" s="467"/>
      <c r="F829" s="466"/>
      <c r="G829" s="466"/>
      <c r="H829" s="466"/>
      <c r="I829" s="467"/>
      <c r="J829" s="466"/>
      <c r="K829" s="466"/>
      <c r="L829" s="466"/>
      <c r="M829" s="352"/>
    </row>
    <row r="830" spans="1:13" x14ac:dyDescent="0.2">
      <c r="A830" s="348"/>
      <c r="B830" s="466"/>
      <c r="C830" s="466"/>
      <c r="D830" s="466"/>
      <c r="E830" s="467"/>
      <c r="F830" s="466"/>
      <c r="G830" s="466"/>
      <c r="H830" s="466"/>
      <c r="I830" s="467"/>
      <c r="J830" s="466"/>
      <c r="K830" s="466"/>
      <c r="L830" s="466"/>
      <c r="M830" s="352"/>
    </row>
    <row r="831" spans="1:13" x14ac:dyDescent="0.2">
      <c r="A831" s="348"/>
      <c r="B831" s="466"/>
      <c r="C831" s="466"/>
      <c r="D831" s="466"/>
      <c r="E831" s="467"/>
      <c r="F831" s="466"/>
      <c r="G831" s="466"/>
      <c r="H831" s="466"/>
      <c r="I831" s="467"/>
      <c r="J831" s="466"/>
      <c r="K831" s="466"/>
      <c r="L831" s="466"/>
      <c r="M831" s="352"/>
    </row>
    <row r="832" spans="1:13" x14ac:dyDescent="0.2">
      <c r="A832" s="348"/>
      <c r="B832" s="466"/>
      <c r="C832" s="466"/>
      <c r="D832" s="466"/>
      <c r="E832" s="467"/>
      <c r="F832" s="466"/>
      <c r="G832" s="466"/>
      <c r="H832" s="466"/>
      <c r="I832" s="467"/>
      <c r="J832" s="466"/>
      <c r="K832" s="466"/>
      <c r="L832" s="466"/>
      <c r="M832" s="352"/>
    </row>
    <row r="833" spans="1:13" x14ac:dyDescent="0.2">
      <c r="A833" s="348"/>
      <c r="B833" s="466"/>
      <c r="C833" s="466"/>
      <c r="D833" s="466"/>
      <c r="E833" s="467"/>
      <c r="F833" s="466"/>
      <c r="G833" s="466"/>
      <c r="H833" s="466"/>
      <c r="I833" s="467"/>
      <c r="J833" s="466"/>
      <c r="K833" s="466"/>
      <c r="L833" s="466"/>
      <c r="M833" s="352"/>
    </row>
    <row r="834" spans="1:13" x14ac:dyDescent="0.2">
      <c r="A834" s="348"/>
      <c r="B834" s="467"/>
      <c r="C834" s="467"/>
      <c r="D834" s="467"/>
      <c r="E834" s="467"/>
      <c r="F834" s="467"/>
      <c r="G834" s="467"/>
      <c r="H834" s="467"/>
      <c r="I834" s="467"/>
      <c r="J834" s="467"/>
      <c r="K834" s="467"/>
      <c r="L834" s="467"/>
      <c r="M834" s="352"/>
    </row>
    <row r="835" spans="1:13" x14ac:dyDescent="0.2">
      <c r="A835" s="348"/>
      <c r="B835" s="348"/>
      <c r="C835" s="348"/>
      <c r="D835" s="348"/>
      <c r="E835" s="348"/>
      <c r="F835" s="348"/>
      <c r="G835" s="348"/>
      <c r="H835" s="348"/>
      <c r="I835" s="348"/>
      <c r="J835" s="348"/>
      <c r="K835" s="348"/>
      <c r="L835" s="353"/>
      <c r="M835" s="352"/>
    </row>
    <row r="836" spans="1:13" x14ac:dyDescent="0.2">
      <c r="A836" s="348"/>
      <c r="B836" s="348"/>
      <c r="C836" s="348"/>
      <c r="D836" s="348"/>
      <c r="E836" s="348"/>
      <c r="F836" s="348"/>
      <c r="G836" s="348"/>
      <c r="H836" s="348"/>
      <c r="I836" s="348"/>
      <c r="J836" s="348"/>
      <c r="K836" s="348"/>
      <c r="L836" s="410"/>
      <c r="M836" s="352"/>
    </row>
    <row r="837" spans="1:13" x14ac:dyDescent="0.2">
      <c r="A837" s="374"/>
      <c r="B837" s="354"/>
      <c r="C837" s="354"/>
      <c r="D837" s="354"/>
      <c r="E837" s="354"/>
      <c r="F837" s="354"/>
      <c r="G837" s="354"/>
      <c r="H837" s="354"/>
      <c r="I837" s="354"/>
      <c r="J837" s="354"/>
      <c r="K837" s="354"/>
      <c r="L837" s="352"/>
      <c r="M837" s="352"/>
    </row>
    <row r="838" spans="1:13" x14ac:dyDescent="0.2">
      <c r="A838" s="354"/>
      <c r="B838" s="517"/>
      <c r="C838" s="517"/>
      <c r="D838" s="517"/>
      <c r="E838" s="369"/>
      <c r="F838" s="517"/>
      <c r="G838" s="517"/>
      <c r="H838" s="517"/>
      <c r="I838" s="369"/>
      <c r="J838" s="517"/>
      <c r="K838" s="517"/>
      <c r="L838" s="517"/>
      <c r="M838" s="352"/>
    </row>
    <row r="839" spans="1:13" x14ac:dyDescent="0.2">
      <c r="A839" s="374"/>
      <c r="B839" s="375"/>
      <c r="C839" s="375"/>
      <c r="D839" s="375"/>
      <c r="E839" s="375"/>
      <c r="F839" s="375"/>
      <c r="G839" s="375"/>
      <c r="H839" s="375"/>
      <c r="I839" s="375"/>
      <c r="J839" s="375"/>
      <c r="K839" s="375"/>
      <c r="L839" s="375"/>
      <c r="M839" s="352"/>
    </row>
    <row r="840" spans="1:13" x14ac:dyDescent="0.2">
      <c r="A840" s="374"/>
      <c r="B840" s="375"/>
      <c r="C840" s="375"/>
      <c r="D840" s="375"/>
      <c r="E840" s="375"/>
      <c r="F840" s="375"/>
      <c r="G840" s="375"/>
      <c r="H840" s="375"/>
      <c r="I840" s="375"/>
      <c r="J840" s="375"/>
      <c r="K840" s="375"/>
      <c r="L840" s="375"/>
      <c r="M840" s="352"/>
    </row>
    <row r="841" spans="1:13" x14ac:dyDescent="0.2">
      <c r="A841" s="348"/>
      <c r="B841" s="466"/>
      <c r="C841" s="466"/>
      <c r="D841" s="466"/>
      <c r="E841" s="467"/>
      <c r="F841" s="466"/>
      <c r="G841" s="466"/>
      <c r="H841" s="466"/>
      <c r="I841" s="467"/>
      <c r="J841" s="466"/>
      <c r="K841" s="466"/>
      <c r="L841" s="466"/>
      <c r="M841" s="352"/>
    </row>
    <row r="842" spans="1:13" x14ac:dyDescent="0.2">
      <c r="A842" s="348"/>
      <c r="B842" s="466"/>
      <c r="C842" s="466"/>
      <c r="D842" s="466"/>
      <c r="E842" s="467"/>
      <c r="F842" s="466"/>
      <c r="G842" s="466"/>
      <c r="H842" s="466"/>
      <c r="I842" s="467"/>
      <c r="J842" s="466"/>
      <c r="K842" s="466"/>
      <c r="L842" s="466"/>
      <c r="M842" s="352"/>
    </row>
    <row r="843" spans="1:13" x14ac:dyDescent="0.2">
      <c r="A843" s="348"/>
      <c r="B843" s="466"/>
      <c r="C843" s="466"/>
      <c r="D843" s="466"/>
      <c r="E843" s="467"/>
      <c r="F843" s="466"/>
      <c r="G843" s="466"/>
      <c r="H843" s="466"/>
      <c r="I843" s="467"/>
      <c r="J843" s="466"/>
      <c r="K843" s="466"/>
      <c r="L843" s="466"/>
      <c r="M843" s="352"/>
    </row>
    <row r="844" spans="1:13" x14ac:dyDescent="0.2">
      <c r="A844" s="348"/>
      <c r="B844" s="466"/>
      <c r="C844" s="466"/>
      <c r="D844" s="466"/>
      <c r="E844" s="467"/>
      <c r="F844" s="466"/>
      <c r="G844" s="466"/>
      <c r="H844" s="466"/>
      <c r="I844" s="467"/>
      <c r="J844" s="466"/>
      <c r="K844" s="466"/>
      <c r="L844" s="466"/>
      <c r="M844" s="352"/>
    </row>
    <row r="845" spans="1:13" x14ac:dyDescent="0.2">
      <c r="A845" s="348"/>
      <c r="B845" s="466"/>
      <c r="C845" s="466"/>
      <c r="D845" s="466"/>
      <c r="E845" s="467"/>
      <c r="F845" s="466"/>
      <c r="G845" s="466"/>
      <c r="H845" s="466"/>
      <c r="I845" s="467"/>
      <c r="J845" s="466"/>
      <c r="K845" s="466"/>
      <c r="L845" s="466"/>
      <c r="M845" s="352"/>
    </row>
    <row r="846" spans="1:13" x14ac:dyDescent="0.2">
      <c r="A846" s="348"/>
      <c r="B846" s="466"/>
      <c r="C846" s="466"/>
      <c r="D846" s="466"/>
      <c r="E846" s="467"/>
      <c r="F846" s="466"/>
      <c r="G846" s="466"/>
      <c r="H846" s="466"/>
      <c r="I846" s="467"/>
      <c r="J846" s="466"/>
      <c r="K846" s="466"/>
      <c r="L846" s="466"/>
      <c r="M846" s="352"/>
    </row>
    <row r="847" spans="1:13" x14ac:dyDescent="0.2">
      <c r="A847" s="348"/>
      <c r="B847" s="466"/>
      <c r="C847" s="466"/>
      <c r="D847" s="466"/>
      <c r="E847" s="467"/>
      <c r="F847" s="466"/>
      <c r="G847" s="466"/>
      <c r="H847" s="466"/>
      <c r="I847" s="467"/>
      <c r="J847" s="466"/>
      <c r="K847" s="466"/>
      <c r="L847" s="466"/>
      <c r="M847" s="352"/>
    </row>
    <row r="848" spans="1:13" x14ac:dyDescent="0.2">
      <c r="A848" s="348"/>
      <c r="B848" s="466"/>
      <c r="C848" s="466"/>
      <c r="D848" s="466"/>
      <c r="E848" s="467"/>
      <c r="F848" s="466"/>
      <c r="G848" s="466"/>
      <c r="H848" s="466"/>
      <c r="I848" s="467"/>
      <c r="J848" s="466"/>
      <c r="K848" s="466"/>
      <c r="L848" s="466"/>
      <c r="M848" s="352"/>
    </row>
    <row r="849" spans="1:13" x14ac:dyDescent="0.2">
      <c r="A849" s="348"/>
      <c r="B849" s="466"/>
      <c r="C849" s="466"/>
      <c r="D849" s="466"/>
      <c r="E849" s="467"/>
      <c r="F849" s="466"/>
      <c r="G849" s="466"/>
      <c r="H849" s="466"/>
      <c r="I849" s="467"/>
      <c r="J849" s="466"/>
      <c r="K849" s="466"/>
      <c r="L849" s="466"/>
      <c r="M849" s="352"/>
    </row>
    <row r="850" spans="1:13" x14ac:dyDescent="0.2">
      <c r="A850" s="348"/>
      <c r="B850" s="466"/>
      <c r="C850" s="466"/>
      <c r="D850" s="466"/>
      <c r="E850" s="467"/>
      <c r="F850" s="466"/>
      <c r="G850" s="466"/>
      <c r="H850" s="466"/>
      <c r="I850" s="467"/>
      <c r="J850" s="466"/>
      <c r="K850" s="466"/>
      <c r="L850" s="466"/>
      <c r="M850" s="352"/>
    </row>
    <row r="851" spans="1:13" x14ac:dyDescent="0.2">
      <c r="A851" s="348"/>
      <c r="B851" s="467"/>
      <c r="C851" s="467"/>
      <c r="D851" s="467"/>
      <c r="E851" s="467"/>
      <c r="F851" s="467"/>
      <c r="G851" s="467"/>
      <c r="H851" s="467"/>
      <c r="I851" s="467"/>
      <c r="J851" s="467"/>
      <c r="K851" s="467"/>
      <c r="L851" s="467"/>
      <c r="M851" s="352"/>
    </row>
    <row r="852" spans="1:13" x14ac:dyDescent="0.2">
      <c r="A852" s="348"/>
      <c r="B852" s="348"/>
      <c r="C852" s="348"/>
      <c r="D852" s="348"/>
      <c r="E852" s="348"/>
      <c r="F852" s="348"/>
      <c r="G852" s="348"/>
      <c r="H852" s="348"/>
      <c r="I852" s="348"/>
      <c r="J852" s="348"/>
      <c r="K852" s="348"/>
      <c r="L852" s="353"/>
      <c r="M852" s="352"/>
    </row>
    <row r="853" spans="1:13" x14ac:dyDescent="0.2">
      <c r="A853" s="348"/>
      <c r="B853" s="348"/>
      <c r="C853" s="348"/>
      <c r="D853" s="348"/>
      <c r="E853" s="348"/>
      <c r="F853" s="348"/>
      <c r="G853" s="348"/>
      <c r="H853" s="348"/>
      <c r="I853" s="348"/>
      <c r="J853" s="348"/>
      <c r="K853" s="348"/>
      <c r="L853" s="410"/>
      <c r="M853" s="352"/>
    </row>
    <row r="854" spans="1:13" x14ac:dyDescent="0.2">
      <c r="A854" s="374"/>
      <c r="B854" s="354"/>
      <c r="C854" s="354"/>
      <c r="D854" s="354"/>
      <c r="E854" s="354"/>
      <c r="F854" s="354"/>
      <c r="G854" s="354"/>
      <c r="H854" s="354"/>
      <c r="I854" s="354"/>
      <c r="J854" s="354"/>
      <c r="K854" s="354"/>
      <c r="L854" s="352"/>
      <c r="M854" s="352"/>
    </row>
    <row r="855" spans="1:13" x14ac:dyDescent="0.2">
      <c r="A855" s="354"/>
      <c r="B855" s="517"/>
      <c r="C855" s="517"/>
      <c r="D855" s="517"/>
      <c r="E855" s="369"/>
      <c r="F855" s="517"/>
      <c r="G855" s="517"/>
      <c r="H855" s="517"/>
      <c r="I855" s="369"/>
      <c r="J855" s="517"/>
      <c r="K855" s="517"/>
      <c r="L855" s="517"/>
      <c r="M855" s="352"/>
    </row>
    <row r="856" spans="1:13" x14ac:dyDescent="0.2">
      <c r="A856" s="374"/>
      <c r="B856" s="375"/>
      <c r="C856" s="375"/>
      <c r="D856" s="375"/>
      <c r="E856" s="375"/>
      <c r="F856" s="375"/>
      <c r="G856" s="375"/>
      <c r="H856" s="375"/>
      <c r="I856" s="375"/>
      <c r="J856" s="375"/>
      <c r="K856" s="375"/>
      <c r="L856" s="375"/>
      <c r="M856" s="352"/>
    </row>
    <row r="857" spans="1:13" x14ac:dyDescent="0.2">
      <c r="A857" s="374"/>
      <c r="B857" s="375"/>
      <c r="C857" s="375"/>
      <c r="D857" s="375"/>
      <c r="E857" s="375"/>
      <c r="F857" s="375"/>
      <c r="G857" s="375"/>
      <c r="H857" s="375"/>
      <c r="I857" s="375"/>
      <c r="J857" s="375"/>
      <c r="K857" s="375"/>
      <c r="L857" s="375"/>
      <c r="M857" s="352"/>
    </row>
    <row r="858" spans="1:13" x14ac:dyDescent="0.2">
      <c r="A858" s="348"/>
      <c r="B858" s="466"/>
      <c r="C858" s="466"/>
      <c r="D858" s="466"/>
      <c r="E858" s="467"/>
      <c r="F858" s="466"/>
      <c r="G858" s="466"/>
      <c r="H858" s="466"/>
      <c r="I858" s="467"/>
      <c r="J858" s="466"/>
      <c r="K858" s="466"/>
      <c r="L858" s="466"/>
      <c r="M858" s="352"/>
    </row>
    <row r="859" spans="1:13" x14ac:dyDescent="0.2">
      <c r="A859" s="348"/>
      <c r="B859" s="466"/>
      <c r="C859" s="466"/>
      <c r="D859" s="466"/>
      <c r="E859" s="467"/>
      <c r="F859" s="466"/>
      <c r="G859" s="466"/>
      <c r="H859" s="466"/>
      <c r="I859" s="467"/>
      <c r="J859" s="466"/>
      <c r="K859" s="466"/>
      <c r="L859" s="466"/>
      <c r="M859" s="352"/>
    </row>
    <row r="860" spans="1:13" x14ac:dyDescent="0.2">
      <c r="A860" s="348"/>
      <c r="B860" s="466"/>
      <c r="C860" s="466"/>
      <c r="D860" s="466"/>
      <c r="E860" s="467"/>
      <c r="F860" s="466"/>
      <c r="G860" s="466"/>
      <c r="H860" s="466"/>
      <c r="I860" s="467"/>
      <c r="J860" s="466"/>
      <c r="K860" s="466"/>
      <c r="L860" s="466"/>
      <c r="M860" s="352"/>
    </row>
    <row r="861" spans="1:13" x14ac:dyDescent="0.2">
      <c r="A861" s="348"/>
      <c r="B861" s="466"/>
      <c r="C861" s="466"/>
      <c r="D861" s="466"/>
      <c r="E861" s="467"/>
      <c r="F861" s="466"/>
      <c r="G861" s="466"/>
      <c r="H861" s="466"/>
      <c r="I861" s="467"/>
      <c r="J861" s="466"/>
      <c r="K861" s="466"/>
      <c r="L861" s="466"/>
      <c r="M861" s="352"/>
    </row>
    <row r="862" spans="1:13" x14ac:dyDescent="0.2">
      <c r="A862" s="348"/>
      <c r="B862" s="466"/>
      <c r="C862" s="466"/>
      <c r="D862" s="466"/>
      <c r="E862" s="467"/>
      <c r="F862" s="466"/>
      <c r="G862" s="466"/>
      <c r="H862" s="466"/>
      <c r="I862" s="467"/>
      <c r="J862" s="466"/>
      <c r="K862" s="466"/>
      <c r="L862" s="466"/>
      <c r="M862" s="352"/>
    </row>
    <row r="863" spans="1:13" x14ac:dyDescent="0.2">
      <c r="A863" s="348"/>
      <c r="B863" s="466"/>
      <c r="C863" s="466"/>
      <c r="D863" s="466"/>
      <c r="E863" s="467"/>
      <c r="F863" s="466"/>
      <c r="G863" s="466"/>
      <c r="H863" s="466"/>
      <c r="I863" s="467"/>
      <c r="J863" s="466"/>
      <c r="K863" s="466"/>
      <c r="L863" s="466"/>
      <c r="M863" s="352"/>
    </row>
    <row r="864" spans="1:13" x14ac:dyDescent="0.2">
      <c r="A864" s="348"/>
      <c r="B864" s="466"/>
      <c r="C864" s="466"/>
      <c r="D864" s="466"/>
      <c r="E864" s="467"/>
      <c r="F864" s="466"/>
      <c r="G864" s="466"/>
      <c r="H864" s="466"/>
      <c r="I864" s="467"/>
      <c r="J864" s="466"/>
      <c r="K864" s="466"/>
      <c r="L864" s="466"/>
      <c r="M864" s="352"/>
    </row>
    <row r="865" spans="1:13" x14ac:dyDescent="0.2">
      <c r="A865" s="348"/>
      <c r="B865" s="466"/>
      <c r="C865" s="466"/>
      <c r="D865" s="466"/>
      <c r="E865" s="467"/>
      <c r="F865" s="466"/>
      <c r="G865" s="466"/>
      <c r="H865" s="466"/>
      <c r="I865" s="467"/>
      <c r="J865" s="466"/>
      <c r="K865" s="466"/>
      <c r="L865" s="466"/>
      <c r="M865" s="352"/>
    </row>
    <row r="866" spans="1:13" x14ac:dyDescent="0.2">
      <c r="A866" s="348"/>
      <c r="B866" s="466"/>
      <c r="C866" s="466"/>
      <c r="D866" s="466"/>
      <c r="E866" s="467"/>
      <c r="F866" s="466"/>
      <c r="G866" s="466"/>
      <c r="H866" s="466"/>
      <c r="I866" s="467"/>
      <c r="J866" s="466"/>
      <c r="K866" s="466"/>
      <c r="L866" s="466"/>
      <c r="M866" s="352"/>
    </row>
    <row r="867" spans="1:13" x14ac:dyDescent="0.2">
      <c r="A867" s="348"/>
      <c r="B867" s="466"/>
      <c r="C867" s="466"/>
      <c r="D867" s="466"/>
      <c r="E867" s="467"/>
      <c r="F867" s="466"/>
      <c r="G867" s="466"/>
      <c r="H867" s="466"/>
      <c r="I867" s="467"/>
      <c r="J867" s="466"/>
      <c r="K867" s="466"/>
      <c r="L867" s="466"/>
      <c r="M867" s="352"/>
    </row>
    <row r="868" spans="1:13" x14ac:dyDescent="0.2">
      <c r="A868" s="348"/>
      <c r="B868" s="467"/>
      <c r="C868" s="467"/>
      <c r="D868" s="467"/>
      <c r="E868" s="467"/>
      <c r="F868" s="467"/>
      <c r="G868" s="467"/>
      <c r="H868" s="467"/>
      <c r="I868" s="467"/>
      <c r="J868" s="467"/>
      <c r="K868" s="467"/>
      <c r="L868" s="467"/>
      <c r="M868" s="352"/>
    </row>
    <row r="869" spans="1:13" x14ac:dyDescent="0.2">
      <c r="A869" s="348"/>
      <c r="B869" s="348"/>
      <c r="C869" s="348"/>
      <c r="D869" s="348"/>
      <c r="E869" s="348"/>
      <c r="F869" s="348"/>
      <c r="G869" s="348"/>
      <c r="H869" s="348"/>
      <c r="I869" s="348"/>
      <c r="J869" s="348"/>
      <c r="K869" s="348"/>
      <c r="L869" s="353"/>
      <c r="M869" s="352"/>
    </row>
    <row r="870" spans="1:13" x14ac:dyDescent="0.2">
      <c r="A870" s="348"/>
      <c r="B870" s="348"/>
      <c r="C870" s="348"/>
      <c r="D870" s="348"/>
      <c r="E870" s="348"/>
      <c r="F870" s="348"/>
      <c r="G870" s="348"/>
      <c r="H870" s="348"/>
      <c r="I870" s="348"/>
      <c r="J870" s="348"/>
      <c r="K870" s="348"/>
      <c r="L870" s="410"/>
      <c r="M870" s="352"/>
    </row>
    <row r="871" spans="1:13" x14ac:dyDescent="0.2">
      <c r="A871" s="374"/>
      <c r="B871" s="354"/>
      <c r="C871" s="354"/>
      <c r="D871" s="354"/>
      <c r="E871" s="354"/>
      <c r="F871" s="354"/>
      <c r="G871" s="354"/>
      <c r="H871" s="354"/>
      <c r="I871" s="354"/>
      <c r="J871" s="354"/>
      <c r="K871" s="354"/>
      <c r="L871" s="352"/>
      <c r="M871" s="352"/>
    </row>
    <row r="872" spans="1:13" x14ac:dyDescent="0.2">
      <c r="A872" s="354"/>
      <c r="B872" s="517"/>
      <c r="C872" s="517"/>
      <c r="D872" s="517"/>
      <c r="E872" s="369"/>
      <c r="F872" s="517"/>
      <c r="G872" s="517"/>
      <c r="H872" s="517"/>
      <c r="I872" s="369"/>
      <c r="J872" s="517"/>
      <c r="K872" s="517"/>
      <c r="L872" s="517"/>
      <c r="M872" s="352"/>
    </row>
    <row r="873" spans="1:13" x14ac:dyDescent="0.2">
      <c r="A873" s="374"/>
      <c r="B873" s="375"/>
      <c r="C873" s="375"/>
      <c r="D873" s="375"/>
      <c r="E873" s="375"/>
      <c r="F873" s="375"/>
      <c r="G873" s="375"/>
      <c r="H873" s="375"/>
      <c r="I873" s="375"/>
      <c r="J873" s="375"/>
      <c r="K873" s="375"/>
      <c r="L873" s="375"/>
      <c r="M873" s="352"/>
    </row>
    <row r="874" spans="1:13" x14ac:dyDescent="0.2">
      <c r="A874" s="374"/>
      <c r="B874" s="375"/>
      <c r="C874" s="375"/>
      <c r="D874" s="375"/>
      <c r="E874" s="375"/>
      <c r="F874" s="375"/>
      <c r="G874" s="375"/>
      <c r="H874" s="375"/>
      <c r="I874" s="375"/>
      <c r="J874" s="375"/>
      <c r="K874" s="375"/>
      <c r="L874" s="375"/>
      <c r="M874" s="352"/>
    </row>
    <row r="875" spans="1:13" x14ac:dyDescent="0.2">
      <c r="A875" s="348"/>
      <c r="B875" s="466"/>
      <c r="C875" s="466"/>
      <c r="D875" s="466"/>
      <c r="E875" s="467"/>
      <c r="F875" s="466"/>
      <c r="G875" s="466"/>
      <c r="H875" s="466"/>
      <c r="I875" s="467"/>
      <c r="J875" s="466"/>
      <c r="K875" s="466"/>
      <c r="L875" s="466"/>
      <c r="M875" s="352"/>
    </row>
    <row r="876" spans="1:13" x14ac:dyDescent="0.2">
      <c r="A876" s="348"/>
      <c r="B876" s="466"/>
      <c r="C876" s="466"/>
      <c r="D876" s="466"/>
      <c r="E876" s="467"/>
      <c r="F876" s="466"/>
      <c r="G876" s="466"/>
      <c r="H876" s="466"/>
      <c r="I876" s="467"/>
      <c r="J876" s="466"/>
      <c r="K876" s="466"/>
      <c r="L876" s="466"/>
      <c r="M876" s="352"/>
    </row>
    <row r="877" spans="1:13" x14ac:dyDescent="0.2">
      <c r="A877" s="348"/>
      <c r="B877" s="466"/>
      <c r="C877" s="466"/>
      <c r="D877" s="466"/>
      <c r="E877" s="467"/>
      <c r="F877" s="466"/>
      <c r="G877" s="466"/>
      <c r="H877" s="466"/>
      <c r="I877" s="467"/>
      <c r="J877" s="466"/>
      <c r="K877" s="466"/>
      <c r="L877" s="466"/>
      <c r="M877" s="352"/>
    </row>
    <row r="878" spans="1:13" x14ac:dyDescent="0.2">
      <c r="A878" s="348"/>
      <c r="B878" s="466"/>
      <c r="C878" s="466"/>
      <c r="D878" s="466"/>
      <c r="E878" s="467"/>
      <c r="F878" s="466"/>
      <c r="G878" s="466"/>
      <c r="H878" s="466"/>
      <c r="I878" s="467"/>
      <c r="J878" s="466"/>
      <c r="K878" s="466"/>
      <c r="L878" s="466"/>
      <c r="M878" s="352"/>
    </row>
    <row r="879" spans="1:13" x14ac:dyDescent="0.2">
      <c r="A879" s="348"/>
      <c r="B879" s="466"/>
      <c r="C879" s="466"/>
      <c r="D879" s="466"/>
      <c r="E879" s="467"/>
      <c r="F879" s="466"/>
      <c r="G879" s="466"/>
      <c r="H879" s="466"/>
      <c r="I879" s="467"/>
      <c r="J879" s="466"/>
      <c r="K879" s="466"/>
      <c r="L879" s="466"/>
      <c r="M879" s="352"/>
    </row>
    <row r="880" spans="1:13" x14ac:dyDescent="0.2">
      <c r="A880" s="348"/>
      <c r="B880" s="466"/>
      <c r="C880" s="466"/>
      <c r="D880" s="466"/>
      <c r="E880" s="467"/>
      <c r="F880" s="466"/>
      <c r="G880" s="466"/>
      <c r="H880" s="466"/>
      <c r="I880" s="467"/>
      <c r="J880" s="466"/>
      <c r="K880" s="466"/>
      <c r="L880" s="466"/>
      <c r="M880" s="352"/>
    </row>
    <row r="881" spans="1:13" x14ac:dyDescent="0.2">
      <c r="A881" s="348"/>
      <c r="B881" s="466"/>
      <c r="C881" s="466"/>
      <c r="D881" s="466"/>
      <c r="E881" s="467"/>
      <c r="F881" s="466"/>
      <c r="G881" s="466"/>
      <c r="H881" s="466"/>
      <c r="I881" s="467"/>
      <c r="J881" s="466"/>
      <c r="K881" s="466"/>
      <c r="L881" s="466"/>
      <c r="M881" s="352"/>
    </row>
    <row r="882" spans="1:13" x14ac:dyDescent="0.2">
      <c r="A882" s="348"/>
      <c r="B882" s="466"/>
      <c r="C882" s="466"/>
      <c r="D882" s="466"/>
      <c r="E882" s="467"/>
      <c r="F882" s="466"/>
      <c r="G882" s="466"/>
      <c r="H882" s="466"/>
      <c r="I882" s="467"/>
      <c r="J882" s="466"/>
      <c r="K882" s="466"/>
      <c r="L882" s="466"/>
      <c r="M882" s="352"/>
    </row>
    <row r="883" spans="1:13" x14ac:dyDescent="0.2">
      <c r="A883" s="348"/>
      <c r="B883" s="466"/>
      <c r="C883" s="466"/>
      <c r="D883" s="466"/>
      <c r="E883" s="467"/>
      <c r="F883" s="466"/>
      <c r="G883" s="466"/>
      <c r="H883" s="466"/>
      <c r="I883" s="467"/>
      <c r="J883" s="466"/>
      <c r="K883" s="466"/>
      <c r="L883" s="466"/>
      <c r="M883" s="352"/>
    </row>
    <row r="884" spans="1:13" x14ac:dyDescent="0.2">
      <c r="A884" s="348"/>
      <c r="B884" s="466"/>
      <c r="C884" s="466"/>
      <c r="D884" s="466"/>
      <c r="E884" s="467"/>
      <c r="F884" s="466"/>
      <c r="G884" s="466"/>
      <c r="H884" s="466"/>
      <c r="I884" s="467"/>
      <c r="J884" s="466"/>
      <c r="K884" s="466"/>
      <c r="L884" s="466"/>
      <c r="M884" s="352"/>
    </row>
    <row r="885" spans="1:13" x14ac:dyDescent="0.2">
      <c r="A885" s="348"/>
      <c r="B885" s="467"/>
      <c r="C885" s="467"/>
      <c r="D885" s="467"/>
      <c r="E885" s="467"/>
      <c r="F885" s="467"/>
      <c r="G885" s="467"/>
      <c r="H885" s="467"/>
      <c r="I885" s="467"/>
      <c r="J885" s="467"/>
      <c r="K885" s="467"/>
      <c r="L885" s="467"/>
      <c r="M885" s="352"/>
    </row>
    <row r="886" spans="1:13" x14ac:dyDescent="0.2">
      <c r="A886" s="348"/>
      <c r="B886" s="348"/>
      <c r="C886" s="348"/>
      <c r="D886" s="348"/>
      <c r="E886" s="348"/>
      <c r="F886" s="348"/>
      <c r="G886" s="348"/>
      <c r="H886" s="348"/>
      <c r="I886" s="348"/>
      <c r="J886" s="348"/>
      <c r="K886" s="348"/>
      <c r="L886" s="353"/>
      <c r="M886" s="352"/>
    </row>
    <row r="887" spans="1:13" x14ac:dyDescent="0.2">
      <c r="A887" s="348"/>
      <c r="B887" s="348"/>
      <c r="C887" s="348"/>
      <c r="D887" s="348"/>
      <c r="E887" s="348"/>
      <c r="F887" s="348"/>
      <c r="G887" s="348"/>
      <c r="H887" s="348"/>
      <c r="I887" s="348"/>
      <c r="J887" s="348"/>
      <c r="K887" s="348"/>
      <c r="L887" s="410"/>
      <c r="M887" s="352"/>
    </row>
    <row r="888" spans="1:13" x14ac:dyDescent="0.2">
      <c r="A888" s="374"/>
      <c r="B888" s="354"/>
      <c r="C888" s="354"/>
      <c r="D888" s="354"/>
      <c r="E888" s="354"/>
      <c r="F888" s="354"/>
      <c r="G888" s="354"/>
      <c r="H888" s="354"/>
      <c r="I888" s="354"/>
      <c r="J888" s="354"/>
      <c r="K888" s="354"/>
      <c r="L888" s="352"/>
      <c r="M888" s="352"/>
    </row>
    <row r="889" spans="1:13" x14ac:dyDescent="0.2">
      <c r="A889" s="354"/>
      <c r="B889" s="517"/>
      <c r="C889" s="517"/>
      <c r="D889" s="517"/>
      <c r="E889" s="369"/>
      <c r="F889" s="517"/>
      <c r="G889" s="517"/>
      <c r="H889" s="517"/>
      <c r="I889" s="369"/>
      <c r="J889" s="517"/>
      <c r="K889" s="517"/>
      <c r="L889" s="517"/>
      <c r="M889" s="352"/>
    </row>
    <row r="890" spans="1:13" x14ac:dyDescent="0.2">
      <c r="A890" s="374"/>
      <c r="B890" s="375"/>
      <c r="C890" s="375"/>
      <c r="D890" s="375"/>
      <c r="E890" s="375"/>
      <c r="F890" s="375"/>
      <c r="G890" s="375"/>
      <c r="H890" s="375"/>
      <c r="I890" s="375"/>
      <c r="J890" s="375"/>
      <c r="K890" s="375"/>
      <c r="L890" s="375"/>
      <c r="M890" s="352"/>
    </row>
    <row r="891" spans="1:13" x14ac:dyDescent="0.2">
      <c r="A891" s="374"/>
      <c r="B891" s="375"/>
      <c r="C891" s="375"/>
      <c r="D891" s="375"/>
      <c r="E891" s="375"/>
      <c r="F891" s="375"/>
      <c r="G891" s="375"/>
      <c r="H891" s="375"/>
      <c r="I891" s="375"/>
      <c r="J891" s="375"/>
      <c r="K891" s="375"/>
      <c r="L891" s="375"/>
      <c r="M891" s="352"/>
    </row>
    <row r="892" spans="1:13" x14ac:dyDescent="0.2">
      <c r="A892" s="348"/>
      <c r="B892" s="466"/>
      <c r="C892" s="466"/>
      <c r="D892" s="466"/>
      <c r="E892" s="467"/>
      <c r="F892" s="466"/>
      <c r="G892" s="466"/>
      <c r="H892" s="466"/>
      <c r="I892" s="467"/>
      <c r="J892" s="466"/>
      <c r="K892" s="466"/>
      <c r="L892" s="466"/>
      <c r="M892" s="352"/>
    </row>
    <row r="893" spans="1:13" x14ac:dyDescent="0.2">
      <c r="A893" s="348"/>
      <c r="B893" s="466"/>
      <c r="C893" s="466"/>
      <c r="D893" s="466"/>
      <c r="E893" s="467"/>
      <c r="F893" s="466"/>
      <c r="G893" s="466"/>
      <c r="H893" s="466"/>
      <c r="I893" s="467"/>
      <c r="J893" s="466"/>
      <c r="K893" s="466"/>
      <c r="L893" s="466"/>
      <c r="M893" s="352"/>
    </row>
    <row r="894" spans="1:13" x14ac:dyDescent="0.2">
      <c r="A894" s="348"/>
      <c r="B894" s="466"/>
      <c r="C894" s="466"/>
      <c r="D894" s="466"/>
      <c r="E894" s="467"/>
      <c r="F894" s="466"/>
      <c r="G894" s="466"/>
      <c r="H894" s="466"/>
      <c r="I894" s="467"/>
      <c r="J894" s="466"/>
      <c r="K894" s="466"/>
      <c r="L894" s="466"/>
      <c r="M894" s="352"/>
    </row>
    <row r="895" spans="1:13" x14ac:dyDescent="0.2">
      <c r="A895" s="348"/>
      <c r="B895" s="466"/>
      <c r="C895" s="466"/>
      <c r="D895" s="466"/>
      <c r="E895" s="467"/>
      <c r="F895" s="466"/>
      <c r="G895" s="466"/>
      <c r="H895" s="466"/>
      <c r="I895" s="467"/>
      <c r="J895" s="466"/>
      <c r="K895" s="466"/>
      <c r="L895" s="466"/>
      <c r="M895" s="352"/>
    </row>
    <row r="896" spans="1:13" x14ac:dyDescent="0.2">
      <c r="A896" s="348"/>
      <c r="B896" s="466"/>
      <c r="C896" s="466"/>
      <c r="D896" s="466"/>
      <c r="E896" s="467"/>
      <c r="F896" s="466"/>
      <c r="G896" s="466"/>
      <c r="H896" s="466"/>
      <c r="I896" s="467"/>
      <c r="J896" s="466"/>
      <c r="K896" s="466"/>
      <c r="L896" s="466"/>
      <c r="M896" s="352"/>
    </row>
    <row r="897" spans="1:13" x14ac:dyDescent="0.2">
      <c r="A897" s="348"/>
      <c r="B897" s="466"/>
      <c r="C897" s="466"/>
      <c r="D897" s="466"/>
      <c r="E897" s="467"/>
      <c r="F897" s="466"/>
      <c r="G897" s="466"/>
      <c r="H897" s="466"/>
      <c r="I897" s="467"/>
      <c r="J897" s="466"/>
      <c r="K897" s="466"/>
      <c r="L897" s="466"/>
      <c r="M897" s="352"/>
    </row>
    <row r="898" spans="1:13" x14ac:dyDescent="0.2">
      <c r="A898" s="348"/>
      <c r="B898" s="466"/>
      <c r="C898" s="466"/>
      <c r="D898" s="466"/>
      <c r="E898" s="467"/>
      <c r="F898" s="466"/>
      <c r="G898" s="466"/>
      <c r="H898" s="466"/>
      <c r="I898" s="467"/>
      <c r="J898" s="466"/>
      <c r="K898" s="466"/>
      <c r="L898" s="466"/>
      <c r="M898" s="352"/>
    </row>
    <row r="899" spans="1:13" x14ac:dyDescent="0.2">
      <c r="A899" s="348"/>
      <c r="B899" s="466"/>
      <c r="C899" s="466"/>
      <c r="D899" s="466"/>
      <c r="E899" s="467"/>
      <c r="F899" s="466"/>
      <c r="G899" s="466"/>
      <c r="H899" s="466"/>
      <c r="I899" s="467"/>
      <c r="J899" s="466"/>
      <c r="K899" s="466"/>
      <c r="L899" s="466"/>
      <c r="M899" s="352"/>
    </row>
    <row r="900" spans="1:13" x14ac:dyDescent="0.2">
      <c r="A900" s="348"/>
      <c r="B900" s="466"/>
      <c r="C900" s="466"/>
      <c r="D900" s="466"/>
      <c r="E900" s="467"/>
      <c r="F900" s="466"/>
      <c r="G900" s="466"/>
      <c r="H900" s="466"/>
      <c r="I900" s="467"/>
      <c r="J900" s="466"/>
      <c r="K900" s="466"/>
      <c r="L900" s="466"/>
      <c r="M900" s="352"/>
    </row>
    <row r="901" spans="1:13" x14ac:dyDescent="0.2">
      <c r="A901" s="348"/>
      <c r="B901" s="466"/>
      <c r="C901" s="466"/>
      <c r="D901" s="466"/>
      <c r="E901" s="467"/>
      <c r="F901" s="466"/>
      <c r="G901" s="466"/>
      <c r="H901" s="466"/>
      <c r="I901" s="467"/>
      <c r="J901" s="466"/>
      <c r="K901" s="466"/>
      <c r="L901" s="466"/>
      <c r="M901" s="352"/>
    </row>
    <row r="902" spans="1:13" x14ac:dyDescent="0.2">
      <c r="A902" s="348"/>
      <c r="B902" s="467"/>
      <c r="C902" s="467"/>
      <c r="D902" s="467"/>
      <c r="E902" s="467"/>
      <c r="F902" s="467"/>
      <c r="G902" s="467"/>
      <c r="H902" s="467"/>
      <c r="I902" s="467"/>
      <c r="J902" s="467"/>
      <c r="K902" s="467"/>
      <c r="L902" s="467"/>
      <c r="M902" s="352"/>
    </row>
    <row r="903" spans="1:13" x14ac:dyDescent="0.2">
      <c r="A903" s="348"/>
      <c r="B903" s="348"/>
      <c r="C903" s="348"/>
      <c r="D903" s="348"/>
      <c r="E903" s="348"/>
      <c r="F903" s="348"/>
      <c r="G903" s="348"/>
      <c r="H903" s="348"/>
      <c r="I903" s="348"/>
      <c r="J903" s="348"/>
      <c r="K903" s="348"/>
      <c r="L903" s="353"/>
      <c r="M903" s="352"/>
    </row>
    <row r="904" spans="1:13" x14ac:dyDescent="0.2">
      <c r="A904" s="348"/>
      <c r="B904" s="348"/>
      <c r="C904" s="348"/>
      <c r="D904" s="348"/>
      <c r="E904" s="348"/>
      <c r="F904" s="348"/>
      <c r="G904" s="348"/>
      <c r="H904" s="348"/>
      <c r="I904" s="348"/>
      <c r="J904" s="348"/>
      <c r="K904" s="348"/>
      <c r="L904" s="410"/>
      <c r="M904" s="352"/>
    </row>
    <row r="905" spans="1:13" x14ac:dyDescent="0.2">
      <c r="A905" s="374"/>
      <c r="B905" s="354"/>
      <c r="C905" s="354"/>
      <c r="D905" s="354"/>
      <c r="E905" s="354"/>
      <c r="F905" s="354"/>
      <c r="G905" s="354"/>
      <c r="H905" s="354"/>
      <c r="I905" s="354"/>
      <c r="J905" s="354"/>
      <c r="K905" s="354"/>
      <c r="L905" s="352"/>
      <c r="M905" s="352"/>
    </row>
    <row r="906" spans="1:13" x14ac:dyDescent="0.2">
      <c r="A906" s="354"/>
      <c r="B906" s="517"/>
      <c r="C906" s="517"/>
      <c r="D906" s="517"/>
      <c r="E906" s="369"/>
      <c r="F906" s="517"/>
      <c r="G906" s="517"/>
      <c r="H906" s="517"/>
      <c r="I906" s="369"/>
      <c r="J906" s="517"/>
      <c r="K906" s="517"/>
      <c r="L906" s="517"/>
      <c r="M906" s="352"/>
    </row>
    <row r="907" spans="1:13" x14ac:dyDescent="0.2">
      <c r="A907" s="374"/>
      <c r="B907" s="375"/>
      <c r="C907" s="375"/>
      <c r="D907" s="375"/>
      <c r="E907" s="375"/>
      <c r="F907" s="375"/>
      <c r="G907" s="375"/>
      <c r="H907" s="375"/>
      <c r="I907" s="375"/>
      <c r="J907" s="375"/>
      <c r="K907" s="375"/>
      <c r="L907" s="375"/>
      <c r="M907" s="352"/>
    </row>
    <row r="908" spans="1:13" x14ac:dyDescent="0.2">
      <c r="A908" s="374"/>
      <c r="B908" s="375"/>
      <c r="C908" s="375"/>
      <c r="D908" s="375"/>
      <c r="E908" s="375"/>
      <c r="F908" s="375"/>
      <c r="G908" s="375"/>
      <c r="H908" s="375"/>
      <c r="I908" s="375"/>
      <c r="J908" s="375"/>
      <c r="K908" s="375"/>
      <c r="L908" s="375"/>
      <c r="M908" s="352"/>
    </row>
    <row r="909" spans="1:13" x14ac:dyDescent="0.2">
      <c r="A909" s="348"/>
      <c r="B909" s="466"/>
      <c r="C909" s="466"/>
      <c r="D909" s="466"/>
      <c r="E909" s="467"/>
      <c r="F909" s="466"/>
      <c r="G909" s="466"/>
      <c r="H909" s="466"/>
      <c r="I909" s="467"/>
      <c r="J909" s="466"/>
      <c r="K909" s="466"/>
      <c r="L909" s="466"/>
      <c r="M909" s="352"/>
    </row>
    <row r="910" spans="1:13" x14ac:dyDescent="0.2">
      <c r="A910" s="348"/>
      <c r="B910" s="466"/>
      <c r="C910" s="466"/>
      <c r="D910" s="466"/>
      <c r="E910" s="467"/>
      <c r="F910" s="466"/>
      <c r="G910" s="466"/>
      <c r="H910" s="466"/>
      <c r="I910" s="467"/>
      <c r="J910" s="466"/>
      <c r="K910" s="466"/>
      <c r="L910" s="466"/>
      <c r="M910" s="352"/>
    </row>
    <row r="911" spans="1:13" x14ac:dyDescent="0.2">
      <c r="A911" s="348"/>
      <c r="B911" s="466"/>
      <c r="C911" s="466"/>
      <c r="D911" s="466"/>
      <c r="E911" s="467"/>
      <c r="F911" s="466"/>
      <c r="G911" s="466"/>
      <c r="H911" s="466"/>
      <c r="I911" s="467"/>
      <c r="J911" s="466"/>
      <c r="K911" s="466"/>
      <c r="L911" s="466"/>
      <c r="M911" s="352"/>
    </row>
    <row r="912" spans="1:13" x14ac:dyDescent="0.2">
      <c r="A912" s="348"/>
      <c r="B912" s="466"/>
      <c r="C912" s="466"/>
      <c r="D912" s="466"/>
      <c r="E912" s="467"/>
      <c r="F912" s="466"/>
      <c r="G912" s="466"/>
      <c r="H912" s="466"/>
      <c r="I912" s="467"/>
      <c r="J912" s="466"/>
      <c r="K912" s="466"/>
      <c r="L912" s="466"/>
      <c r="M912" s="352"/>
    </row>
    <row r="913" spans="1:13" x14ac:dyDescent="0.2">
      <c r="A913" s="348"/>
      <c r="B913" s="466"/>
      <c r="C913" s="466"/>
      <c r="D913" s="466"/>
      <c r="E913" s="467"/>
      <c r="F913" s="466"/>
      <c r="G913" s="466"/>
      <c r="H913" s="466"/>
      <c r="I913" s="467"/>
      <c r="J913" s="466"/>
      <c r="K913" s="466"/>
      <c r="L913" s="466"/>
      <c r="M913" s="352"/>
    </row>
    <row r="914" spans="1:13" x14ac:dyDescent="0.2">
      <c r="A914" s="348"/>
      <c r="B914" s="466"/>
      <c r="C914" s="466"/>
      <c r="D914" s="466"/>
      <c r="E914" s="467"/>
      <c r="F914" s="466"/>
      <c r="G914" s="466"/>
      <c r="H914" s="466"/>
      <c r="I914" s="467"/>
      <c r="J914" s="466"/>
      <c r="K914" s="466"/>
      <c r="L914" s="466"/>
      <c r="M914" s="352"/>
    </row>
    <row r="915" spans="1:13" x14ac:dyDescent="0.2">
      <c r="A915" s="348"/>
      <c r="B915" s="466"/>
      <c r="C915" s="466"/>
      <c r="D915" s="466"/>
      <c r="E915" s="467"/>
      <c r="F915" s="466"/>
      <c r="G915" s="466"/>
      <c r="H915" s="466"/>
      <c r="I915" s="467"/>
      <c r="J915" s="466"/>
      <c r="K915" s="466"/>
      <c r="L915" s="466"/>
      <c r="M915" s="352"/>
    </row>
    <row r="916" spans="1:13" x14ac:dyDescent="0.2">
      <c r="A916" s="348"/>
      <c r="B916" s="466"/>
      <c r="C916" s="466"/>
      <c r="D916" s="466"/>
      <c r="E916" s="467"/>
      <c r="F916" s="466"/>
      <c r="G916" s="466"/>
      <c r="H916" s="466"/>
      <c r="I916" s="467"/>
      <c r="J916" s="466"/>
      <c r="K916" s="466"/>
      <c r="L916" s="466"/>
      <c r="M916" s="352"/>
    </row>
    <row r="917" spans="1:13" x14ac:dyDescent="0.2">
      <c r="A917" s="348"/>
      <c r="B917" s="466"/>
      <c r="C917" s="466"/>
      <c r="D917" s="466"/>
      <c r="E917" s="467"/>
      <c r="F917" s="466"/>
      <c r="G917" s="466"/>
      <c r="H917" s="466"/>
      <c r="I917" s="467"/>
      <c r="J917" s="466"/>
      <c r="K917" s="466"/>
      <c r="L917" s="466"/>
      <c r="M917" s="352"/>
    </row>
    <row r="918" spans="1:13" x14ac:dyDescent="0.2">
      <c r="A918" s="348"/>
      <c r="B918" s="466"/>
      <c r="C918" s="466"/>
      <c r="D918" s="466"/>
      <c r="E918" s="467"/>
      <c r="F918" s="466"/>
      <c r="G918" s="466"/>
      <c r="H918" s="466"/>
      <c r="I918" s="467"/>
      <c r="J918" s="466"/>
      <c r="K918" s="466"/>
      <c r="L918" s="466"/>
      <c r="M918" s="352"/>
    </row>
    <row r="919" spans="1:13" x14ac:dyDescent="0.2">
      <c r="A919" s="348"/>
      <c r="B919" s="467"/>
      <c r="C919" s="467"/>
      <c r="D919" s="467"/>
      <c r="E919" s="467"/>
      <c r="F919" s="467"/>
      <c r="G919" s="467"/>
      <c r="H919" s="467"/>
      <c r="I919" s="467"/>
      <c r="J919" s="467"/>
      <c r="K919" s="467"/>
      <c r="L919" s="467"/>
      <c r="M919" s="352"/>
    </row>
    <row r="920" spans="1:13" x14ac:dyDescent="0.2">
      <c r="A920" s="348"/>
      <c r="B920" s="348"/>
      <c r="C920" s="348"/>
      <c r="D920" s="348"/>
      <c r="E920" s="348"/>
      <c r="F920" s="348"/>
      <c r="G920" s="348"/>
      <c r="H920" s="348"/>
      <c r="I920" s="348"/>
      <c r="J920" s="348"/>
      <c r="K920" s="348"/>
      <c r="L920" s="353"/>
      <c r="M920" s="352"/>
    </row>
    <row r="921" spans="1:13" x14ac:dyDescent="0.2">
      <c r="A921" s="348"/>
      <c r="B921" s="348"/>
      <c r="C921" s="348"/>
      <c r="D921" s="348"/>
      <c r="E921" s="348"/>
      <c r="F921" s="348"/>
      <c r="G921" s="348"/>
      <c r="H921" s="348"/>
      <c r="I921" s="348"/>
      <c r="J921" s="348"/>
      <c r="K921" s="348"/>
      <c r="L921" s="410"/>
      <c r="M921" s="352"/>
    </row>
    <row r="922" spans="1:13" x14ac:dyDescent="0.2">
      <c r="A922" s="374"/>
      <c r="B922" s="354"/>
      <c r="C922" s="354"/>
      <c r="D922" s="354"/>
      <c r="E922" s="354"/>
      <c r="F922" s="354"/>
      <c r="G922" s="354"/>
      <c r="H922" s="354"/>
      <c r="I922" s="354"/>
      <c r="J922" s="354"/>
      <c r="K922" s="354"/>
      <c r="L922" s="352"/>
      <c r="M922" s="352"/>
    </row>
    <row r="923" spans="1:13" x14ac:dyDescent="0.2">
      <c r="A923" s="354"/>
      <c r="B923" s="517"/>
      <c r="C923" s="517"/>
      <c r="D923" s="517"/>
      <c r="E923" s="369"/>
      <c r="F923" s="517"/>
      <c r="G923" s="517"/>
      <c r="H923" s="517"/>
      <c r="I923" s="369"/>
      <c r="J923" s="517"/>
      <c r="K923" s="517"/>
      <c r="L923" s="517"/>
      <c r="M923" s="352"/>
    </row>
    <row r="924" spans="1:13" x14ac:dyDescent="0.2">
      <c r="A924" s="374"/>
      <c r="B924" s="375"/>
      <c r="C924" s="375"/>
      <c r="D924" s="375"/>
      <c r="E924" s="375"/>
      <c r="F924" s="375"/>
      <c r="G924" s="375"/>
      <c r="H924" s="375"/>
      <c r="I924" s="375"/>
      <c r="J924" s="375"/>
      <c r="K924" s="375"/>
      <c r="L924" s="375"/>
      <c r="M924" s="352"/>
    </row>
    <row r="925" spans="1:13" x14ac:dyDescent="0.2">
      <c r="A925" s="374"/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52"/>
    </row>
    <row r="926" spans="1:13" x14ac:dyDescent="0.2">
      <c r="A926" s="348"/>
      <c r="B926" s="466"/>
      <c r="C926" s="466"/>
      <c r="D926" s="466"/>
      <c r="E926" s="467"/>
      <c r="F926" s="466"/>
      <c r="G926" s="466"/>
      <c r="H926" s="466"/>
      <c r="I926" s="467"/>
      <c r="J926" s="466"/>
      <c r="K926" s="466"/>
      <c r="L926" s="466"/>
      <c r="M926" s="352"/>
    </row>
    <row r="927" spans="1:13" x14ac:dyDescent="0.2">
      <c r="A927" s="348"/>
      <c r="B927" s="466"/>
      <c r="C927" s="466"/>
      <c r="D927" s="466"/>
      <c r="E927" s="467"/>
      <c r="F927" s="466"/>
      <c r="G927" s="466"/>
      <c r="H927" s="466"/>
      <c r="I927" s="467"/>
      <c r="J927" s="466"/>
      <c r="K927" s="466"/>
      <c r="L927" s="466"/>
      <c r="M927" s="352"/>
    </row>
    <row r="928" spans="1:13" x14ac:dyDescent="0.2">
      <c r="A928" s="348"/>
      <c r="B928" s="466"/>
      <c r="C928" s="466"/>
      <c r="D928" s="466"/>
      <c r="E928" s="467"/>
      <c r="F928" s="466"/>
      <c r="G928" s="466"/>
      <c r="H928" s="466"/>
      <c r="I928" s="467"/>
      <c r="J928" s="466"/>
      <c r="K928" s="466"/>
      <c r="L928" s="466"/>
      <c r="M928" s="352"/>
    </row>
    <row r="929" spans="1:13" x14ac:dyDescent="0.2">
      <c r="A929" s="348"/>
      <c r="B929" s="466"/>
      <c r="C929" s="466"/>
      <c r="D929" s="466"/>
      <c r="E929" s="467"/>
      <c r="F929" s="466"/>
      <c r="G929" s="466"/>
      <c r="H929" s="466"/>
      <c r="I929" s="467"/>
      <c r="J929" s="466"/>
      <c r="K929" s="466"/>
      <c r="L929" s="466"/>
      <c r="M929" s="352"/>
    </row>
    <row r="930" spans="1:13" x14ac:dyDescent="0.2">
      <c r="A930" s="348"/>
      <c r="B930" s="466"/>
      <c r="C930" s="466"/>
      <c r="D930" s="466"/>
      <c r="E930" s="467"/>
      <c r="F930" s="466"/>
      <c r="G930" s="466"/>
      <c r="H930" s="466"/>
      <c r="I930" s="467"/>
      <c r="J930" s="466"/>
      <c r="K930" s="466"/>
      <c r="L930" s="466"/>
      <c r="M930" s="352"/>
    </row>
    <row r="931" spans="1:13" x14ac:dyDescent="0.2">
      <c r="A931" s="348"/>
      <c r="B931" s="466"/>
      <c r="C931" s="466"/>
      <c r="D931" s="466"/>
      <c r="E931" s="467"/>
      <c r="F931" s="466"/>
      <c r="G931" s="466"/>
      <c r="H931" s="466"/>
      <c r="I931" s="467"/>
      <c r="J931" s="466"/>
      <c r="K931" s="466"/>
      <c r="L931" s="466"/>
      <c r="M931" s="352"/>
    </row>
    <row r="932" spans="1:13" x14ac:dyDescent="0.2">
      <c r="A932" s="348"/>
      <c r="B932" s="466"/>
      <c r="C932" s="466"/>
      <c r="D932" s="466"/>
      <c r="E932" s="467"/>
      <c r="F932" s="466"/>
      <c r="G932" s="466"/>
      <c r="H932" s="466"/>
      <c r="I932" s="467"/>
      <c r="J932" s="466"/>
      <c r="K932" s="466"/>
      <c r="L932" s="466"/>
      <c r="M932" s="352"/>
    </row>
    <row r="933" spans="1:13" x14ac:dyDescent="0.2">
      <c r="A933" s="348"/>
      <c r="B933" s="466"/>
      <c r="C933" s="466"/>
      <c r="D933" s="466"/>
      <c r="E933" s="467"/>
      <c r="F933" s="466"/>
      <c r="G933" s="466"/>
      <c r="H933" s="466"/>
      <c r="I933" s="467"/>
      <c r="J933" s="466"/>
      <c r="K933" s="466"/>
      <c r="L933" s="466"/>
      <c r="M933" s="352"/>
    </row>
    <row r="934" spans="1:13" x14ac:dyDescent="0.2">
      <c r="A934" s="348"/>
      <c r="B934" s="466"/>
      <c r="C934" s="466"/>
      <c r="D934" s="466"/>
      <c r="E934" s="467"/>
      <c r="F934" s="466"/>
      <c r="G934" s="466"/>
      <c r="H934" s="466"/>
      <c r="I934" s="467"/>
      <c r="J934" s="466"/>
      <c r="K934" s="466"/>
      <c r="L934" s="466"/>
      <c r="M934" s="352"/>
    </row>
    <row r="935" spans="1:13" x14ac:dyDescent="0.2">
      <c r="A935" s="348"/>
      <c r="B935" s="466"/>
      <c r="C935" s="466"/>
      <c r="D935" s="466"/>
      <c r="E935" s="467"/>
      <c r="F935" s="466"/>
      <c r="G935" s="466"/>
      <c r="H935" s="466"/>
      <c r="I935" s="467"/>
      <c r="J935" s="466"/>
      <c r="K935" s="466"/>
      <c r="L935" s="466"/>
      <c r="M935" s="352"/>
    </row>
    <row r="936" spans="1:13" x14ac:dyDescent="0.2">
      <c r="A936" s="348"/>
      <c r="B936" s="467"/>
      <c r="C936" s="467"/>
      <c r="D936" s="467"/>
      <c r="E936" s="467"/>
      <c r="F936" s="467"/>
      <c r="G936" s="467"/>
      <c r="H936" s="467"/>
      <c r="I936" s="467"/>
      <c r="J936" s="467"/>
      <c r="K936" s="467"/>
      <c r="L936" s="467"/>
      <c r="M936" s="352"/>
    </row>
    <row r="937" spans="1:13" x14ac:dyDescent="0.2">
      <c r="A937" s="348"/>
      <c r="B937" s="348"/>
      <c r="C937" s="348"/>
      <c r="D937" s="348"/>
      <c r="E937" s="348"/>
      <c r="F937" s="348"/>
      <c r="G937" s="348"/>
      <c r="H937" s="348"/>
      <c r="I937" s="348"/>
      <c r="J937" s="348"/>
      <c r="K937" s="348"/>
      <c r="L937" s="353"/>
      <c r="M937" s="352"/>
    </row>
    <row r="938" spans="1:13" x14ac:dyDescent="0.2">
      <c r="A938" s="348"/>
      <c r="B938" s="348"/>
      <c r="C938" s="348"/>
      <c r="D938" s="348"/>
      <c r="E938" s="348"/>
      <c r="F938" s="348"/>
      <c r="G938" s="348"/>
      <c r="H938" s="348"/>
      <c r="I938" s="348"/>
      <c r="J938" s="348"/>
      <c r="K938" s="348"/>
      <c r="L938" s="410"/>
      <c r="M938" s="352"/>
    </row>
    <row r="939" spans="1:13" x14ac:dyDescent="0.2">
      <c r="A939" s="374"/>
      <c r="B939" s="354"/>
      <c r="C939" s="354"/>
      <c r="D939" s="354"/>
      <c r="E939" s="354"/>
      <c r="F939" s="354"/>
      <c r="G939" s="354"/>
      <c r="H939" s="354"/>
      <c r="I939" s="354"/>
      <c r="J939" s="354"/>
      <c r="K939" s="354"/>
      <c r="L939" s="352"/>
      <c r="M939" s="352"/>
    </row>
    <row r="940" spans="1:13" x14ac:dyDescent="0.2">
      <c r="A940" s="354"/>
      <c r="B940" s="517"/>
      <c r="C940" s="517"/>
      <c r="D940" s="517"/>
      <c r="E940" s="369"/>
      <c r="F940" s="517"/>
      <c r="G940" s="517"/>
      <c r="H940" s="517"/>
      <c r="I940" s="369"/>
      <c r="J940" s="517"/>
      <c r="K940" s="517"/>
      <c r="L940" s="517"/>
      <c r="M940" s="352"/>
    </row>
    <row r="941" spans="1:13" x14ac:dyDescent="0.2">
      <c r="A941" s="374"/>
      <c r="B941" s="375"/>
      <c r="C941" s="375"/>
      <c r="D941" s="375"/>
      <c r="E941" s="375"/>
      <c r="F941" s="375"/>
      <c r="G941" s="375"/>
      <c r="H941" s="375"/>
      <c r="I941" s="375"/>
      <c r="J941" s="375"/>
      <c r="K941" s="375"/>
      <c r="L941" s="375"/>
      <c r="M941" s="352"/>
    </row>
    <row r="942" spans="1:13" x14ac:dyDescent="0.2">
      <c r="A942" s="374"/>
      <c r="B942" s="375"/>
      <c r="C942" s="375"/>
      <c r="D942" s="375"/>
      <c r="E942" s="375"/>
      <c r="F942" s="375"/>
      <c r="G942" s="375"/>
      <c r="H942" s="375"/>
      <c r="I942" s="375"/>
      <c r="J942" s="375"/>
      <c r="K942" s="375"/>
      <c r="L942" s="375"/>
      <c r="M942" s="352"/>
    </row>
    <row r="943" spans="1:13" x14ac:dyDescent="0.2">
      <c r="A943" s="348"/>
      <c r="B943" s="466"/>
      <c r="C943" s="466"/>
      <c r="D943" s="466"/>
      <c r="E943" s="467"/>
      <c r="F943" s="466"/>
      <c r="G943" s="466"/>
      <c r="H943" s="466"/>
      <c r="I943" s="467"/>
      <c r="J943" s="466"/>
      <c r="K943" s="466"/>
      <c r="L943" s="466"/>
      <c r="M943" s="352"/>
    </row>
    <row r="944" spans="1:13" x14ac:dyDescent="0.2">
      <c r="A944" s="348"/>
      <c r="B944" s="466"/>
      <c r="C944" s="466"/>
      <c r="D944" s="466"/>
      <c r="E944" s="467"/>
      <c r="F944" s="466"/>
      <c r="G944" s="466"/>
      <c r="H944" s="466"/>
      <c r="I944" s="467"/>
      <c r="J944" s="466"/>
      <c r="K944" s="466"/>
      <c r="L944" s="466"/>
      <c r="M944" s="352"/>
    </row>
    <row r="945" spans="1:13" x14ac:dyDescent="0.2">
      <c r="A945" s="348"/>
      <c r="B945" s="466"/>
      <c r="C945" s="466"/>
      <c r="D945" s="466"/>
      <c r="E945" s="467"/>
      <c r="F945" s="466"/>
      <c r="G945" s="466"/>
      <c r="H945" s="466"/>
      <c r="I945" s="467"/>
      <c r="J945" s="466"/>
      <c r="K945" s="466"/>
      <c r="L945" s="466"/>
      <c r="M945" s="352"/>
    </row>
    <row r="946" spans="1:13" x14ac:dyDescent="0.2">
      <c r="A946" s="348"/>
      <c r="B946" s="466"/>
      <c r="C946" s="466"/>
      <c r="D946" s="466"/>
      <c r="E946" s="467"/>
      <c r="F946" s="466"/>
      <c r="G946" s="466"/>
      <c r="H946" s="466"/>
      <c r="I946" s="467"/>
      <c r="J946" s="466"/>
      <c r="K946" s="466"/>
      <c r="L946" s="466"/>
      <c r="M946" s="352"/>
    </row>
    <row r="947" spans="1:13" x14ac:dyDescent="0.2">
      <c r="A947" s="348"/>
      <c r="B947" s="466"/>
      <c r="C947" s="466"/>
      <c r="D947" s="466"/>
      <c r="E947" s="467"/>
      <c r="F947" s="466"/>
      <c r="G947" s="466"/>
      <c r="H947" s="466"/>
      <c r="I947" s="467"/>
      <c r="J947" s="466"/>
      <c r="K947" s="466"/>
      <c r="L947" s="466"/>
      <c r="M947" s="352"/>
    </row>
    <row r="948" spans="1:13" x14ac:dyDescent="0.2">
      <c r="A948" s="348"/>
      <c r="B948" s="466"/>
      <c r="C948" s="466"/>
      <c r="D948" s="466"/>
      <c r="E948" s="467"/>
      <c r="F948" s="466"/>
      <c r="G948" s="466"/>
      <c r="H948" s="466"/>
      <c r="I948" s="467"/>
      <c r="J948" s="466"/>
      <c r="K948" s="466"/>
      <c r="L948" s="466"/>
      <c r="M948" s="352"/>
    </row>
    <row r="949" spans="1:13" x14ac:dyDescent="0.2">
      <c r="A949" s="348"/>
      <c r="B949" s="466"/>
      <c r="C949" s="466"/>
      <c r="D949" s="466"/>
      <c r="E949" s="467"/>
      <c r="F949" s="466"/>
      <c r="G949" s="466"/>
      <c r="H949" s="466"/>
      <c r="I949" s="467"/>
      <c r="J949" s="466"/>
      <c r="K949" s="466"/>
      <c r="L949" s="466"/>
      <c r="M949" s="352"/>
    </row>
    <row r="950" spans="1:13" x14ac:dyDescent="0.2">
      <c r="A950" s="348"/>
      <c r="B950" s="466"/>
      <c r="C950" s="466"/>
      <c r="D950" s="466"/>
      <c r="E950" s="467"/>
      <c r="F950" s="466"/>
      <c r="G950" s="466"/>
      <c r="H950" s="466"/>
      <c r="I950" s="467"/>
      <c r="J950" s="466"/>
      <c r="K950" s="466"/>
      <c r="L950" s="466"/>
      <c r="M950" s="352"/>
    </row>
    <row r="951" spans="1:13" x14ac:dyDescent="0.2">
      <c r="A951" s="348"/>
      <c r="B951" s="466"/>
      <c r="C951" s="466"/>
      <c r="D951" s="466"/>
      <c r="E951" s="467"/>
      <c r="F951" s="466"/>
      <c r="G951" s="466"/>
      <c r="H951" s="466"/>
      <c r="I951" s="467"/>
      <c r="J951" s="466"/>
      <c r="K951" s="466"/>
      <c r="L951" s="466"/>
      <c r="M951" s="352"/>
    </row>
    <row r="952" spans="1:13" x14ac:dyDescent="0.2">
      <c r="A952" s="348"/>
      <c r="B952" s="466"/>
      <c r="C952" s="466"/>
      <c r="D952" s="466"/>
      <c r="E952" s="467"/>
      <c r="F952" s="466"/>
      <c r="G952" s="466"/>
      <c r="H952" s="466"/>
      <c r="I952" s="467"/>
      <c r="J952" s="466"/>
      <c r="K952" s="466"/>
      <c r="L952" s="466"/>
      <c r="M952" s="352"/>
    </row>
    <row r="953" spans="1:13" x14ac:dyDescent="0.2">
      <c r="A953" s="348"/>
      <c r="B953" s="467"/>
      <c r="C953" s="467"/>
      <c r="D953" s="467"/>
      <c r="E953" s="467"/>
      <c r="F953" s="467"/>
      <c r="G953" s="467"/>
      <c r="H953" s="467"/>
      <c r="I953" s="467"/>
      <c r="J953" s="467"/>
      <c r="K953" s="467"/>
      <c r="L953" s="467"/>
      <c r="M953" s="352"/>
    </row>
    <row r="954" spans="1:13" x14ac:dyDescent="0.2">
      <c r="A954" s="348"/>
      <c r="B954" s="348"/>
      <c r="C954" s="348"/>
      <c r="D954" s="348"/>
      <c r="E954" s="348"/>
      <c r="F954" s="348"/>
      <c r="G954" s="348"/>
      <c r="H954" s="348"/>
      <c r="I954" s="348"/>
      <c r="J954" s="348"/>
      <c r="K954" s="348"/>
      <c r="L954" s="353"/>
      <c r="M954" s="352"/>
    </row>
    <row r="955" spans="1:13" x14ac:dyDescent="0.2">
      <c r="A955" s="348"/>
      <c r="B955" s="348"/>
      <c r="C955" s="348"/>
      <c r="D955" s="348"/>
      <c r="E955" s="348"/>
      <c r="F955" s="348"/>
      <c r="G955" s="348"/>
      <c r="H955" s="348"/>
      <c r="I955" s="348"/>
      <c r="J955" s="348"/>
      <c r="K955" s="348"/>
      <c r="L955" s="410"/>
      <c r="M955" s="352"/>
    </row>
    <row r="956" spans="1:13" x14ac:dyDescent="0.2">
      <c r="A956" s="374"/>
      <c r="B956" s="354"/>
      <c r="C956" s="354"/>
      <c r="D956" s="354"/>
      <c r="E956" s="354"/>
      <c r="F956" s="354"/>
      <c r="G956" s="354"/>
      <c r="H956" s="354"/>
      <c r="I956" s="354"/>
      <c r="J956" s="354"/>
      <c r="K956" s="354"/>
      <c r="L956" s="352"/>
      <c r="M956" s="352"/>
    </row>
    <row r="957" spans="1:13" x14ac:dyDescent="0.2">
      <c r="A957" s="354"/>
      <c r="B957" s="517"/>
      <c r="C957" s="517"/>
      <c r="D957" s="517"/>
      <c r="E957" s="369"/>
      <c r="F957" s="517"/>
      <c r="G957" s="517"/>
      <c r="H957" s="517"/>
      <c r="I957" s="369"/>
      <c r="J957" s="517"/>
      <c r="K957" s="517"/>
      <c r="L957" s="517"/>
      <c r="M957" s="352"/>
    </row>
    <row r="958" spans="1:13" x14ac:dyDescent="0.2">
      <c r="A958" s="374"/>
      <c r="B958" s="375"/>
      <c r="C958" s="375"/>
      <c r="D958" s="375"/>
      <c r="E958" s="375"/>
      <c r="F958" s="375"/>
      <c r="G958" s="375"/>
      <c r="H958" s="375"/>
      <c r="I958" s="375"/>
      <c r="J958" s="375"/>
      <c r="K958" s="375"/>
      <c r="L958" s="375"/>
      <c r="M958" s="352"/>
    </row>
    <row r="959" spans="1:13" x14ac:dyDescent="0.2">
      <c r="A959" s="374"/>
      <c r="B959" s="375"/>
      <c r="C959" s="375"/>
      <c r="D959" s="375"/>
      <c r="E959" s="375"/>
      <c r="F959" s="375"/>
      <c r="G959" s="375"/>
      <c r="H959" s="375"/>
      <c r="I959" s="375"/>
      <c r="J959" s="375"/>
      <c r="K959" s="375"/>
      <c r="L959" s="375"/>
      <c r="M959" s="352"/>
    </row>
    <row r="960" spans="1:13" x14ac:dyDescent="0.2">
      <c r="A960" s="348"/>
      <c r="B960" s="466"/>
      <c r="C960" s="466"/>
      <c r="D960" s="466"/>
      <c r="E960" s="467"/>
      <c r="F960" s="466"/>
      <c r="G960" s="466"/>
      <c r="H960" s="466"/>
      <c r="I960" s="467"/>
      <c r="J960" s="466"/>
      <c r="K960" s="466"/>
      <c r="L960" s="466"/>
      <c r="M960" s="352"/>
    </row>
    <row r="961" spans="1:13" x14ac:dyDescent="0.2">
      <c r="A961" s="348"/>
      <c r="B961" s="466"/>
      <c r="C961" s="466"/>
      <c r="D961" s="466"/>
      <c r="E961" s="467"/>
      <c r="F961" s="466"/>
      <c r="G961" s="466"/>
      <c r="H961" s="466"/>
      <c r="I961" s="467"/>
      <c r="J961" s="466"/>
      <c r="K961" s="466"/>
      <c r="L961" s="466"/>
      <c r="M961" s="352"/>
    </row>
    <row r="962" spans="1:13" x14ac:dyDescent="0.2">
      <c r="A962" s="348"/>
      <c r="B962" s="466"/>
      <c r="C962" s="466"/>
      <c r="D962" s="466"/>
      <c r="E962" s="467"/>
      <c r="F962" s="466"/>
      <c r="G962" s="466"/>
      <c r="H962" s="466"/>
      <c r="I962" s="467"/>
      <c r="J962" s="466"/>
      <c r="K962" s="466"/>
      <c r="L962" s="466"/>
      <c r="M962" s="352"/>
    </row>
    <row r="963" spans="1:13" x14ac:dyDescent="0.2">
      <c r="A963" s="348"/>
      <c r="B963" s="466"/>
      <c r="C963" s="466"/>
      <c r="D963" s="466"/>
      <c r="E963" s="467"/>
      <c r="F963" s="466"/>
      <c r="G963" s="466"/>
      <c r="H963" s="466"/>
      <c r="I963" s="467"/>
      <c r="J963" s="466"/>
      <c r="K963" s="466"/>
      <c r="L963" s="466"/>
      <c r="M963" s="352"/>
    </row>
    <row r="964" spans="1:13" x14ac:dyDescent="0.2">
      <c r="A964" s="348"/>
      <c r="B964" s="466"/>
      <c r="C964" s="466"/>
      <c r="D964" s="466"/>
      <c r="E964" s="467"/>
      <c r="F964" s="466"/>
      <c r="G964" s="466"/>
      <c r="H964" s="466"/>
      <c r="I964" s="467"/>
      <c r="J964" s="466"/>
      <c r="K964" s="466"/>
      <c r="L964" s="466"/>
      <c r="M964" s="352"/>
    </row>
    <row r="965" spans="1:13" x14ac:dyDescent="0.2">
      <c r="A965" s="348"/>
      <c r="B965" s="466"/>
      <c r="C965" s="466"/>
      <c r="D965" s="466"/>
      <c r="E965" s="467"/>
      <c r="F965" s="466"/>
      <c r="G965" s="466"/>
      <c r="H965" s="466"/>
      <c r="I965" s="467"/>
      <c r="J965" s="466"/>
      <c r="K965" s="466"/>
      <c r="L965" s="466"/>
      <c r="M965" s="352"/>
    </row>
    <row r="966" spans="1:13" x14ac:dyDescent="0.2">
      <c r="A966" s="348"/>
      <c r="B966" s="466"/>
      <c r="C966" s="466"/>
      <c r="D966" s="466"/>
      <c r="E966" s="467"/>
      <c r="F966" s="466"/>
      <c r="G966" s="466"/>
      <c r="H966" s="466"/>
      <c r="I966" s="467"/>
      <c r="J966" s="466"/>
      <c r="K966" s="466"/>
      <c r="L966" s="466"/>
      <c r="M966" s="352"/>
    </row>
    <row r="967" spans="1:13" x14ac:dyDescent="0.2">
      <c r="A967" s="348"/>
      <c r="B967" s="466"/>
      <c r="C967" s="466"/>
      <c r="D967" s="466"/>
      <c r="E967" s="467"/>
      <c r="F967" s="466"/>
      <c r="G967" s="466"/>
      <c r="H967" s="466"/>
      <c r="I967" s="467"/>
      <c r="J967" s="466"/>
      <c r="K967" s="466"/>
      <c r="L967" s="466"/>
      <c r="M967" s="352"/>
    </row>
    <row r="968" spans="1:13" x14ac:dyDescent="0.2">
      <c r="A968" s="348"/>
      <c r="B968" s="466"/>
      <c r="C968" s="466"/>
      <c r="D968" s="466"/>
      <c r="E968" s="467"/>
      <c r="F968" s="466"/>
      <c r="G968" s="466"/>
      <c r="H968" s="466"/>
      <c r="I968" s="467"/>
      <c r="J968" s="466"/>
      <c r="K968" s="466"/>
      <c r="L968" s="466"/>
      <c r="M968" s="352"/>
    </row>
    <row r="969" spans="1:13" x14ac:dyDescent="0.2">
      <c r="A969" s="348"/>
      <c r="B969" s="466"/>
      <c r="C969" s="466"/>
      <c r="D969" s="466"/>
      <c r="E969" s="467"/>
      <c r="F969" s="466"/>
      <c r="G969" s="466"/>
      <c r="H969" s="466"/>
      <c r="I969" s="467"/>
      <c r="J969" s="466"/>
      <c r="K969" s="466"/>
      <c r="L969" s="466"/>
      <c r="M969" s="352"/>
    </row>
    <row r="970" spans="1:13" x14ac:dyDescent="0.2">
      <c r="A970" s="348"/>
      <c r="B970" s="467"/>
      <c r="C970" s="467"/>
      <c r="D970" s="467"/>
      <c r="E970" s="467"/>
      <c r="F970" s="467"/>
      <c r="G970" s="467"/>
      <c r="H970" s="467"/>
      <c r="I970" s="467"/>
      <c r="J970" s="467"/>
      <c r="K970" s="467"/>
      <c r="L970" s="467"/>
      <c r="M970" s="352"/>
    </row>
    <row r="971" spans="1:13" x14ac:dyDescent="0.2">
      <c r="A971" s="348"/>
      <c r="B971" s="348"/>
      <c r="C971" s="348"/>
      <c r="D971" s="348"/>
      <c r="E971" s="348"/>
      <c r="F971" s="348"/>
      <c r="G971" s="348"/>
      <c r="H971" s="348"/>
      <c r="I971" s="348"/>
      <c r="J971" s="348"/>
      <c r="K971" s="348"/>
      <c r="L971" s="353"/>
      <c r="M971" s="352"/>
    </row>
    <row r="972" spans="1:13" x14ac:dyDescent="0.2">
      <c r="A972" s="348"/>
      <c r="B972" s="348"/>
      <c r="C972" s="348"/>
      <c r="D972" s="348"/>
      <c r="E972" s="348"/>
      <c r="F972" s="348"/>
      <c r="G972" s="348"/>
      <c r="H972" s="348"/>
      <c r="I972" s="348"/>
      <c r="J972" s="348"/>
      <c r="K972" s="348"/>
      <c r="L972" s="410"/>
      <c r="M972" s="352"/>
    </row>
    <row r="973" spans="1:13" x14ac:dyDescent="0.2">
      <c r="A973" s="374"/>
      <c r="B973" s="354"/>
      <c r="C973" s="354"/>
      <c r="D973" s="354"/>
      <c r="E973" s="354"/>
      <c r="F973" s="354"/>
      <c r="G973" s="354"/>
      <c r="H973" s="354"/>
      <c r="I973" s="354"/>
      <c r="J973" s="354"/>
      <c r="K973" s="354"/>
      <c r="L973" s="352"/>
      <c r="M973" s="352"/>
    </row>
    <row r="974" spans="1:13" x14ac:dyDescent="0.2">
      <c r="A974" s="354"/>
      <c r="B974" s="517"/>
      <c r="C974" s="517"/>
      <c r="D974" s="517"/>
      <c r="E974" s="369"/>
      <c r="F974" s="517"/>
      <c r="G974" s="517"/>
      <c r="H974" s="517"/>
      <c r="I974" s="369"/>
      <c r="J974" s="517"/>
      <c r="K974" s="517"/>
      <c r="L974" s="517"/>
      <c r="M974" s="352"/>
    </row>
    <row r="975" spans="1:13" x14ac:dyDescent="0.2">
      <c r="A975" s="374"/>
      <c r="B975" s="375"/>
      <c r="C975" s="375"/>
      <c r="D975" s="375"/>
      <c r="E975" s="375"/>
      <c r="F975" s="375"/>
      <c r="G975" s="375"/>
      <c r="H975" s="375"/>
      <c r="I975" s="375"/>
      <c r="J975" s="375"/>
      <c r="K975" s="375"/>
      <c r="L975" s="375"/>
      <c r="M975" s="352"/>
    </row>
    <row r="976" spans="1:13" x14ac:dyDescent="0.2">
      <c r="A976" s="374"/>
      <c r="B976" s="375"/>
      <c r="C976" s="375"/>
      <c r="D976" s="375"/>
      <c r="E976" s="375"/>
      <c r="F976" s="375"/>
      <c r="G976" s="375"/>
      <c r="H976" s="375"/>
      <c r="I976" s="375"/>
      <c r="J976" s="375"/>
      <c r="K976" s="375"/>
      <c r="L976" s="375"/>
      <c r="M976" s="352"/>
    </row>
    <row r="977" spans="1:13" x14ac:dyDescent="0.2">
      <c r="A977" s="348"/>
      <c r="B977" s="466"/>
      <c r="C977" s="466"/>
      <c r="D977" s="466"/>
      <c r="E977" s="467"/>
      <c r="F977" s="466"/>
      <c r="G977" s="466"/>
      <c r="H977" s="466"/>
      <c r="I977" s="467"/>
      <c r="J977" s="466"/>
      <c r="K977" s="466"/>
      <c r="L977" s="466"/>
      <c r="M977" s="352"/>
    </row>
    <row r="978" spans="1:13" x14ac:dyDescent="0.2">
      <c r="A978" s="348"/>
      <c r="B978" s="466"/>
      <c r="C978" s="466"/>
      <c r="D978" s="466"/>
      <c r="E978" s="467"/>
      <c r="F978" s="466"/>
      <c r="G978" s="466"/>
      <c r="H978" s="466"/>
      <c r="I978" s="467"/>
      <c r="J978" s="466"/>
      <c r="K978" s="466"/>
      <c r="L978" s="466"/>
      <c r="M978" s="352"/>
    </row>
    <row r="979" spans="1:13" x14ac:dyDescent="0.2">
      <c r="A979" s="348"/>
      <c r="B979" s="466"/>
      <c r="C979" s="466"/>
      <c r="D979" s="466"/>
      <c r="E979" s="467"/>
      <c r="F979" s="466"/>
      <c r="G979" s="466"/>
      <c r="H979" s="466"/>
      <c r="I979" s="467"/>
      <c r="J979" s="466"/>
      <c r="K979" s="466"/>
      <c r="L979" s="466"/>
      <c r="M979" s="352"/>
    </row>
    <row r="980" spans="1:13" x14ac:dyDescent="0.2">
      <c r="A980" s="348"/>
      <c r="B980" s="466"/>
      <c r="C980" s="466"/>
      <c r="D980" s="466"/>
      <c r="E980" s="467"/>
      <c r="F980" s="466"/>
      <c r="G980" s="466"/>
      <c r="H980" s="466"/>
      <c r="I980" s="467"/>
      <c r="J980" s="466"/>
      <c r="K980" s="466"/>
      <c r="L980" s="466"/>
      <c r="M980" s="352"/>
    </row>
    <row r="981" spans="1:13" x14ac:dyDescent="0.2">
      <c r="A981" s="348"/>
      <c r="B981" s="466"/>
      <c r="C981" s="466"/>
      <c r="D981" s="466"/>
      <c r="E981" s="467"/>
      <c r="F981" s="466"/>
      <c r="G981" s="466"/>
      <c r="H981" s="466"/>
      <c r="I981" s="467"/>
      <c r="J981" s="466"/>
      <c r="K981" s="466"/>
      <c r="L981" s="466"/>
      <c r="M981" s="352"/>
    </row>
    <row r="982" spans="1:13" x14ac:dyDescent="0.2">
      <c r="A982" s="348"/>
      <c r="B982" s="466"/>
      <c r="C982" s="466"/>
      <c r="D982" s="466"/>
      <c r="E982" s="467"/>
      <c r="F982" s="466"/>
      <c r="G982" s="466"/>
      <c r="H982" s="466"/>
      <c r="I982" s="467"/>
      <c r="J982" s="466"/>
      <c r="K982" s="466"/>
      <c r="L982" s="466"/>
      <c r="M982" s="352"/>
    </row>
    <row r="983" spans="1:13" x14ac:dyDescent="0.2">
      <c r="A983" s="348"/>
      <c r="B983" s="466"/>
      <c r="C983" s="466"/>
      <c r="D983" s="466"/>
      <c r="E983" s="467"/>
      <c r="F983" s="466"/>
      <c r="G983" s="466"/>
      <c r="H983" s="466"/>
      <c r="I983" s="467"/>
      <c r="J983" s="466"/>
      <c r="K983" s="466"/>
      <c r="L983" s="466"/>
      <c r="M983" s="352"/>
    </row>
    <row r="984" spans="1:13" x14ac:dyDescent="0.2">
      <c r="A984" s="348"/>
      <c r="B984" s="466"/>
      <c r="C984" s="466"/>
      <c r="D984" s="466"/>
      <c r="E984" s="467"/>
      <c r="F984" s="466"/>
      <c r="G984" s="466"/>
      <c r="H984" s="466"/>
      <c r="I984" s="467"/>
      <c r="J984" s="466"/>
      <c r="K984" s="466"/>
      <c r="L984" s="466"/>
      <c r="M984" s="352"/>
    </row>
    <row r="985" spans="1:13" x14ac:dyDescent="0.2">
      <c r="A985" s="348"/>
      <c r="B985" s="466"/>
      <c r="C985" s="466"/>
      <c r="D985" s="466"/>
      <c r="E985" s="467"/>
      <c r="F985" s="466"/>
      <c r="G985" s="466"/>
      <c r="H985" s="466"/>
      <c r="I985" s="467"/>
      <c r="J985" s="466"/>
      <c r="K985" s="466"/>
      <c r="L985" s="466"/>
      <c r="M985" s="352"/>
    </row>
    <row r="986" spans="1:13" x14ac:dyDescent="0.2">
      <c r="A986" s="348"/>
      <c r="B986" s="466"/>
      <c r="C986" s="466"/>
      <c r="D986" s="466"/>
      <c r="E986" s="467"/>
      <c r="F986" s="466"/>
      <c r="G986" s="466"/>
      <c r="H986" s="466"/>
      <c r="I986" s="467"/>
      <c r="J986" s="466"/>
      <c r="K986" s="466"/>
      <c r="L986" s="466"/>
      <c r="M986" s="352"/>
    </row>
    <row r="987" spans="1:13" x14ac:dyDescent="0.2">
      <c r="A987" s="348"/>
      <c r="B987" s="467"/>
      <c r="C987" s="467"/>
      <c r="D987" s="467"/>
      <c r="E987" s="467"/>
      <c r="F987" s="467"/>
      <c r="G987" s="467"/>
      <c r="H987" s="467"/>
      <c r="I987" s="467"/>
      <c r="J987" s="467"/>
      <c r="K987" s="467"/>
      <c r="L987" s="467"/>
      <c r="M987" s="352"/>
    </row>
    <row r="988" spans="1:13" x14ac:dyDescent="0.2">
      <c r="A988" s="348"/>
      <c r="B988" s="348"/>
      <c r="C988" s="348"/>
      <c r="D988" s="348"/>
      <c r="E988" s="348"/>
      <c r="F988" s="348"/>
      <c r="G988" s="348"/>
      <c r="H988" s="348"/>
      <c r="I988" s="348"/>
      <c r="J988" s="348"/>
      <c r="K988" s="348"/>
      <c r="L988" s="353"/>
      <c r="M988" s="352"/>
    </row>
    <row r="989" spans="1:13" x14ac:dyDescent="0.2">
      <c r="A989" s="348"/>
      <c r="B989" s="348"/>
      <c r="C989" s="348"/>
      <c r="D989" s="348"/>
      <c r="E989" s="348"/>
      <c r="F989" s="348"/>
      <c r="G989" s="348"/>
      <c r="H989" s="348"/>
      <c r="I989" s="348"/>
      <c r="J989" s="348"/>
      <c r="K989" s="348"/>
      <c r="L989" s="410"/>
      <c r="M989" s="352"/>
    </row>
    <row r="990" spans="1:13" x14ac:dyDescent="0.2">
      <c r="A990" s="374"/>
      <c r="B990" s="354"/>
      <c r="C990" s="354"/>
      <c r="D990" s="354"/>
      <c r="E990" s="354"/>
      <c r="F990" s="354"/>
      <c r="G990" s="354"/>
      <c r="H990" s="354"/>
      <c r="I990" s="354"/>
      <c r="J990" s="354"/>
      <c r="K990" s="354"/>
      <c r="L990" s="352"/>
      <c r="M990" s="352"/>
    </row>
    <row r="991" spans="1:13" x14ac:dyDescent="0.2">
      <c r="A991" s="354"/>
      <c r="B991" s="517"/>
      <c r="C991" s="517"/>
      <c r="D991" s="517"/>
      <c r="E991" s="369"/>
      <c r="F991" s="517"/>
      <c r="G991" s="517"/>
      <c r="H991" s="517"/>
      <c r="I991" s="369"/>
      <c r="J991" s="517"/>
      <c r="K991" s="517"/>
      <c r="L991" s="517"/>
      <c r="M991" s="352"/>
    </row>
    <row r="992" spans="1:13" x14ac:dyDescent="0.2">
      <c r="A992" s="374"/>
      <c r="B992" s="375"/>
      <c r="C992" s="375"/>
      <c r="D992" s="375"/>
      <c r="E992" s="375"/>
      <c r="F992" s="375"/>
      <c r="G992" s="375"/>
      <c r="H992" s="375"/>
      <c r="I992" s="375"/>
      <c r="J992" s="375"/>
      <c r="K992" s="375"/>
      <c r="L992" s="375"/>
      <c r="M992" s="352"/>
    </row>
    <row r="993" spans="1:13" x14ac:dyDescent="0.2">
      <c r="A993" s="374"/>
      <c r="B993" s="375"/>
      <c r="C993" s="375"/>
      <c r="D993" s="375"/>
      <c r="E993" s="375"/>
      <c r="F993" s="375"/>
      <c r="G993" s="375"/>
      <c r="H993" s="375"/>
      <c r="I993" s="375"/>
      <c r="J993" s="375"/>
      <c r="K993" s="375"/>
      <c r="L993" s="375"/>
      <c r="M993" s="352"/>
    </row>
    <row r="994" spans="1:13" x14ac:dyDescent="0.2">
      <c r="A994" s="348"/>
      <c r="B994" s="466"/>
      <c r="C994" s="466"/>
      <c r="D994" s="466"/>
      <c r="E994" s="467"/>
      <c r="F994" s="466"/>
      <c r="G994" s="466"/>
      <c r="H994" s="466"/>
      <c r="I994" s="467"/>
      <c r="J994" s="466"/>
      <c r="K994" s="466"/>
      <c r="L994" s="466"/>
      <c r="M994" s="352"/>
    </row>
    <row r="995" spans="1:13" x14ac:dyDescent="0.2">
      <c r="A995" s="348"/>
      <c r="B995" s="466"/>
      <c r="C995" s="466"/>
      <c r="D995" s="466"/>
      <c r="E995" s="467"/>
      <c r="F995" s="466"/>
      <c r="G995" s="466"/>
      <c r="H995" s="466"/>
      <c r="I995" s="467"/>
      <c r="J995" s="466"/>
      <c r="K995" s="466"/>
      <c r="L995" s="466"/>
      <c r="M995" s="352"/>
    </row>
    <row r="996" spans="1:13" x14ac:dyDescent="0.2">
      <c r="A996" s="348"/>
      <c r="B996" s="466"/>
      <c r="C996" s="466"/>
      <c r="D996" s="466"/>
      <c r="E996" s="467"/>
      <c r="F996" s="466"/>
      <c r="G996" s="466"/>
      <c r="H996" s="466"/>
      <c r="I996" s="467"/>
      <c r="J996" s="466"/>
      <c r="K996" s="466"/>
      <c r="L996" s="466"/>
      <c r="M996" s="352"/>
    </row>
    <row r="997" spans="1:13" x14ac:dyDescent="0.2">
      <c r="A997" s="348"/>
      <c r="B997" s="466"/>
      <c r="C997" s="466"/>
      <c r="D997" s="466"/>
      <c r="E997" s="467"/>
      <c r="F997" s="466"/>
      <c r="G997" s="466"/>
      <c r="H997" s="466"/>
      <c r="I997" s="467"/>
      <c r="J997" s="466"/>
      <c r="K997" s="466"/>
      <c r="L997" s="466"/>
      <c r="M997" s="352"/>
    </row>
    <row r="998" spans="1:13" x14ac:dyDescent="0.2">
      <c r="A998" s="348"/>
      <c r="B998" s="466"/>
      <c r="C998" s="466"/>
      <c r="D998" s="466"/>
      <c r="E998" s="467"/>
      <c r="F998" s="466"/>
      <c r="G998" s="466"/>
      <c r="H998" s="466"/>
      <c r="I998" s="467"/>
      <c r="J998" s="466"/>
      <c r="K998" s="466"/>
      <c r="L998" s="466"/>
      <c r="M998" s="352"/>
    </row>
    <row r="999" spans="1:13" x14ac:dyDescent="0.2">
      <c r="A999" s="348"/>
      <c r="B999" s="466"/>
      <c r="C999" s="466"/>
      <c r="D999" s="466"/>
      <c r="E999" s="467"/>
      <c r="F999" s="466"/>
      <c r="G999" s="466"/>
      <c r="H999" s="466"/>
      <c r="I999" s="467"/>
      <c r="J999" s="466"/>
      <c r="K999" s="466"/>
      <c r="L999" s="466"/>
      <c r="M999" s="352"/>
    </row>
    <row r="1000" spans="1:13" x14ac:dyDescent="0.2">
      <c r="A1000" s="348"/>
      <c r="B1000" s="466"/>
      <c r="C1000" s="466"/>
      <c r="D1000" s="466"/>
      <c r="E1000" s="467"/>
      <c r="F1000" s="466"/>
      <c r="G1000" s="466"/>
      <c r="H1000" s="466"/>
      <c r="I1000" s="467"/>
      <c r="J1000" s="466"/>
      <c r="K1000" s="466"/>
      <c r="L1000" s="466"/>
      <c r="M1000" s="352"/>
    </row>
    <row r="1001" spans="1:13" x14ac:dyDescent="0.2">
      <c r="A1001" s="348"/>
      <c r="B1001" s="466"/>
      <c r="C1001" s="466"/>
      <c r="D1001" s="466"/>
      <c r="E1001" s="467"/>
      <c r="F1001" s="466"/>
      <c r="G1001" s="466"/>
      <c r="H1001" s="466"/>
      <c r="I1001" s="467"/>
      <c r="J1001" s="466"/>
      <c r="K1001" s="466"/>
      <c r="L1001" s="466"/>
      <c r="M1001" s="352"/>
    </row>
    <row r="1002" spans="1:13" x14ac:dyDescent="0.2">
      <c r="A1002" s="348"/>
      <c r="B1002" s="466"/>
      <c r="C1002" s="466"/>
      <c r="D1002" s="466"/>
      <c r="E1002" s="467"/>
      <c r="F1002" s="466"/>
      <c r="G1002" s="466"/>
      <c r="H1002" s="466"/>
      <c r="I1002" s="467"/>
      <c r="J1002" s="466"/>
      <c r="K1002" s="466"/>
      <c r="L1002" s="466"/>
      <c r="M1002" s="352"/>
    </row>
    <row r="1003" spans="1:13" x14ac:dyDescent="0.2">
      <c r="A1003" s="348"/>
      <c r="B1003" s="466"/>
      <c r="C1003" s="466"/>
      <c r="D1003" s="466"/>
      <c r="E1003" s="467"/>
      <c r="F1003" s="466"/>
      <c r="G1003" s="466"/>
      <c r="H1003" s="466"/>
      <c r="I1003" s="467"/>
      <c r="J1003" s="466"/>
      <c r="K1003" s="466"/>
      <c r="L1003" s="466"/>
      <c r="M1003" s="352"/>
    </row>
    <row r="1004" spans="1:13" x14ac:dyDescent="0.2">
      <c r="A1004" s="348"/>
      <c r="B1004" s="467"/>
      <c r="C1004" s="467"/>
      <c r="D1004" s="467"/>
      <c r="E1004" s="467"/>
      <c r="F1004" s="467"/>
      <c r="G1004" s="467"/>
      <c r="H1004" s="467"/>
      <c r="I1004" s="467"/>
      <c r="J1004" s="467"/>
      <c r="K1004" s="467"/>
      <c r="L1004" s="467"/>
      <c r="M1004" s="352"/>
    </row>
    <row r="1005" spans="1:13" x14ac:dyDescent="0.2">
      <c r="A1005" s="348"/>
      <c r="B1005" s="348"/>
      <c r="C1005" s="348"/>
      <c r="D1005" s="348"/>
      <c r="E1005" s="348"/>
      <c r="F1005" s="348"/>
      <c r="G1005" s="348"/>
      <c r="H1005" s="348"/>
      <c r="I1005" s="348"/>
      <c r="J1005" s="348"/>
      <c r="K1005" s="348"/>
      <c r="L1005" s="353"/>
      <c r="M1005" s="352"/>
    </row>
    <row r="1006" spans="1:13" x14ac:dyDescent="0.2">
      <c r="A1006" s="348"/>
      <c r="B1006" s="348"/>
      <c r="C1006" s="348"/>
      <c r="D1006" s="348"/>
      <c r="E1006" s="348"/>
      <c r="F1006" s="348"/>
      <c r="G1006" s="348"/>
      <c r="H1006" s="348"/>
      <c r="I1006" s="348"/>
      <c r="J1006" s="348"/>
      <c r="K1006" s="348"/>
      <c r="L1006" s="410"/>
      <c r="M1006" s="352"/>
    </row>
    <row r="1007" spans="1:13" x14ac:dyDescent="0.2">
      <c r="A1007" s="374"/>
      <c r="B1007" s="354"/>
      <c r="C1007" s="354"/>
      <c r="D1007" s="354"/>
      <c r="E1007" s="354"/>
      <c r="F1007" s="354"/>
      <c r="G1007" s="354"/>
      <c r="H1007" s="354"/>
      <c r="I1007" s="354"/>
      <c r="J1007" s="354"/>
      <c r="K1007" s="354"/>
      <c r="L1007" s="352"/>
      <c r="M1007" s="352"/>
    </row>
    <row r="1008" spans="1:13" x14ac:dyDescent="0.2">
      <c r="A1008" s="354"/>
      <c r="B1008" s="517"/>
      <c r="C1008" s="517"/>
      <c r="D1008" s="517"/>
      <c r="E1008" s="369"/>
      <c r="F1008" s="517"/>
      <c r="G1008" s="517"/>
      <c r="H1008" s="517"/>
      <c r="I1008" s="369"/>
      <c r="J1008" s="517"/>
      <c r="K1008" s="517"/>
      <c r="L1008" s="517"/>
      <c r="M1008" s="352"/>
    </row>
    <row r="1009" spans="1:13" x14ac:dyDescent="0.2">
      <c r="A1009" s="374"/>
      <c r="B1009" s="375"/>
      <c r="C1009" s="375"/>
      <c r="D1009" s="375"/>
      <c r="E1009" s="375"/>
      <c r="F1009" s="375"/>
      <c r="G1009" s="375"/>
      <c r="H1009" s="375"/>
      <c r="I1009" s="375"/>
      <c r="J1009" s="375"/>
      <c r="K1009" s="375"/>
      <c r="L1009" s="375"/>
      <c r="M1009" s="352"/>
    </row>
    <row r="1010" spans="1:13" x14ac:dyDescent="0.2">
      <c r="A1010" s="374"/>
      <c r="B1010" s="375"/>
      <c r="C1010" s="375"/>
      <c r="D1010" s="375"/>
      <c r="E1010" s="375"/>
      <c r="F1010" s="375"/>
      <c r="G1010" s="375"/>
      <c r="H1010" s="375"/>
      <c r="I1010" s="375"/>
      <c r="J1010" s="375"/>
      <c r="K1010" s="375"/>
      <c r="L1010" s="375"/>
      <c r="M1010" s="352"/>
    </row>
    <row r="1011" spans="1:13" x14ac:dyDescent="0.2">
      <c r="A1011" s="348"/>
      <c r="B1011" s="466"/>
      <c r="C1011" s="466"/>
      <c r="D1011" s="466"/>
      <c r="E1011" s="467"/>
      <c r="F1011" s="466"/>
      <c r="G1011" s="466"/>
      <c r="H1011" s="466"/>
      <c r="I1011" s="467"/>
      <c r="J1011" s="466"/>
      <c r="K1011" s="466"/>
      <c r="L1011" s="466"/>
      <c r="M1011" s="352"/>
    </row>
    <row r="1012" spans="1:13" x14ac:dyDescent="0.2">
      <c r="A1012" s="348"/>
      <c r="B1012" s="466"/>
      <c r="C1012" s="466"/>
      <c r="D1012" s="466"/>
      <c r="E1012" s="467"/>
      <c r="F1012" s="466"/>
      <c r="G1012" s="466"/>
      <c r="H1012" s="466"/>
      <c r="I1012" s="467"/>
      <c r="J1012" s="466"/>
      <c r="K1012" s="466"/>
      <c r="L1012" s="466"/>
      <c r="M1012" s="352"/>
    </row>
    <row r="1013" spans="1:13" x14ac:dyDescent="0.2">
      <c r="A1013" s="348"/>
      <c r="B1013" s="466"/>
      <c r="C1013" s="466"/>
      <c r="D1013" s="466"/>
      <c r="E1013" s="467"/>
      <c r="F1013" s="466"/>
      <c r="G1013" s="466"/>
      <c r="H1013" s="466"/>
      <c r="I1013" s="467"/>
      <c r="J1013" s="466"/>
      <c r="K1013" s="466"/>
      <c r="L1013" s="466"/>
      <c r="M1013" s="352"/>
    </row>
    <row r="1014" spans="1:13" x14ac:dyDescent="0.2">
      <c r="A1014" s="348"/>
      <c r="B1014" s="466"/>
      <c r="C1014" s="466"/>
      <c r="D1014" s="466"/>
      <c r="E1014" s="467"/>
      <c r="F1014" s="466"/>
      <c r="G1014" s="466"/>
      <c r="H1014" s="466"/>
      <c r="I1014" s="467"/>
      <c r="J1014" s="466"/>
      <c r="K1014" s="466"/>
      <c r="L1014" s="466"/>
      <c r="M1014" s="352"/>
    </row>
    <row r="1015" spans="1:13" x14ac:dyDescent="0.2">
      <c r="A1015" s="348"/>
      <c r="B1015" s="466"/>
      <c r="C1015" s="466"/>
      <c r="D1015" s="466"/>
      <c r="E1015" s="467"/>
      <c r="F1015" s="466"/>
      <c r="G1015" s="466"/>
      <c r="H1015" s="466"/>
      <c r="I1015" s="467"/>
      <c r="J1015" s="466"/>
      <c r="K1015" s="466"/>
      <c r="L1015" s="466"/>
      <c r="M1015" s="352"/>
    </row>
    <row r="1016" spans="1:13" x14ac:dyDescent="0.2">
      <c r="A1016" s="348"/>
      <c r="B1016" s="466"/>
      <c r="C1016" s="466"/>
      <c r="D1016" s="466"/>
      <c r="E1016" s="467"/>
      <c r="F1016" s="466"/>
      <c r="G1016" s="466"/>
      <c r="H1016" s="466"/>
      <c r="I1016" s="467"/>
      <c r="J1016" s="466"/>
      <c r="K1016" s="466"/>
      <c r="L1016" s="466"/>
      <c r="M1016" s="352"/>
    </row>
    <row r="1017" spans="1:13" x14ac:dyDescent="0.2">
      <c r="A1017" s="348"/>
      <c r="B1017" s="466"/>
      <c r="C1017" s="466"/>
      <c r="D1017" s="466"/>
      <c r="E1017" s="467"/>
      <c r="F1017" s="466"/>
      <c r="G1017" s="466"/>
      <c r="H1017" s="466"/>
      <c r="I1017" s="467"/>
      <c r="J1017" s="466"/>
      <c r="K1017" s="466"/>
      <c r="L1017" s="466"/>
      <c r="M1017" s="352"/>
    </row>
    <row r="1018" spans="1:13" x14ac:dyDescent="0.2">
      <c r="A1018" s="348"/>
      <c r="B1018" s="466"/>
      <c r="C1018" s="466"/>
      <c r="D1018" s="466"/>
      <c r="E1018" s="467"/>
      <c r="F1018" s="466"/>
      <c r="G1018" s="466"/>
      <c r="H1018" s="466"/>
      <c r="I1018" s="467"/>
      <c r="J1018" s="466"/>
      <c r="K1018" s="466"/>
      <c r="L1018" s="466"/>
      <c r="M1018" s="352"/>
    </row>
    <row r="1019" spans="1:13" x14ac:dyDescent="0.2">
      <c r="A1019" s="348"/>
      <c r="B1019" s="466"/>
      <c r="C1019" s="466"/>
      <c r="D1019" s="466"/>
      <c r="E1019" s="467"/>
      <c r="F1019" s="466"/>
      <c r="G1019" s="466"/>
      <c r="H1019" s="466"/>
      <c r="I1019" s="467"/>
      <c r="J1019" s="466"/>
      <c r="K1019" s="466"/>
      <c r="L1019" s="466"/>
      <c r="M1019" s="352"/>
    </row>
    <row r="1020" spans="1:13" x14ac:dyDescent="0.2">
      <c r="A1020" s="348"/>
      <c r="B1020" s="466"/>
      <c r="C1020" s="466"/>
      <c r="D1020" s="466"/>
      <c r="E1020" s="467"/>
      <c r="F1020" s="466"/>
      <c r="G1020" s="466"/>
      <c r="H1020" s="466"/>
      <c r="I1020" s="467"/>
      <c r="J1020" s="466"/>
      <c r="K1020" s="466"/>
      <c r="L1020" s="466"/>
      <c r="M1020" s="352"/>
    </row>
    <row r="1021" spans="1:13" x14ac:dyDescent="0.2">
      <c r="A1021" s="348"/>
      <c r="B1021" s="467"/>
      <c r="C1021" s="467"/>
      <c r="D1021" s="467"/>
      <c r="E1021" s="467"/>
      <c r="F1021" s="467"/>
      <c r="G1021" s="467"/>
      <c r="H1021" s="467"/>
      <c r="I1021" s="467"/>
      <c r="J1021" s="467"/>
      <c r="K1021" s="467"/>
      <c r="L1021" s="467"/>
      <c r="M1021" s="352"/>
    </row>
    <row r="1022" spans="1:13" x14ac:dyDescent="0.2">
      <c r="A1022" s="348"/>
      <c r="B1022" s="348"/>
      <c r="C1022" s="348"/>
      <c r="D1022" s="348"/>
      <c r="E1022" s="348"/>
      <c r="F1022" s="348"/>
      <c r="G1022" s="348"/>
      <c r="H1022" s="348"/>
      <c r="I1022" s="348"/>
      <c r="J1022" s="348"/>
      <c r="K1022" s="348"/>
      <c r="L1022" s="353"/>
      <c r="M1022" s="352"/>
    </row>
    <row r="1023" spans="1:13" x14ac:dyDescent="0.2">
      <c r="A1023" s="348"/>
      <c r="B1023" s="348"/>
      <c r="C1023" s="348"/>
      <c r="D1023" s="348"/>
      <c r="E1023" s="348"/>
      <c r="F1023" s="348"/>
      <c r="G1023" s="348"/>
      <c r="H1023" s="348"/>
      <c r="I1023" s="348"/>
      <c r="J1023" s="348"/>
      <c r="K1023" s="348"/>
      <c r="L1023" s="410"/>
      <c r="M1023" s="352"/>
    </row>
    <row r="1024" spans="1:13" x14ac:dyDescent="0.2">
      <c r="A1024" s="374"/>
      <c r="B1024" s="354"/>
      <c r="C1024" s="354"/>
      <c r="D1024" s="354"/>
      <c r="E1024" s="354"/>
      <c r="F1024" s="354"/>
      <c r="G1024" s="354"/>
      <c r="H1024" s="354"/>
      <c r="I1024" s="354"/>
      <c r="J1024" s="354"/>
      <c r="K1024" s="354"/>
      <c r="L1024" s="352"/>
      <c r="M1024" s="352"/>
    </row>
    <row r="1025" spans="1:13" x14ac:dyDescent="0.2">
      <c r="A1025" s="354"/>
      <c r="B1025" s="517"/>
      <c r="C1025" s="517"/>
      <c r="D1025" s="517"/>
      <c r="E1025" s="369"/>
      <c r="F1025" s="517"/>
      <c r="G1025" s="517"/>
      <c r="H1025" s="517"/>
      <c r="I1025" s="369"/>
      <c r="J1025" s="517"/>
      <c r="K1025" s="517"/>
      <c r="L1025" s="517"/>
      <c r="M1025" s="352"/>
    </row>
    <row r="1026" spans="1:13" x14ac:dyDescent="0.2">
      <c r="A1026" s="374"/>
      <c r="B1026" s="375"/>
      <c r="C1026" s="375"/>
      <c r="D1026" s="375"/>
      <c r="E1026" s="375"/>
      <c r="F1026" s="375"/>
      <c r="G1026" s="375"/>
      <c r="H1026" s="375"/>
      <c r="I1026" s="375"/>
      <c r="J1026" s="375"/>
      <c r="K1026" s="375"/>
      <c r="L1026" s="375"/>
      <c r="M1026" s="352"/>
    </row>
    <row r="1027" spans="1:13" x14ac:dyDescent="0.2">
      <c r="A1027" s="374"/>
      <c r="B1027" s="375"/>
      <c r="C1027" s="375"/>
      <c r="D1027" s="375"/>
      <c r="E1027" s="375"/>
      <c r="F1027" s="375"/>
      <c r="G1027" s="375"/>
      <c r="H1027" s="375"/>
      <c r="I1027" s="375"/>
      <c r="J1027" s="375"/>
      <c r="K1027" s="375"/>
      <c r="L1027" s="375"/>
      <c r="M1027" s="352"/>
    </row>
    <row r="1028" spans="1:13" x14ac:dyDescent="0.2">
      <c r="A1028" s="348"/>
      <c r="B1028" s="466"/>
      <c r="C1028" s="466"/>
      <c r="D1028" s="466"/>
      <c r="E1028" s="467"/>
      <c r="F1028" s="466"/>
      <c r="G1028" s="466"/>
      <c r="H1028" s="466"/>
      <c r="I1028" s="467"/>
      <c r="J1028" s="466"/>
      <c r="K1028" s="466"/>
      <c r="L1028" s="466"/>
      <c r="M1028" s="352"/>
    </row>
    <row r="1029" spans="1:13" x14ac:dyDescent="0.2">
      <c r="A1029" s="348"/>
      <c r="B1029" s="466"/>
      <c r="C1029" s="466"/>
      <c r="D1029" s="466"/>
      <c r="E1029" s="467"/>
      <c r="F1029" s="466"/>
      <c r="G1029" s="466"/>
      <c r="H1029" s="466"/>
      <c r="I1029" s="467"/>
      <c r="J1029" s="466"/>
      <c r="K1029" s="466"/>
      <c r="L1029" s="466"/>
      <c r="M1029" s="352"/>
    </row>
    <row r="1030" spans="1:13" x14ac:dyDescent="0.2">
      <c r="A1030" s="348"/>
      <c r="B1030" s="466"/>
      <c r="C1030" s="466"/>
      <c r="D1030" s="466"/>
      <c r="E1030" s="467"/>
      <c r="F1030" s="466"/>
      <c r="G1030" s="466"/>
      <c r="H1030" s="466"/>
      <c r="I1030" s="467"/>
      <c r="J1030" s="466"/>
      <c r="K1030" s="466"/>
      <c r="L1030" s="466"/>
      <c r="M1030" s="352"/>
    </row>
    <row r="1031" spans="1:13" x14ac:dyDescent="0.2">
      <c r="A1031" s="348"/>
      <c r="B1031" s="466"/>
      <c r="C1031" s="466"/>
      <c r="D1031" s="466"/>
      <c r="E1031" s="467"/>
      <c r="F1031" s="466"/>
      <c r="G1031" s="466"/>
      <c r="H1031" s="466"/>
      <c r="I1031" s="467"/>
      <c r="J1031" s="466"/>
      <c r="K1031" s="466"/>
      <c r="L1031" s="466"/>
      <c r="M1031" s="352"/>
    </row>
    <row r="1032" spans="1:13" x14ac:dyDescent="0.2">
      <c r="A1032" s="348"/>
      <c r="B1032" s="466"/>
      <c r="C1032" s="466"/>
      <c r="D1032" s="466"/>
      <c r="E1032" s="467"/>
      <c r="F1032" s="466"/>
      <c r="G1032" s="466"/>
      <c r="H1032" s="466"/>
      <c r="I1032" s="467"/>
      <c r="J1032" s="466"/>
      <c r="K1032" s="466"/>
      <c r="L1032" s="466"/>
      <c r="M1032" s="352"/>
    </row>
    <row r="1033" spans="1:13" x14ac:dyDescent="0.2">
      <c r="A1033" s="348"/>
      <c r="B1033" s="466"/>
      <c r="C1033" s="466"/>
      <c r="D1033" s="466"/>
      <c r="E1033" s="467"/>
      <c r="F1033" s="466"/>
      <c r="G1033" s="466"/>
      <c r="H1033" s="466"/>
      <c r="I1033" s="467"/>
      <c r="J1033" s="466"/>
      <c r="K1033" s="466"/>
      <c r="L1033" s="466"/>
      <c r="M1033" s="352"/>
    </row>
    <row r="1034" spans="1:13" x14ac:dyDescent="0.2">
      <c r="A1034" s="348"/>
      <c r="B1034" s="466"/>
      <c r="C1034" s="466"/>
      <c r="D1034" s="466"/>
      <c r="E1034" s="467"/>
      <c r="F1034" s="466"/>
      <c r="G1034" s="466"/>
      <c r="H1034" s="466"/>
      <c r="I1034" s="467"/>
      <c r="J1034" s="466"/>
      <c r="K1034" s="466"/>
      <c r="L1034" s="466"/>
      <c r="M1034" s="352"/>
    </row>
    <row r="1035" spans="1:13" x14ac:dyDescent="0.2">
      <c r="A1035" s="348"/>
      <c r="B1035" s="466"/>
      <c r="C1035" s="466"/>
      <c r="D1035" s="466"/>
      <c r="E1035" s="467"/>
      <c r="F1035" s="466"/>
      <c r="G1035" s="466"/>
      <c r="H1035" s="466"/>
      <c r="I1035" s="467"/>
      <c r="J1035" s="466"/>
      <c r="K1035" s="466"/>
      <c r="L1035" s="466"/>
      <c r="M1035" s="352"/>
    </row>
    <row r="1036" spans="1:13" ht="13.5" customHeight="1" x14ac:dyDescent="0.2">
      <c r="A1036" s="348"/>
      <c r="B1036" s="466"/>
      <c r="C1036" s="466"/>
      <c r="D1036" s="466"/>
      <c r="E1036" s="467"/>
      <c r="F1036" s="466"/>
      <c r="G1036" s="466"/>
      <c r="H1036" s="466"/>
      <c r="I1036" s="467"/>
      <c r="J1036" s="466"/>
      <c r="K1036" s="466"/>
      <c r="L1036" s="466"/>
      <c r="M1036" s="352"/>
    </row>
    <row r="1037" spans="1:13" ht="13.5" customHeight="1" x14ac:dyDescent="0.2">
      <c r="A1037" s="348"/>
      <c r="B1037" s="466"/>
      <c r="C1037" s="466"/>
      <c r="D1037" s="466"/>
      <c r="E1037" s="467"/>
      <c r="F1037" s="466"/>
      <c r="G1037" s="466"/>
      <c r="H1037" s="466"/>
      <c r="I1037" s="467"/>
      <c r="J1037" s="466"/>
      <c r="K1037" s="466"/>
      <c r="L1037" s="466"/>
      <c r="M1037" s="352"/>
    </row>
    <row r="1038" spans="1:13" x14ac:dyDescent="0.2">
      <c r="A1038" s="348"/>
      <c r="B1038" s="467"/>
      <c r="C1038" s="467"/>
      <c r="D1038" s="467"/>
      <c r="E1038" s="467"/>
      <c r="F1038" s="467"/>
      <c r="G1038" s="467"/>
      <c r="H1038" s="467"/>
      <c r="I1038" s="467"/>
      <c r="J1038" s="467"/>
      <c r="K1038" s="467"/>
      <c r="L1038" s="467"/>
      <c r="M1038" s="352"/>
    </row>
    <row r="1039" spans="1:13" x14ac:dyDescent="0.2">
      <c r="A1039" s="348"/>
      <c r="B1039" s="348"/>
      <c r="C1039" s="348"/>
      <c r="D1039" s="348"/>
      <c r="E1039" s="348"/>
      <c r="F1039" s="348"/>
      <c r="G1039" s="348"/>
      <c r="H1039" s="348"/>
      <c r="I1039" s="348"/>
      <c r="J1039" s="348"/>
      <c r="K1039" s="348"/>
      <c r="L1039" s="353"/>
      <c r="M1039" s="352"/>
    </row>
    <row r="1040" spans="1:13" x14ac:dyDescent="0.2">
      <c r="A1040" s="348"/>
      <c r="B1040" s="348"/>
      <c r="C1040" s="348"/>
      <c r="D1040" s="348"/>
      <c r="E1040" s="348"/>
      <c r="F1040" s="348"/>
      <c r="G1040" s="348"/>
      <c r="H1040" s="348"/>
      <c r="I1040" s="348"/>
      <c r="J1040" s="348"/>
      <c r="K1040" s="348"/>
      <c r="L1040" s="410"/>
      <c r="M1040" s="352"/>
    </row>
    <row r="1041" spans="1:13" x14ac:dyDescent="0.2">
      <c r="A1041" s="374"/>
      <c r="B1041" s="354"/>
      <c r="C1041" s="354"/>
      <c r="D1041" s="354"/>
      <c r="E1041" s="354"/>
      <c r="F1041" s="354"/>
      <c r="G1041" s="354"/>
      <c r="H1041" s="354"/>
      <c r="I1041" s="354"/>
      <c r="J1041" s="354"/>
      <c r="K1041" s="354"/>
      <c r="L1041" s="352"/>
      <c r="M1041" s="352"/>
    </row>
    <row r="1042" spans="1:13" x14ac:dyDescent="0.2">
      <c r="A1042" s="354"/>
      <c r="B1042" s="517"/>
      <c r="C1042" s="517"/>
      <c r="D1042" s="517"/>
      <c r="E1042" s="369"/>
      <c r="F1042" s="517"/>
      <c r="G1042" s="517"/>
      <c r="H1042" s="517"/>
      <c r="I1042" s="369"/>
      <c r="J1042" s="517"/>
      <c r="K1042" s="517"/>
      <c r="L1042" s="517"/>
      <c r="M1042" s="352"/>
    </row>
    <row r="1043" spans="1:13" x14ac:dyDescent="0.2">
      <c r="A1043" s="374"/>
      <c r="B1043" s="375"/>
      <c r="C1043" s="375"/>
      <c r="D1043" s="375"/>
      <c r="E1043" s="375"/>
      <c r="F1043" s="375"/>
      <c r="G1043" s="375"/>
      <c r="H1043" s="375"/>
      <c r="I1043" s="375"/>
      <c r="J1043" s="375"/>
      <c r="K1043" s="375"/>
      <c r="L1043" s="375"/>
      <c r="M1043" s="352"/>
    </row>
    <row r="1044" spans="1:13" x14ac:dyDescent="0.2">
      <c r="A1044" s="374"/>
      <c r="B1044" s="375"/>
      <c r="C1044" s="375"/>
      <c r="D1044" s="375"/>
      <c r="E1044" s="375"/>
      <c r="F1044" s="375"/>
      <c r="G1044" s="375"/>
      <c r="H1044" s="375"/>
      <c r="I1044" s="375"/>
      <c r="J1044" s="375"/>
      <c r="K1044" s="375"/>
      <c r="L1044" s="375"/>
      <c r="M1044" s="352"/>
    </row>
    <row r="1045" spans="1:13" x14ac:dyDescent="0.2">
      <c r="A1045" s="348"/>
      <c r="B1045" s="466"/>
      <c r="C1045" s="466"/>
      <c r="D1045" s="466"/>
      <c r="E1045" s="467"/>
      <c r="F1045" s="466"/>
      <c r="G1045" s="466"/>
      <c r="H1045" s="466"/>
      <c r="I1045" s="467"/>
      <c r="J1045" s="466"/>
      <c r="K1045" s="466"/>
      <c r="L1045" s="466"/>
      <c r="M1045" s="352"/>
    </row>
    <row r="1046" spans="1:13" x14ac:dyDescent="0.2">
      <c r="A1046" s="348"/>
      <c r="B1046" s="466"/>
      <c r="C1046" s="466"/>
      <c r="D1046" s="466"/>
      <c r="E1046" s="467"/>
      <c r="F1046" s="466"/>
      <c r="G1046" s="466"/>
      <c r="H1046" s="466"/>
      <c r="I1046" s="467"/>
      <c r="J1046" s="466"/>
      <c r="K1046" s="466"/>
      <c r="L1046" s="466"/>
      <c r="M1046" s="352"/>
    </row>
    <row r="1047" spans="1:13" x14ac:dyDescent="0.2">
      <c r="A1047" s="348"/>
      <c r="B1047" s="466"/>
      <c r="C1047" s="466"/>
      <c r="D1047" s="466"/>
      <c r="E1047" s="467"/>
      <c r="F1047" s="466"/>
      <c r="G1047" s="466"/>
      <c r="H1047" s="466"/>
      <c r="I1047" s="467"/>
      <c r="J1047" s="466"/>
      <c r="K1047" s="466"/>
      <c r="L1047" s="466"/>
      <c r="M1047" s="352"/>
    </row>
    <row r="1048" spans="1:13" x14ac:dyDescent="0.2">
      <c r="A1048" s="348"/>
      <c r="B1048" s="466"/>
      <c r="C1048" s="466"/>
      <c r="D1048" s="466"/>
      <c r="E1048" s="467"/>
      <c r="F1048" s="466"/>
      <c r="G1048" s="466"/>
      <c r="H1048" s="466"/>
      <c r="I1048" s="467"/>
      <c r="J1048" s="466"/>
      <c r="K1048" s="466"/>
      <c r="L1048" s="466"/>
      <c r="M1048" s="352"/>
    </row>
    <row r="1049" spans="1:13" x14ac:dyDescent="0.2">
      <c r="A1049" s="348"/>
      <c r="B1049" s="466"/>
      <c r="C1049" s="466"/>
      <c r="D1049" s="466"/>
      <c r="E1049" s="467"/>
      <c r="F1049" s="466"/>
      <c r="G1049" s="466"/>
      <c r="H1049" s="466"/>
      <c r="I1049" s="467"/>
      <c r="J1049" s="466"/>
      <c r="K1049" s="466"/>
      <c r="L1049" s="466"/>
      <c r="M1049" s="352"/>
    </row>
    <row r="1050" spans="1:13" x14ac:dyDescent="0.2">
      <c r="A1050" s="348"/>
      <c r="B1050" s="466"/>
      <c r="C1050" s="466"/>
      <c r="D1050" s="466"/>
      <c r="E1050" s="467"/>
      <c r="F1050" s="466"/>
      <c r="G1050" s="466"/>
      <c r="H1050" s="466"/>
      <c r="I1050" s="467"/>
      <c r="J1050" s="466"/>
      <c r="K1050" s="466"/>
      <c r="L1050" s="466"/>
      <c r="M1050" s="352"/>
    </row>
    <row r="1051" spans="1:13" x14ac:dyDescent="0.2">
      <c r="A1051" s="348"/>
      <c r="B1051" s="466"/>
      <c r="C1051" s="466"/>
      <c r="D1051" s="466"/>
      <c r="E1051" s="467"/>
      <c r="F1051" s="466"/>
      <c r="G1051" s="466"/>
      <c r="H1051" s="466"/>
      <c r="I1051" s="467"/>
      <c r="J1051" s="466"/>
      <c r="K1051" s="466"/>
      <c r="L1051" s="466"/>
      <c r="M1051" s="352"/>
    </row>
    <row r="1052" spans="1:13" x14ac:dyDescent="0.2">
      <c r="A1052" s="348"/>
      <c r="B1052" s="466"/>
      <c r="C1052" s="466"/>
      <c r="D1052" s="466"/>
      <c r="E1052" s="467"/>
      <c r="F1052" s="466"/>
      <c r="G1052" s="466"/>
      <c r="H1052" s="466"/>
      <c r="I1052" s="467"/>
      <c r="J1052" s="466"/>
      <c r="K1052" s="466"/>
      <c r="L1052" s="466"/>
      <c r="M1052" s="352"/>
    </row>
    <row r="1053" spans="1:13" x14ac:dyDescent="0.2">
      <c r="A1053" s="348"/>
      <c r="B1053" s="466"/>
      <c r="C1053" s="466"/>
      <c r="D1053" s="466"/>
      <c r="E1053" s="467"/>
      <c r="F1053" s="466"/>
      <c r="G1053" s="466"/>
      <c r="H1053" s="466"/>
      <c r="I1053" s="467"/>
      <c r="J1053" s="466"/>
      <c r="K1053" s="466"/>
      <c r="L1053" s="466"/>
      <c r="M1053" s="352"/>
    </row>
    <row r="1054" spans="1:13" x14ac:dyDescent="0.2">
      <c r="A1054" s="348"/>
      <c r="B1054" s="466"/>
      <c r="C1054" s="466"/>
      <c r="D1054" s="466"/>
      <c r="E1054" s="467"/>
      <c r="F1054" s="466"/>
      <c r="G1054" s="466"/>
      <c r="H1054" s="466"/>
      <c r="I1054" s="467"/>
      <c r="J1054" s="466"/>
      <c r="K1054" s="466"/>
      <c r="L1054" s="466"/>
      <c r="M1054" s="352"/>
    </row>
    <row r="1055" spans="1:13" x14ac:dyDescent="0.2">
      <c r="A1055" s="348"/>
      <c r="B1055" s="467"/>
      <c r="C1055" s="467"/>
      <c r="D1055" s="467"/>
      <c r="E1055" s="467"/>
      <c r="F1055" s="467"/>
      <c r="G1055" s="467"/>
      <c r="H1055" s="467"/>
      <c r="I1055" s="467"/>
      <c r="J1055" s="467"/>
      <c r="K1055" s="467"/>
      <c r="L1055" s="467"/>
      <c r="M1055" s="352"/>
    </row>
    <row r="1056" spans="1:13" x14ac:dyDescent="0.2">
      <c r="A1056" s="348"/>
      <c r="B1056" s="348"/>
      <c r="C1056" s="348"/>
      <c r="D1056" s="348"/>
      <c r="E1056" s="348"/>
      <c r="F1056" s="348"/>
      <c r="G1056" s="348"/>
      <c r="H1056" s="348"/>
      <c r="I1056" s="348"/>
      <c r="J1056" s="348"/>
      <c r="K1056" s="348"/>
      <c r="L1056" s="353"/>
      <c r="M1056" s="352"/>
    </row>
    <row r="1057" spans="1:13" x14ac:dyDescent="0.2">
      <c r="A1057" s="348"/>
      <c r="B1057" s="348"/>
      <c r="C1057" s="348"/>
      <c r="D1057" s="348"/>
      <c r="E1057" s="348"/>
      <c r="F1057" s="348"/>
      <c r="G1057" s="348"/>
      <c r="H1057" s="348"/>
      <c r="I1057" s="348"/>
      <c r="J1057" s="348"/>
      <c r="K1057" s="348"/>
      <c r="L1057" s="410"/>
      <c r="M1057" s="352"/>
    </row>
    <row r="1058" spans="1:13" x14ac:dyDescent="0.2">
      <c r="A1058" s="374"/>
      <c r="B1058" s="354"/>
      <c r="C1058" s="354"/>
      <c r="D1058" s="354"/>
      <c r="E1058" s="354"/>
      <c r="F1058" s="354"/>
      <c r="G1058" s="354"/>
      <c r="H1058" s="354"/>
      <c r="I1058" s="354"/>
      <c r="J1058" s="354"/>
      <c r="K1058" s="354"/>
      <c r="L1058" s="352"/>
      <c r="M1058" s="352"/>
    </row>
    <row r="1059" spans="1:13" x14ac:dyDescent="0.2">
      <c r="A1059" s="354"/>
      <c r="B1059" s="517"/>
      <c r="C1059" s="517"/>
      <c r="D1059" s="517"/>
      <c r="E1059" s="369"/>
      <c r="F1059" s="517"/>
      <c r="G1059" s="517"/>
      <c r="H1059" s="517"/>
      <c r="I1059" s="369"/>
      <c r="J1059" s="517"/>
      <c r="K1059" s="517"/>
      <c r="L1059" s="517"/>
      <c r="M1059" s="352"/>
    </row>
    <row r="1060" spans="1:13" x14ac:dyDescent="0.2">
      <c r="A1060" s="374"/>
      <c r="B1060" s="375"/>
      <c r="C1060" s="375"/>
      <c r="D1060" s="375"/>
      <c r="E1060" s="375"/>
      <c r="F1060" s="375"/>
      <c r="G1060" s="375"/>
      <c r="H1060" s="375"/>
      <c r="I1060" s="375"/>
      <c r="J1060" s="375"/>
      <c r="K1060" s="375"/>
      <c r="L1060" s="375"/>
      <c r="M1060" s="352"/>
    </row>
    <row r="1061" spans="1:13" x14ac:dyDescent="0.2">
      <c r="A1061" s="374"/>
      <c r="B1061" s="375"/>
      <c r="C1061" s="375"/>
      <c r="D1061" s="375"/>
      <c r="E1061" s="375"/>
      <c r="F1061" s="375"/>
      <c r="G1061" s="375"/>
      <c r="H1061" s="375"/>
      <c r="I1061" s="375"/>
      <c r="J1061" s="375"/>
      <c r="K1061" s="375"/>
      <c r="L1061" s="375"/>
      <c r="M1061" s="352"/>
    </row>
    <row r="1062" spans="1:13" x14ac:dyDescent="0.2">
      <c r="A1062" s="348"/>
      <c r="B1062" s="466"/>
      <c r="C1062" s="466"/>
      <c r="D1062" s="466"/>
      <c r="E1062" s="467"/>
      <c r="F1062" s="466"/>
      <c r="G1062" s="466"/>
      <c r="H1062" s="466"/>
      <c r="I1062" s="467"/>
      <c r="J1062" s="466"/>
      <c r="K1062" s="466"/>
      <c r="L1062" s="466"/>
      <c r="M1062" s="352"/>
    </row>
    <row r="1063" spans="1:13" x14ac:dyDescent="0.2">
      <c r="A1063" s="348"/>
      <c r="B1063" s="466"/>
      <c r="C1063" s="466"/>
      <c r="D1063" s="466"/>
      <c r="E1063" s="467"/>
      <c r="F1063" s="466"/>
      <c r="G1063" s="466"/>
      <c r="H1063" s="466"/>
      <c r="I1063" s="467"/>
      <c r="J1063" s="466"/>
      <c r="K1063" s="466"/>
      <c r="L1063" s="466"/>
      <c r="M1063" s="352"/>
    </row>
    <row r="1064" spans="1:13" x14ac:dyDescent="0.2">
      <c r="A1064" s="348"/>
      <c r="B1064" s="466"/>
      <c r="C1064" s="466"/>
      <c r="D1064" s="466"/>
      <c r="E1064" s="467"/>
      <c r="F1064" s="466"/>
      <c r="G1064" s="466"/>
      <c r="H1064" s="466"/>
      <c r="I1064" s="467"/>
      <c r="J1064" s="466"/>
      <c r="K1064" s="466"/>
      <c r="L1064" s="466"/>
      <c r="M1064" s="352"/>
    </row>
    <row r="1065" spans="1:13" x14ac:dyDescent="0.2">
      <c r="A1065" s="348"/>
      <c r="B1065" s="466"/>
      <c r="C1065" s="466"/>
      <c r="D1065" s="466"/>
      <c r="E1065" s="467"/>
      <c r="F1065" s="466"/>
      <c r="G1065" s="466"/>
      <c r="H1065" s="466"/>
      <c r="I1065" s="467"/>
      <c r="J1065" s="466"/>
      <c r="K1065" s="466"/>
      <c r="L1065" s="466"/>
      <c r="M1065" s="352"/>
    </row>
    <row r="1066" spans="1:13" x14ac:dyDescent="0.2">
      <c r="A1066" s="348"/>
      <c r="B1066" s="466"/>
      <c r="C1066" s="466"/>
      <c r="D1066" s="466"/>
      <c r="E1066" s="467"/>
      <c r="F1066" s="466"/>
      <c r="G1066" s="466"/>
      <c r="H1066" s="466"/>
      <c r="I1066" s="467"/>
      <c r="J1066" s="466"/>
      <c r="K1066" s="466"/>
      <c r="L1066" s="466"/>
      <c r="M1066" s="352"/>
    </row>
    <row r="1067" spans="1:13" x14ac:dyDescent="0.2">
      <c r="A1067" s="348"/>
      <c r="B1067" s="466"/>
      <c r="C1067" s="466"/>
      <c r="D1067" s="466"/>
      <c r="E1067" s="467"/>
      <c r="F1067" s="466"/>
      <c r="G1067" s="466"/>
      <c r="H1067" s="466"/>
      <c r="I1067" s="467"/>
      <c r="J1067" s="466"/>
      <c r="K1067" s="466"/>
      <c r="L1067" s="466"/>
      <c r="M1067" s="352"/>
    </row>
    <row r="1068" spans="1:13" x14ac:dyDescent="0.2">
      <c r="A1068" s="348"/>
      <c r="B1068" s="466"/>
      <c r="C1068" s="466"/>
      <c r="D1068" s="466"/>
      <c r="E1068" s="467"/>
      <c r="F1068" s="466"/>
      <c r="G1068" s="466"/>
      <c r="H1068" s="466"/>
      <c r="I1068" s="467"/>
      <c r="J1068" s="466"/>
      <c r="K1068" s="466"/>
      <c r="L1068" s="466"/>
      <c r="M1068" s="352"/>
    </row>
    <row r="1069" spans="1:13" x14ac:dyDescent="0.2">
      <c r="A1069" s="348"/>
      <c r="B1069" s="466"/>
      <c r="C1069" s="466"/>
      <c r="D1069" s="466"/>
      <c r="E1069" s="467"/>
      <c r="F1069" s="466"/>
      <c r="G1069" s="466"/>
      <c r="H1069" s="466"/>
      <c r="I1069" s="467"/>
      <c r="J1069" s="466"/>
      <c r="K1069" s="466"/>
      <c r="L1069" s="466"/>
      <c r="M1069" s="352"/>
    </row>
    <row r="1070" spans="1:13" x14ac:dyDescent="0.2">
      <c r="A1070" s="348"/>
      <c r="B1070" s="466"/>
      <c r="C1070" s="466"/>
      <c r="D1070" s="466"/>
      <c r="E1070" s="467"/>
      <c r="F1070" s="466"/>
      <c r="G1070" s="466"/>
      <c r="H1070" s="466"/>
      <c r="I1070" s="467"/>
      <c r="J1070" s="466"/>
      <c r="K1070" s="466"/>
      <c r="L1070" s="466"/>
      <c r="M1070" s="352"/>
    </row>
    <row r="1071" spans="1:13" x14ac:dyDescent="0.2">
      <c r="A1071" s="348"/>
      <c r="B1071" s="466"/>
      <c r="C1071" s="466"/>
      <c r="D1071" s="466"/>
      <c r="E1071" s="467"/>
      <c r="F1071" s="466"/>
      <c r="G1071" s="466"/>
      <c r="H1071" s="466"/>
      <c r="I1071" s="467"/>
      <c r="J1071" s="466"/>
      <c r="K1071" s="466"/>
      <c r="L1071" s="466"/>
      <c r="M1071" s="352"/>
    </row>
    <row r="1072" spans="1:13" x14ac:dyDescent="0.2">
      <c r="A1072" s="348"/>
      <c r="B1072" s="467"/>
      <c r="C1072" s="467"/>
      <c r="D1072" s="467"/>
      <c r="E1072" s="467"/>
      <c r="F1072" s="467"/>
      <c r="G1072" s="467"/>
      <c r="H1072" s="467"/>
      <c r="I1072" s="467"/>
      <c r="J1072" s="467"/>
      <c r="K1072" s="467"/>
      <c r="L1072" s="467"/>
      <c r="M1072" s="352"/>
    </row>
    <row r="1073" spans="1:13" x14ac:dyDescent="0.2">
      <c r="A1073" s="348"/>
      <c r="B1073" s="348"/>
      <c r="C1073" s="348"/>
      <c r="D1073" s="348"/>
      <c r="E1073" s="348"/>
      <c r="F1073" s="348"/>
      <c r="G1073" s="348"/>
      <c r="H1073" s="348"/>
      <c r="I1073" s="348"/>
      <c r="J1073" s="348"/>
      <c r="K1073" s="348"/>
      <c r="L1073" s="353"/>
      <c r="M1073" s="352"/>
    </row>
    <row r="1074" spans="1:13" x14ac:dyDescent="0.2">
      <c r="A1074" s="348"/>
      <c r="B1074" s="348"/>
      <c r="C1074" s="348"/>
      <c r="D1074" s="348"/>
      <c r="E1074" s="348"/>
      <c r="F1074" s="348"/>
      <c r="G1074" s="348"/>
      <c r="H1074" s="348"/>
      <c r="I1074" s="348"/>
      <c r="J1074" s="348"/>
      <c r="K1074" s="348"/>
      <c r="L1074" s="410"/>
      <c r="M1074" s="352"/>
    </row>
    <row r="1075" spans="1:13" x14ac:dyDescent="0.2">
      <c r="A1075" s="374"/>
      <c r="B1075" s="354"/>
      <c r="C1075" s="354"/>
      <c r="D1075" s="354"/>
      <c r="E1075" s="354"/>
      <c r="F1075" s="354"/>
      <c r="G1075" s="354"/>
      <c r="H1075" s="354"/>
      <c r="I1075" s="354"/>
      <c r="J1075" s="354"/>
      <c r="K1075" s="354"/>
      <c r="L1075" s="352"/>
      <c r="M1075" s="352"/>
    </row>
    <row r="1076" spans="1:13" x14ac:dyDescent="0.2">
      <c r="A1076" s="354"/>
      <c r="B1076" s="517"/>
      <c r="C1076" s="517"/>
      <c r="D1076" s="517"/>
      <c r="E1076" s="369"/>
      <c r="F1076" s="517"/>
      <c r="G1076" s="517"/>
      <c r="H1076" s="517"/>
      <c r="I1076" s="369"/>
      <c r="J1076" s="517"/>
      <c r="K1076" s="517"/>
      <c r="L1076" s="517"/>
      <c r="M1076" s="352"/>
    </row>
    <row r="1077" spans="1:13" x14ac:dyDescent="0.2">
      <c r="A1077" s="374"/>
      <c r="B1077" s="375"/>
      <c r="C1077" s="375"/>
      <c r="D1077" s="375"/>
      <c r="E1077" s="375"/>
      <c r="F1077" s="375"/>
      <c r="G1077" s="375"/>
      <c r="H1077" s="375"/>
      <c r="I1077" s="375"/>
      <c r="J1077" s="375"/>
      <c r="K1077" s="375"/>
      <c r="L1077" s="375"/>
      <c r="M1077" s="352"/>
    </row>
    <row r="1078" spans="1:13" x14ac:dyDescent="0.2">
      <c r="A1078" s="374"/>
      <c r="B1078" s="375"/>
      <c r="C1078" s="375"/>
      <c r="D1078" s="375"/>
      <c r="E1078" s="375"/>
      <c r="F1078" s="375"/>
      <c r="G1078" s="375"/>
      <c r="H1078" s="375"/>
      <c r="I1078" s="375"/>
      <c r="J1078" s="375"/>
      <c r="K1078" s="375"/>
      <c r="L1078" s="375"/>
      <c r="M1078" s="352"/>
    </row>
    <row r="1079" spans="1:13" x14ac:dyDescent="0.2">
      <c r="A1079" s="348"/>
      <c r="B1079" s="466"/>
      <c r="C1079" s="466"/>
      <c r="D1079" s="466"/>
      <c r="E1079" s="467"/>
      <c r="F1079" s="466"/>
      <c r="G1079" s="466"/>
      <c r="H1079" s="466"/>
      <c r="I1079" s="467"/>
      <c r="J1079" s="466"/>
      <c r="K1079" s="466"/>
      <c r="L1079" s="466"/>
      <c r="M1079" s="352"/>
    </row>
    <row r="1080" spans="1:13" x14ac:dyDescent="0.2">
      <c r="A1080" s="348"/>
      <c r="B1080" s="466"/>
      <c r="C1080" s="466"/>
      <c r="D1080" s="466"/>
      <c r="E1080" s="467"/>
      <c r="F1080" s="466"/>
      <c r="G1080" s="466"/>
      <c r="H1080" s="466"/>
      <c r="I1080" s="467"/>
      <c r="J1080" s="466"/>
      <c r="K1080" s="466"/>
      <c r="L1080" s="466"/>
      <c r="M1080" s="352"/>
    </row>
    <row r="1081" spans="1:13" x14ac:dyDescent="0.2">
      <c r="A1081" s="348"/>
      <c r="B1081" s="466"/>
      <c r="C1081" s="466"/>
      <c r="D1081" s="466"/>
      <c r="E1081" s="467"/>
      <c r="F1081" s="466"/>
      <c r="G1081" s="466"/>
      <c r="H1081" s="466"/>
      <c r="I1081" s="467"/>
      <c r="J1081" s="466"/>
      <c r="K1081" s="466"/>
      <c r="L1081" s="466"/>
      <c r="M1081" s="352"/>
    </row>
    <row r="1082" spans="1:13" x14ac:dyDescent="0.2">
      <c r="A1082" s="348"/>
      <c r="B1082" s="466"/>
      <c r="C1082" s="466"/>
      <c r="D1082" s="466"/>
      <c r="E1082" s="467"/>
      <c r="F1082" s="466"/>
      <c r="G1082" s="466"/>
      <c r="H1082" s="466"/>
      <c r="I1082" s="467"/>
      <c r="J1082" s="466"/>
      <c r="K1082" s="466"/>
      <c r="L1082" s="466"/>
      <c r="M1082" s="352"/>
    </row>
    <row r="1083" spans="1:13" x14ac:dyDescent="0.2">
      <c r="A1083" s="348"/>
      <c r="B1083" s="466"/>
      <c r="C1083" s="466"/>
      <c r="D1083" s="466"/>
      <c r="E1083" s="467"/>
      <c r="F1083" s="466"/>
      <c r="G1083" s="466"/>
      <c r="H1083" s="466"/>
      <c r="I1083" s="467"/>
      <c r="J1083" s="466"/>
      <c r="K1083" s="466"/>
      <c r="L1083" s="466"/>
      <c r="M1083" s="352"/>
    </row>
    <row r="1084" spans="1:13" x14ac:dyDescent="0.2">
      <c r="A1084" s="348"/>
      <c r="B1084" s="466"/>
      <c r="C1084" s="466"/>
      <c r="D1084" s="466"/>
      <c r="E1084" s="467"/>
      <c r="F1084" s="466"/>
      <c r="G1084" s="466"/>
      <c r="H1084" s="466"/>
      <c r="I1084" s="467"/>
      <c r="J1084" s="466"/>
      <c r="K1084" s="466"/>
      <c r="L1084" s="466"/>
      <c r="M1084" s="352"/>
    </row>
    <row r="1085" spans="1:13" x14ac:dyDescent="0.2">
      <c r="A1085" s="348"/>
      <c r="B1085" s="466"/>
      <c r="C1085" s="466"/>
      <c r="D1085" s="466"/>
      <c r="E1085" s="467"/>
      <c r="F1085" s="466"/>
      <c r="G1085" s="466"/>
      <c r="H1085" s="466"/>
      <c r="I1085" s="467"/>
      <c r="J1085" s="466"/>
      <c r="K1085" s="466"/>
      <c r="L1085" s="466"/>
      <c r="M1085" s="352"/>
    </row>
    <row r="1086" spans="1:13" x14ac:dyDescent="0.2">
      <c r="A1086" s="348"/>
      <c r="B1086" s="466"/>
      <c r="C1086" s="466"/>
      <c r="D1086" s="466"/>
      <c r="E1086" s="467"/>
      <c r="F1086" s="466"/>
      <c r="G1086" s="466"/>
      <c r="H1086" s="466"/>
      <c r="I1086" s="467"/>
      <c r="J1086" s="466"/>
      <c r="K1086" s="466"/>
      <c r="L1086" s="466"/>
      <c r="M1086" s="352"/>
    </row>
    <row r="1087" spans="1:13" x14ac:dyDescent="0.2">
      <c r="A1087" s="348"/>
      <c r="B1087" s="466"/>
      <c r="C1087" s="466"/>
      <c r="D1087" s="466"/>
      <c r="E1087" s="467"/>
      <c r="F1087" s="466"/>
      <c r="G1087" s="466"/>
      <c r="H1087" s="466"/>
      <c r="I1087" s="467"/>
      <c r="J1087" s="466"/>
      <c r="K1087" s="466"/>
      <c r="L1087" s="466"/>
      <c r="M1087" s="352"/>
    </row>
    <row r="1088" spans="1:13" x14ac:dyDescent="0.2">
      <c r="A1088" s="348"/>
      <c r="B1088" s="466"/>
      <c r="C1088" s="466"/>
      <c r="D1088" s="466"/>
      <c r="E1088" s="467"/>
      <c r="F1088" s="466"/>
      <c r="G1088" s="466"/>
      <c r="H1088" s="466"/>
      <c r="I1088" s="467"/>
      <c r="J1088" s="466"/>
      <c r="K1088" s="466"/>
      <c r="L1088" s="466"/>
      <c r="M1088" s="352"/>
    </row>
    <row r="1089" spans="1:13" x14ac:dyDescent="0.2">
      <c r="A1089" s="348"/>
      <c r="B1089" s="467"/>
      <c r="C1089" s="467"/>
      <c r="D1089" s="467"/>
      <c r="E1089" s="467"/>
      <c r="F1089" s="467"/>
      <c r="G1089" s="467"/>
      <c r="H1089" s="467"/>
      <c r="I1089" s="467"/>
      <c r="J1089" s="467"/>
      <c r="K1089" s="467"/>
      <c r="L1089" s="467"/>
      <c r="M1089" s="352"/>
    </row>
    <row r="1090" spans="1:13" x14ac:dyDescent="0.2">
      <c r="A1090" s="348"/>
      <c r="B1090" s="348"/>
      <c r="C1090" s="348"/>
      <c r="D1090" s="348"/>
      <c r="E1090" s="348"/>
      <c r="F1090" s="348"/>
      <c r="G1090" s="348"/>
      <c r="H1090" s="348"/>
      <c r="I1090" s="348"/>
      <c r="J1090" s="348"/>
      <c r="K1090" s="348"/>
      <c r="L1090" s="353"/>
      <c r="M1090" s="352"/>
    </row>
    <row r="1091" spans="1:13" x14ac:dyDescent="0.2">
      <c r="A1091" s="348"/>
      <c r="B1091" s="348"/>
      <c r="C1091" s="348"/>
      <c r="D1091" s="348"/>
      <c r="E1091" s="348"/>
      <c r="F1091" s="348"/>
      <c r="G1091" s="348"/>
      <c r="H1091" s="348"/>
      <c r="I1091" s="348"/>
      <c r="J1091" s="348"/>
      <c r="K1091" s="348"/>
      <c r="L1091" s="410"/>
      <c r="M1091" s="352"/>
    </row>
    <row r="1092" spans="1:13" x14ac:dyDescent="0.2">
      <c r="A1092" s="374"/>
      <c r="B1092" s="354"/>
      <c r="C1092" s="354"/>
      <c r="D1092" s="354"/>
      <c r="E1092" s="354"/>
      <c r="F1092" s="354"/>
      <c r="G1092" s="354"/>
      <c r="H1092" s="354"/>
      <c r="I1092" s="354"/>
      <c r="J1092" s="354"/>
      <c r="K1092" s="354"/>
      <c r="L1092" s="352"/>
      <c r="M1092" s="352"/>
    </row>
    <row r="1093" spans="1:13" x14ac:dyDescent="0.2">
      <c r="A1093" s="354"/>
      <c r="B1093" s="517"/>
      <c r="C1093" s="517"/>
      <c r="D1093" s="517"/>
      <c r="E1093" s="369"/>
      <c r="F1093" s="517"/>
      <c r="G1093" s="517"/>
      <c r="H1093" s="517"/>
      <c r="I1093" s="369"/>
      <c r="J1093" s="517"/>
      <c r="K1093" s="517"/>
      <c r="L1093" s="517"/>
      <c r="M1093" s="352"/>
    </row>
    <row r="1094" spans="1:13" x14ac:dyDescent="0.2">
      <c r="A1094" s="374"/>
      <c r="B1094" s="375"/>
      <c r="C1094" s="375"/>
      <c r="D1094" s="375"/>
      <c r="E1094" s="375"/>
      <c r="F1094" s="375"/>
      <c r="G1094" s="375"/>
      <c r="H1094" s="375"/>
      <c r="I1094" s="375"/>
      <c r="J1094" s="375"/>
      <c r="K1094" s="375"/>
      <c r="L1094" s="375"/>
      <c r="M1094" s="352"/>
    </row>
    <row r="1095" spans="1:13" x14ac:dyDescent="0.2">
      <c r="A1095" s="374"/>
      <c r="B1095" s="375"/>
      <c r="C1095" s="375"/>
      <c r="D1095" s="375"/>
      <c r="E1095" s="375"/>
      <c r="F1095" s="375"/>
      <c r="G1095" s="375"/>
      <c r="H1095" s="375"/>
      <c r="I1095" s="375"/>
      <c r="J1095" s="375"/>
      <c r="K1095" s="375"/>
      <c r="L1095" s="375"/>
      <c r="M1095" s="352"/>
    </row>
    <row r="1096" spans="1:13" x14ac:dyDescent="0.2">
      <c r="A1096" s="348"/>
      <c r="B1096" s="466"/>
      <c r="C1096" s="466"/>
      <c r="D1096" s="466"/>
      <c r="E1096" s="467"/>
      <c r="F1096" s="466"/>
      <c r="G1096" s="466"/>
      <c r="H1096" s="466"/>
      <c r="I1096" s="467"/>
      <c r="J1096" s="466"/>
      <c r="K1096" s="466"/>
      <c r="L1096" s="466"/>
      <c r="M1096" s="352"/>
    </row>
    <row r="1097" spans="1:13" x14ac:dyDescent="0.2">
      <c r="A1097" s="348"/>
      <c r="B1097" s="466"/>
      <c r="C1097" s="466"/>
      <c r="D1097" s="466"/>
      <c r="E1097" s="467"/>
      <c r="F1097" s="466"/>
      <c r="G1097" s="466"/>
      <c r="H1097" s="466"/>
      <c r="I1097" s="467"/>
      <c r="J1097" s="466"/>
      <c r="K1097" s="466"/>
      <c r="L1097" s="466"/>
      <c r="M1097" s="352"/>
    </row>
    <row r="1098" spans="1:13" x14ac:dyDescent="0.2">
      <c r="A1098" s="348"/>
      <c r="B1098" s="466"/>
      <c r="C1098" s="466"/>
      <c r="D1098" s="466"/>
      <c r="E1098" s="467"/>
      <c r="F1098" s="466"/>
      <c r="G1098" s="466"/>
      <c r="H1098" s="466"/>
      <c r="I1098" s="467"/>
      <c r="J1098" s="466"/>
      <c r="K1098" s="466"/>
      <c r="L1098" s="466"/>
      <c r="M1098" s="352"/>
    </row>
    <row r="1099" spans="1:13" x14ac:dyDescent="0.2">
      <c r="A1099" s="348"/>
      <c r="B1099" s="466"/>
      <c r="C1099" s="466"/>
      <c r="D1099" s="466"/>
      <c r="E1099" s="467"/>
      <c r="F1099" s="466"/>
      <c r="G1099" s="466"/>
      <c r="H1099" s="466"/>
      <c r="I1099" s="467"/>
      <c r="J1099" s="466"/>
      <c r="K1099" s="466"/>
      <c r="L1099" s="466"/>
      <c r="M1099" s="352"/>
    </row>
    <row r="1100" spans="1:13" x14ac:dyDescent="0.2">
      <c r="A1100" s="348"/>
      <c r="B1100" s="466"/>
      <c r="C1100" s="466"/>
      <c r="D1100" s="466"/>
      <c r="E1100" s="467"/>
      <c r="F1100" s="466"/>
      <c r="G1100" s="466"/>
      <c r="H1100" s="466"/>
      <c r="I1100" s="467"/>
      <c r="J1100" s="466"/>
      <c r="K1100" s="466"/>
      <c r="L1100" s="466"/>
      <c r="M1100" s="352"/>
    </row>
    <row r="1101" spans="1:13" x14ac:dyDescent="0.2">
      <c r="A1101" s="348"/>
      <c r="B1101" s="466"/>
      <c r="C1101" s="466"/>
      <c r="D1101" s="466"/>
      <c r="E1101" s="467"/>
      <c r="F1101" s="466"/>
      <c r="G1101" s="466"/>
      <c r="H1101" s="466"/>
      <c r="I1101" s="467"/>
      <c r="J1101" s="466"/>
      <c r="K1101" s="466"/>
      <c r="L1101" s="466"/>
      <c r="M1101" s="352"/>
    </row>
    <row r="1102" spans="1:13" x14ac:dyDescent="0.2">
      <c r="A1102" s="348"/>
      <c r="B1102" s="466"/>
      <c r="C1102" s="466"/>
      <c r="D1102" s="466"/>
      <c r="E1102" s="467"/>
      <c r="F1102" s="466"/>
      <c r="G1102" s="466"/>
      <c r="H1102" s="466"/>
      <c r="I1102" s="467"/>
      <c r="J1102" s="466"/>
      <c r="K1102" s="466"/>
      <c r="L1102" s="466"/>
      <c r="M1102" s="352"/>
    </row>
    <row r="1103" spans="1:13" x14ac:dyDescent="0.2">
      <c r="A1103" s="348"/>
      <c r="B1103" s="466"/>
      <c r="C1103" s="466"/>
      <c r="D1103" s="466"/>
      <c r="E1103" s="467"/>
      <c r="F1103" s="466"/>
      <c r="G1103" s="466"/>
      <c r="H1103" s="466"/>
      <c r="I1103" s="467"/>
      <c r="J1103" s="466"/>
      <c r="K1103" s="466"/>
      <c r="L1103" s="466"/>
      <c r="M1103" s="352"/>
    </row>
    <row r="1104" spans="1:13" x14ac:dyDescent="0.2">
      <c r="A1104" s="348"/>
      <c r="B1104" s="466"/>
      <c r="C1104" s="466"/>
      <c r="D1104" s="466"/>
      <c r="E1104" s="467"/>
      <c r="F1104" s="466"/>
      <c r="G1104" s="466"/>
      <c r="H1104" s="466"/>
      <c r="I1104" s="467"/>
      <c r="J1104" s="466"/>
      <c r="K1104" s="466"/>
      <c r="L1104" s="466"/>
      <c r="M1104" s="352"/>
    </row>
    <row r="1105" spans="1:13" x14ac:dyDescent="0.2">
      <c r="A1105" s="348"/>
      <c r="B1105" s="466"/>
      <c r="C1105" s="466"/>
      <c r="D1105" s="466"/>
      <c r="E1105" s="467"/>
      <c r="F1105" s="466"/>
      <c r="G1105" s="466"/>
      <c r="H1105" s="466"/>
      <c r="I1105" s="467"/>
      <c r="J1105" s="466"/>
      <c r="K1105" s="466"/>
      <c r="L1105" s="466"/>
      <c r="M1105" s="352"/>
    </row>
    <row r="1106" spans="1:13" x14ac:dyDescent="0.2">
      <c r="A1106" s="348"/>
      <c r="B1106" s="467"/>
      <c r="C1106" s="467"/>
      <c r="D1106" s="467"/>
      <c r="E1106" s="467"/>
      <c r="F1106" s="467"/>
      <c r="G1106" s="467"/>
      <c r="H1106" s="467"/>
      <c r="I1106" s="467"/>
      <c r="J1106" s="467"/>
      <c r="K1106" s="467"/>
      <c r="L1106" s="467"/>
      <c r="M1106" s="352"/>
    </row>
    <row r="1107" spans="1:13" x14ac:dyDescent="0.2">
      <c r="A1107" s="348"/>
      <c r="B1107" s="348"/>
      <c r="C1107" s="348"/>
      <c r="D1107" s="348"/>
      <c r="E1107" s="348"/>
      <c r="F1107" s="348"/>
      <c r="G1107" s="348"/>
      <c r="H1107" s="348"/>
      <c r="I1107" s="348"/>
      <c r="J1107" s="348"/>
      <c r="K1107" s="348"/>
      <c r="L1107" s="353"/>
      <c r="M1107" s="352"/>
    </row>
    <row r="1108" spans="1:13" x14ac:dyDescent="0.2">
      <c r="A1108" s="348"/>
      <c r="B1108" s="348"/>
      <c r="C1108" s="348"/>
      <c r="D1108" s="348"/>
      <c r="E1108" s="348"/>
      <c r="F1108" s="348"/>
      <c r="G1108" s="348"/>
      <c r="H1108" s="348"/>
      <c r="I1108" s="348"/>
      <c r="J1108" s="348"/>
      <c r="K1108" s="348"/>
      <c r="L1108" s="410"/>
      <c r="M1108" s="352"/>
    </row>
    <row r="1109" spans="1:13" x14ac:dyDescent="0.2">
      <c r="A1109" s="374"/>
      <c r="B1109" s="354"/>
      <c r="C1109" s="354"/>
      <c r="D1109" s="354"/>
      <c r="E1109" s="354"/>
      <c r="F1109" s="354"/>
      <c r="G1109" s="354"/>
      <c r="H1109" s="354"/>
      <c r="I1109" s="354"/>
      <c r="J1109" s="354"/>
      <c r="K1109" s="354"/>
      <c r="L1109" s="352"/>
      <c r="M1109" s="352"/>
    </row>
    <row r="1110" spans="1:13" x14ac:dyDescent="0.2">
      <c r="A1110" s="354"/>
      <c r="B1110" s="517"/>
      <c r="C1110" s="517"/>
      <c r="D1110" s="517"/>
      <c r="E1110" s="369"/>
      <c r="F1110" s="517"/>
      <c r="G1110" s="517"/>
      <c r="H1110" s="517"/>
      <c r="I1110" s="369"/>
      <c r="J1110" s="517"/>
      <c r="K1110" s="517"/>
      <c r="L1110" s="517"/>
      <c r="M1110" s="352"/>
    </row>
    <row r="1111" spans="1:13" x14ac:dyDescent="0.2">
      <c r="A1111" s="374"/>
      <c r="B1111" s="375"/>
      <c r="C1111" s="375"/>
      <c r="D1111" s="375"/>
      <c r="E1111" s="375"/>
      <c r="F1111" s="375"/>
      <c r="G1111" s="375"/>
      <c r="H1111" s="375"/>
      <c r="I1111" s="375"/>
      <c r="J1111" s="375"/>
      <c r="K1111" s="375"/>
      <c r="L1111" s="375"/>
      <c r="M1111" s="352"/>
    </row>
    <row r="1112" spans="1:13" x14ac:dyDescent="0.2">
      <c r="A1112" s="374"/>
      <c r="B1112" s="375"/>
      <c r="C1112" s="375"/>
      <c r="D1112" s="375"/>
      <c r="E1112" s="375"/>
      <c r="F1112" s="375"/>
      <c r="G1112" s="375"/>
      <c r="H1112" s="375"/>
      <c r="I1112" s="375"/>
      <c r="J1112" s="375"/>
      <c r="K1112" s="375"/>
      <c r="L1112" s="375"/>
      <c r="M1112" s="352"/>
    </row>
    <row r="1113" spans="1:13" x14ac:dyDescent="0.2">
      <c r="A1113" s="348"/>
      <c r="B1113" s="466"/>
      <c r="C1113" s="466"/>
      <c r="D1113" s="466"/>
      <c r="E1113" s="467"/>
      <c r="F1113" s="466"/>
      <c r="G1113" s="466"/>
      <c r="H1113" s="466"/>
      <c r="I1113" s="467"/>
      <c r="J1113" s="466"/>
      <c r="K1113" s="466"/>
      <c r="L1113" s="466"/>
      <c r="M1113" s="352"/>
    </row>
    <row r="1114" spans="1:13" x14ac:dyDescent="0.2">
      <c r="A1114" s="348"/>
      <c r="B1114" s="466"/>
      <c r="C1114" s="466"/>
      <c r="D1114" s="466"/>
      <c r="E1114" s="467"/>
      <c r="F1114" s="466"/>
      <c r="G1114" s="466"/>
      <c r="H1114" s="466"/>
      <c r="I1114" s="467"/>
      <c r="J1114" s="466"/>
      <c r="K1114" s="466"/>
      <c r="L1114" s="466"/>
      <c r="M1114" s="352"/>
    </row>
    <row r="1115" spans="1:13" x14ac:dyDescent="0.2">
      <c r="A1115" s="348"/>
      <c r="B1115" s="466"/>
      <c r="C1115" s="466"/>
      <c r="D1115" s="466"/>
      <c r="E1115" s="467"/>
      <c r="F1115" s="466"/>
      <c r="G1115" s="466"/>
      <c r="H1115" s="466"/>
      <c r="I1115" s="467"/>
      <c r="J1115" s="466"/>
      <c r="K1115" s="466"/>
      <c r="L1115" s="466"/>
      <c r="M1115" s="352"/>
    </row>
    <row r="1116" spans="1:13" x14ac:dyDescent="0.2">
      <c r="A1116" s="348"/>
      <c r="B1116" s="466"/>
      <c r="C1116" s="466"/>
      <c r="D1116" s="466"/>
      <c r="E1116" s="467"/>
      <c r="F1116" s="466"/>
      <c r="G1116" s="466"/>
      <c r="H1116" s="466"/>
      <c r="I1116" s="467"/>
      <c r="J1116" s="466"/>
      <c r="K1116" s="466"/>
      <c r="L1116" s="466"/>
      <c r="M1116" s="352"/>
    </row>
    <row r="1117" spans="1:13" x14ac:dyDescent="0.2">
      <c r="A1117" s="348"/>
      <c r="B1117" s="466"/>
      <c r="C1117" s="466"/>
      <c r="D1117" s="466"/>
      <c r="E1117" s="467"/>
      <c r="F1117" s="466"/>
      <c r="G1117" s="466"/>
      <c r="H1117" s="466"/>
      <c r="I1117" s="467"/>
      <c r="J1117" s="466"/>
      <c r="K1117" s="466"/>
      <c r="L1117" s="466"/>
      <c r="M1117" s="352"/>
    </row>
    <row r="1118" spans="1:13" x14ac:dyDescent="0.2">
      <c r="A1118" s="348"/>
      <c r="B1118" s="466"/>
      <c r="C1118" s="466"/>
      <c r="D1118" s="466"/>
      <c r="E1118" s="467"/>
      <c r="F1118" s="466"/>
      <c r="G1118" s="466"/>
      <c r="H1118" s="466"/>
      <c r="I1118" s="467"/>
      <c r="J1118" s="466"/>
      <c r="K1118" s="466"/>
      <c r="L1118" s="466"/>
      <c r="M1118" s="352"/>
    </row>
    <row r="1119" spans="1:13" x14ac:dyDescent="0.2">
      <c r="A1119" s="348"/>
      <c r="B1119" s="466"/>
      <c r="C1119" s="466"/>
      <c r="D1119" s="466"/>
      <c r="E1119" s="467"/>
      <c r="F1119" s="466"/>
      <c r="G1119" s="466"/>
      <c r="H1119" s="466"/>
      <c r="I1119" s="467"/>
      <c r="J1119" s="466"/>
      <c r="K1119" s="466"/>
      <c r="L1119" s="466"/>
      <c r="M1119" s="352"/>
    </row>
    <row r="1120" spans="1:13" x14ac:dyDescent="0.2">
      <c r="A1120" s="348"/>
      <c r="B1120" s="466"/>
      <c r="C1120" s="466"/>
      <c r="D1120" s="466"/>
      <c r="E1120" s="467"/>
      <c r="F1120" s="466"/>
      <c r="G1120" s="466"/>
      <c r="H1120" s="466"/>
      <c r="I1120" s="467"/>
      <c r="J1120" s="466"/>
      <c r="K1120" s="466"/>
      <c r="L1120" s="466"/>
      <c r="M1120" s="352"/>
    </row>
    <row r="1121" spans="1:13" x14ac:dyDescent="0.2">
      <c r="A1121" s="348"/>
      <c r="B1121" s="466"/>
      <c r="C1121" s="466"/>
      <c r="D1121" s="466"/>
      <c r="E1121" s="467"/>
      <c r="F1121" s="466"/>
      <c r="G1121" s="466"/>
      <c r="H1121" s="466"/>
      <c r="I1121" s="467"/>
      <c r="J1121" s="466"/>
      <c r="K1121" s="466"/>
      <c r="L1121" s="466"/>
      <c r="M1121" s="352"/>
    </row>
    <row r="1122" spans="1:13" x14ac:dyDescent="0.2">
      <c r="A1122" s="348"/>
      <c r="B1122" s="466"/>
      <c r="C1122" s="466"/>
      <c r="D1122" s="466"/>
      <c r="E1122" s="467"/>
      <c r="F1122" s="466"/>
      <c r="G1122" s="466"/>
      <c r="H1122" s="466"/>
      <c r="I1122" s="467"/>
      <c r="J1122" s="466"/>
      <c r="K1122" s="466"/>
      <c r="L1122" s="466"/>
      <c r="M1122" s="352"/>
    </row>
    <row r="1123" spans="1:13" x14ac:dyDescent="0.2">
      <c r="A1123" s="348"/>
      <c r="B1123" s="467"/>
      <c r="C1123" s="467"/>
      <c r="D1123" s="467"/>
      <c r="E1123" s="467"/>
      <c r="F1123" s="467"/>
      <c r="G1123" s="467"/>
      <c r="H1123" s="467"/>
      <c r="I1123" s="467"/>
      <c r="J1123" s="467"/>
      <c r="K1123" s="467"/>
      <c r="L1123" s="467"/>
      <c r="M1123" s="352"/>
    </row>
    <row r="1124" spans="1:13" x14ac:dyDescent="0.2">
      <c r="A1124" s="348"/>
      <c r="B1124" s="348"/>
      <c r="C1124" s="348"/>
      <c r="D1124" s="348"/>
      <c r="E1124" s="348"/>
      <c r="F1124" s="348"/>
      <c r="G1124" s="348"/>
      <c r="H1124" s="348"/>
      <c r="I1124" s="348"/>
      <c r="J1124" s="348"/>
      <c r="K1124" s="348"/>
      <c r="L1124" s="353"/>
      <c r="M1124" s="352"/>
    </row>
    <row r="1125" spans="1:13" x14ac:dyDescent="0.2">
      <c r="A1125" s="348"/>
      <c r="B1125" s="348"/>
      <c r="C1125" s="348"/>
      <c r="D1125" s="348"/>
      <c r="E1125" s="348"/>
      <c r="F1125" s="348"/>
      <c r="G1125" s="348"/>
      <c r="H1125" s="348"/>
      <c r="I1125" s="348"/>
      <c r="J1125" s="348"/>
      <c r="K1125" s="348"/>
      <c r="L1125" s="410"/>
      <c r="M1125" s="352"/>
    </row>
    <row r="1126" spans="1:13" x14ac:dyDescent="0.2">
      <c r="A1126" s="374"/>
      <c r="B1126" s="354"/>
      <c r="C1126" s="354"/>
      <c r="D1126" s="354"/>
      <c r="E1126" s="354"/>
      <c r="F1126" s="354"/>
      <c r="G1126" s="354"/>
      <c r="H1126" s="354"/>
      <c r="I1126" s="354"/>
      <c r="J1126" s="354"/>
      <c r="K1126" s="354"/>
      <c r="L1126" s="352"/>
      <c r="M1126" s="352"/>
    </row>
    <row r="1127" spans="1:13" x14ac:dyDescent="0.2">
      <c r="A1127" s="354"/>
      <c r="B1127" s="517"/>
      <c r="C1127" s="517"/>
      <c r="D1127" s="517"/>
      <c r="E1127" s="369"/>
      <c r="F1127" s="517"/>
      <c r="G1127" s="517"/>
      <c r="H1127" s="517"/>
      <c r="I1127" s="369"/>
      <c r="J1127" s="517"/>
      <c r="K1127" s="517"/>
      <c r="L1127" s="517"/>
      <c r="M1127" s="352"/>
    </row>
    <row r="1128" spans="1:13" x14ac:dyDescent="0.2">
      <c r="A1128" s="374"/>
      <c r="B1128" s="375"/>
      <c r="C1128" s="375"/>
      <c r="D1128" s="375"/>
      <c r="E1128" s="375"/>
      <c r="F1128" s="375"/>
      <c r="G1128" s="375"/>
      <c r="H1128" s="375"/>
      <c r="I1128" s="375"/>
      <c r="J1128" s="375"/>
      <c r="K1128" s="375"/>
      <c r="L1128" s="375"/>
      <c r="M1128" s="352"/>
    </row>
    <row r="1129" spans="1:13" x14ac:dyDescent="0.2">
      <c r="A1129" s="374"/>
      <c r="B1129" s="375"/>
      <c r="C1129" s="375"/>
      <c r="D1129" s="375"/>
      <c r="E1129" s="375"/>
      <c r="F1129" s="375"/>
      <c r="G1129" s="375"/>
      <c r="H1129" s="375"/>
      <c r="I1129" s="375"/>
      <c r="J1129" s="375"/>
      <c r="K1129" s="375"/>
      <c r="L1129" s="375"/>
      <c r="M1129" s="352"/>
    </row>
    <row r="1130" spans="1:13" x14ac:dyDescent="0.2">
      <c r="A1130" s="348"/>
      <c r="B1130" s="466"/>
      <c r="C1130" s="466"/>
      <c r="D1130" s="466"/>
      <c r="E1130" s="467"/>
      <c r="F1130" s="466"/>
      <c r="G1130" s="466"/>
      <c r="H1130" s="466"/>
      <c r="I1130" s="467"/>
      <c r="J1130" s="466"/>
      <c r="K1130" s="466"/>
      <c r="L1130" s="466"/>
      <c r="M1130" s="352"/>
    </row>
    <row r="1131" spans="1:13" x14ac:dyDescent="0.2">
      <c r="A1131" s="348"/>
      <c r="B1131" s="466"/>
      <c r="C1131" s="466"/>
      <c r="D1131" s="466"/>
      <c r="E1131" s="467"/>
      <c r="F1131" s="466"/>
      <c r="G1131" s="466"/>
      <c r="H1131" s="466"/>
      <c r="I1131" s="467"/>
      <c r="J1131" s="466"/>
      <c r="K1131" s="466"/>
      <c r="L1131" s="466"/>
      <c r="M1131" s="352"/>
    </row>
    <row r="1132" spans="1:13" x14ac:dyDescent="0.2">
      <c r="A1132" s="348"/>
      <c r="B1132" s="466"/>
      <c r="C1132" s="466"/>
      <c r="D1132" s="466"/>
      <c r="E1132" s="467"/>
      <c r="F1132" s="466"/>
      <c r="G1132" s="466"/>
      <c r="H1132" s="466"/>
      <c r="I1132" s="467"/>
      <c r="J1132" s="466"/>
      <c r="K1132" s="466"/>
      <c r="L1132" s="466"/>
      <c r="M1132" s="352"/>
    </row>
    <row r="1133" spans="1:13" x14ac:dyDescent="0.2">
      <c r="A1133" s="348"/>
      <c r="B1133" s="466"/>
      <c r="C1133" s="466"/>
      <c r="D1133" s="466"/>
      <c r="E1133" s="467"/>
      <c r="F1133" s="466"/>
      <c r="G1133" s="466"/>
      <c r="H1133" s="466"/>
      <c r="I1133" s="467"/>
      <c r="J1133" s="466"/>
      <c r="K1133" s="466"/>
      <c r="L1133" s="466"/>
      <c r="M1133" s="352"/>
    </row>
    <row r="1134" spans="1:13" x14ac:dyDescent="0.2">
      <c r="A1134" s="348"/>
      <c r="B1134" s="466"/>
      <c r="C1134" s="466"/>
      <c r="D1134" s="466"/>
      <c r="E1134" s="467"/>
      <c r="F1134" s="466"/>
      <c r="G1134" s="466"/>
      <c r="H1134" s="466"/>
      <c r="I1134" s="467"/>
      <c r="J1134" s="466"/>
      <c r="K1134" s="466"/>
      <c r="L1134" s="466"/>
      <c r="M1134" s="352"/>
    </row>
    <row r="1135" spans="1:13" x14ac:dyDescent="0.2">
      <c r="A1135" s="348"/>
      <c r="B1135" s="466"/>
      <c r="C1135" s="466"/>
      <c r="D1135" s="466"/>
      <c r="E1135" s="467"/>
      <c r="F1135" s="466"/>
      <c r="G1135" s="466"/>
      <c r="H1135" s="466"/>
      <c r="I1135" s="467"/>
      <c r="J1135" s="466"/>
      <c r="K1135" s="466"/>
      <c r="L1135" s="466"/>
      <c r="M1135" s="352"/>
    </row>
    <row r="1136" spans="1:13" x14ac:dyDescent="0.2">
      <c r="A1136" s="348"/>
      <c r="B1136" s="466"/>
      <c r="C1136" s="466"/>
      <c r="D1136" s="466"/>
      <c r="E1136" s="467"/>
      <c r="F1136" s="466"/>
      <c r="G1136" s="466"/>
      <c r="H1136" s="466"/>
      <c r="I1136" s="467"/>
      <c r="J1136" s="466"/>
      <c r="K1136" s="466"/>
      <c r="L1136" s="466"/>
      <c r="M1136" s="352"/>
    </row>
    <row r="1137" spans="1:13" x14ac:dyDescent="0.2">
      <c r="A1137" s="348"/>
      <c r="B1137" s="466"/>
      <c r="C1137" s="466"/>
      <c r="D1137" s="466"/>
      <c r="E1137" s="467"/>
      <c r="F1137" s="466"/>
      <c r="G1137" s="466"/>
      <c r="H1137" s="466"/>
      <c r="I1137" s="467"/>
      <c r="J1137" s="466"/>
      <c r="K1137" s="466"/>
      <c r="L1137" s="466"/>
      <c r="M1137" s="352"/>
    </row>
    <row r="1138" spans="1:13" x14ac:dyDescent="0.2">
      <c r="A1138" s="348"/>
      <c r="B1138" s="466"/>
      <c r="C1138" s="466"/>
      <c r="D1138" s="466"/>
      <c r="E1138" s="467"/>
      <c r="F1138" s="466"/>
      <c r="G1138" s="466"/>
      <c r="H1138" s="466"/>
      <c r="I1138" s="467"/>
      <c r="J1138" s="466"/>
      <c r="K1138" s="466"/>
      <c r="L1138" s="466"/>
      <c r="M1138" s="352"/>
    </row>
    <row r="1139" spans="1:13" x14ac:dyDescent="0.2">
      <c r="A1139" s="348"/>
      <c r="B1139" s="466"/>
      <c r="C1139" s="466"/>
      <c r="D1139" s="466"/>
      <c r="E1139" s="467"/>
      <c r="F1139" s="466"/>
      <c r="G1139" s="466"/>
      <c r="H1139" s="466"/>
      <c r="I1139" s="467"/>
      <c r="J1139" s="466"/>
      <c r="K1139" s="466"/>
      <c r="L1139" s="466"/>
      <c r="M1139" s="352"/>
    </row>
    <row r="1140" spans="1:13" x14ac:dyDescent="0.2">
      <c r="A1140" s="348"/>
      <c r="B1140" s="467"/>
      <c r="C1140" s="467"/>
      <c r="D1140" s="467"/>
      <c r="E1140" s="467"/>
      <c r="F1140" s="467"/>
      <c r="G1140" s="467"/>
      <c r="H1140" s="467"/>
      <c r="I1140" s="467"/>
      <c r="J1140" s="467"/>
      <c r="K1140" s="467"/>
      <c r="L1140" s="467"/>
      <c r="M1140" s="352"/>
    </row>
    <row r="1141" spans="1:13" x14ac:dyDescent="0.2">
      <c r="A1141" s="348"/>
      <c r="B1141" s="348"/>
      <c r="C1141" s="348"/>
      <c r="D1141" s="348"/>
      <c r="E1141" s="348"/>
      <c r="F1141" s="348"/>
      <c r="G1141" s="348"/>
      <c r="H1141" s="348"/>
      <c r="I1141" s="348"/>
      <c r="J1141" s="348"/>
      <c r="K1141" s="348"/>
      <c r="L1141" s="353"/>
      <c r="M1141" s="352"/>
    </row>
    <row r="1142" spans="1:13" x14ac:dyDescent="0.2">
      <c r="A1142" s="348"/>
      <c r="B1142" s="348"/>
      <c r="C1142" s="348"/>
      <c r="D1142" s="348"/>
      <c r="E1142" s="348"/>
      <c r="F1142" s="348"/>
      <c r="G1142" s="348"/>
      <c r="H1142" s="348"/>
      <c r="I1142" s="348"/>
      <c r="J1142" s="348"/>
      <c r="K1142" s="348"/>
      <c r="L1142" s="410"/>
      <c r="M1142" s="352"/>
    </row>
    <row r="1143" spans="1:13" x14ac:dyDescent="0.2">
      <c r="A1143" s="374"/>
      <c r="B1143" s="354"/>
      <c r="C1143" s="354"/>
      <c r="D1143" s="354"/>
      <c r="E1143" s="354"/>
      <c r="F1143" s="354"/>
      <c r="G1143" s="354"/>
      <c r="H1143" s="354"/>
      <c r="I1143" s="354"/>
      <c r="J1143" s="354"/>
      <c r="K1143" s="354"/>
      <c r="L1143" s="352"/>
      <c r="M1143" s="352"/>
    </row>
    <row r="1144" spans="1:13" x14ac:dyDescent="0.2">
      <c r="A1144" s="354"/>
      <c r="B1144" s="517"/>
      <c r="C1144" s="517"/>
      <c r="D1144" s="517"/>
      <c r="E1144" s="369"/>
      <c r="F1144" s="517"/>
      <c r="G1144" s="517"/>
      <c r="H1144" s="517"/>
      <c r="I1144" s="369"/>
      <c r="J1144" s="517"/>
      <c r="K1144" s="517"/>
      <c r="L1144" s="517"/>
      <c r="M1144" s="352"/>
    </row>
    <row r="1145" spans="1:13" x14ac:dyDescent="0.2">
      <c r="A1145" s="374"/>
      <c r="B1145" s="375"/>
      <c r="C1145" s="375"/>
      <c r="D1145" s="375"/>
      <c r="E1145" s="375"/>
      <c r="F1145" s="375"/>
      <c r="G1145" s="375"/>
      <c r="H1145" s="375"/>
      <c r="I1145" s="375"/>
      <c r="J1145" s="375"/>
      <c r="K1145" s="375"/>
      <c r="L1145" s="375"/>
      <c r="M1145" s="352"/>
    </row>
    <row r="1146" spans="1:13" x14ac:dyDescent="0.2">
      <c r="A1146" s="374"/>
      <c r="B1146" s="375"/>
      <c r="C1146" s="375"/>
      <c r="D1146" s="375"/>
      <c r="E1146" s="375"/>
      <c r="F1146" s="375"/>
      <c r="G1146" s="375"/>
      <c r="H1146" s="375"/>
      <c r="I1146" s="375"/>
      <c r="J1146" s="375"/>
      <c r="K1146" s="375"/>
      <c r="L1146" s="375"/>
      <c r="M1146" s="352"/>
    </row>
    <row r="1147" spans="1:13" x14ac:dyDescent="0.2">
      <c r="A1147" s="348"/>
      <c r="B1147" s="466"/>
      <c r="C1147" s="466"/>
      <c r="D1147" s="466"/>
      <c r="E1147" s="467"/>
      <c r="F1147" s="466"/>
      <c r="G1147" s="466"/>
      <c r="H1147" s="466"/>
      <c r="I1147" s="467"/>
      <c r="J1147" s="466"/>
      <c r="K1147" s="466"/>
      <c r="L1147" s="466"/>
      <c r="M1147" s="352"/>
    </row>
    <row r="1148" spans="1:13" x14ac:dyDescent="0.2">
      <c r="A1148" s="348"/>
      <c r="B1148" s="466"/>
      <c r="C1148" s="466"/>
      <c r="D1148" s="466"/>
      <c r="E1148" s="467"/>
      <c r="F1148" s="466"/>
      <c r="G1148" s="466"/>
      <c r="H1148" s="466"/>
      <c r="I1148" s="467"/>
      <c r="J1148" s="466"/>
      <c r="K1148" s="466"/>
      <c r="L1148" s="466"/>
      <c r="M1148" s="352"/>
    </row>
    <row r="1149" spans="1:13" x14ac:dyDescent="0.2">
      <c r="A1149" s="348"/>
      <c r="B1149" s="466"/>
      <c r="C1149" s="466"/>
      <c r="D1149" s="466"/>
      <c r="E1149" s="467"/>
      <c r="F1149" s="466"/>
      <c r="G1149" s="466"/>
      <c r="H1149" s="466"/>
      <c r="I1149" s="467"/>
      <c r="J1149" s="466"/>
      <c r="K1149" s="466"/>
      <c r="L1149" s="466"/>
      <c r="M1149" s="352"/>
    </row>
    <row r="1150" spans="1:13" x14ac:dyDescent="0.2">
      <c r="A1150" s="348"/>
      <c r="B1150" s="466"/>
      <c r="C1150" s="466"/>
      <c r="D1150" s="466"/>
      <c r="E1150" s="467"/>
      <c r="F1150" s="466"/>
      <c r="G1150" s="466"/>
      <c r="H1150" s="466"/>
      <c r="I1150" s="467"/>
      <c r="J1150" s="466"/>
      <c r="K1150" s="466"/>
      <c r="L1150" s="466"/>
      <c r="M1150" s="352"/>
    </row>
    <row r="1151" spans="1:13" x14ac:dyDescent="0.2">
      <c r="A1151" s="348"/>
      <c r="B1151" s="466"/>
      <c r="C1151" s="466"/>
      <c r="D1151" s="466"/>
      <c r="E1151" s="467"/>
      <c r="F1151" s="466"/>
      <c r="G1151" s="466"/>
      <c r="H1151" s="466"/>
      <c r="I1151" s="467"/>
      <c r="J1151" s="466"/>
      <c r="K1151" s="466"/>
      <c r="L1151" s="466"/>
      <c r="M1151" s="352"/>
    </row>
    <row r="1152" spans="1:13" x14ac:dyDescent="0.2">
      <c r="A1152" s="348"/>
      <c r="B1152" s="466"/>
      <c r="C1152" s="466"/>
      <c r="D1152" s="466"/>
      <c r="E1152" s="467"/>
      <c r="F1152" s="466"/>
      <c r="G1152" s="466"/>
      <c r="H1152" s="466"/>
      <c r="I1152" s="467"/>
      <c r="J1152" s="466"/>
      <c r="K1152" s="466"/>
      <c r="L1152" s="466"/>
      <c r="M1152" s="352"/>
    </row>
    <row r="1153" spans="1:13" x14ac:dyDescent="0.2">
      <c r="A1153" s="348"/>
      <c r="B1153" s="466"/>
      <c r="C1153" s="466"/>
      <c r="D1153" s="466"/>
      <c r="E1153" s="467"/>
      <c r="F1153" s="466"/>
      <c r="G1153" s="466"/>
      <c r="H1153" s="466"/>
      <c r="I1153" s="467"/>
      <c r="J1153" s="466"/>
      <c r="K1153" s="466"/>
      <c r="L1153" s="466"/>
      <c r="M1153" s="352"/>
    </row>
    <row r="1154" spans="1:13" x14ac:dyDescent="0.2">
      <c r="A1154" s="348"/>
      <c r="B1154" s="466"/>
      <c r="C1154" s="466"/>
      <c r="D1154" s="466"/>
      <c r="E1154" s="467"/>
      <c r="F1154" s="466"/>
      <c r="G1154" s="466"/>
      <c r="H1154" s="466"/>
      <c r="I1154" s="467"/>
      <c r="J1154" s="466"/>
      <c r="K1154" s="466"/>
      <c r="L1154" s="466"/>
      <c r="M1154" s="352"/>
    </row>
    <row r="1155" spans="1:13" x14ac:dyDescent="0.2">
      <c r="A1155" s="348"/>
      <c r="B1155" s="466"/>
      <c r="C1155" s="466"/>
      <c r="D1155" s="466"/>
      <c r="E1155" s="467"/>
      <c r="F1155" s="466"/>
      <c r="G1155" s="466"/>
      <c r="H1155" s="466"/>
      <c r="I1155" s="467"/>
      <c r="J1155" s="466"/>
      <c r="K1155" s="466"/>
      <c r="L1155" s="466"/>
      <c r="M1155" s="352"/>
    </row>
    <row r="1156" spans="1:13" x14ac:dyDescent="0.2">
      <c r="A1156" s="348"/>
      <c r="B1156" s="466"/>
      <c r="C1156" s="466"/>
      <c r="D1156" s="466"/>
      <c r="E1156" s="467"/>
      <c r="F1156" s="466"/>
      <c r="G1156" s="466"/>
      <c r="H1156" s="466"/>
      <c r="I1156" s="467"/>
      <c r="J1156" s="466"/>
      <c r="K1156" s="466"/>
      <c r="L1156" s="466"/>
      <c r="M1156" s="352"/>
    </row>
    <row r="1157" spans="1:13" x14ac:dyDescent="0.2">
      <c r="A1157" s="348"/>
      <c r="B1157" s="467"/>
      <c r="C1157" s="467"/>
      <c r="D1157" s="467"/>
      <c r="E1157" s="467"/>
      <c r="F1157" s="467"/>
      <c r="G1157" s="467"/>
      <c r="H1157" s="467"/>
      <c r="I1157" s="467"/>
      <c r="J1157" s="467"/>
      <c r="K1157" s="467"/>
      <c r="L1157" s="467"/>
      <c r="M1157" s="352"/>
    </row>
    <row r="1158" spans="1:13" x14ac:dyDescent="0.2">
      <c r="A1158" s="348"/>
      <c r="B1158" s="348"/>
      <c r="C1158" s="348"/>
      <c r="D1158" s="348"/>
      <c r="E1158" s="348"/>
      <c r="F1158" s="348"/>
      <c r="G1158" s="348"/>
      <c r="H1158" s="348"/>
      <c r="I1158" s="348"/>
      <c r="J1158" s="348"/>
      <c r="K1158" s="348"/>
      <c r="L1158" s="353"/>
      <c r="M1158" s="352"/>
    </row>
    <row r="1159" spans="1:13" x14ac:dyDescent="0.2">
      <c r="A1159" s="348"/>
      <c r="B1159" s="348"/>
      <c r="C1159" s="348"/>
      <c r="D1159" s="348"/>
      <c r="E1159" s="348"/>
      <c r="F1159" s="348"/>
      <c r="G1159" s="348"/>
      <c r="H1159" s="348"/>
      <c r="I1159" s="348"/>
      <c r="J1159" s="348"/>
      <c r="K1159" s="348"/>
      <c r="L1159" s="410"/>
      <c r="M1159" s="352"/>
    </row>
    <row r="1160" spans="1:13" x14ac:dyDescent="0.2">
      <c r="A1160" s="374"/>
      <c r="B1160" s="354"/>
      <c r="C1160" s="354"/>
      <c r="D1160" s="354"/>
      <c r="E1160" s="354"/>
      <c r="F1160" s="354"/>
      <c r="G1160" s="354"/>
      <c r="H1160" s="354"/>
      <c r="I1160" s="354"/>
      <c r="J1160" s="354"/>
      <c r="K1160" s="354"/>
      <c r="L1160" s="352"/>
      <c r="M1160" s="352"/>
    </row>
    <row r="1161" spans="1:13" x14ac:dyDescent="0.2">
      <c r="A1161" s="354"/>
      <c r="B1161" s="517"/>
      <c r="C1161" s="517"/>
      <c r="D1161" s="517"/>
      <c r="E1161" s="369"/>
      <c r="F1161" s="517"/>
      <c r="G1161" s="517"/>
      <c r="H1161" s="517"/>
      <c r="I1161" s="369"/>
      <c r="J1161" s="517"/>
      <c r="K1161" s="517"/>
      <c r="L1161" s="517"/>
      <c r="M1161" s="352"/>
    </row>
    <row r="1162" spans="1:13" x14ac:dyDescent="0.2">
      <c r="A1162" s="374"/>
      <c r="B1162" s="375"/>
      <c r="C1162" s="375"/>
      <c r="D1162" s="375"/>
      <c r="E1162" s="375"/>
      <c r="F1162" s="375"/>
      <c r="G1162" s="375"/>
      <c r="H1162" s="375"/>
      <c r="I1162" s="375"/>
      <c r="J1162" s="375"/>
      <c r="K1162" s="375"/>
      <c r="L1162" s="375"/>
      <c r="M1162" s="352"/>
    </row>
    <row r="1163" spans="1:13" x14ac:dyDescent="0.2">
      <c r="A1163" s="374"/>
      <c r="B1163" s="375"/>
      <c r="C1163" s="375"/>
      <c r="D1163" s="375"/>
      <c r="E1163" s="375"/>
      <c r="F1163" s="375"/>
      <c r="G1163" s="375"/>
      <c r="H1163" s="375"/>
      <c r="I1163" s="375"/>
      <c r="J1163" s="375"/>
      <c r="K1163" s="375"/>
      <c r="L1163" s="375"/>
      <c r="M1163" s="352"/>
    </row>
    <row r="1164" spans="1:13" x14ac:dyDescent="0.2">
      <c r="A1164" s="348"/>
      <c r="B1164" s="466"/>
      <c r="C1164" s="466"/>
      <c r="D1164" s="466"/>
      <c r="E1164" s="467"/>
      <c r="F1164" s="466"/>
      <c r="G1164" s="466"/>
      <c r="H1164" s="466"/>
      <c r="I1164" s="467"/>
      <c r="J1164" s="466"/>
      <c r="K1164" s="466"/>
      <c r="L1164" s="466"/>
      <c r="M1164" s="352"/>
    </row>
    <row r="1165" spans="1:13" x14ac:dyDescent="0.2">
      <c r="A1165" s="348"/>
      <c r="B1165" s="466"/>
      <c r="C1165" s="466"/>
      <c r="D1165" s="466"/>
      <c r="E1165" s="467"/>
      <c r="F1165" s="466"/>
      <c r="G1165" s="466"/>
      <c r="H1165" s="466"/>
      <c r="I1165" s="467"/>
      <c r="J1165" s="466"/>
      <c r="K1165" s="466"/>
      <c r="L1165" s="466"/>
      <c r="M1165" s="352"/>
    </row>
    <row r="1166" spans="1:13" x14ac:dyDescent="0.2">
      <c r="A1166" s="348"/>
      <c r="B1166" s="466"/>
      <c r="C1166" s="466"/>
      <c r="D1166" s="466"/>
      <c r="E1166" s="467"/>
      <c r="F1166" s="466"/>
      <c r="G1166" s="466"/>
      <c r="H1166" s="466"/>
      <c r="I1166" s="467"/>
      <c r="J1166" s="466"/>
      <c r="K1166" s="466"/>
      <c r="L1166" s="466"/>
      <c r="M1166" s="352"/>
    </row>
    <row r="1167" spans="1:13" x14ac:dyDescent="0.2">
      <c r="A1167" s="348"/>
      <c r="B1167" s="466"/>
      <c r="C1167" s="466"/>
      <c r="D1167" s="466"/>
      <c r="E1167" s="467"/>
      <c r="F1167" s="466"/>
      <c r="G1167" s="466"/>
      <c r="H1167" s="466"/>
      <c r="I1167" s="467"/>
      <c r="J1167" s="466"/>
      <c r="K1167" s="466"/>
      <c r="L1167" s="466"/>
      <c r="M1167" s="352"/>
    </row>
    <row r="1168" spans="1:13" x14ac:dyDescent="0.2">
      <c r="A1168" s="348"/>
      <c r="B1168" s="466"/>
      <c r="C1168" s="466"/>
      <c r="D1168" s="466"/>
      <c r="E1168" s="467"/>
      <c r="F1168" s="466"/>
      <c r="G1168" s="466"/>
      <c r="H1168" s="466"/>
      <c r="I1168" s="467"/>
      <c r="J1168" s="466"/>
      <c r="K1168" s="466"/>
      <c r="L1168" s="466"/>
      <c r="M1168" s="352"/>
    </row>
    <row r="1169" spans="1:13" x14ac:dyDescent="0.2">
      <c r="A1169" s="348"/>
      <c r="B1169" s="466"/>
      <c r="C1169" s="466"/>
      <c r="D1169" s="466"/>
      <c r="E1169" s="467"/>
      <c r="F1169" s="466"/>
      <c r="G1169" s="466"/>
      <c r="H1169" s="466"/>
      <c r="I1169" s="467"/>
      <c r="J1169" s="466"/>
      <c r="K1169" s="466"/>
      <c r="L1169" s="466"/>
      <c r="M1169" s="352"/>
    </row>
    <row r="1170" spans="1:13" x14ac:dyDescent="0.2">
      <c r="A1170" s="348"/>
      <c r="B1170" s="466"/>
      <c r="C1170" s="466"/>
      <c r="D1170" s="466"/>
      <c r="E1170" s="467"/>
      <c r="F1170" s="466"/>
      <c r="G1170" s="466"/>
      <c r="H1170" s="466"/>
      <c r="I1170" s="467"/>
      <c r="J1170" s="466"/>
      <c r="K1170" s="466"/>
      <c r="L1170" s="466"/>
      <c r="M1170" s="352"/>
    </row>
    <row r="1171" spans="1:13" x14ac:dyDescent="0.2">
      <c r="A1171" s="348"/>
      <c r="B1171" s="466"/>
      <c r="C1171" s="466"/>
      <c r="D1171" s="466"/>
      <c r="E1171" s="467"/>
      <c r="F1171" s="466"/>
      <c r="G1171" s="466"/>
      <c r="H1171" s="466"/>
      <c r="I1171" s="467"/>
      <c r="J1171" s="466"/>
      <c r="K1171" s="466"/>
      <c r="L1171" s="466"/>
      <c r="M1171" s="352"/>
    </row>
    <row r="1172" spans="1:13" x14ac:dyDescent="0.2">
      <c r="A1172" s="348"/>
      <c r="B1172" s="466"/>
      <c r="C1172" s="466"/>
      <c r="D1172" s="466"/>
      <c r="E1172" s="467"/>
      <c r="F1172" s="466"/>
      <c r="G1172" s="466"/>
      <c r="H1172" s="466"/>
      <c r="I1172" s="467"/>
      <c r="J1172" s="466"/>
      <c r="K1172" s="466"/>
      <c r="L1172" s="466"/>
      <c r="M1172" s="352"/>
    </row>
    <row r="1173" spans="1:13" x14ac:dyDescent="0.2">
      <c r="A1173" s="348"/>
      <c r="B1173" s="466"/>
      <c r="C1173" s="466"/>
      <c r="D1173" s="466"/>
      <c r="E1173" s="467"/>
      <c r="F1173" s="466"/>
      <c r="G1173" s="466"/>
      <c r="H1173" s="466"/>
      <c r="I1173" s="467"/>
      <c r="J1173" s="466"/>
      <c r="K1173" s="466"/>
      <c r="L1173" s="466"/>
      <c r="M1173" s="352"/>
    </row>
    <row r="1174" spans="1:13" x14ac:dyDescent="0.2">
      <c r="A1174" s="348"/>
      <c r="B1174" s="467"/>
      <c r="C1174" s="467"/>
      <c r="D1174" s="467"/>
      <c r="E1174" s="467"/>
      <c r="F1174" s="467"/>
      <c r="G1174" s="467"/>
      <c r="H1174" s="467"/>
      <c r="I1174" s="467"/>
      <c r="J1174" s="467"/>
      <c r="K1174" s="467"/>
      <c r="L1174" s="467"/>
      <c r="M1174" s="352"/>
    </row>
    <row r="1175" spans="1:13" x14ac:dyDescent="0.2">
      <c r="A1175" s="348"/>
      <c r="B1175" s="348"/>
      <c r="C1175" s="348"/>
      <c r="D1175" s="348"/>
      <c r="E1175" s="348"/>
      <c r="F1175" s="348"/>
      <c r="G1175" s="348"/>
      <c r="H1175" s="348"/>
      <c r="I1175" s="348"/>
      <c r="J1175" s="348"/>
      <c r="K1175" s="348"/>
      <c r="L1175" s="353"/>
      <c r="M1175" s="352"/>
    </row>
    <row r="1176" spans="1:13" x14ac:dyDescent="0.2">
      <c r="A1176" s="348"/>
      <c r="B1176" s="348"/>
      <c r="C1176" s="348"/>
      <c r="D1176" s="348"/>
      <c r="E1176" s="348"/>
      <c r="F1176" s="348"/>
      <c r="G1176" s="348"/>
      <c r="H1176" s="348"/>
      <c r="I1176" s="348"/>
      <c r="J1176" s="348"/>
      <c r="K1176" s="348"/>
      <c r="L1176" s="410"/>
      <c r="M1176" s="352"/>
    </row>
    <row r="1177" spans="1:13" x14ac:dyDescent="0.2">
      <c r="A1177" s="374"/>
      <c r="B1177" s="354"/>
      <c r="C1177" s="354"/>
      <c r="D1177" s="354"/>
      <c r="E1177" s="354"/>
      <c r="F1177" s="354"/>
      <c r="G1177" s="354"/>
      <c r="H1177" s="354"/>
      <c r="I1177" s="354"/>
      <c r="J1177" s="354"/>
      <c r="K1177" s="354"/>
      <c r="L1177" s="352"/>
      <c r="M1177" s="352"/>
    </row>
    <row r="1178" spans="1:13" x14ac:dyDescent="0.2">
      <c r="A1178" s="354"/>
      <c r="B1178" s="517"/>
      <c r="C1178" s="517"/>
      <c r="D1178" s="517"/>
      <c r="E1178" s="369"/>
      <c r="F1178" s="517"/>
      <c r="G1178" s="517"/>
      <c r="H1178" s="517"/>
      <c r="I1178" s="369"/>
      <c r="J1178" s="517"/>
      <c r="K1178" s="517"/>
      <c r="L1178" s="517"/>
      <c r="M1178" s="352"/>
    </row>
    <row r="1179" spans="1:13" x14ac:dyDescent="0.2">
      <c r="A1179" s="374"/>
      <c r="B1179" s="375"/>
      <c r="C1179" s="375"/>
      <c r="D1179" s="375"/>
      <c r="E1179" s="375"/>
      <c r="F1179" s="375"/>
      <c r="G1179" s="375"/>
      <c r="H1179" s="375"/>
      <c r="I1179" s="375"/>
      <c r="J1179" s="375"/>
      <c r="K1179" s="375"/>
      <c r="L1179" s="375"/>
      <c r="M1179" s="352"/>
    </row>
    <row r="1180" spans="1:13" x14ac:dyDescent="0.2">
      <c r="A1180" s="374"/>
      <c r="B1180" s="375"/>
      <c r="C1180" s="375"/>
      <c r="D1180" s="375"/>
      <c r="E1180" s="375"/>
      <c r="F1180" s="375"/>
      <c r="G1180" s="375"/>
      <c r="H1180" s="375"/>
      <c r="I1180" s="375"/>
      <c r="J1180" s="375"/>
      <c r="K1180" s="375"/>
      <c r="L1180" s="375"/>
      <c r="M1180" s="352"/>
    </row>
    <row r="1181" spans="1:13" x14ac:dyDescent="0.2">
      <c r="A1181" s="348"/>
      <c r="B1181" s="466"/>
      <c r="C1181" s="466"/>
      <c r="D1181" s="466"/>
      <c r="E1181" s="467"/>
      <c r="F1181" s="466"/>
      <c r="G1181" s="466"/>
      <c r="H1181" s="466"/>
      <c r="I1181" s="467"/>
      <c r="J1181" s="466"/>
      <c r="K1181" s="466"/>
      <c r="L1181" s="466"/>
      <c r="M1181" s="352"/>
    </row>
    <row r="1182" spans="1:13" x14ac:dyDescent="0.2">
      <c r="A1182" s="348"/>
      <c r="B1182" s="466"/>
      <c r="C1182" s="466"/>
      <c r="D1182" s="466"/>
      <c r="E1182" s="467"/>
      <c r="F1182" s="466"/>
      <c r="G1182" s="466"/>
      <c r="H1182" s="466"/>
      <c r="I1182" s="467"/>
      <c r="J1182" s="466"/>
      <c r="K1182" s="466"/>
      <c r="L1182" s="466"/>
      <c r="M1182" s="352"/>
    </row>
    <row r="1183" spans="1:13" x14ac:dyDescent="0.2">
      <c r="A1183" s="348"/>
      <c r="B1183" s="466"/>
      <c r="C1183" s="466"/>
      <c r="D1183" s="466"/>
      <c r="E1183" s="467"/>
      <c r="F1183" s="466"/>
      <c r="G1183" s="466"/>
      <c r="H1183" s="466"/>
      <c r="I1183" s="467"/>
      <c r="J1183" s="466"/>
      <c r="K1183" s="466"/>
      <c r="L1183" s="466"/>
      <c r="M1183" s="352"/>
    </row>
    <row r="1184" spans="1:13" x14ac:dyDescent="0.2">
      <c r="A1184" s="348"/>
      <c r="B1184" s="466"/>
      <c r="C1184" s="466"/>
      <c r="D1184" s="466"/>
      <c r="E1184" s="467"/>
      <c r="F1184" s="466"/>
      <c r="G1184" s="466"/>
      <c r="H1184" s="466"/>
      <c r="I1184" s="467"/>
      <c r="J1184" s="466"/>
      <c r="K1184" s="466"/>
      <c r="L1184" s="466"/>
      <c r="M1184" s="352"/>
    </row>
    <row r="1185" spans="1:13" x14ac:dyDescent="0.2">
      <c r="A1185" s="348"/>
      <c r="B1185" s="466"/>
      <c r="C1185" s="466"/>
      <c r="D1185" s="466"/>
      <c r="E1185" s="467"/>
      <c r="F1185" s="466"/>
      <c r="G1185" s="466"/>
      <c r="H1185" s="466"/>
      <c r="I1185" s="467"/>
      <c r="J1185" s="466"/>
      <c r="K1185" s="466"/>
      <c r="L1185" s="466"/>
      <c r="M1185" s="352"/>
    </row>
    <row r="1186" spans="1:13" x14ac:dyDescent="0.2">
      <c r="A1186" s="348"/>
      <c r="B1186" s="466"/>
      <c r="C1186" s="466"/>
      <c r="D1186" s="466"/>
      <c r="E1186" s="467"/>
      <c r="F1186" s="466"/>
      <c r="G1186" s="466"/>
      <c r="H1186" s="466"/>
      <c r="I1186" s="467"/>
      <c r="J1186" s="466"/>
      <c r="K1186" s="466"/>
      <c r="L1186" s="466"/>
      <c r="M1186" s="352"/>
    </row>
    <row r="1187" spans="1:13" x14ac:dyDescent="0.2">
      <c r="A1187" s="348"/>
      <c r="B1187" s="466"/>
      <c r="C1187" s="466"/>
      <c r="D1187" s="466"/>
      <c r="E1187" s="467"/>
      <c r="F1187" s="466"/>
      <c r="G1187" s="466"/>
      <c r="H1187" s="466"/>
      <c r="I1187" s="467"/>
      <c r="J1187" s="466"/>
      <c r="K1187" s="466"/>
      <c r="L1187" s="466"/>
      <c r="M1187" s="352"/>
    </row>
    <row r="1188" spans="1:13" x14ac:dyDescent="0.2">
      <c r="A1188" s="348"/>
      <c r="B1188" s="466"/>
      <c r="C1188" s="466"/>
      <c r="D1188" s="466"/>
      <c r="E1188" s="467"/>
      <c r="F1188" s="466"/>
      <c r="G1188" s="466"/>
      <c r="H1188" s="466"/>
      <c r="I1188" s="467"/>
      <c r="J1188" s="466"/>
      <c r="K1188" s="466"/>
      <c r="L1188" s="466"/>
      <c r="M1188" s="352"/>
    </row>
    <row r="1189" spans="1:13" x14ac:dyDescent="0.2">
      <c r="A1189" s="348"/>
      <c r="B1189" s="466"/>
      <c r="C1189" s="466"/>
      <c r="D1189" s="466"/>
      <c r="E1189" s="467"/>
      <c r="F1189" s="466"/>
      <c r="G1189" s="466"/>
      <c r="H1189" s="466"/>
      <c r="I1189" s="467"/>
      <c r="J1189" s="466"/>
      <c r="K1189" s="466"/>
      <c r="L1189" s="466"/>
      <c r="M1189" s="352"/>
    </row>
    <row r="1190" spans="1:13" x14ac:dyDescent="0.2">
      <c r="A1190" s="348"/>
      <c r="B1190" s="466"/>
      <c r="C1190" s="466"/>
      <c r="D1190" s="466"/>
      <c r="E1190" s="467"/>
      <c r="F1190" s="466"/>
      <c r="G1190" s="466"/>
      <c r="H1190" s="466"/>
      <c r="I1190" s="467"/>
      <c r="J1190" s="466"/>
      <c r="K1190" s="466"/>
      <c r="L1190" s="466"/>
      <c r="M1190" s="352"/>
    </row>
    <row r="1191" spans="1:13" x14ac:dyDescent="0.2">
      <c r="A1191" s="348"/>
      <c r="B1191" s="467"/>
      <c r="C1191" s="467"/>
      <c r="D1191" s="467"/>
      <c r="E1191" s="467"/>
      <c r="F1191" s="467"/>
      <c r="G1191" s="467"/>
      <c r="H1191" s="467"/>
      <c r="I1191" s="467"/>
      <c r="J1191" s="467"/>
      <c r="K1191" s="467"/>
      <c r="L1191" s="467"/>
      <c r="M1191" s="352"/>
    </row>
    <row r="1192" spans="1:13" x14ac:dyDescent="0.2">
      <c r="A1192" s="348"/>
      <c r="B1192" s="348"/>
      <c r="C1192" s="348"/>
      <c r="D1192" s="348"/>
      <c r="E1192" s="348"/>
      <c r="F1192" s="348"/>
      <c r="G1192" s="348"/>
      <c r="H1192" s="348"/>
      <c r="I1192" s="348"/>
      <c r="J1192" s="348"/>
      <c r="K1192" s="348"/>
      <c r="L1192" s="353"/>
      <c r="M1192" s="352"/>
    </row>
    <row r="1193" spans="1:13" x14ac:dyDescent="0.2">
      <c r="A1193" s="348"/>
      <c r="B1193" s="348"/>
      <c r="C1193" s="348"/>
      <c r="D1193" s="348"/>
      <c r="E1193" s="348"/>
      <c r="F1193" s="348"/>
      <c r="G1193" s="348"/>
      <c r="H1193" s="348"/>
      <c r="I1193" s="348"/>
      <c r="J1193" s="348"/>
      <c r="K1193" s="348"/>
      <c r="L1193" s="410"/>
      <c r="M1193" s="352"/>
    </row>
    <row r="1194" spans="1:13" x14ac:dyDescent="0.2">
      <c r="A1194" s="374"/>
      <c r="B1194" s="354"/>
      <c r="C1194" s="354"/>
      <c r="D1194" s="354"/>
      <c r="E1194" s="354"/>
      <c r="F1194" s="354"/>
      <c r="G1194" s="354"/>
      <c r="H1194" s="354"/>
      <c r="I1194" s="354"/>
      <c r="J1194" s="354"/>
      <c r="K1194" s="354"/>
      <c r="L1194" s="352"/>
      <c r="M1194" s="352"/>
    </row>
    <row r="1195" spans="1:13" x14ac:dyDescent="0.2">
      <c r="A1195" s="354"/>
      <c r="B1195" s="517"/>
      <c r="C1195" s="517"/>
      <c r="D1195" s="517"/>
      <c r="E1195" s="369"/>
      <c r="F1195" s="517"/>
      <c r="G1195" s="517"/>
      <c r="H1195" s="517"/>
      <c r="I1195" s="369"/>
      <c r="J1195" s="517"/>
      <c r="K1195" s="517"/>
      <c r="L1195" s="517"/>
      <c r="M1195" s="352"/>
    </row>
    <row r="1196" spans="1:13" x14ac:dyDescent="0.2">
      <c r="A1196" s="374"/>
      <c r="B1196" s="375"/>
      <c r="C1196" s="375"/>
      <c r="D1196" s="375"/>
      <c r="E1196" s="375"/>
      <c r="F1196" s="375"/>
      <c r="G1196" s="375"/>
      <c r="H1196" s="375"/>
      <c r="I1196" s="375"/>
      <c r="J1196" s="375"/>
      <c r="K1196" s="375"/>
      <c r="L1196" s="375"/>
      <c r="M1196" s="352"/>
    </row>
    <row r="1197" spans="1:13" x14ac:dyDescent="0.2">
      <c r="A1197" s="374"/>
      <c r="B1197" s="375"/>
      <c r="C1197" s="375"/>
      <c r="D1197" s="375"/>
      <c r="E1197" s="375"/>
      <c r="F1197" s="375"/>
      <c r="G1197" s="375"/>
      <c r="H1197" s="375"/>
      <c r="I1197" s="375"/>
      <c r="J1197" s="375"/>
      <c r="K1197" s="375"/>
      <c r="L1197" s="375"/>
      <c r="M1197" s="352"/>
    </row>
    <row r="1198" spans="1:13" x14ac:dyDescent="0.2">
      <c r="A1198" s="348"/>
      <c r="B1198" s="466"/>
      <c r="C1198" s="466"/>
      <c r="D1198" s="466"/>
      <c r="E1198" s="467"/>
      <c r="F1198" s="466"/>
      <c r="G1198" s="466"/>
      <c r="H1198" s="466"/>
      <c r="I1198" s="467"/>
      <c r="J1198" s="466"/>
      <c r="K1198" s="466"/>
      <c r="L1198" s="466"/>
      <c r="M1198" s="352"/>
    </row>
    <row r="1199" spans="1:13" x14ac:dyDescent="0.2">
      <c r="A1199" s="348"/>
      <c r="B1199" s="466"/>
      <c r="C1199" s="466"/>
      <c r="D1199" s="466"/>
      <c r="E1199" s="467"/>
      <c r="F1199" s="466"/>
      <c r="G1199" s="466"/>
      <c r="H1199" s="466"/>
      <c r="I1199" s="467"/>
      <c r="J1199" s="466"/>
      <c r="K1199" s="466"/>
      <c r="L1199" s="466"/>
      <c r="M1199" s="352"/>
    </row>
    <row r="1200" spans="1:13" x14ac:dyDescent="0.2">
      <c r="A1200" s="348"/>
      <c r="B1200" s="466"/>
      <c r="C1200" s="466"/>
      <c r="D1200" s="466"/>
      <c r="E1200" s="467"/>
      <c r="F1200" s="466"/>
      <c r="G1200" s="466"/>
      <c r="H1200" s="466"/>
      <c r="I1200" s="467"/>
      <c r="J1200" s="466"/>
      <c r="K1200" s="466"/>
      <c r="L1200" s="466"/>
      <c r="M1200" s="352"/>
    </row>
    <row r="1201" spans="1:13" x14ac:dyDescent="0.2">
      <c r="A1201" s="348"/>
      <c r="B1201" s="466"/>
      <c r="C1201" s="466"/>
      <c r="D1201" s="466"/>
      <c r="E1201" s="467"/>
      <c r="F1201" s="466"/>
      <c r="G1201" s="466"/>
      <c r="H1201" s="466"/>
      <c r="I1201" s="467"/>
      <c r="J1201" s="466"/>
      <c r="K1201" s="466"/>
      <c r="L1201" s="466"/>
      <c r="M1201" s="352"/>
    </row>
    <row r="1202" spans="1:13" x14ac:dyDescent="0.2">
      <c r="A1202" s="348"/>
      <c r="B1202" s="466"/>
      <c r="C1202" s="466"/>
      <c r="D1202" s="466"/>
      <c r="E1202" s="467"/>
      <c r="F1202" s="466"/>
      <c r="G1202" s="466"/>
      <c r="H1202" s="466"/>
      <c r="I1202" s="467"/>
      <c r="J1202" s="466"/>
      <c r="K1202" s="466"/>
      <c r="L1202" s="466"/>
      <c r="M1202" s="352"/>
    </row>
    <row r="1203" spans="1:13" x14ac:dyDescent="0.2">
      <c r="A1203" s="348"/>
      <c r="B1203" s="466"/>
      <c r="C1203" s="466"/>
      <c r="D1203" s="466"/>
      <c r="E1203" s="467"/>
      <c r="F1203" s="466"/>
      <c r="G1203" s="466"/>
      <c r="H1203" s="466"/>
      <c r="I1203" s="467"/>
      <c r="J1203" s="466"/>
      <c r="K1203" s="466"/>
      <c r="L1203" s="466"/>
      <c r="M1203" s="352"/>
    </row>
    <row r="1204" spans="1:13" x14ac:dyDescent="0.2">
      <c r="A1204" s="348"/>
      <c r="B1204" s="466"/>
      <c r="C1204" s="466"/>
      <c r="D1204" s="466"/>
      <c r="E1204" s="467"/>
      <c r="F1204" s="466"/>
      <c r="G1204" s="466"/>
      <c r="H1204" s="466"/>
      <c r="I1204" s="467"/>
      <c r="J1204" s="466"/>
      <c r="K1204" s="466"/>
      <c r="L1204" s="466"/>
      <c r="M1204" s="352"/>
    </row>
    <row r="1205" spans="1:13" x14ac:dyDescent="0.2">
      <c r="A1205" s="348"/>
      <c r="B1205" s="466"/>
      <c r="C1205" s="466"/>
      <c r="D1205" s="466"/>
      <c r="E1205" s="467"/>
      <c r="F1205" s="466"/>
      <c r="G1205" s="466"/>
      <c r="H1205" s="466"/>
      <c r="I1205" s="467"/>
      <c r="J1205" s="466"/>
      <c r="K1205" s="466"/>
      <c r="L1205" s="466"/>
      <c r="M1205" s="352"/>
    </row>
    <row r="1206" spans="1:13" x14ac:dyDescent="0.2">
      <c r="A1206" s="348"/>
      <c r="B1206" s="466"/>
      <c r="C1206" s="466"/>
      <c r="D1206" s="466"/>
      <c r="E1206" s="467"/>
      <c r="F1206" s="466"/>
      <c r="G1206" s="466"/>
      <c r="H1206" s="466"/>
      <c r="I1206" s="467"/>
      <c r="J1206" s="466"/>
      <c r="K1206" s="466"/>
      <c r="L1206" s="466"/>
      <c r="M1206" s="352"/>
    </row>
    <row r="1207" spans="1:13" x14ac:dyDescent="0.2">
      <c r="A1207" s="348"/>
      <c r="B1207" s="466"/>
      <c r="C1207" s="466"/>
      <c r="D1207" s="466"/>
      <c r="E1207" s="467"/>
      <c r="F1207" s="466"/>
      <c r="G1207" s="466"/>
      <c r="H1207" s="466"/>
      <c r="I1207" s="467"/>
      <c r="J1207" s="466"/>
      <c r="K1207" s="466"/>
      <c r="L1207" s="466"/>
      <c r="M1207" s="352"/>
    </row>
    <row r="1208" spans="1:13" x14ac:dyDescent="0.2">
      <c r="A1208" s="348"/>
      <c r="B1208" s="467"/>
      <c r="C1208" s="467"/>
      <c r="D1208" s="467"/>
      <c r="E1208" s="467"/>
      <c r="F1208" s="467"/>
      <c r="G1208" s="467"/>
      <c r="H1208" s="467"/>
      <c r="I1208" s="467"/>
      <c r="J1208" s="467"/>
      <c r="K1208" s="467"/>
      <c r="L1208" s="467"/>
      <c r="M1208" s="352"/>
    </row>
    <row r="1209" spans="1:13" x14ac:dyDescent="0.2">
      <c r="A1209" s="348"/>
      <c r="B1209" s="348"/>
      <c r="C1209" s="348"/>
      <c r="D1209" s="348"/>
      <c r="E1209" s="348"/>
      <c r="F1209" s="348"/>
      <c r="G1209" s="348"/>
      <c r="H1209" s="348"/>
      <c r="I1209" s="348"/>
      <c r="J1209" s="348"/>
      <c r="K1209" s="348"/>
      <c r="L1209" s="353"/>
      <c r="M1209" s="352"/>
    </row>
    <row r="1210" spans="1:13" x14ac:dyDescent="0.2">
      <c r="A1210" s="348"/>
      <c r="B1210" s="348"/>
      <c r="C1210" s="348"/>
      <c r="D1210" s="348"/>
      <c r="E1210" s="348"/>
      <c r="F1210" s="348"/>
      <c r="G1210" s="348"/>
      <c r="H1210" s="348"/>
      <c r="I1210" s="348"/>
      <c r="J1210" s="348"/>
      <c r="K1210" s="348"/>
      <c r="L1210" s="410"/>
      <c r="M1210" s="352"/>
    </row>
    <row r="1211" spans="1:13" x14ac:dyDescent="0.2">
      <c r="A1211" s="374"/>
      <c r="B1211" s="354"/>
      <c r="C1211" s="354"/>
      <c r="D1211" s="354"/>
      <c r="E1211" s="354"/>
      <c r="F1211" s="354"/>
      <c r="G1211" s="354"/>
      <c r="H1211" s="354"/>
      <c r="I1211" s="354"/>
      <c r="J1211" s="354"/>
      <c r="K1211" s="354"/>
      <c r="L1211" s="352"/>
      <c r="M1211" s="352"/>
    </row>
    <row r="1212" spans="1:13" x14ac:dyDescent="0.2">
      <c r="A1212" s="354"/>
      <c r="B1212" s="517"/>
      <c r="C1212" s="517"/>
      <c r="D1212" s="517"/>
      <c r="E1212" s="369"/>
      <c r="F1212" s="517"/>
      <c r="G1212" s="517"/>
      <c r="H1212" s="517"/>
      <c r="I1212" s="369"/>
      <c r="J1212" s="517"/>
      <c r="K1212" s="517"/>
      <c r="L1212" s="517"/>
      <c r="M1212" s="352"/>
    </row>
    <row r="1213" spans="1:13" x14ac:dyDescent="0.2">
      <c r="A1213" s="374"/>
      <c r="B1213" s="375"/>
      <c r="C1213" s="375"/>
      <c r="D1213" s="375"/>
      <c r="E1213" s="375"/>
      <c r="F1213" s="375"/>
      <c r="G1213" s="375"/>
      <c r="H1213" s="375"/>
      <c r="I1213" s="375"/>
      <c r="J1213" s="375"/>
      <c r="K1213" s="375"/>
      <c r="L1213" s="375"/>
      <c r="M1213" s="352"/>
    </row>
    <row r="1214" spans="1:13" x14ac:dyDescent="0.2">
      <c r="A1214" s="374"/>
      <c r="B1214" s="375"/>
      <c r="C1214" s="375"/>
      <c r="D1214" s="375"/>
      <c r="E1214" s="375"/>
      <c r="F1214" s="375"/>
      <c r="G1214" s="375"/>
      <c r="H1214" s="375"/>
      <c r="I1214" s="375"/>
      <c r="J1214" s="375"/>
      <c r="K1214" s="375"/>
      <c r="L1214" s="375"/>
      <c r="M1214" s="352"/>
    </row>
    <row r="1215" spans="1:13" x14ac:dyDescent="0.2">
      <c r="A1215" s="348"/>
      <c r="B1215" s="466"/>
      <c r="C1215" s="466"/>
      <c r="D1215" s="466"/>
      <c r="E1215" s="467"/>
      <c r="F1215" s="466"/>
      <c r="G1215" s="466"/>
      <c r="H1215" s="466"/>
      <c r="I1215" s="467"/>
      <c r="J1215" s="466"/>
      <c r="K1215" s="466"/>
      <c r="L1215" s="466"/>
      <c r="M1215" s="352"/>
    </row>
    <row r="1216" spans="1:13" x14ac:dyDescent="0.2">
      <c r="A1216" s="348"/>
      <c r="B1216" s="466"/>
      <c r="C1216" s="466"/>
      <c r="D1216" s="466"/>
      <c r="E1216" s="467"/>
      <c r="F1216" s="466"/>
      <c r="G1216" s="466"/>
      <c r="H1216" s="466"/>
      <c r="I1216" s="467"/>
      <c r="J1216" s="466"/>
      <c r="K1216" s="466"/>
      <c r="L1216" s="466"/>
      <c r="M1216" s="352"/>
    </row>
    <row r="1217" spans="1:13" x14ac:dyDescent="0.2">
      <c r="A1217" s="348"/>
      <c r="B1217" s="466"/>
      <c r="C1217" s="466"/>
      <c r="D1217" s="466"/>
      <c r="E1217" s="467"/>
      <c r="F1217" s="466"/>
      <c r="G1217" s="466"/>
      <c r="H1217" s="466"/>
      <c r="I1217" s="467"/>
      <c r="J1217" s="466"/>
      <c r="K1217" s="466"/>
      <c r="L1217" s="466"/>
      <c r="M1217" s="352"/>
    </row>
    <row r="1218" spans="1:13" x14ac:dyDescent="0.2">
      <c r="A1218" s="348"/>
      <c r="B1218" s="466"/>
      <c r="C1218" s="466"/>
      <c r="D1218" s="466"/>
      <c r="E1218" s="467"/>
      <c r="F1218" s="466"/>
      <c r="G1218" s="466"/>
      <c r="H1218" s="466"/>
      <c r="I1218" s="467"/>
      <c r="J1218" s="466"/>
      <c r="K1218" s="466"/>
      <c r="L1218" s="466"/>
      <c r="M1218" s="352"/>
    </row>
    <row r="1219" spans="1:13" x14ac:dyDescent="0.2">
      <c r="A1219" s="348"/>
      <c r="B1219" s="466"/>
      <c r="C1219" s="466"/>
      <c r="D1219" s="466"/>
      <c r="E1219" s="467"/>
      <c r="F1219" s="466"/>
      <c r="G1219" s="466"/>
      <c r="H1219" s="466"/>
      <c r="I1219" s="467"/>
      <c r="J1219" s="466"/>
      <c r="K1219" s="466"/>
      <c r="L1219" s="466"/>
      <c r="M1219" s="352"/>
    </row>
    <row r="1220" spans="1:13" x14ac:dyDescent="0.2">
      <c r="A1220" s="348"/>
      <c r="B1220" s="466"/>
      <c r="C1220" s="466"/>
      <c r="D1220" s="466"/>
      <c r="E1220" s="467"/>
      <c r="F1220" s="466"/>
      <c r="G1220" s="466"/>
      <c r="H1220" s="466"/>
      <c r="I1220" s="467"/>
      <c r="J1220" s="466"/>
      <c r="K1220" s="466"/>
      <c r="L1220" s="466"/>
      <c r="M1220" s="352"/>
    </row>
    <row r="1221" spans="1:13" x14ac:dyDescent="0.2">
      <c r="A1221" s="348"/>
      <c r="B1221" s="466"/>
      <c r="C1221" s="466"/>
      <c r="D1221" s="466"/>
      <c r="E1221" s="467"/>
      <c r="F1221" s="466"/>
      <c r="G1221" s="466"/>
      <c r="H1221" s="466"/>
      <c r="I1221" s="467"/>
      <c r="J1221" s="466"/>
      <c r="K1221" s="466"/>
      <c r="L1221" s="466"/>
      <c r="M1221" s="352"/>
    </row>
    <row r="1222" spans="1:13" x14ac:dyDescent="0.2">
      <c r="A1222" s="348"/>
      <c r="B1222" s="466"/>
      <c r="C1222" s="466"/>
      <c r="D1222" s="466"/>
      <c r="E1222" s="467"/>
      <c r="F1222" s="466"/>
      <c r="G1222" s="466"/>
      <c r="H1222" s="466"/>
      <c r="I1222" s="467"/>
      <c r="J1222" s="466"/>
      <c r="K1222" s="466"/>
      <c r="L1222" s="466"/>
      <c r="M1222" s="352"/>
    </row>
    <row r="1223" spans="1:13" ht="13.5" customHeight="1" x14ac:dyDescent="0.2">
      <c r="A1223" s="348"/>
      <c r="B1223" s="466"/>
      <c r="C1223" s="466"/>
      <c r="D1223" s="466"/>
      <c r="E1223" s="467"/>
      <c r="F1223" s="466"/>
      <c r="G1223" s="466"/>
      <c r="H1223" s="466"/>
      <c r="I1223" s="467"/>
      <c r="J1223" s="466"/>
      <c r="K1223" s="466"/>
      <c r="L1223" s="466"/>
      <c r="M1223" s="352"/>
    </row>
    <row r="1224" spans="1:13" ht="13.5" customHeight="1" x14ac:dyDescent="0.2">
      <c r="A1224" s="348"/>
      <c r="B1224" s="466"/>
      <c r="C1224" s="466"/>
      <c r="D1224" s="466"/>
      <c r="E1224" s="467"/>
      <c r="F1224" s="466"/>
      <c r="G1224" s="466"/>
      <c r="H1224" s="466"/>
      <c r="I1224" s="467"/>
      <c r="J1224" s="466"/>
      <c r="K1224" s="466"/>
      <c r="L1224" s="466"/>
      <c r="M1224" s="352"/>
    </row>
    <row r="1225" spans="1:13" x14ac:dyDescent="0.2">
      <c r="A1225" s="348"/>
      <c r="B1225" s="467"/>
      <c r="C1225" s="467"/>
      <c r="D1225" s="467"/>
      <c r="E1225" s="467"/>
      <c r="F1225" s="467"/>
      <c r="G1225" s="467"/>
      <c r="H1225" s="467"/>
      <c r="I1225" s="467"/>
      <c r="J1225" s="467"/>
      <c r="K1225" s="467"/>
      <c r="L1225" s="467"/>
      <c r="M1225" s="352"/>
    </row>
    <row r="1226" spans="1:13" x14ac:dyDescent="0.2">
      <c r="A1226" s="348"/>
      <c r="B1226" s="348"/>
      <c r="C1226" s="348"/>
      <c r="D1226" s="348"/>
      <c r="E1226" s="348"/>
      <c r="F1226" s="348"/>
      <c r="G1226" s="348"/>
      <c r="H1226" s="348"/>
      <c r="I1226" s="348"/>
      <c r="J1226" s="348"/>
      <c r="K1226" s="348"/>
      <c r="L1226" s="353"/>
      <c r="M1226" s="352"/>
    </row>
    <row r="1227" spans="1:13" x14ac:dyDescent="0.2">
      <c r="A1227" s="348"/>
      <c r="B1227" s="348"/>
      <c r="C1227" s="348"/>
      <c r="D1227" s="348"/>
      <c r="E1227" s="348"/>
      <c r="F1227" s="348"/>
      <c r="G1227" s="348"/>
      <c r="H1227" s="348"/>
      <c r="I1227" s="348"/>
      <c r="J1227" s="348"/>
      <c r="K1227" s="348"/>
      <c r="L1227" s="410"/>
      <c r="M1227" s="352"/>
    </row>
    <row r="1228" spans="1:13" x14ac:dyDescent="0.2">
      <c r="A1228" s="374"/>
      <c r="B1228" s="354"/>
      <c r="C1228" s="354"/>
      <c r="D1228" s="354"/>
      <c r="E1228" s="354"/>
      <c r="F1228" s="354"/>
      <c r="G1228" s="354"/>
      <c r="H1228" s="354"/>
      <c r="I1228" s="354"/>
      <c r="J1228" s="354"/>
      <c r="K1228" s="354"/>
      <c r="L1228" s="352"/>
      <c r="M1228" s="352"/>
    </row>
    <row r="1229" spans="1:13" x14ac:dyDescent="0.2">
      <c r="A1229" s="354"/>
      <c r="B1229" s="517"/>
      <c r="C1229" s="517"/>
      <c r="D1229" s="517"/>
      <c r="E1229" s="369"/>
      <c r="F1229" s="517"/>
      <c r="G1229" s="517"/>
      <c r="H1229" s="517"/>
      <c r="I1229" s="369"/>
      <c r="J1229" s="517"/>
      <c r="K1229" s="517"/>
      <c r="L1229" s="517"/>
      <c r="M1229" s="352"/>
    </row>
    <row r="1230" spans="1:13" x14ac:dyDescent="0.2">
      <c r="A1230" s="374"/>
      <c r="B1230" s="375"/>
      <c r="C1230" s="375"/>
      <c r="D1230" s="375"/>
      <c r="E1230" s="375"/>
      <c r="F1230" s="375"/>
      <c r="G1230" s="375"/>
      <c r="H1230" s="375"/>
      <c r="I1230" s="375"/>
      <c r="J1230" s="375"/>
      <c r="K1230" s="375"/>
      <c r="L1230" s="375"/>
      <c r="M1230" s="352"/>
    </row>
    <row r="1231" spans="1:13" x14ac:dyDescent="0.2">
      <c r="A1231" s="374"/>
      <c r="B1231" s="375"/>
      <c r="C1231" s="375"/>
      <c r="D1231" s="375"/>
      <c r="E1231" s="375"/>
      <c r="F1231" s="375"/>
      <c r="G1231" s="375"/>
      <c r="H1231" s="375"/>
      <c r="I1231" s="375"/>
      <c r="J1231" s="375"/>
      <c r="K1231" s="375"/>
      <c r="L1231" s="375"/>
      <c r="M1231" s="352"/>
    </row>
    <row r="1232" spans="1:13" x14ac:dyDescent="0.2">
      <c r="A1232" s="348"/>
      <c r="B1232" s="466"/>
      <c r="C1232" s="466"/>
      <c r="D1232" s="466"/>
      <c r="E1232" s="467"/>
      <c r="F1232" s="466"/>
      <c r="G1232" s="466"/>
      <c r="H1232" s="466"/>
      <c r="I1232" s="467"/>
      <c r="J1232" s="466"/>
      <c r="K1232" s="466"/>
      <c r="L1232" s="466"/>
      <c r="M1232" s="352"/>
    </row>
    <row r="1233" spans="1:13" x14ac:dyDescent="0.2">
      <c r="A1233" s="348"/>
      <c r="B1233" s="466"/>
      <c r="C1233" s="466"/>
      <c r="D1233" s="466"/>
      <c r="E1233" s="467"/>
      <c r="F1233" s="466"/>
      <c r="G1233" s="466"/>
      <c r="H1233" s="466"/>
      <c r="I1233" s="467"/>
      <c r="J1233" s="466"/>
      <c r="K1233" s="466"/>
      <c r="L1233" s="466"/>
      <c r="M1233" s="352"/>
    </row>
    <row r="1234" spans="1:13" x14ac:dyDescent="0.2">
      <c r="A1234" s="348"/>
      <c r="B1234" s="466"/>
      <c r="C1234" s="466"/>
      <c r="D1234" s="466"/>
      <c r="E1234" s="467"/>
      <c r="F1234" s="466"/>
      <c r="G1234" s="466"/>
      <c r="H1234" s="466"/>
      <c r="I1234" s="467"/>
      <c r="J1234" s="466"/>
      <c r="K1234" s="466"/>
      <c r="L1234" s="466"/>
      <c r="M1234" s="352"/>
    </row>
    <row r="1235" spans="1:13" x14ac:dyDescent="0.2">
      <c r="A1235" s="348"/>
      <c r="B1235" s="466"/>
      <c r="C1235" s="466"/>
      <c r="D1235" s="466"/>
      <c r="E1235" s="467"/>
      <c r="F1235" s="466"/>
      <c r="G1235" s="466"/>
      <c r="H1235" s="466"/>
      <c r="I1235" s="467"/>
      <c r="J1235" s="466"/>
      <c r="K1235" s="466"/>
      <c r="L1235" s="466"/>
      <c r="M1235" s="352"/>
    </row>
    <row r="1236" spans="1:13" x14ac:dyDescent="0.2">
      <c r="A1236" s="348"/>
      <c r="B1236" s="466"/>
      <c r="C1236" s="466"/>
      <c r="D1236" s="466"/>
      <c r="E1236" s="467"/>
      <c r="F1236" s="466"/>
      <c r="G1236" s="466"/>
      <c r="H1236" s="466"/>
      <c r="I1236" s="467"/>
      <c r="J1236" s="466"/>
      <c r="K1236" s="466"/>
      <c r="L1236" s="466"/>
      <c r="M1236" s="352"/>
    </row>
    <row r="1237" spans="1:13" x14ac:dyDescent="0.2">
      <c r="A1237" s="348"/>
      <c r="B1237" s="466"/>
      <c r="C1237" s="466"/>
      <c r="D1237" s="466"/>
      <c r="E1237" s="467"/>
      <c r="F1237" s="466"/>
      <c r="G1237" s="466"/>
      <c r="H1237" s="466"/>
      <c r="I1237" s="467"/>
      <c r="J1237" s="466"/>
      <c r="K1237" s="466"/>
      <c r="L1237" s="466"/>
      <c r="M1237" s="352"/>
    </row>
    <row r="1238" spans="1:13" x14ac:dyDescent="0.2">
      <c r="A1238" s="348"/>
      <c r="B1238" s="466"/>
      <c r="C1238" s="466"/>
      <c r="D1238" s="466"/>
      <c r="E1238" s="467"/>
      <c r="F1238" s="466"/>
      <c r="G1238" s="466"/>
      <c r="H1238" s="466"/>
      <c r="I1238" s="467"/>
      <c r="J1238" s="466"/>
      <c r="K1238" s="466"/>
      <c r="L1238" s="466"/>
      <c r="M1238" s="352"/>
    </row>
    <row r="1239" spans="1:13" x14ac:dyDescent="0.2">
      <c r="A1239" s="348"/>
      <c r="B1239" s="466"/>
      <c r="C1239" s="466"/>
      <c r="D1239" s="466"/>
      <c r="E1239" s="467"/>
      <c r="F1239" s="466"/>
      <c r="G1239" s="466"/>
      <c r="H1239" s="466"/>
      <c r="I1239" s="467"/>
      <c r="J1239" s="466"/>
      <c r="K1239" s="466"/>
      <c r="L1239" s="466"/>
      <c r="M1239" s="352"/>
    </row>
    <row r="1240" spans="1:13" x14ac:dyDescent="0.2">
      <c r="A1240" s="348"/>
      <c r="B1240" s="466"/>
      <c r="C1240" s="466"/>
      <c r="D1240" s="466"/>
      <c r="E1240" s="467"/>
      <c r="F1240" s="466"/>
      <c r="G1240" s="466"/>
      <c r="H1240" s="466"/>
      <c r="I1240" s="467"/>
      <c r="J1240" s="466"/>
      <c r="K1240" s="466"/>
      <c r="L1240" s="466"/>
      <c r="M1240" s="352"/>
    </row>
    <row r="1241" spans="1:13" x14ac:dyDescent="0.2">
      <c r="A1241" s="348"/>
      <c r="B1241" s="466"/>
      <c r="C1241" s="466"/>
      <c r="D1241" s="466"/>
      <c r="E1241" s="467"/>
      <c r="F1241" s="466"/>
      <c r="G1241" s="466"/>
      <c r="H1241" s="466"/>
      <c r="I1241" s="467"/>
      <c r="J1241" s="466"/>
      <c r="K1241" s="466"/>
      <c r="L1241" s="466"/>
      <c r="M1241" s="352"/>
    </row>
    <row r="1242" spans="1:13" x14ac:dyDescent="0.2">
      <c r="A1242" s="348"/>
      <c r="B1242" s="467"/>
      <c r="C1242" s="467"/>
      <c r="D1242" s="467"/>
      <c r="E1242" s="467"/>
      <c r="F1242" s="467"/>
      <c r="G1242" s="467"/>
      <c r="H1242" s="467"/>
      <c r="I1242" s="467"/>
      <c r="J1242" s="467"/>
      <c r="K1242" s="467"/>
      <c r="L1242" s="467"/>
      <c r="M1242" s="352"/>
    </row>
    <row r="1243" spans="1:13" x14ac:dyDescent="0.2">
      <c r="A1243" s="348"/>
      <c r="B1243" s="348"/>
      <c r="C1243" s="348"/>
      <c r="D1243" s="348"/>
      <c r="E1243" s="348"/>
      <c r="F1243" s="348"/>
      <c r="G1243" s="348"/>
      <c r="H1243" s="348"/>
      <c r="I1243" s="348"/>
      <c r="J1243" s="348"/>
      <c r="K1243" s="348"/>
      <c r="L1243" s="353"/>
      <c r="M1243" s="352"/>
    </row>
    <row r="1244" spans="1:13" x14ac:dyDescent="0.2">
      <c r="A1244" s="348"/>
      <c r="B1244" s="348"/>
      <c r="C1244" s="348"/>
      <c r="D1244" s="348"/>
      <c r="E1244" s="348"/>
      <c r="F1244" s="348"/>
      <c r="G1244" s="348"/>
      <c r="H1244" s="348"/>
      <c r="I1244" s="348"/>
      <c r="J1244" s="348"/>
      <c r="K1244" s="348"/>
      <c r="L1244" s="410"/>
      <c r="M1244" s="352"/>
    </row>
    <row r="1245" spans="1:13" x14ac:dyDescent="0.2">
      <c r="A1245" s="374"/>
      <c r="B1245" s="354"/>
      <c r="C1245" s="354"/>
      <c r="D1245" s="354"/>
      <c r="E1245" s="354"/>
      <c r="F1245" s="354"/>
      <c r="G1245" s="354"/>
      <c r="H1245" s="354"/>
      <c r="I1245" s="354"/>
      <c r="J1245" s="354"/>
      <c r="K1245" s="354"/>
      <c r="L1245" s="352"/>
      <c r="M1245" s="352"/>
    </row>
    <row r="1246" spans="1:13" x14ac:dyDescent="0.2">
      <c r="A1246" s="354"/>
      <c r="B1246" s="517"/>
      <c r="C1246" s="517"/>
      <c r="D1246" s="517"/>
      <c r="E1246" s="369"/>
      <c r="F1246" s="517"/>
      <c r="G1246" s="517"/>
      <c r="H1246" s="517"/>
      <c r="I1246" s="369"/>
      <c r="J1246" s="517"/>
      <c r="K1246" s="517"/>
      <c r="L1246" s="517"/>
      <c r="M1246" s="352"/>
    </row>
    <row r="1247" spans="1:13" x14ac:dyDescent="0.2">
      <c r="A1247" s="374"/>
      <c r="B1247" s="375"/>
      <c r="C1247" s="375"/>
      <c r="D1247" s="375"/>
      <c r="E1247" s="375"/>
      <c r="F1247" s="375"/>
      <c r="G1247" s="375"/>
      <c r="H1247" s="375"/>
      <c r="I1247" s="375"/>
      <c r="J1247" s="375"/>
      <c r="K1247" s="375"/>
      <c r="L1247" s="375"/>
      <c r="M1247" s="352"/>
    </row>
    <row r="1248" spans="1:13" x14ac:dyDescent="0.2">
      <c r="A1248" s="374"/>
      <c r="B1248" s="375"/>
      <c r="C1248" s="375"/>
      <c r="D1248" s="375"/>
      <c r="E1248" s="375"/>
      <c r="F1248" s="375"/>
      <c r="G1248" s="375"/>
      <c r="H1248" s="375"/>
      <c r="I1248" s="375"/>
      <c r="J1248" s="375"/>
      <c r="K1248" s="375"/>
      <c r="L1248" s="375"/>
      <c r="M1248" s="352"/>
    </row>
    <row r="1249" spans="1:13" x14ac:dyDescent="0.2">
      <c r="A1249" s="348"/>
      <c r="B1249" s="466"/>
      <c r="C1249" s="466"/>
      <c r="D1249" s="466"/>
      <c r="E1249" s="467"/>
      <c r="F1249" s="466"/>
      <c r="G1249" s="466"/>
      <c r="H1249" s="466"/>
      <c r="I1249" s="467"/>
      <c r="J1249" s="466"/>
      <c r="K1249" s="466"/>
      <c r="L1249" s="466"/>
      <c r="M1249" s="352"/>
    </row>
    <row r="1250" spans="1:13" x14ac:dyDescent="0.2">
      <c r="A1250" s="348"/>
      <c r="B1250" s="466"/>
      <c r="C1250" s="466"/>
      <c r="D1250" s="466"/>
      <c r="E1250" s="467"/>
      <c r="F1250" s="466"/>
      <c r="G1250" s="466"/>
      <c r="H1250" s="466"/>
      <c r="I1250" s="467"/>
      <c r="J1250" s="466"/>
      <c r="K1250" s="466"/>
      <c r="L1250" s="466"/>
      <c r="M1250" s="352"/>
    </row>
    <row r="1251" spans="1:13" x14ac:dyDescent="0.2">
      <c r="A1251" s="348"/>
      <c r="B1251" s="466"/>
      <c r="C1251" s="466"/>
      <c r="D1251" s="466"/>
      <c r="E1251" s="467"/>
      <c r="F1251" s="466"/>
      <c r="G1251" s="466"/>
      <c r="H1251" s="466"/>
      <c r="I1251" s="467"/>
      <c r="J1251" s="466"/>
      <c r="K1251" s="466"/>
      <c r="L1251" s="466"/>
      <c r="M1251" s="352"/>
    </row>
    <row r="1252" spans="1:13" x14ac:dyDescent="0.2">
      <c r="A1252" s="348"/>
      <c r="B1252" s="466"/>
      <c r="C1252" s="466"/>
      <c r="D1252" s="466"/>
      <c r="E1252" s="467"/>
      <c r="F1252" s="466"/>
      <c r="G1252" s="466"/>
      <c r="H1252" s="466"/>
      <c r="I1252" s="467"/>
      <c r="J1252" s="466"/>
      <c r="K1252" s="466"/>
      <c r="L1252" s="466"/>
      <c r="M1252" s="352"/>
    </row>
    <row r="1253" spans="1:13" x14ac:dyDescent="0.2">
      <c r="A1253" s="348"/>
      <c r="B1253" s="466"/>
      <c r="C1253" s="466"/>
      <c r="D1253" s="466"/>
      <c r="E1253" s="467"/>
      <c r="F1253" s="466"/>
      <c r="G1253" s="466"/>
      <c r="H1253" s="466"/>
      <c r="I1253" s="467"/>
      <c r="J1253" s="466"/>
      <c r="K1253" s="466"/>
      <c r="L1253" s="466"/>
      <c r="M1253" s="352"/>
    </row>
    <row r="1254" spans="1:13" x14ac:dyDescent="0.2">
      <c r="A1254" s="348"/>
      <c r="B1254" s="466"/>
      <c r="C1254" s="466"/>
      <c r="D1254" s="466"/>
      <c r="E1254" s="467"/>
      <c r="F1254" s="466"/>
      <c r="G1254" s="466"/>
      <c r="H1254" s="466"/>
      <c r="I1254" s="467"/>
      <c r="J1254" s="466"/>
      <c r="K1254" s="466"/>
      <c r="L1254" s="466"/>
      <c r="M1254" s="352"/>
    </row>
    <row r="1255" spans="1:13" x14ac:dyDescent="0.2">
      <c r="A1255" s="348"/>
      <c r="B1255" s="466"/>
      <c r="C1255" s="466"/>
      <c r="D1255" s="466"/>
      <c r="E1255" s="467"/>
      <c r="F1255" s="466"/>
      <c r="G1255" s="466"/>
      <c r="H1255" s="466"/>
      <c r="I1255" s="467"/>
      <c r="J1255" s="466"/>
      <c r="K1255" s="466"/>
      <c r="L1255" s="466"/>
      <c r="M1255" s="352"/>
    </row>
    <row r="1256" spans="1:13" x14ac:dyDescent="0.2">
      <c r="A1256" s="348"/>
      <c r="B1256" s="466"/>
      <c r="C1256" s="466"/>
      <c r="D1256" s="466"/>
      <c r="E1256" s="467"/>
      <c r="F1256" s="466"/>
      <c r="G1256" s="466"/>
      <c r="H1256" s="466"/>
      <c r="I1256" s="467"/>
      <c r="J1256" s="466"/>
      <c r="K1256" s="466"/>
      <c r="L1256" s="466"/>
      <c r="M1256" s="352"/>
    </row>
    <row r="1257" spans="1:13" x14ac:dyDescent="0.2">
      <c r="A1257" s="348"/>
      <c r="B1257" s="466"/>
      <c r="C1257" s="466"/>
      <c r="D1257" s="466"/>
      <c r="E1257" s="467"/>
      <c r="F1257" s="466"/>
      <c r="G1257" s="466"/>
      <c r="H1257" s="466"/>
      <c r="I1257" s="467"/>
      <c r="J1257" s="466"/>
      <c r="K1257" s="466"/>
      <c r="L1257" s="466"/>
      <c r="M1257" s="352"/>
    </row>
    <row r="1258" spans="1:13" x14ac:dyDescent="0.2">
      <c r="A1258" s="348"/>
      <c r="B1258" s="466"/>
      <c r="C1258" s="466"/>
      <c r="D1258" s="466"/>
      <c r="E1258" s="467"/>
      <c r="F1258" s="466"/>
      <c r="G1258" s="466"/>
      <c r="H1258" s="466"/>
      <c r="I1258" s="467"/>
      <c r="J1258" s="466"/>
      <c r="K1258" s="466"/>
      <c r="L1258" s="466"/>
      <c r="M1258" s="352"/>
    </row>
    <row r="1259" spans="1:13" x14ac:dyDescent="0.2">
      <c r="A1259" s="348"/>
      <c r="B1259" s="467"/>
      <c r="C1259" s="467"/>
      <c r="D1259" s="467"/>
      <c r="E1259" s="467"/>
      <c r="F1259" s="467"/>
      <c r="G1259" s="467"/>
      <c r="H1259" s="467"/>
      <c r="I1259" s="467"/>
      <c r="J1259" s="467"/>
      <c r="K1259" s="467"/>
      <c r="L1259" s="467"/>
      <c r="M1259" s="352"/>
    </row>
    <row r="1260" spans="1:13" x14ac:dyDescent="0.2">
      <c r="A1260" s="348"/>
      <c r="B1260" s="348"/>
      <c r="C1260" s="348"/>
      <c r="D1260" s="348"/>
      <c r="E1260" s="348"/>
      <c r="F1260" s="348"/>
      <c r="G1260" s="348"/>
      <c r="H1260" s="348"/>
      <c r="I1260" s="348"/>
      <c r="J1260" s="348"/>
      <c r="K1260" s="348"/>
      <c r="L1260" s="353"/>
      <c r="M1260" s="352"/>
    </row>
    <row r="1261" spans="1:13" x14ac:dyDescent="0.2">
      <c r="A1261" s="348"/>
      <c r="B1261" s="348"/>
      <c r="C1261" s="348"/>
      <c r="D1261" s="348"/>
      <c r="E1261" s="348"/>
      <c r="F1261" s="348"/>
      <c r="G1261" s="348"/>
      <c r="H1261" s="348"/>
      <c r="I1261" s="348"/>
      <c r="J1261" s="348"/>
      <c r="K1261" s="348"/>
      <c r="L1261" s="410"/>
      <c r="M1261" s="352"/>
    </row>
    <row r="1262" spans="1:13" x14ac:dyDescent="0.2">
      <c r="A1262" s="374"/>
      <c r="B1262" s="354"/>
      <c r="C1262" s="354"/>
      <c r="D1262" s="354"/>
      <c r="E1262" s="354"/>
      <c r="F1262" s="354"/>
      <c r="G1262" s="354"/>
      <c r="H1262" s="354"/>
      <c r="I1262" s="354"/>
      <c r="J1262" s="354"/>
      <c r="K1262" s="354"/>
      <c r="L1262" s="352"/>
      <c r="M1262" s="352"/>
    </row>
    <row r="1263" spans="1:13" x14ac:dyDescent="0.2">
      <c r="A1263" s="354"/>
      <c r="B1263" s="517"/>
      <c r="C1263" s="517"/>
      <c r="D1263" s="517"/>
      <c r="E1263" s="369"/>
      <c r="F1263" s="517"/>
      <c r="G1263" s="517"/>
      <c r="H1263" s="517"/>
      <c r="I1263" s="369"/>
      <c r="J1263" s="517"/>
      <c r="K1263" s="517"/>
      <c r="L1263" s="517"/>
      <c r="M1263" s="352"/>
    </row>
    <row r="1264" spans="1:13" x14ac:dyDescent="0.2">
      <c r="A1264" s="374"/>
      <c r="B1264" s="375"/>
      <c r="C1264" s="375"/>
      <c r="D1264" s="375"/>
      <c r="E1264" s="375"/>
      <c r="F1264" s="375"/>
      <c r="G1264" s="375"/>
      <c r="H1264" s="375"/>
      <c r="I1264" s="375"/>
      <c r="J1264" s="375"/>
      <c r="K1264" s="375"/>
      <c r="L1264" s="375"/>
      <c r="M1264" s="352"/>
    </row>
    <row r="1265" spans="1:13" x14ac:dyDescent="0.2">
      <c r="A1265" s="374"/>
      <c r="B1265" s="375"/>
      <c r="C1265" s="375"/>
      <c r="D1265" s="375"/>
      <c r="E1265" s="375"/>
      <c r="F1265" s="375"/>
      <c r="G1265" s="375"/>
      <c r="H1265" s="375"/>
      <c r="I1265" s="375"/>
      <c r="J1265" s="375"/>
      <c r="K1265" s="375"/>
      <c r="L1265" s="375"/>
      <c r="M1265" s="352"/>
    </row>
    <row r="1266" spans="1:13" x14ac:dyDescent="0.2">
      <c r="A1266" s="348"/>
      <c r="B1266" s="466"/>
      <c r="C1266" s="466"/>
      <c r="D1266" s="466"/>
      <c r="E1266" s="467"/>
      <c r="F1266" s="466"/>
      <c r="G1266" s="466"/>
      <c r="H1266" s="466"/>
      <c r="I1266" s="467"/>
      <c r="J1266" s="466"/>
      <c r="K1266" s="466"/>
      <c r="L1266" s="466"/>
      <c r="M1266" s="352"/>
    </row>
    <row r="1267" spans="1:13" x14ac:dyDescent="0.2">
      <c r="A1267" s="348"/>
      <c r="B1267" s="466"/>
      <c r="C1267" s="466"/>
      <c r="D1267" s="466"/>
      <c r="E1267" s="467"/>
      <c r="F1267" s="466"/>
      <c r="G1267" s="466"/>
      <c r="H1267" s="466"/>
      <c r="I1267" s="467"/>
      <c r="J1267" s="466"/>
      <c r="K1267" s="466"/>
      <c r="L1267" s="466"/>
      <c r="M1267" s="352"/>
    </row>
    <row r="1268" spans="1:13" x14ac:dyDescent="0.2">
      <c r="A1268" s="348"/>
      <c r="B1268" s="466"/>
      <c r="C1268" s="466"/>
      <c r="D1268" s="466"/>
      <c r="E1268" s="467"/>
      <c r="F1268" s="466"/>
      <c r="G1268" s="466"/>
      <c r="H1268" s="466"/>
      <c r="I1268" s="467"/>
      <c r="J1268" s="466"/>
      <c r="K1268" s="466"/>
      <c r="L1268" s="466"/>
      <c r="M1268" s="352"/>
    </row>
    <row r="1269" spans="1:13" x14ac:dyDescent="0.2">
      <c r="A1269" s="348"/>
      <c r="B1269" s="466"/>
      <c r="C1269" s="466"/>
      <c r="D1269" s="466"/>
      <c r="E1269" s="467"/>
      <c r="F1269" s="466"/>
      <c r="G1269" s="466"/>
      <c r="H1269" s="466"/>
      <c r="I1269" s="467"/>
      <c r="J1269" s="466"/>
      <c r="K1269" s="466"/>
      <c r="L1269" s="466"/>
      <c r="M1269" s="352"/>
    </row>
    <row r="1270" spans="1:13" x14ac:dyDescent="0.2">
      <c r="A1270" s="348"/>
      <c r="B1270" s="466"/>
      <c r="C1270" s="466"/>
      <c r="D1270" s="466"/>
      <c r="E1270" s="467"/>
      <c r="F1270" s="466"/>
      <c r="G1270" s="466"/>
      <c r="H1270" s="466"/>
      <c r="I1270" s="467"/>
      <c r="J1270" s="466"/>
      <c r="K1270" s="466"/>
      <c r="L1270" s="466"/>
      <c r="M1270" s="352"/>
    </row>
    <row r="1271" spans="1:13" x14ac:dyDescent="0.2">
      <c r="A1271" s="348"/>
      <c r="B1271" s="466"/>
      <c r="C1271" s="466"/>
      <c r="D1271" s="466"/>
      <c r="E1271" s="467"/>
      <c r="F1271" s="466"/>
      <c r="G1271" s="466"/>
      <c r="H1271" s="466"/>
      <c r="I1271" s="467"/>
      <c r="J1271" s="466"/>
      <c r="K1271" s="466"/>
      <c r="L1271" s="466"/>
      <c r="M1271" s="352"/>
    </row>
    <row r="1272" spans="1:13" x14ac:dyDescent="0.2">
      <c r="A1272" s="348"/>
      <c r="B1272" s="466"/>
      <c r="C1272" s="466"/>
      <c r="D1272" s="466"/>
      <c r="E1272" s="467"/>
      <c r="F1272" s="466"/>
      <c r="G1272" s="466"/>
      <c r="H1272" s="466"/>
      <c r="I1272" s="467"/>
      <c r="J1272" s="466"/>
      <c r="K1272" s="466"/>
      <c r="L1272" s="466"/>
      <c r="M1272" s="352"/>
    </row>
    <row r="1273" spans="1:13" x14ac:dyDescent="0.2">
      <c r="A1273" s="348"/>
      <c r="B1273" s="466"/>
      <c r="C1273" s="466"/>
      <c r="D1273" s="466"/>
      <c r="E1273" s="467"/>
      <c r="F1273" s="466"/>
      <c r="G1273" s="466"/>
      <c r="H1273" s="466"/>
      <c r="I1273" s="467"/>
      <c r="J1273" s="466"/>
      <c r="K1273" s="466"/>
      <c r="L1273" s="466"/>
      <c r="M1273" s="352"/>
    </row>
    <row r="1274" spans="1:13" x14ac:dyDescent="0.2">
      <c r="A1274" s="348"/>
      <c r="B1274" s="466"/>
      <c r="C1274" s="466"/>
      <c r="D1274" s="466"/>
      <c r="E1274" s="467"/>
      <c r="F1274" s="466"/>
      <c r="G1274" s="466"/>
      <c r="H1274" s="466"/>
      <c r="I1274" s="467"/>
      <c r="J1274" s="466"/>
      <c r="K1274" s="466"/>
      <c r="L1274" s="466"/>
      <c r="M1274" s="352"/>
    </row>
    <row r="1275" spans="1:13" x14ac:dyDescent="0.2">
      <c r="A1275" s="348"/>
      <c r="B1275" s="466"/>
      <c r="C1275" s="466"/>
      <c r="D1275" s="466"/>
      <c r="E1275" s="467"/>
      <c r="F1275" s="466"/>
      <c r="G1275" s="466"/>
      <c r="H1275" s="466"/>
      <c r="I1275" s="467"/>
      <c r="J1275" s="466"/>
      <c r="K1275" s="466"/>
      <c r="L1275" s="466"/>
      <c r="M1275" s="352"/>
    </row>
    <row r="1276" spans="1:13" x14ac:dyDescent="0.2">
      <c r="A1276" s="348"/>
      <c r="B1276" s="467"/>
      <c r="C1276" s="467"/>
      <c r="D1276" s="467"/>
      <c r="E1276" s="467"/>
      <c r="F1276" s="467"/>
      <c r="G1276" s="467"/>
      <c r="H1276" s="467"/>
      <c r="I1276" s="467"/>
      <c r="J1276" s="467"/>
      <c r="K1276" s="467"/>
      <c r="L1276" s="467"/>
      <c r="M1276" s="352"/>
    </row>
    <row r="1277" spans="1:13" x14ac:dyDescent="0.2">
      <c r="A1277" s="348"/>
      <c r="B1277" s="348"/>
      <c r="C1277" s="348"/>
      <c r="D1277" s="348"/>
      <c r="E1277" s="348"/>
      <c r="F1277" s="348"/>
      <c r="G1277" s="348"/>
      <c r="H1277" s="348"/>
      <c r="I1277" s="348"/>
      <c r="J1277" s="348"/>
      <c r="K1277" s="348"/>
      <c r="L1277" s="353"/>
      <c r="M1277" s="352"/>
    </row>
    <row r="1278" spans="1:13" x14ac:dyDescent="0.2">
      <c r="A1278" s="348"/>
      <c r="B1278" s="348"/>
      <c r="C1278" s="348"/>
      <c r="D1278" s="348"/>
      <c r="E1278" s="348"/>
      <c r="F1278" s="348"/>
      <c r="G1278" s="348"/>
      <c r="H1278" s="348"/>
      <c r="I1278" s="348"/>
      <c r="J1278" s="348"/>
      <c r="K1278" s="348"/>
      <c r="L1278" s="410"/>
      <c r="M1278" s="352"/>
    </row>
    <row r="1279" spans="1:13" x14ac:dyDescent="0.2">
      <c r="A1279" s="374"/>
      <c r="B1279" s="354"/>
      <c r="C1279" s="354"/>
      <c r="D1279" s="354"/>
      <c r="E1279" s="354"/>
      <c r="F1279" s="354"/>
      <c r="G1279" s="354"/>
      <c r="H1279" s="354"/>
      <c r="I1279" s="354"/>
      <c r="J1279" s="354"/>
      <c r="K1279" s="354"/>
      <c r="L1279" s="352"/>
      <c r="M1279" s="352"/>
    </row>
    <row r="1280" spans="1:13" x14ac:dyDescent="0.2">
      <c r="A1280" s="354"/>
      <c r="B1280" s="517"/>
      <c r="C1280" s="517"/>
      <c r="D1280" s="517"/>
      <c r="E1280" s="369"/>
      <c r="F1280" s="517"/>
      <c r="G1280" s="517"/>
      <c r="H1280" s="517"/>
      <c r="I1280" s="369"/>
      <c r="J1280" s="517"/>
      <c r="K1280" s="517"/>
      <c r="L1280" s="517"/>
      <c r="M1280" s="352"/>
    </row>
    <row r="1281" spans="1:13" x14ac:dyDescent="0.2">
      <c r="A1281" s="374"/>
      <c r="B1281" s="375"/>
      <c r="C1281" s="375"/>
      <c r="D1281" s="375"/>
      <c r="E1281" s="375"/>
      <c r="F1281" s="375"/>
      <c r="G1281" s="375"/>
      <c r="H1281" s="375"/>
      <c r="I1281" s="375"/>
      <c r="J1281" s="375"/>
      <c r="K1281" s="375"/>
      <c r="L1281" s="375"/>
      <c r="M1281" s="352"/>
    </row>
    <row r="1282" spans="1:13" x14ac:dyDescent="0.2">
      <c r="A1282" s="374"/>
      <c r="B1282" s="375"/>
      <c r="C1282" s="375"/>
      <c r="D1282" s="375"/>
      <c r="E1282" s="375"/>
      <c r="F1282" s="375"/>
      <c r="G1282" s="375"/>
      <c r="H1282" s="375"/>
      <c r="I1282" s="375"/>
      <c r="J1282" s="375"/>
      <c r="K1282" s="375"/>
      <c r="L1282" s="375"/>
      <c r="M1282" s="352"/>
    </row>
    <row r="1283" spans="1:13" x14ac:dyDescent="0.2">
      <c r="A1283" s="348"/>
      <c r="B1283" s="466"/>
      <c r="C1283" s="466"/>
      <c r="D1283" s="466"/>
      <c r="E1283" s="467"/>
      <c r="F1283" s="466"/>
      <c r="G1283" s="466"/>
      <c r="H1283" s="466"/>
      <c r="I1283" s="467"/>
      <c r="J1283" s="466"/>
      <c r="K1283" s="466"/>
      <c r="L1283" s="466"/>
      <c r="M1283" s="352"/>
    </row>
    <row r="1284" spans="1:13" x14ac:dyDescent="0.2">
      <c r="A1284" s="348"/>
      <c r="B1284" s="466"/>
      <c r="C1284" s="466"/>
      <c r="D1284" s="466"/>
      <c r="E1284" s="467"/>
      <c r="F1284" s="466"/>
      <c r="G1284" s="466"/>
      <c r="H1284" s="466"/>
      <c r="I1284" s="467"/>
      <c r="J1284" s="466"/>
      <c r="K1284" s="466"/>
      <c r="L1284" s="466"/>
      <c r="M1284" s="352"/>
    </row>
    <row r="1285" spans="1:13" x14ac:dyDescent="0.2">
      <c r="A1285" s="348"/>
      <c r="B1285" s="466"/>
      <c r="C1285" s="466"/>
      <c r="D1285" s="466"/>
      <c r="E1285" s="467"/>
      <c r="F1285" s="466"/>
      <c r="G1285" s="466"/>
      <c r="H1285" s="466"/>
      <c r="I1285" s="467"/>
      <c r="J1285" s="466"/>
      <c r="K1285" s="466"/>
      <c r="L1285" s="466"/>
      <c r="M1285" s="352"/>
    </row>
    <row r="1286" spans="1:13" x14ac:dyDescent="0.2">
      <c r="A1286" s="348"/>
      <c r="B1286" s="466"/>
      <c r="C1286" s="466"/>
      <c r="D1286" s="466"/>
      <c r="E1286" s="467"/>
      <c r="F1286" s="466"/>
      <c r="G1286" s="466"/>
      <c r="H1286" s="466"/>
      <c r="I1286" s="467"/>
      <c r="J1286" s="466"/>
      <c r="K1286" s="466"/>
      <c r="L1286" s="466"/>
      <c r="M1286" s="352"/>
    </row>
    <row r="1287" spans="1:13" x14ac:dyDescent="0.2">
      <c r="A1287" s="348"/>
      <c r="B1287" s="466"/>
      <c r="C1287" s="466"/>
      <c r="D1287" s="466"/>
      <c r="E1287" s="467"/>
      <c r="F1287" s="466"/>
      <c r="G1287" s="466"/>
      <c r="H1287" s="466"/>
      <c r="I1287" s="467"/>
      <c r="J1287" s="466"/>
      <c r="K1287" s="466"/>
      <c r="L1287" s="466"/>
      <c r="M1287" s="352"/>
    </row>
    <row r="1288" spans="1:13" x14ac:dyDescent="0.2">
      <c r="A1288" s="348"/>
      <c r="B1288" s="466"/>
      <c r="C1288" s="466"/>
      <c r="D1288" s="466"/>
      <c r="E1288" s="467"/>
      <c r="F1288" s="466"/>
      <c r="G1288" s="466"/>
      <c r="H1288" s="466"/>
      <c r="I1288" s="467"/>
      <c r="J1288" s="466"/>
      <c r="K1288" s="466"/>
      <c r="L1288" s="466"/>
      <c r="M1288" s="352"/>
    </row>
    <row r="1289" spans="1:13" x14ac:dyDescent="0.2">
      <c r="A1289" s="348"/>
      <c r="B1289" s="466"/>
      <c r="C1289" s="466"/>
      <c r="D1289" s="466"/>
      <c r="E1289" s="467"/>
      <c r="F1289" s="466"/>
      <c r="G1289" s="466"/>
      <c r="H1289" s="466"/>
      <c r="I1289" s="467"/>
      <c r="J1289" s="466"/>
      <c r="K1289" s="466"/>
      <c r="L1289" s="466"/>
      <c r="M1289" s="352"/>
    </row>
    <row r="1290" spans="1:13" x14ac:dyDescent="0.2">
      <c r="A1290" s="348"/>
      <c r="B1290" s="466"/>
      <c r="C1290" s="466"/>
      <c r="D1290" s="466"/>
      <c r="E1290" s="467"/>
      <c r="F1290" s="466"/>
      <c r="G1290" s="466"/>
      <c r="H1290" s="466"/>
      <c r="I1290" s="467"/>
      <c r="J1290" s="466"/>
      <c r="K1290" s="466"/>
      <c r="L1290" s="466"/>
      <c r="M1290" s="352"/>
    </row>
    <row r="1291" spans="1:13" x14ac:dyDescent="0.2">
      <c r="A1291" s="348"/>
      <c r="B1291" s="466"/>
      <c r="C1291" s="466"/>
      <c r="D1291" s="466"/>
      <c r="E1291" s="467"/>
      <c r="F1291" s="466"/>
      <c r="G1291" s="466"/>
      <c r="H1291" s="466"/>
      <c r="I1291" s="467"/>
      <c r="J1291" s="466"/>
      <c r="K1291" s="466"/>
      <c r="L1291" s="466"/>
      <c r="M1291" s="352"/>
    </row>
    <row r="1292" spans="1:13" x14ac:dyDescent="0.2">
      <c r="A1292" s="348"/>
      <c r="B1292" s="466"/>
      <c r="C1292" s="466"/>
      <c r="D1292" s="466"/>
      <c r="E1292" s="467"/>
      <c r="F1292" s="466"/>
      <c r="G1292" s="466"/>
      <c r="H1292" s="466"/>
      <c r="I1292" s="467"/>
      <c r="J1292" s="466"/>
      <c r="K1292" s="466"/>
      <c r="L1292" s="466"/>
      <c r="M1292" s="352"/>
    </row>
    <row r="1293" spans="1:13" x14ac:dyDescent="0.2">
      <c r="A1293" s="348"/>
      <c r="B1293" s="467"/>
      <c r="C1293" s="467"/>
      <c r="D1293" s="467"/>
      <c r="E1293" s="467"/>
      <c r="F1293" s="467"/>
      <c r="G1293" s="467"/>
      <c r="H1293" s="467"/>
      <c r="I1293" s="467"/>
      <c r="J1293" s="467"/>
      <c r="K1293" s="467"/>
      <c r="L1293" s="467"/>
      <c r="M1293" s="352"/>
    </row>
    <row r="1294" spans="1:13" x14ac:dyDescent="0.2">
      <c r="A1294" s="348"/>
      <c r="B1294" s="348"/>
      <c r="C1294" s="348"/>
      <c r="D1294" s="348"/>
      <c r="E1294" s="348"/>
      <c r="F1294" s="348"/>
      <c r="G1294" s="348"/>
      <c r="H1294" s="348"/>
      <c r="I1294" s="348"/>
      <c r="J1294" s="348"/>
      <c r="K1294" s="348"/>
      <c r="L1294" s="353"/>
      <c r="M1294" s="352"/>
    </row>
    <row r="1295" spans="1:13" x14ac:dyDescent="0.2">
      <c r="A1295" s="348"/>
      <c r="B1295" s="348"/>
      <c r="C1295" s="348"/>
      <c r="D1295" s="348"/>
      <c r="E1295" s="348"/>
      <c r="F1295" s="348"/>
      <c r="G1295" s="348"/>
      <c r="H1295" s="348"/>
      <c r="I1295" s="348"/>
      <c r="J1295" s="348"/>
      <c r="K1295" s="348"/>
      <c r="L1295" s="410"/>
      <c r="M1295" s="352"/>
    </row>
    <row r="1296" spans="1:13" x14ac:dyDescent="0.2">
      <c r="A1296" s="374"/>
      <c r="B1296" s="354"/>
      <c r="C1296" s="354"/>
      <c r="D1296" s="354"/>
      <c r="E1296" s="354"/>
      <c r="F1296" s="354"/>
      <c r="G1296" s="354"/>
      <c r="H1296" s="354"/>
      <c r="I1296" s="354"/>
      <c r="J1296" s="354"/>
      <c r="K1296" s="354"/>
      <c r="L1296" s="352"/>
      <c r="M1296" s="352"/>
    </row>
    <row r="1297" spans="1:13" x14ac:dyDescent="0.2">
      <c r="A1297" s="354"/>
      <c r="B1297" s="517"/>
      <c r="C1297" s="517"/>
      <c r="D1297" s="517"/>
      <c r="E1297" s="369"/>
      <c r="F1297" s="517"/>
      <c r="G1297" s="517"/>
      <c r="H1297" s="517"/>
      <c r="I1297" s="369"/>
      <c r="J1297" s="517"/>
      <c r="K1297" s="517"/>
      <c r="L1297" s="517"/>
      <c r="M1297" s="352"/>
    </row>
    <row r="1298" spans="1:13" x14ac:dyDescent="0.2">
      <c r="A1298" s="374"/>
      <c r="B1298" s="375"/>
      <c r="C1298" s="375"/>
      <c r="D1298" s="375"/>
      <c r="E1298" s="375"/>
      <c r="F1298" s="375"/>
      <c r="G1298" s="375"/>
      <c r="H1298" s="375"/>
      <c r="I1298" s="375"/>
      <c r="J1298" s="375"/>
      <c r="K1298" s="375"/>
      <c r="L1298" s="375"/>
      <c r="M1298" s="352"/>
    </row>
    <row r="1299" spans="1:13" x14ac:dyDescent="0.2">
      <c r="A1299" s="374"/>
      <c r="B1299" s="375"/>
      <c r="C1299" s="375"/>
      <c r="D1299" s="375"/>
      <c r="E1299" s="375"/>
      <c r="F1299" s="375"/>
      <c r="G1299" s="375"/>
      <c r="H1299" s="375"/>
      <c r="I1299" s="375"/>
      <c r="J1299" s="375"/>
      <c r="K1299" s="375"/>
      <c r="L1299" s="375"/>
      <c r="M1299" s="352"/>
    </row>
    <row r="1300" spans="1:13" x14ac:dyDescent="0.2">
      <c r="A1300" s="348"/>
      <c r="B1300" s="466"/>
      <c r="C1300" s="466"/>
      <c r="D1300" s="466"/>
      <c r="E1300" s="467"/>
      <c r="F1300" s="466"/>
      <c r="G1300" s="466"/>
      <c r="H1300" s="466"/>
      <c r="I1300" s="467"/>
      <c r="J1300" s="466"/>
      <c r="K1300" s="466"/>
      <c r="L1300" s="466"/>
      <c r="M1300" s="352"/>
    </row>
    <row r="1301" spans="1:13" x14ac:dyDescent="0.2">
      <c r="A1301" s="348"/>
      <c r="B1301" s="466"/>
      <c r="C1301" s="466"/>
      <c r="D1301" s="466"/>
      <c r="E1301" s="467"/>
      <c r="F1301" s="466"/>
      <c r="G1301" s="466"/>
      <c r="H1301" s="466"/>
      <c r="I1301" s="467"/>
      <c r="J1301" s="466"/>
      <c r="K1301" s="466"/>
      <c r="L1301" s="466"/>
      <c r="M1301" s="352"/>
    </row>
    <row r="1302" spans="1:13" x14ac:dyDescent="0.2">
      <c r="A1302" s="348"/>
      <c r="B1302" s="466"/>
      <c r="C1302" s="466"/>
      <c r="D1302" s="466"/>
      <c r="E1302" s="467"/>
      <c r="F1302" s="466"/>
      <c r="G1302" s="466"/>
      <c r="H1302" s="466"/>
      <c r="I1302" s="467"/>
      <c r="J1302" s="466"/>
      <c r="K1302" s="466"/>
      <c r="L1302" s="466"/>
      <c r="M1302" s="352"/>
    </row>
    <row r="1303" spans="1:13" x14ac:dyDescent="0.2">
      <c r="A1303" s="348"/>
      <c r="B1303" s="466"/>
      <c r="C1303" s="466"/>
      <c r="D1303" s="466"/>
      <c r="E1303" s="467"/>
      <c r="F1303" s="466"/>
      <c r="G1303" s="466"/>
      <c r="H1303" s="466"/>
      <c r="I1303" s="467"/>
      <c r="J1303" s="466"/>
      <c r="K1303" s="466"/>
      <c r="L1303" s="466"/>
      <c r="M1303" s="352"/>
    </row>
    <row r="1304" spans="1:13" x14ac:dyDescent="0.2">
      <c r="A1304" s="348"/>
      <c r="B1304" s="466"/>
      <c r="C1304" s="466"/>
      <c r="D1304" s="466"/>
      <c r="E1304" s="467"/>
      <c r="F1304" s="466"/>
      <c r="G1304" s="466"/>
      <c r="H1304" s="466"/>
      <c r="I1304" s="467"/>
      <c r="J1304" s="466"/>
      <c r="K1304" s="466"/>
      <c r="L1304" s="466"/>
      <c r="M1304" s="352"/>
    </row>
    <row r="1305" spans="1:13" x14ac:dyDescent="0.2">
      <c r="A1305" s="348"/>
      <c r="B1305" s="466"/>
      <c r="C1305" s="466"/>
      <c r="D1305" s="466"/>
      <c r="E1305" s="467"/>
      <c r="F1305" s="466"/>
      <c r="G1305" s="466"/>
      <c r="H1305" s="466"/>
      <c r="I1305" s="467"/>
      <c r="J1305" s="466"/>
      <c r="K1305" s="466"/>
      <c r="L1305" s="466"/>
      <c r="M1305" s="352"/>
    </row>
    <row r="1306" spans="1:13" x14ac:dyDescent="0.2">
      <c r="A1306" s="348"/>
      <c r="B1306" s="466"/>
      <c r="C1306" s="466"/>
      <c r="D1306" s="466"/>
      <c r="E1306" s="467"/>
      <c r="F1306" s="466"/>
      <c r="G1306" s="466"/>
      <c r="H1306" s="466"/>
      <c r="I1306" s="467"/>
      <c r="J1306" s="466"/>
      <c r="K1306" s="466"/>
      <c r="L1306" s="466"/>
      <c r="M1306" s="352"/>
    </row>
    <row r="1307" spans="1:13" x14ac:dyDescent="0.2">
      <c r="A1307" s="348"/>
      <c r="B1307" s="466"/>
      <c r="C1307" s="466"/>
      <c r="D1307" s="466"/>
      <c r="E1307" s="467"/>
      <c r="F1307" s="466"/>
      <c r="G1307" s="466"/>
      <c r="H1307" s="466"/>
      <c r="I1307" s="467"/>
      <c r="J1307" s="466"/>
      <c r="K1307" s="466"/>
      <c r="L1307" s="466"/>
      <c r="M1307" s="352"/>
    </row>
    <row r="1308" spans="1:13" x14ac:dyDescent="0.2">
      <c r="A1308" s="348"/>
      <c r="B1308" s="466"/>
      <c r="C1308" s="466"/>
      <c r="D1308" s="466"/>
      <c r="E1308" s="467"/>
      <c r="F1308" s="466"/>
      <c r="G1308" s="466"/>
      <c r="H1308" s="466"/>
      <c r="I1308" s="467"/>
      <c r="J1308" s="466"/>
      <c r="K1308" s="466"/>
      <c r="L1308" s="466"/>
      <c r="M1308" s="352"/>
    </row>
    <row r="1309" spans="1:13" x14ac:dyDescent="0.2">
      <c r="A1309" s="348"/>
      <c r="B1309" s="466"/>
      <c r="C1309" s="466"/>
      <c r="D1309" s="466"/>
      <c r="E1309" s="467"/>
      <c r="F1309" s="466"/>
      <c r="G1309" s="466"/>
      <c r="H1309" s="466"/>
      <c r="I1309" s="467"/>
      <c r="J1309" s="466"/>
      <c r="K1309" s="466"/>
      <c r="L1309" s="466"/>
      <c r="M1309" s="352"/>
    </row>
    <row r="1310" spans="1:13" x14ac:dyDescent="0.2">
      <c r="A1310" s="348"/>
      <c r="B1310" s="467"/>
      <c r="C1310" s="467"/>
      <c r="D1310" s="467"/>
      <c r="E1310" s="467"/>
      <c r="F1310" s="467"/>
      <c r="G1310" s="467"/>
      <c r="H1310" s="467"/>
      <c r="I1310" s="467"/>
      <c r="J1310" s="467"/>
      <c r="K1310" s="467"/>
      <c r="L1310" s="467"/>
      <c r="M1310" s="352"/>
    </row>
    <row r="1311" spans="1:13" x14ac:dyDescent="0.2">
      <c r="A1311" s="348"/>
      <c r="B1311" s="348"/>
      <c r="C1311" s="348"/>
      <c r="D1311" s="348"/>
      <c r="E1311" s="348"/>
      <c r="F1311" s="348"/>
      <c r="G1311" s="348"/>
      <c r="H1311" s="348"/>
      <c r="I1311" s="348"/>
      <c r="J1311" s="348"/>
      <c r="K1311" s="348"/>
      <c r="L1311" s="353"/>
      <c r="M1311" s="352"/>
    </row>
  </sheetData>
  <mergeCells count="231">
    <mergeCell ref="B6:D6"/>
    <mergeCell ref="F6:H6"/>
    <mergeCell ref="J6:L6"/>
    <mergeCell ref="N6:O6"/>
    <mergeCell ref="Q6:R6"/>
    <mergeCell ref="T6:U6"/>
    <mergeCell ref="B73:D73"/>
    <mergeCell ref="F73:H73"/>
    <mergeCell ref="J73:L73"/>
    <mergeCell ref="B90:D90"/>
    <mergeCell ref="F90:H90"/>
    <mergeCell ref="J90:L90"/>
    <mergeCell ref="B39:D39"/>
    <mergeCell ref="F39:H39"/>
    <mergeCell ref="J39:L39"/>
    <mergeCell ref="B56:D56"/>
    <mergeCell ref="F56:H56"/>
    <mergeCell ref="J56:L56"/>
    <mergeCell ref="B141:D141"/>
    <mergeCell ref="F141:H141"/>
    <mergeCell ref="J141:L141"/>
    <mergeCell ref="B158:D158"/>
    <mergeCell ref="F158:H158"/>
    <mergeCell ref="J158:L158"/>
    <mergeCell ref="B107:D107"/>
    <mergeCell ref="F107:H107"/>
    <mergeCell ref="J107:L107"/>
    <mergeCell ref="B124:D124"/>
    <mergeCell ref="F124:H124"/>
    <mergeCell ref="J124:L124"/>
    <mergeCell ref="B209:D209"/>
    <mergeCell ref="F209:H209"/>
    <mergeCell ref="J209:L209"/>
    <mergeCell ref="B226:D226"/>
    <mergeCell ref="F226:H226"/>
    <mergeCell ref="J226:L226"/>
    <mergeCell ref="B175:D175"/>
    <mergeCell ref="F175:H175"/>
    <mergeCell ref="J175:L175"/>
    <mergeCell ref="B192:D192"/>
    <mergeCell ref="F192:H192"/>
    <mergeCell ref="J192:L192"/>
    <mergeCell ref="B277:D277"/>
    <mergeCell ref="F277:H277"/>
    <mergeCell ref="J277:L277"/>
    <mergeCell ref="B294:D294"/>
    <mergeCell ref="F294:H294"/>
    <mergeCell ref="J294:L294"/>
    <mergeCell ref="B243:D243"/>
    <mergeCell ref="F243:H243"/>
    <mergeCell ref="J243:L243"/>
    <mergeCell ref="B260:D260"/>
    <mergeCell ref="F260:H260"/>
    <mergeCell ref="J260:L260"/>
    <mergeCell ref="B345:D345"/>
    <mergeCell ref="F345:H345"/>
    <mergeCell ref="J345:L345"/>
    <mergeCell ref="B362:D362"/>
    <mergeCell ref="F362:H362"/>
    <mergeCell ref="J362:L362"/>
    <mergeCell ref="B311:D311"/>
    <mergeCell ref="F311:H311"/>
    <mergeCell ref="J311:L311"/>
    <mergeCell ref="B328:D328"/>
    <mergeCell ref="F328:H328"/>
    <mergeCell ref="J328:L328"/>
    <mergeCell ref="B413:D413"/>
    <mergeCell ref="F413:H413"/>
    <mergeCell ref="J413:L413"/>
    <mergeCell ref="B430:D430"/>
    <mergeCell ref="F430:H430"/>
    <mergeCell ref="J430:L430"/>
    <mergeCell ref="B379:D379"/>
    <mergeCell ref="F379:H379"/>
    <mergeCell ref="J379:L379"/>
    <mergeCell ref="B396:D396"/>
    <mergeCell ref="F396:H396"/>
    <mergeCell ref="J396:L396"/>
    <mergeCell ref="B481:D481"/>
    <mergeCell ref="F481:H481"/>
    <mergeCell ref="J481:L481"/>
    <mergeCell ref="B498:D498"/>
    <mergeCell ref="F498:H498"/>
    <mergeCell ref="J498:L498"/>
    <mergeCell ref="B447:D447"/>
    <mergeCell ref="F447:H447"/>
    <mergeCell ref="J447:L447"/>
    <mergeCell ref="B464:D464"/>
    <mergeCell ref="F464:H464"/>
    <mergeCell ref="J464:L464"/>
    <mergeCell ref="B549:D549"/>
    <mergeCell ref="F549:H549"/>
    <mergeCell ref="J549:L549"/>
    <mergeCell ref="B566:D566"/>
    <mergeCell ref="F566:H566"/>
    <mergeCell ref="J566:L566"/>
    <mergeCell ref="B515:D515"/>
    <mergeCell ref="F515:H515"/>
    <mergeCell ref="J515:L515"/>
    <mergeCell ref="B532:D532"/>
    <mergeCell ref="F532:H532"/>
    <mergeCell ref="J532:L532"/>
    <mergeCell ref="B617:D617"/>
    <mergeCell ref="F617:H617"/>
    <mergeCell ref="J617:L617"/>
    <mergeCell ref="B634:D634"/>
    <mergeCell ref="F634:H634"/>
    <mergeCell ref="J634:L634"/>
    <mergeCell ref="B583:D583"/>
    <mergeCell ref="F583:H583"/>
    <mergeCell ref="J583:L583"/>
    <mergeCell ref="B600:D600"/>
    <mergeCell ref="F600:H600"/>
    <mergeCell ref="J600:L600"/>
    <mergeCell ref="B685:D685"/>
    <mergeCell ref="F685:H685"/>
    <mergeCell ref="J685:L685"/>
    <mergeCell ref="B702:D702"/>
    <mergeCell ref="F702:H702"/>
    <mergeCell ref="J702:L702"/>
    <mergeCell ref="B651:D651"/>
    <mergeCell ref="F651:H651"/>
    <mergeCell ref="J651:L651"/>
    <mergeCell ref="B668:D668"/>
    <mergeCell ref="F668:H668"/>
    <mergeCell ref="J668:L668"/>
    <mergeCell ref="B753:D753"/>
    <mergeCell ref="F753:H753"/>
    <mergeCell ref="J753:L753"/>
    <mergeCell ref="B770:D770"/>
    <mergeCell ref="F770:H770"/>
    <mergeCell ref="J770:L770"/>
    <mergeCell ref="B719:D719"/>
    <mergeCell ref="F719:H719"/>
    <mergeCell ref="J719:L719"/>
    <mergeCell ref="B736:D736"/>
    <mergeCell ref="F736:H736"/>
    <mergeCell ref="J736:L736"/>
    <mergeCell ref="B821:D821"/>
    <mergeCell ref="F821:H821"/>
    <mergeCell ref="J821:L821"/>
    <mergeCell ref="B838:D838"/>
    <mergeCell ref="F838:H838"/>
    <mergeCell ref="J838:L838"/>
    <mergeCell ref="B787:D787"/>
    <mergeCell ref="F787:H787"/>
    <mergeCell ref="J787:L787"/>
    <mergeCell ref="B804:D804"/>
    <mergeCell ref="F804:H804"/>
    <mergeCell ref="J804:L804"/>
    <mergeCell ref="B889:D889"/>
    <mergeCell ref="F889:H889"/>
    <mergeCell ref="J889:L889"/>
    <mergeCell ref="B906:D906"/>
    <mergeCell ref="F906:H906"/>
    <mergeCell ref="J906:L906"/>
    <mergeCell ref="B855:D855"/>
    <mergeCell ref="F855:H855"/>
    <mergeCell ref="J855:L855"/>
    <mergeCell ref="B872:D872"/>
    <mergeCell ref="F872:H872"/>
    <mergeCell ref="J872:L872"/>
    <mergeCell ref="B957:D957"/>
    <mergeCell ref="F957:H957"/>
    <mergeCell ref="J957:L957"/>
    <mergeCell ref="B974:D974"/>
    <mergeCell ref="F974:H974"/>
    <mergeCell ref="J974:L974"/>
    <mergeCell ref="B923:D923"/>
    <mergeCell ref="F923:H923"/>
    <mergeCell ref="J923:L923"/>
    <mergeCell ref="B940:D940"/>
    <mergeCell ref="F940:H940"/>
    <mergeCell ref="J940:L940"/>
    <mergeCell ref="B1025:D1025"/>
    <mergeCell ref="F1025:H1025"/>
    <mergeCell ref="J1025:L1025"/>
    <mergeCell ref="B1042:D1042"/>
    <mergeCell ref="F1042:H1042"/>
    <mergeCell ref="J1042:L1042"/>
    <mergeCell ref="B991:D991"/>
    <mergeCell ref="F991:H991"/>
    <mergeCell ref="J991:L991"/>
    <mergeCell ref="B1008:D1008"/>
    <mergeCell ref="F1008:H1008"/>
    <mergeCell ref="J1008:L1008"/>
    <mergeCell ref="B1093:D1093"/>
    <mergeCell ref="F1093:H1093"/>
    <mergeCell ref="J1093:L1093"/>
    <mergeCell ref="B1110:D1110"/>
    <mergeCell ref="F1110:H1110"/>
    <mergeCell ref="J1110:L1110"/>
    <mergeCell ref="B1059:D1059"/>
    <mergeCell ref="F1059:H1059"/>
    <mergeCell ref="J1059:L1059"/>
    <mergeCell ref="B1076:D1076"/>
    <mergeCell ref="F1076:H1076"/>
    <mergeCell ref="J1076:L1076"/>
    <mergeCell ref="B1161:D1161"/>
    <mergeCell ref="F1161:H1161"/>
    <mergeCell ref="J1161:L1161"/>
    <mergeCell ref="B1178:D1178"/>
    <mergeCell ref="F1178:H1178"/>
    <mergeCell ref="J1178:L1178"/>
    <mergeCell ref="B1127:D1127"/>
    <mergeCell ref="F1127:H1127"/>
    <mergeCell ref="J1127:L1127"/>
    <mergeCell ref="B1144:D1144"/>
    <mergeCell ref="F1144:H1144"/>
    <mergeCell ref="J1144:L1144"/>
    <mergeCell ref="B1229:D1229"/>
    <mergeCell ref="F1229:H1229"/>
    <mergeCell ref="J1229:L1229"/>
    <mergeCell ref="B1246:D1246"/>
    <mergeCell ref="F1246:H1246"/>
    <mergeCell ref="J1246:L1246"/>
    <mergeCell ref="B1195:D1195"/>
    <mergeCell ref="F1195:H1195"/>
    <mergeCell ref="J1195:L1195"/>
    <mergeCell ref="B1212:D1212"/>
    <mergeCell ref="F1212:H1212"/>
    <mergeCell ref="J1212:L1212"/>
    <mergeCell ref="B1297:D1297"/>
    <mergeCell ref="F1297:H1297"/>
    <mergeCell ref="J1297:L1297"/>
    <mergeCell ref="B1263:D1263"/>
    <mergeCell ref="F1263:H1263"/>
    <mergeCell ref="J1263:L1263"/>
    <mergeCell ref="B1280:D1280"/>
    <mergeCell ref="F1280:H1280"/>
    <mergeCell ref="J1280:L1280"/>
  </mergeCells>
  <pageMargins left="0.7" right="0.7" top="0.75" bottom="0.75" header="0.3" footer="0.3"/>
  <pageSetup paperSize="9" scale="78" orientation="landscape" r:id="rId1"/>
  <colBreaks count="1" manualBreakCount="1">
    <brk id="2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N93"/>
  <sheetViews>
    <sheetView showGridLines="0" tabSelected="1" zoomScale="75" zoomScaleNormal="75" workbookViewId="0"/>
  </sheetViews>
  <sheetFormatPr defaultColWidth="10.42578125" defaultRowHeight="12.75" x14ac:dyDescent="0.2"/>
  <cols>
    <col min="1" max="13" width="11.5703125" style="312" customWidth="1"/>
    <col min="14" max="256" width="10.42578125" style="312"/>
    <col min="257" max="269" width="11.5703125" style="312" customWidth="1"/>
    <col min="270" max="512" width="10.42578125" style="312"/>
    <col min="513" max="525" width="11.5703125" style="312" customWidth="1"/>
    <col min="526" max="768" width="10.42578125" style="312"/>
    <col min="769" max="781" width="11.5703125" style="312" customWidth="1"/>
    <col min="782" max="1024" width="10.42578125" style="312"/>
    <col min="1025" max="1037" width="11.5703125" style="312" customWidth="1"/>
    <col min="1038" max="1280" width="10.42578125" style="312"/>
    <col min="1281" max="1293" width="11.5703125" style="312" customWidth="1"/>
    <col min="1294" max="1536" width="10.42578125" style="312"/>
    <col min="1537" max="1549" width="11.5703125" style="312" customWidth="1"/>
    <col min="1550" max="1792" width="10.42578125" style="312"/>
    <col min="1793" max="1805" width="11.5703125" style="312" customWidth="1"/>
    <col min="1806" max="2048" width="10.42578125" style="312"/>
    <col min="2049" max="2061" width="11.5703125" style="312" customWidth="1"/>
    <col min="2062" max="2304" width="10.42578125" style="312"/>
    <col min="2305" max="2317" width="11.5703125" style="312" customWidth="1"/>
    <col min="2318" max="2560" width="10.42578125" style="312"/>
    <col min="2561" max="2573" width="11.5703125" style="312" customWidth="1"/>
    <col min="2574" max="2816" width="10.42578125" style="312"/>
    <col min="2817" max="2829" width="11.5703125" style="312" customWidth="1"/>
    <col min="2830" max="3072" width="10.42578125" style="312"/>
    <col min="3073" max="3085" width="11.5703125" style="312" customWidth="1"/>
    <col min="3086" max="3328" width="10.42578125" style="312"/>
    <col min="3329" max="3341" width="11.5703125" style="312" customWidth="1"/>
    <col min="3342" max="3584" width="10.42578125" style="312"/>
    <col min="3585" max="3597" width="11.5703125" style="312" customWidth="1"/>
    <col min="3598" max="3840" width="10.42578125" style="312"/>
    <col min="3841" max="3853" width="11.5703125" style="312" customWidth="1"/>
    <col min="3854" max="4096" width="10.42578125" style="312"/>
    <col min="4097" max="4109" width="11.5703125" style="312" customWidth="1"/>
    <col min="4110" max="4352" width="10.42578125" style="312"/>
    <col min="4353" max="4365" width="11.5703125" style="312" customWidth="1"/>
    <col min="4366" max="4608" width="10.42578125" style="312"/>
    <col min="4609" max="4621" width="11.5703125" style="312" customWidth="1"/>
    <col min="4622" max="4864" width="10.42578125" style="312"/>
    <col min="4865" max="4877" width="11.5703125" style="312" customWidth="1"/>
    <col min="4878" max="5120" width="10.42578125" style="312"/>
    <col min="5121" max="5133" width="11.5703125" style="312" customWidth="1"/>
    <col min="5134" max="5376" width="10.42578125" style="312"/>
    <col min="5377" max="5389" width="11.5703125" style="312" customWidth="1"/>
    <col min="5390" max="5632" width="10.42578125" style="312"/>
    <col min="5633" max="5645" width="11.5703125" style="312" customWidth="1"/>
    <col min="5646" max="5888" width="10.42578125" style="312"/>
    <col min="5889" max="5901" width="11.5703125" style="312" customWidth="1"/>
    <col min="5902" max="6144" width="10.42578125" style="312"/>
    <col min="6145" max="6157" width="11.5703125" style="312" customWidth="1"/>
    <col min="6158" max="6400" width="10.42578125" style="312"/>
    <col min="6401" max="6413" width="11.5703125" style="312" customWidth="1"/>
    <col min="6414" max="6656" width="10.42578125" style="312"/>
    <col min="6657" max="6669" width="11.5703125" style="312" customWidth="1"/>
    <col min="6670" max="6912" width="10.42578125" style="312"/>
    <col min="6913" max="6925" width="11.5703125" style="312" customWidth="1"/>
    <col min="6926" max="7168" width="10.42578125" style="312"/>
    <col min="7169" max="7181" width="11.5703125" style="312" customWidth="1"/>
    <col min="7182" max="7424" width="10.42578125" style="312"/>
    <col min="7425" max="7437" width="11.5703125" style="312" customWidth="1"/>
    <col min="7438" max="7680" width="10.42578125" style="312"/>
    <col min="7681" max="7693" width="11.5703125" style="312" customWidth="1"/>
    <col min="7694" max="7936" width="10.42578125" style="312"/>
    <col min="7937" max="7949" width="11.5703125" style="312" customWidth="1"/>
    <col min="7950" max="8192" width="10.42578125" style="312"/>
    <col min="8193" max="8205" width="11.5703125" style="312" customWidth="1"/>
    <col min="8206" max="8448" width="10.42578125" style="312"/>
    <col min="8449" max="8461" width="11.5703125" style="312" customWidth="1"/>
    <col min="8462" max="8704" width="10.42578125" style="312"/>
    <col min="8705" max="8717" width="11.5703125" style="312" customWidth="1"/>
    <col min="8718" max="8960" width="10.42578125" style="312"/>
    <col min="8961" max="8973" width="11.5703125" style="312" customWidth="1"/>
    <col min="8974" max="9216" width="10.42578125" style="312"/>
    <col min="9217" max="9229" width="11.5703125" style="312" customWidth="1"/>
    <col min="9230" max="9472" width="10.42578125" style="312"/>
    <col min="9473" max="9485" width="11.5703125" style="312" customWidth="1"/>
    <col min="9486" max="9728" width="10.42578125" style="312"/>
    <col min="9729" max="9741" width="11.5703125" style="312" customWidth="1"/>
    <col min="9742" max="9984" width="10.42578125" style="312"/>
    <col min="9985" max="9997" width="11.5703125" style="312" customWidth="1"/>
    <col min="9998" max="10240" width="10.42578125" style="312"/>
    <col min="10241" max="10253" width="11.5703125" style="312" customWidth="1"/>
    <col min="10254" max="10496" width="10.42578125" style="312"/>
    <col min="10497" max="10509" width="11.5703125" style="312" customWidth="1"/>
    <col min="10510" max="10752" width="10.42578125" style="312"/>
    <col min="10753" max="10765" width="11.5703125" style="312" customWidth="1"/>
    <col min="10766" max="11008" width="10.42578125" style="312"/>
    <col min="11009" max="11021" width="11.5703125" style="312" customWidth="1"/>
    <col min="11022" max="11264" width="10.42578125" style="312"/>
    <col min="11265" max="11277" width="11.5703125" style="312" customWidth="1"/>
    <col min="11278" max="11520" width="10.42578125" style="312"/>
    <col min="11521" max="11533" width="11.5703125" style="312" customWidth="1"/>
    <col min="11534" max="11776" width="10.42578125" style="312"/>
    <col min="11777" max="11789" width="11.5703125" style="312" customWidth="1"/>
    <col min="11790" max="12032" width="10.42578125" style="312"/>
    <col min="12033" max="12045" width="11.5703125" style="312" customWidth="1"/>
    <col min="12046" max="12288" width="10.42578125" style="312"/>
    <col min="12289" max="12301" width="11.5703125" style="312" customWidth="1"/>
    <col min="12302" max="12544" width="10.42578125" style="312"/>
    <col min="12545" max="12557" width="11.5703125" style="312" customWidth="1"/>
    <col min="12558" max="12800" width="10.42578125" style="312"/>
    <col min="12801" max="12813" width="11.5703125" style="312" customWidth="1"/>
    <col min="12814" max="13056" width="10.42578125" style="312"/>
    <col min="13057" max="13069" width="11.5703125" style="312" customWidth="1"/>
    <col min="13070" max="13312" width="10.42578125" style="312"/>
    <col min="13313" max="13325" width="11.5703125" style="312" customWidth="1"/>
    <col min="13326" max="13568" width="10.42578125" style="312"/>
    <col min="13569" max="13581" width="11.5703125" style="312" customWidth="1"/>
    <col min="13582" max="13824" width="10.42578125" style="312"/>
    <col min="13825" max="13837" width="11.5703125" style="312" customWidth="1"/>
    <col min="13838" max="14080" width="10.42578125" style="312"/>
    <col min="14081" max="14093" width="11.5703125" style="312" customWidth="1"/>
    <col min="14094" max="14336" width="10.42578125" style="312"/>
    <col min="14337" max="14349" width="11.5703125" style="312" customWidth="1"/>
    <col min="14350" max="14592" width="10.42578125" style="312"/>
    <col min="14593" max="14605" width="11.5703125" style="312" customWidth="1"/>
    <col min="14606" max="14848" width="10.42578125" style="312"/>
    <col min="14849" max="14861" width="11.5703125" style="312" customWidth="1"/>
    <col min="14862" max="15104" width="10.42578125" style="312"/>
    <col min="15105" max="15117" width="11.5703125" style="312" customWidth="1"/>
    <col min="15118" max="15360" width="10.42578125" style="312"/>
    <col min="15361" max="15373" width="11.5703125" style="312" customWidth="1"/>
    <col min="15374" max="15616" width="10.42578125" style="312"/>
    <col min="15617" max="15629" width="11.5703125" style="312" customWidth="1"/>
    <col min="15630" max="15872" width="10.42578125" style="312"/>
    <col min="15873" max="15885" width="11.5703125" style="312" customWidth="1"/>
    <col min="15886" max="16128" width="10.42578125" style="312"/>
    <col min="16129" max="16141" width="11.5703125" style="312" customWidth="1"/>
    <col min="16142" max="16384" width="10.42578125" style="312"/>
  </cols>
  <sheetData>
    <row r="1" spans="1:14" x14ac:dyDescent="0.2">
      <c r="A1" s="501"/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</row>
    <row r="2" spans="1:14" ht="18.75" customHeight="1" x14ac:dyDescent="0.2">
      <c r="A2" s="501"/>
      <c r="B2" s="501"/>
      <c r="C2" s="501"/>
      <c r="D2" s="501"/>
      <c r="E2" s="501"/>
      <c r="F2" s="509" t="s">
        <v>145</v>
      </c>
      <c r="G2" s="509"/>
      <c r="H2" s="509"/>
      <c r="I2" s="501"/>
      <c r="J2" s="501"/>
      <c r="K2" s="501"/>
      <c r="L2" s="501"/>
      <c r="M2" s="501"/>
      <c r="N2" s="501"/>
    </row>
    <row r="3" spans="1:14" ht="18.75" customHeight="1" x14ac:dyDescent="0.2">
      <c r="A3" s="501"/>
      <c r="B3" s="501"/>
      <c r="C3" s="510" t="s">
        <v>515</v>
      </c>
      <c r="D3" s="510"/>
      <c r="E3" s="510"/>
      <c r="F3" s="510"/>
      <c r="G3" s="510"/>
      <c r="H3" s="510"/>
      <c r="I3" s="510"/>
      <c r="J3" s="510"/>
      <c r="K3" s="510"/>
      <c r="L3" s="501"/>
      <c r="M3" s="501"/>
      <c r="N3" s="501"/>
    </row>
    <row r="4" spans="1:14" ht="18.75" customHeight="1" x14ac:dyDescent="0.2">
      <c r="A4" s="501"/>
      <c r="B4" s="501"/>
      <c r="C4" s="510" t="s">
        <v>516</v>
      </c>
      <c r="D4" s="510"/>
      <c r="E4" s="510"/>
      <c r="F4" s="510"/>
      <c r="G4" s="510"/>
      <c r="H4" s="510"/>
      <c r="I4" s="510"/>
      <c r="J4" s="510"/>
      <c r="K4" s="510"/>
      <c r="L4" s="501"/>
      <c r="M4" s="501"/>
      <c r="N4" s="501"/>
    </row>
    <row r="5" spans="1:14" ht="18.75" customHeight="1" x14ac:dyDescent="0.2">
      <c r="A5" s="501"/>
      <c r="B5" s="501"/>
      <c r="C5" s="501"/>
      <c r="D5" s="501"/>
      <c r="E5" s="501"/>
      <c r="F5" s="501"/>
      <c r="G5" s="503" t="s">
        <v>146</v>
      </c>
      <c r="H5" s="501"/>
      <c r="I5" s="501"/>
      <c r="J5" s="501"/>
      <c r="K5" s="501"/>
      <c r="L5" s="501"/>
      <c r="M5" s="501"/>
      <c r="N5" s="501"/>
    </row>
    <row r="6" spans="1:14" ht="12.75" customHeight="1" x14ac:dyDescent="0.2">
      <c r="A6" s="501"/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</row>
    <row r="7" spans="1:14" ht="19.5" customHeight="1" x14ac:dyDescent="0.2">
      <c r="A7" s="501"/>
      <c r="B7" s="501"/>
      <c r="C7" s="511" t="s">
        <v>147</v>
      </c>
      <c r="D7" s="511"/>
      <c r="E7" s="511"/>
      <c r="F7" s="511"/>
      <c r="G7" s="511"/>
      <c r="H7" s="511"/>
      <c r="I7" s="511"/>
      <c r="J7" s="511"/>
      <c r="K7" s="511"/>
      <c r="L7" s="501"/>
      <c r="M7" s="501"/>
      <c r="N7" s="501"/>
    </row>
    <row r="8" spans="1:14" ht="18.75" customHeight="1" x14ac:dyDescent="0.2">
      <c r="A8" s="501"/>
      <c r="B8" s="501"/>
      <c r="C8" s="512" t="s">
        <v>148</v>
      </c>
      <c r="D8" s="512"/>
      <c r="E8" s="512"/>
      <c r="F8" s="512"/>
      <c r="G8" s="512"/>
      <c r="H8" s="512"/>
      <c r="I8" s="512"/>
      <c r="J8" s="512"/>
      <c r="K8" s="512"/>
      <c r="L8" s="501"/>
      <c r="M8" s="501"/>
      <c r="N8" s="501"/>
    </row>
    <row r="9" spans="1:14" ht="18.75" customHeight="1" x14ac:dyDescent="0.2">
      <c r="A9" s="501"/>
      <c r="B9" s="512" t="s">
        <v>149</v>
      </c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02"/>
      <c r="N9" s="501"/>
    </row>
    <row r="10" spans="1:14" ht="18.75" customHeight="1" x14ac:dyDescent="0.2">
      <c r="A10" s="501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1"/>
    </row>
    <row r="11" spans="1:14" x14ac:dyDescent="0.2">
      <c r="A11" s="501"/>
      <c r="B11" s="501"/>
      <c r="C11" s="501"/>
      <c r="D11" s="501"/>
      <c r="E11" s="501"/>
      <c r="F11" s="501"/>
      <c r="G11" s="501"/>
      <c r="H11" s="501"/>
      <c r="I11" s="501"/>
      <c r="J11" s="501"/>
      <c r="K11" s="501"/>
      <c r="L11" s="501"/>
      <c r="M11" s="501"/>
      <c r="N11" s="501"/>
    </row>
    <row r="12" spans="1:14" ht="15.75" x14ac:dyDescent="0.2">
      <c r="A12" s="501"/>
      <c r="B12" s="501"/>
      <c r="C12" s="501"/>
      <c r="D12" s="501"/>
      <c r="E12" s="501"/>
      <c r="F12" s="501"/>
      <c r="G12" s="313" t="s">
        <v>517</v>
      </c>
      <c r="H12" s="501"/>
      <c r="I12" s="501"/>
      <c r="J12" s="501"/>
      <c r="K12" s="501"/>
      <c r="L12" s="501"/>
      <c r="M12" s="501"/>
      <c r="N12" s="501"/>
    </row>
    <row r="13" spans="1:14" x14ac:dyDescent="0.2">
      <c r="A13" s="501"/>
      <c r="B13" s="501"/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1"/>
    </row>
    <row r="14" spans="1:14" ht="13.5" thickBot="1" x14ac:dyDescent="0.25">
      <c r="A14" s="501"/>
      <c r="B14" s="501"/>
      <c r="C14" s="501"/>
      <c r="D14" s="501"/>
      <c r="E14" s="501"/>
      <c r="F14" s="501"/>
      <c r="G14" s="501"/>
      <c r="H14" s="501"/>
      <c r="I14" s="501"/>
      <c r="J14" s="501"/>
      <c r="K14" s="501"/>
      <c r="L14" s="501"/>
      <c r="M14" s="501"/>
      <c r="N14" s="501"/>
    </row>
    <row r="15" spans="1:14" ht="15.75" x14ac:dyDescent="0.2">
      <c r="A15" s="314"/>
      <c r="B15" s="315"/>
      <c r="C15" s="316"/>
      <c r="D15" s="316"/>
      <c r="E15" s="316"/>
      <c r="F15" s="316"/>
      <c r="G15" s="317" t="s">
        <v>150</v>
      </c>
      <c r="H15" s="316"/>
      <c r="I15" s="316"/>
      <c r="J15" s="316"/>
      <c r="K15" s="316"/>
      <c r="L15" s="318"/>
      <c r="M15" s="501"/>
      <c r="N15" s="501"/>
    </row>
    <row r="16" spans="1:14" ht="15" x14ac:dyDescent="0.2">
      <c r="A16" s="314"/>
      <c r="B16" s="319"/>
      <c r="C16" s="501"/>
      <c r="D16" s="501"/>
      <c r="E16" s="501"/>
      <c r="F16" s="501"/>
      <c r="G16" s="320" t="s">
        <v>151</v>
      </c>
      <c r="H16" s="501"/>
      <c r="I16" s="501"/>
      <c r="J16" s="501"/>
      <c r="K16" s="501"/>
      <c r="L16" s="321"/>
      <c r="M16" s="501"/>
      <c r="N16" s="501"/>
    </row>
    <row r="17" spans="1:14" ht="15" x14ac:dyDescent="0.2">
      <c r="A17" s="314"/>
      <c r="B17" s="319"/>
      <c r="C17" s="501"/>
      <c r="D17" s="501"/>
      <c r="E17" s="501"/>
      <c r="F17" s="501"/>
      <c r="G17" s="320" t="s">
        <v>152</v>
      </c>
      <c r="H17" s="501"/>
      <c r="I17" s="501"/>
      <c r="J17" s="501"/>
      <c r="K17" s="501"/>
      <c r="L17" s="321"/>
      <c r="M17" s="501"/>
      <c r="N17" s="501"/>
    </row>
    <row r="18" spans="1:14" ht="15" x14ac:dyDescent="0.2">
      <c r="A18" s="314"/>
      <c r="B18" s="319"/>
      <c r="C18" s="501"/>
      <c r="D18" s="501"/>
      <c r="E18" s="501"/>
      <c r="F18" s="501"/>
      <c r="G18" s="320" t="s">
        <v>153</v>
      </c>
      <c r="H18" s="501"/>
      <c r="I18" s="501"/>
      <c r="J18" s="501"/>
      <c r="K18" s="501"/>
      <c r="L18" s="321"/>
      <c r="M18" s="501"/>
      <c r="N18" s="501"/>
    </row>
    <row r="19" spans="1:14" ht="15" x14ac:dyDescent="0.2">
      <c r="A19" s="314"/>
      <c r="B19" s="319"/>
      <c r="C19" s="501"/>
      <c r="D19" s="501"/>
      <c r="E19" s="501"/>
      <c r="F19" s="501"/>
      <c r="G19" s="501"/>
      <c r="H19" s="501"/>
      <c r="I19" s="501"/>
      <c r="J19" s="501"/>
      <c r="K19" s="501"/>
      <c r="L19" s="321"/>
      <c r="M19" s="501"/>
      <c r="N19" s="501"/>
    </row>
    <row r="20" spans="1:14" ht="15" x14ac:dyDescent="0.2">
      <c r="A20" s="314"/>
      <c r="B20" s="319"/>
      <c r="C20" s="501"/>
      <c r="D20" s="501"/>
      <c r="E20" s="501"/>
      <c r="F20" s="501"/>
      <c r="G20" s="504" t="s">
        <v>518</v>
      </c>
      <c r="H20" s="501"/>
      <c r="I20" s="501"/>
      <c r="J20" s="501"/>
      <c r="K20" s="501"/>
      <c r="L20" s="321"/>
      <c r="M20" s="501"/>
      <c r="N20" s="501"/>
    </row>
    <row r="21" spans="1:14" ht="15" x14ac:dyDescent="0.2">
      <c r="A21" s="314"/>
      <c r="B21" s="319"/>
      <c r="C21" s="501"/>
      <c r="D21" s="501"/>
      <c r="E21" s="501"/>
      <c r="F21" s="501"/>
      <c r="G21" s="504" t="s">
        <v>519</v>
      </c>
      <c r="H21" s="501"/>
      <c r="I21" s="501"/>
      <c r="J21" s="501"/>
      <c r="K21" s="501"/>
      <c r="L21" s="321"/>
      <c r="M21" s="501"/>
      <c r="N21" s="501"/>
    </row>
    <row r="22" spans="1:14" ht="15" x14ac:dyDescent="0.2">
      <c r="A22" s="314"/>
      <c r="B22" s="319"/>
      <c r="C22" s="501"/>
      <c r="D22" s="501"/>
      <c r="E22" s="501"/>
      <c r="F22" s="501"/>
      <c r="G22" s="504" t="s">
        <v>520</v>
      </c>
      <c r="H22" s="501"/>
      <c r="I22" s="501"/>
      <c r="J22" s="501"/>
      <c r="K22" s="501"/>
      <c r="L22" s="321"/>
      <c r="M22" s="501"/>
      <c r="N22" s="501"/>
    </row>
    <row r="23" spans="1:14" ht="15" x14ac:dyDescent="0.2">
      <c r="A23" s="314"/>
      <c r="B23" s="319"/>
      <c r="C23" s="501"/>
      <c r="D23" s="501"/>
      <c r="E23" s="501"/>
      <c r="F23" s="501"/>
      <c r="G23" s="505"/>
      <c r="H23" s="501"/>
      <c r="I23" s="501"/>
      <c r="J23" s="501"/>
      <c r="K23" s="501"/>
      <c r="L23" s="321"/>
      <c r="M23" s="501"/>
      <c r="N23" s="501"/>
    </row>
    <row r="24" spans="1:14" ht="15" x14ac:dyDescent="0.2">
      <c r="A24" s="314"/>
      <c r="B24" s="319"/>
      <c r="C24" s="501"/>
      <c r="D24" s="501"/>
      <c r="E24" s="501"/>
      <c r="F24" s="501"/>
      <c r="G24" s="320" t="s">
        <v>156</v>
      </c>
      <c r="H24" s="501"/>
      <c r="I24" s="501"/>
      <c r="J24" s="501"/>
      <c r="K24" s="501"/>
      <c r="L24" s="321"/>
      <c r="M24" s="501"/>
      <c r="N24" s="501"/>
    </row>
    <row r="25" spans="1:14" ht="15" x14ac:dyDescent="0.2">
      <c r="A25" s="314"/>
      <c r="B25" s="319"/>
      <c r="C25" s="501"/>
      <c r="D25" s="501"/>
      <c r="E25" s="501"/>
      <c r="F25" s="501"/>
      <c r="G25" s="320" t="s">
        <v>521</v>
      </c>
      <c r="H25" s="501"/>
      <c r="I25" s="501"/>
      <c r="J25" s="501"/>
      <c r="K25" s="501"/>
      <c r="L25" s="321"/>
      <c r="M25" s="501"/>
      <c r="N25" s="501"/>
    </row>
    <row r="26" spans="1:14" ht="15" x14ac:dyDescent="0.2">
      <c r="A26" s="314"/>
      <c r="B26" s="319"/>
      <c r="C26" s="501"/>
      <c r="D26" s="501"/>
      <c r="E26" s="501"/>
      <c r="F26" s="501"/>
      <c r="G26" s="504" t="s">
        <v>522</v>
      </c>
      <c r="H26" s="501"/>
      <c r="I26" s="501"/>
      <c r="J26" s="501"/>
      <c r="K26" s="501"/>
      <c r="L26" s="321"/>
      <c r="M26" s="501"/>
      <c r="N26" s="501"/>
    </row>
    <row r="27" spans="1:14" ht="15" x14ac:dyDescent="0.2">
      <c r="A27" s="314"/>
      <c r="B27" s="319"/>
      <c r="C27" s="501"/>
      <c r="D27" s="501"/>
      <c r="E27" s="501"/>
      <c r="F27" s="501"/>
      <c r="G27" s="320" t="s">
        <v>157</v>
      </c>
      <c r="H27" s="501"/>
      <c r="I27" s="501"/>
      <c r="J27" s="501"/>
      <c r="K27" s="501"/>
      <c r="L27" s="321"/>
      <c r="M27" s="501"/>
      <c r="N27" s="501"/>
    </row>
    <row r="28" spans="1:14" ht="15" x14ac:dyDescent="0.2">
      <c r="A28" s="314"/>
      <c r="B28" s="319"/>
      <c r="C28" s="501"/>
      <c r="D28" s="501"/>
      <c r="E28" s="501"/>
      <c r="F28" s="501"/>
      <c r="G28" s="320" t="s">
        <v>158</v>
      </c>
      <c r="H28" s="501"/>
      <c r="I28" s="501"/>
      <c r="J28" s="501"/>
      <c r="K28" s="501"/>
      <c r="L28" s="321"/>
      <c r="M28" s="501"/>
      <c r="N28" s="501"/>
    </row>
    <row r="29" spans="1:14" ht="15" x14ac:dyDescent="0.2">
      <c r="A29" s="314"/>
      <c r="B29" s="319"/>
      <c r="C29" s="501"/>
      <c r="D29" s="501"/>
      <c r="E29" s="501"/>
      <c r="F29" s="501"/>
      <c r="G29" s="501"/>
      <c r="H29" s="501"/>
      <c r="I29" s="501"/>
      <c r="J29" s="501"/>
      <c r="K29" s="501"/>
      <c r="L29" s="321"/>
      <c r="M29" s="501"/>
      <c r="N29" s="501"/>
    </row>
    <row r="30" spans="1:14" ht="15" x14ac:dyDescent="0.2">
      <c r="A30" s="314"/>
      <c r="B30" s="319"/>
      <c r="C30" s="501"/>
      <c r="D30" s="501"/>
      <c r="E30" s="501"/>
      <c r="F30" s="501"/>
      <c r="G30" s="320" t="s">
        <v>154</v>
      </c>
      <c r="H30" s="501"/>
      <c r="I30" s="501"/>
      <c r="J30" s="501"/>
      <c r="K30" s="501"/>
      <c r="L30" s="321"/>
      <c r="M30" s="501"/>
      <c r="N30" s="501"/>
    </row>
    <row r="31" spans="1:14" ht="15" x14ac:dyDescent="0.2">
      <c r="A31" s="314"/>
      <c r="B31" s="319"/>
      <c r="C31" s="501"/>
      <c r="D31" s="501"/>
      <c r="E31" s="501"/>
      <c r="F31" s="501"/>
      <c r="G31" s="504" t="s">
        <v>523</v>
      </c>
      <c r="H31" s="501"/>
      <c r="I31" s="501"/>
      <c r="J31" s="501"/>
      <c r="K31" s="501"/>
      <c r="L31" s="321"/>
      <c r="M31" s="501"/>
      <c r="N31" s="501"/>
    </row>
    <row r="32" spans="1:14" ht="15" x14ac:dyDescent="0.2">
      <c r="A32" s="314"/>
      <c r="B32" s="319"/>
      <c r="C32" s="501"/>
      <c r="D32" s="501"/>
      <c r="E32" s="501"/>
      <c r="F32" s="501"/>
      <c r="G32" s="320" t="s">
        <v>155</v>
      </c>
      <c r="H32" s="501"/>
      <c r="I32" s="501"/>
      <c r="J32" s="501"/>
      <c r="K32" s="501"/>
      <c r="L32" s="321"/>
      <c r="M32" s="501"/>
      <c r="N32" s="501"/>
    </row>
    <row r="33" spans="1:14" ht="15" x14ac:dyDescent="0.2">
      <c r="A33" s="314"/>
      <c r="B33" s="319"/>
      <c r="C33" s="501"/>
      <c r="D33" s="501"/>
      <c r="E33" s="501"/>
      <c r="F33" s="501"/>
      <c r="G33" s="501"/>
      <c r="H33" s="501"/>
      <c r="I33" s="501"/>
      <c r="J33" s="501"/>
      <c r="K33" s="501"/>
      <c r="L33" s="321"/>
      <c r="M33" s="501"/>
      <c r="N33" s="501"/>
    </row>
    <row r="34" spans="1:14" ht="15" x14ac:dyDescent="0.2">
      <c r="A34" s="314"/>
      <c r="B34" s="319"/>
      <c r="C34" s="501"/>
      <c r="D34" s="501"/>
      <c r="E34" s="501"/>
      <c r="F34" s="501"/>
      <c r="G34" s="320" t="s">
        <v>159</v>
      </c>
      <c r="H34" s="501"/>
      <c r="I34" s="501"/>
      <c r="J34" s="501"/>
      <c r="K34" s="501"/>
      <c r="L34" s="321"/>
      <c r="M34" s="501"/>
      <c r="N34" s="501"/>
    </row>
    <row r="35" spans="1:14" ht="15" x14ac:dyDescent="0.2">
      <c r="A35" s="314"/>
      <c r="B35" s="319"/>
      <c r="C35" s="501"/>
      <c r="D35" s="501"/>
      <c r="E35" s="501"/>
      <c r="F35" s="501"/>
      <c r="G35" s="501"/>
      <c r="H35" s="501"/>
      <c r="I35" s="501"/>
      <c r="J35" s="501"/>
      <c r="K35" s="501"/>
      <c r="L35" s="321"/>
      <c r="M35" s="501"/>
      <c r="N35" s="501"/>
    </row>
    <row r="36" spans="1:14" ht="15.75" x14ac:dyDescent="0.2">
      <c r="A36" s="314"/>
      <c r="B36" s="322"/>
      <c r="C36" s="501"/>
      <c r="D36" s="501"/>
      <c r="E36" s="501"/>
      <c r="F36" s="501"/>
      <c r="G36" s="320" t="s">
        <v>160</v>
      </c>
      <c r="H36" s="501"/>
      <c r="I36" s="501"/>
      <c r="J36" s="501"/>
      <c r="K36" s="501"/>
      <c r="L36" s="321"/>
      <c r="M36" s="501"/>
      <c r="N36" s="501"/>
    </row>
    <row r="37" spans="1:14" ht="15.75" x14ac:dyDescent="0.2">
      <c r="A37" s="314"/>
      <c r="B37" s="322"/>
      <c r="C37" s="501"/>
      <c r="D37" s="501"/>
      <c r="E37" s="501"/>
      <c r="F37" s="501"/>
      <c r="G37" s="320" t="s">
        <v>161</v>
      </c>
      <c r="H37" s="501"/>
      <c r="I37" s="501"/>
      <c r="J37" s="501"/>
      <c r="K37" s="501"/>
      <c r="L37" s="321"/>
      <c r="M37" s="501"/>
      <c r="N37" s="501"/>
    </row>
    <row r="38" spans="1:14" ht="15.75" thickBot="1" x14ac:dyDescent="0.25">
      <c r="A38" s="314"/>
      <c r="B38" s="323"/>
      <c r="C38" s="324"/>
      <c r="D38" s="324"/>
      <c r="E38" s="324"/>
      <c r="F38" s="324"/>
      <c r="G38" s="325"/>
      <c r="H38" s="324"/>
      <c r="I38" s="324"/>
      <c r="J38" s="324"/>
      <c r="K38" s="324"/>
      <c r="L38" s="326"/>
      <c r="M38" s="501"/>
      <c r="N38" s="501"/>
    </row>
    <row r="39" spans="1:14" x14ac:dyDescent="0.2">
      <c r="A39" s="501"/>
      <c r="B39" s="501"/>
      <c r="C39" s="501"/>
      <c r="D39" s="501"/>
      <c r="E39" s="501"/>
      <c r="F39" s="501"/>
      <c r="G39" s="501"/>
      <c r="H39" s="501"/>
      <c r="I39" s="501"/>
      <c r="J39" s="501"/>
      <c r="K39" s="501"/>
      <c r="L39" s="501"/>
      <c r="M39" s="501"/>
      <c r="N39" s="501"/>
    </row>
    <row r="40" spans="1:14" x14ac:dyDescent="0.2">
      <c r="A40" s="501"/>
      <c r="B40" s="501"/>
      <c r="C40" s="501"/>
      <c r="D40" s="501"/>
      <c r="E40" s="501"/>
      <c r="F40" s="501"/>
      <c r="G40" s="501"/>
      <c r="H40" s="501"/>
      <c r="I40" s="501"/>
      <c r="J40" s="501"/>
      <c r="K40" s="501"/>
      <c r="L40" s="501"/>
      <c r="M40" s="501"/>
      <c r="N40" s="501"/>
    </row>
    <row r="41" spans="1:14" x14ac:dyDescent="0.2">
      <c r="A41" s="513"/>
      <c r="B41" s="513"/>
      <c r="C41" s="513"/>
      <c r="D41" s="513"/>
      <c r="E41" s="513"/>
      <c r="F41" s="513"/>
      <c r="G41" s="513"/>
      <c r="H41" s="508"/>
      <c r="I41" s="508"/>
      <c r="J41" s="508"/>
      <c r="K41" s="508"/>
      <c r="L41" s="508"/>
      <c r="M41" s="508"/>
      <c r="N41" s="508"/>
    </row>
    <row r="42" spans="1:14" x14ac:dyDescent="0.2">
      <c r="A42" s="513"/>
      <c r="B42" s="513"/>
      <c r="C42" s="513"/>
      <c r="D42" s="513"/>
      <c r="E42" s="513"/>
      <c r="F42" s="513"/>
      <c r="G42" s="513"/>
      <c r="H42" s="508"/>
      <c r="I42" s="508"/>
      <c r="J42" s="508"/>
      <c r="K42" s="508"/>
      <c r="L42" s="508"/>
      <c r="M42" s="508"/>
      <c r="N42" s="508"/>
    </row>
    <row r="43" spans="1:14" x14ac:dyDescent="0.2">
      <c r="A43" s="327"/>
      <c r="B43" s="327"/>
      <c r="C43" s="327"/>
      <c r="D43" s="327"/>
      <c r="E43" s="327"/>
      <c r="F43" s="327"/>
      <c r="G43" s="327"/>
      <c r="H43" s="508"/>
      <c r="I43" s="508"/>
      <c r="J43" s="508"/>
      <c r="K43" s="508"/>
      <c r="L43" s="508"/>
      <c r="M43" s="508"/>
      <c r="N43" s="508"/>
    </row>
    <row r="44" spans="1:14" x14ac:dyDescent="0.2">
      <c r="A44" s="327"/>
      <c r="B44" s="327"/>
      <c r="C44" s="327"/>
      <c r="D44" s="327"/>
      <c r="E44" s="327"/>
      <c r="F44" s="327"/>
      <c r="G44" s="327"/>
      <c r="H44" s="508"/>
      <c r="I44" s="508"/>
      <c r="J44" s="508"/>
      <c r="K44" s="508"/>
      <c r="L44" s="508"/>
      <c r="M44" s="508"/>
      <c r="N44" s="508"/>
    </row>
    <row r="45" spans="1:14" x14ac:dyDescent="0.2">
      <c r="A45" s="327"/>
      <c r="B45" s="327"/>
      <c r="C45" s="327"/>
      <c r="D45" s="327"/>
      <c r="E45" s="327"/>
      <c r="F45" s="327"/>
      <c r="G45" s="327"/>
      <c r="H45" s="508"/>
      <c r="I45" s="508"/>
      <c r="J45" s="508"/>
      <c r="K45" s="508"/>
      <c r="L45" s="508"/>
      <c r="M45" s="508"/>
      <c r="N45" s="508"/>
    </row>
    <row r="46" spans="1:14" x14ac:dyDescent="0.2">
      <c r="A46" s="327"/>
      <c r="B46" s="327"/>
      <c r="C46" s="327"/>
      <c r="D46" s="327"/>
      <c r="E46" s="327"/>
      <c r="F46" s="327"/>
      <c r="G46" s="327"/>
      <c r="H46" s="508"/>
      <c r="I46" s="508"/>
      <c r="J46" s="508"/>
      <c r="K46" s="508"/>
      <c r="L46" s="508"/>
      <c r="M46" s="508"/>
      <c r="N46" s="508"/>
    </row>
    <row r="47" spans="1:14" x14ac:dyDescent="0.2">
      <c r="A47" s="327"/>
      <c r="B47" s="327"/>
      <c r="C47" s="327"/>
      <c r="D47" s="327"/>
      <c r="E47" s="327"/>
      <c r="F47" s="327"/>
      <c r="G47" s="327"/>
      <c r="H47" s="508"/>
      <c r="I47" s="508"/>
      <c r="J47" s="508"/>
      <c r="K47" s="508"/>
      <c r="L47" s="508"/>
      <c r="M47" s="508"/>
      <c r="N47" s="508"/>
    </row>
    <row r="48" spans="1:14" x14ac:dyDescent="0.2">
      <c r="A48" s="327"/>
      <c r="B48" s="327"/>
      <c r="C48" s="327"/>
      <c r="D48" s="327"/>
      <c r="E48" s="327"/>
      <c r="F48" s="327"/>
      <c r="G48" s="327"/>
      <c r="H48" s="508"/>
      <c r="I48" s="508"/>
      <c r="J48" s="508"/>
      <c r="K48" s="508"/>
      <c r="L48" s="508"/>
      <c r="M48" s="508"/>
      <c r="N48" s="508"/>
    </row>
    <row r="49" spans="1:14" x14ac:dyDescent="0.2">
      <c r="A49" s="327"/>
      <c r="B49" s="327"/>
      <c r="C49" s="327"/>
      <c r="D49" s="327"/>
      <c r="E49" s="327"/>
      <c r="F49" s="327"/>
      <c r="G49" s="327"/>
      <c r="H49" s="508"/>
      <c r="I49" s="508"/>
      <c r="J49" s="508"/>
      <c r="K49" s="508"/>
      <c r="L49" s="508"/>
      <c r="M49" s="508"/>
      <c r="N49" s="508"/>
    </row>
    <row r="50" spans="1:14" x14ac:dyDescent="0.2">
      <c r="A50" s="327"/>
      <c r="B50" s="327"/>
      <c r="C50" s="327"/>
      <c r="D50" s="327"/>
      <c r="E50" s="327"/>
      <c r="F50" s="327"/>
      <c r="G50" s="327"/>
      <c r="H50" s="508"/>
      <c r="I50" s="508"/>
      <c r="J50" s="508"/>
      <c r="K50" s="508"/>
      <c r="L50" s="508"/>
      <c r="M50" s="508"/>
      <c r="N50" s="508"/>
    </row>
    <row r="51" spans="1:14" x14ac:dyDescent="0.2">
      <c r="A51" s="327"/>
      <c r="B51" s="327"/>
      <c r="C51" s="327"/>
      <c r="D51" s="327"/>
      <c r="E51" s="327"/>
      <c r="F51" s="327"/>
      <c r="G51" s="327"/>
      <c r="H51" s="508"/>
      <c r="I51" s="508"/>
      <c r="J51" s="508"/>
      <c r="K51" s="508"/>
      <c r="L51" s="508"/>
      <c r="M51" s="508"/>
      <c r="N51" s="508"/>
    </row>
    <row r="52" spans="1:14" x14ac:dyDescent="0.2">
      <c r="A52" s="327"/>
      <c r="B52" s="327"/>
      <c r="C52" s="327"/>
      <c r="D52" s="327"/>
      <c r="E52" s="327"/>
      <c r="F52" s="327"/>
      <c r="G52" s="327"/>
      <c r="H52" s="508"/>
      <c r="I52" s="508"/>
      <c r="J52" s="508"/>
      <c r="K52" s="508"/>
      <c r="L52" s="508"/>
      <c r="M52" s="508"/>
      <c r="N52" s="508"/>
    </row>
    <row r="53" spans="1:14" x14ac:dyDescent="0.2">
      <c r="A53" s="327"/>
      <c r="B53" s="327"/>
      <c r="C53" s="327"/>
      <c r="D53" s="327"/>
      <c r="E53" s="327"/>
      <c r="F53" s="327"/>
      <c r="G53" s="327"/>
      <c r="H53" s="508"/>
      <c r="I53" s="508"/>
      <c r="J53" s="508"/>
      <c r="K53" s="508"/>
      <c r="L53" s="508"/>
      <c r="M53" s="508"/>
      <c r="N53" s="508"/>
    </row>
    <row r="54" spans="1:14" x14ac:dyDescent="0.2">
      <c r="A54" s="327"/>
      <c r="B54" s="327"/>
      <c r="C54" s="327"/>
      <c r="D54" s="327"/>
      <c r="E54" s="327"/>
      <c r="F54" s="327"/>
      <c r="G54" s="327"/>
      <c r="H54" s="508"/>
      <c r="I54" s="508"/>
      <c r="J54" s="508"/>
      <c r="K54" s="508"/>
      <c r="L54" s="508"/>
      <c r="M54" s="508"/>
      <c r="N54" s="508"/>
    </row>
    <row r="55" spans="1:14" x14ac:dyDescent="0.2">
      <c r="A55" s="327"/>
      <c r="B55" s="327"/>
      <c r="C55" s="327"/>
      <c r="D55" s="327"/>
      <c r="E55" s="327"/>
      <c r="F55" s="327"/>
      <c r="G55" s="327"/>
      <c r="H55" s="508"/>
      <c r="I55" s="508"/>
      <c r="J55" s="508"/>
      <c r="K55" s="508"/>
      <c r="L55" s="508"/>
      <c r="M55" s="508"/>
      <c r="N55" s="508"/>
    </row>
    <row r="56" spans="1:14" x14ac:dyDescent="0.2">
      <c r="A56" s="327"/>
      <c r="B56" s="327"/>
      <c r="C56" s="327"/>
      <c r="D56" s="327"/>
      <c r="E56" s="327"/>
      <c r="F56" s="327"/>
      <c r="G56" s="327"/>
      <c r="H56" s="508"/>
      <c r="I56" s="508"/>
      <c r="J56" s="508"/>
      <c r="K56" s="508"/>
      <c r="L56" s="508"/>
      <c r="M56" s="508"/>
      <c r="N56" s="508"/>
    </row>
    <row r="57" spans="1:14" x14ac:dyDescent="0.2">
      <c r="A57" s="327"/>
      <c r="B57" s="327"/>
      <c r="C57" s="327"/>
      <c r="D57" s="327"/>
      <c r="E57" s="327"/>
      <c r="F57" s="327"/>
      <c r="G57" s="327"/>
      <c r="H57" s="508"/>
      <c r="I57" s="508"/>
      <c r="J57" s="508"/>
      <c r="K57" s="508"/>
      <c r="L57" s="508"/>
      <c r="M57" s="508"/>
      <c r="N57" s="508"/>
    </row>
    <row r="58" spans="1:14" x14ac:dyDescent="0.2">
      <c r="A58" s="327"/>
      <c r="B58" s="327"/>
      <c r="C58" s="327"/>
      <c r="D58" s="327"/>
      <c r="E58" s="327"/>
      <c r="F58" s="327"/>
      <c r="G58" s="327"/>
      <c r="H58" s="508"/>
      <c r="I58" s="508"/>
      <c r="J58" s="508"/>
      <c r="K58" s="508"/>
      <c r="L58" s="508"/>
      <c r="M58" s="508"/>
      <c r="N58" s="508"/>
    </row>
    <row r="59" spans="1:14" x14ac:dyDescent="0.2">
      <c r="A59" s="327"/>
      <c r="B59" s="327"/>
      <c r="C59" s="327"/>
      <c r="D59" s="327"/>
      <c r="E59" s="327"/>
      <c r="F59" s="327"/>
      <c r="G59" s="327"/>
      <c r="H59" s="508"/>
      <c r="I59" s="508"/>
      <c r="J59" s="508"/>
      <c r="K59" s="508"/>
      <c r="L59" s="508"/>
      <c r="M59" s="508"/>
      <c r="N59" s="508"/>
    </row>
    <row r="60" spans="1:14" x14ac:dyDescent="0.2">
      <c r="A60" s="327"/>
      <c r="B60" s="327"/>
      <c r="C60" s="327"/>
      <c r="D60" s="327"/>
      <c r="E60" s="327"/>
      <c r="F60" s="327"/>
      <c r="G60" s="327"/>
      <c r="H60" s="508"/>
      <c r="I60" s="508"/>
      <c r="J60" s="508"/>
      <c r="K60" s="508"/>
      <c r="L60" s="508"/>
      <c r="M60" s="508"/>
      <c r="N60" s="508"/>
    </row>
    <row r="61" spans="1:14" x14ac:dyDescent="0.2">
      <c r="A61" s="327"/>
      <c r="B61" s="327"/>
      <c r="C61" s="327"/>
      <c r="D61" s="327"/>
      <c r="E61" s="327"/>
      <c r="F61" s="327"/>
      <c r="G61" s="327"/>
      <c r="H61" s="508"/>
      <c r="I61" s="508"/>
      <c r="J61" s="508"/>
      <c r="K61" s="508"/>
      <c r="L61" s="508"/>
      <c r="M61" s="508"/>
      <c r="N61" s="508"/>
    </row>
    <row r="62" spans="1:14" x14ac:dyDescent="0.2">
      <c r="A62" s="327"/>
      <c r="B62" s="327"/>
      <c r="C62" s="327"/>
      <c r="D62" s="327"/>
      <c r="E62" s="327"/>
      <c r="F62" s="327"/>
      <c r="G62" s="327"/>
      <c r="H62" s="508"/>
      <c r="I62" s="508"/>
      <c r="J62" s="508"/>
      <c r="K62" s="508"/>
      <c r="L62" s="508"/>
      <c r="M62" s="508"/>
      <c r="N62" s="508"/>
    </row>
    <row r="63" spans="1:14" x14ac:dyDescent="0.2">
      <c r="A63" s="327"/>
      <c r="B63" s="327"/>
      <c r="C63" s="327"/>
      <c r="D63" s="327"/>
      <c r="E63" s="327"/>
      <c r="F63" s="327"/>
      <c r="G63" s="327"/>
      <c r="H63" s="508"/>
      <c r="I63" s="508"/>
      <c r="J63" s="508"/>
      <c r="K63" s="508"/>
      <c r="L63" s="508"/>
      <c r="M63" s="508"/>
      <c r="N63" s="508"/>
    </row>
    <row r="64" spans="1:14" x14ac:dyDescent="0.2">
      <c r="A64" s="327"/>
      <c r="B64" s="327"/>
      <c r="C64" s="327"/>
      <c r="D64" s="327"/>
      <c r="E64" s="327"/>
      <c r="F64" s="327"/>
      <c r="G64" s="327"/>
      <c r="H64" s="508"/>
      <c r="I64" s="508"/>
      <c r="J64" s="508"/>
      <c r="K64" s="508"/>
      <c r="L64" s="508"/>
      <c r="M64" s="508"/>
      <c r="N64" s="508"/>
    </row>
    <row r="65" spans="1:14" x14ac:dyDescent="0.2">
      <c r="A65" s="327"/>
      <c r="B65" s="327"/>
      <c r="C65" s="327"/>
      <c r="D65" s="327"/>
      <c r="E65" s="327"/>
      <c r="F65" s="327"/>
      <c r="G65" s="327"/>
      <c r="H65" s="508"/>
      <c r="I65" s="508"/>
      <c r="J65" s="508"/>
      <c r="K65" s="508"/>
      <c r="L65" s="508"/>
      <c r="M65" s="508"/>
      <c r="N65" s="508"/>
    </row>
    <row r="66" spans="1:14" x14ac:dyDescent="0.2">
      <c r="A66" s="327"/>
      <c r="B66" s="327"/>
      <c r="C66" s="327"/>
      <c r="D66" s="327"/>
      <c r="E66" s="327"/>
      <c r="F66" s="327"/>
      <c r="G66" s="327"/>
      <c r="H66" s="508"/>
      <c r="I66" s="508"/>
      <c r="J66" s="508"/>
      <c r="K66" s="508"/>
      <c r="L66" s="508"/>
      <c r="M66" s="508"/>
      <c r="N66" s="508"/>
    </row>
    <row r="67" spans="1:14" x14ac:dyDescent="0.2">
      <c r="A67" s="327"/>
      <c r="B67" s="327"/>
      <c r="C67" s="327"/>
      <c r="D67" s="327"/>
      <c r="E67" s="327"/>
      <c r="F67" s="327"/>
      <c r="G67" s="327"/>
      <c r="H67" s="508"/>
      <c r="I67" s="508"/>
      <c r="J67" s="508"/>
      <c r="K67" s="508"/>
      <c r="L67" s="508"/>
      <c r="M67" s="508"/>
      <c r="N67" s="508"/>
    </row>
    <row r="68" spans="1:14" x14ac:dyDescent="0.2">
      <c r="A68" s="327"/>
      <c r="B68" s="327"/>
      <c r="C68" s="327"/>
      <c r="D68" s="327"/>
      <c r="E68" s="327"/>
      <c r="F68" s="327"/>
      <c r="G68" s="327"/>
      <c r="H68" s="508"/>
      <c r="I68" s="508"/>
      <c r="J68" s="508"/>
      <c r="K68" s="508"/>
      <c r="L68" s="508"/>
      <c r="M68" s="508"/>
      <c r="N68" s="508"/>
    </row>
    <row r="69" spans="1:14" x14ac:dyDescent="0.2">
      <c r="A69" s="327"/>
      <c r="B69" s="327"/>
      <c r="C69" s="327"/>
      <c r="D69" s="327"/>
      <c r="E69" s="327"/>
      <c r="F69" s="327"/>
      <c r="G69" s="327"/>
      <c r="H69" s="508"/>
      <c r="I69" s="508"/>
      <c r="J69" s="508"/>
      <c r="K69" s="508"/>
      <c r="L69" s="508"/>
      <c r="M69" s="508"/>
      <c r="N69" s="508"/>
    </row>
    <row r="70" spans="1:14" x14ac:dyDescent="0.2">
      <c r="A70" s="327"/>
      <c r="B70" s="327"/>
      <c r="C70" s="327"/>
      <c r="D70" s="327"/>
      <c r="E70" s="327"/>
      <c r="F70" s="327"/>
      <c r="G70" s="327"/>
      <c r="H70" s="508"/>
      <c r="I70" s="508"/>
      <c r="J70" s="508"/>
      <c r="K70" s="508"/>
      <c r="L70" s="508"/>
      <c r="M70" s="508"/>
      <c r="N70" s="508"/>
    </row>
    <row r="71" spans="1:14" x14ac:dyDescent="0.2">
      <c r="A71" s="327"/>
      <c r="B71" s="327"/>
      <c r="C71" s="327"/>
      <c r="D71" s="327"/>
      <c r="E71" s="327"/>
      <c r="F71" s="327"/>
      <c r="G71" s="327"/>
      <c r="H71" s="508"/>
      <c r="I71" s="508"/>
      <c r="J71" s="508"/>
      <c r="K71" s="508"/>
      <c r="L71" s="508"/>
      <c r="M71" s="508"/>
      <c r="N71" s="508"/>
    </row>
    <row r="72" spans="1:14" x14ac:dyDescent="0.2">
      <c r="A72" s="327"/>
      <c r="B72" s="327"/>
      <c r="C72" s="327"/>
      <c r="D72" s="327"/>
      <c r="E72" s="327"/>
      <c r="F72" s="327"/>
      <c r="G72" s="327"/>
      <c r="H72" s="508"/>
      <c r="I72" s="508"/>
      <c r="J72" s="508"/>
      <c r="K72" s="508"/>
      <c r="L72" s="508"/>
      <c r="M72" s="508"/>
      <c r="N72" s="508"/>
    </row>
    <row r="73" spans="1:14" x14ac:dyDescent="0.2">
      <c r="A73" s="327"/>
      <c r="B73" s="327"/>
      <c r="C73" s="327"/>
      <c r="D73" s="327"/>
      <c r="E73" s="327"/>
      <c r="F73" s="327"/>
      <c r="G73" s="327"/>
      <c r="H73" s="508"/>
      <c r="I73" s="508"/>
      <c r="J73" s="508"/>
      <c r="K73" s="508"/>
      <c r="L73" s="508"/>
      <c r="M73" s="508"/>
      <c r="N73" s="508"/>
    </row>
    <row r="74" spans="1:14" x14ac:dyDescent="0.2">
      <c r="A74" s="327"/>
      <c r="B74" s="327"/>
      <c r="C74" s="327"/>
      <c r="D74" s="327"/>
      <c r="E74" s="327"/>
      <c r="F74" s="327"/>
      <c r="G74" s="327"/>
      <c r="H74" s="508"/>
      <c r="I74" s="508"/>
      <c r="J74" s="508"/>
      <c r="K74" s="508"/>
      <c r="L74" s="508"/>
      <c r="M74" s="508"/>
      <c r="N74" s="508"/>
    </row>
    <row r="75" spans="1:14" x14ac:dyDescent="0.2">
      <c r="A75" s="327"/>
      <c r="B75" s="327"/>
      <c r="C75" s="327"/>
      <c r="D75" s="327"/>
      <c r="E75" s="327"/>
      <c r="F75" s="327"/>
      <c r="G75" s="327"/>
      <c r="H75" s="508"/>
      <c r="I75" s="508"/>
      <c r="J75" s="508"/>
      <c r="K75" s="508"/>
      <c r="L75" s="508"/>
      <c r="M75" s="508"/>
      <c r="N75" s="508"/>
    </row>
    <row r="76" spans="1:14" x14ac:dyDescent="0.2">
      <c r="A76" s="327"/>
      <c r="B76" s="327"/>
      <c r="C76" s="327"/>
      <c r="D76" s="327"/>
      <c r="E76" s="327"/>
      <c r="F76" s="327"/>
      <c r="G76" s="327"/>
      <c r="H76" s="508"/>
      <c r="I76" s="508"/>
      <c r="J76" s="508"/>
      <c r="K76" s="508"/>
      <c r="L76" s="508"/>
      <c r="M76" s="508"/>
      <c r="N76" s="508"/>
    </row>
    <row r="77" spans="1:14" x14ac:dyDescent="0.2">
      <c r="A77" s="327"/>
      <c r="B77" s="327"/>
      <c r="C77" s="327"/>
      <c r="D77" s="327"/>
      <c r="E77" s="327"/>
      <c r="F77" s="327"/>
      <c r="G77" s="327"/>
      <c r="H77" s="508"/>
      <c r="I77" s="508"/>
      <c r="J77" s="508"/>
      <c r="K77" s="508"/>
      <c r="L77" s="508"/>
      <c r="M77" s="508"/>
      <c r="N77" s="508"/>
    </row>
    <row r="78" spans="1:14" x14ac:dyDescent="0.2">
      <c r="A78" s="327"/>
      <c r="B78" s="327"/>
      <c r="C78" s="327"/>
      <c r="D78" s="327"/>
      <c r="E78" s="327"/>
      <c r="F78" s="327"/>
      <c r="G78" s="327"/>
      <c r="H78" s="508"/>
      <c r="I78" s="508"/>
      <c r="J78" s="508"/>
      <c r="K78" s="508"/>
      <c r="L78" s="508"/>
      <c r="M78" s="508"/>
      <c r="N78" s="508"/>
    </row>
    <row r="79" spans="1:14" x14ac:dyDescent="0.2">
      <c r="A79" s="327"/>
      <c r="B79" s="327"/>
      <c r="C79" s="327"/>
      <c r="D79" s="327"/>
      <c r="E79" s="327"/>
      <c r="F79" s="327"/>
      <c r="G79" s="327"/>
      <c r="H79" s="508"/>
      <c r="I79" s="508"/>
      <c r="J79" s="508"/>
      <c r="K79" s="508"/>
      <c r="L79" s="508"/>
      <c r="M79" s="508"/>
      <c r="N79" s="508"/>
    </row>
    <row r="80" spans="1:14" x14ac:dyDescent="0.2">
      <c r="A80" s="327"/>
      <c r="B80" s="327"/>
      <c r="C80" s="327"/>
      <c r="D80" s="327"/>
      <c r="E80" s="327"/>
      <c r="F80" s="327"/>
      <c r="G80" s="327"/>
      <c r="H80" s="508"/>
      <c r="I80" s="508"/>
      <c r="J80" s="508"/>
      <c r="K80" s="508"/>
      <c r="L80" s="508"/>
      <c r="M80" s="508"/>
      <c r="N80" s="508"/>
    </row>
    <row r="81" spans="1:14" x14ac:dyDescent="0.2">
      <c r="A81" s="327"/>
      <c r="B81" s="327"/>
      <c r="C81" s="327"/>
      <c r="D81" s="327"/>
      <c r="E81" s="327"/>
      <c r="F81" s="327"/>
      <c r="G81" s="327"/>
      <c r="H81" s="508"/>
      <c r="I81" s="508"/>
      <c r="J81" s="508"/>
      <c r="K81" s="508"/>
      <c r="L81" s="508"/>
      <c r="M81" s="508"/>
      <c r="N81" s="508"/>
    </row>
    <row r="82" spans="1:14" x14ac:dyDescent="0.2">
      <c r="A82" s="327"/>
      <c r="B82" s="327"/>
      <c r="C82" s="327"/>
      <c r="D82" s="327"/>
      <c r="E82" s="327"/>
      <c r="F82" s="327"/>
      <c r="G82" s="327"/>
      <c r="H82" s="508"/>
      <c r="I82" s="508"/>
      <c r="J82" s="508"/>
      <c r="K82" s="508"/>
      <c r="L82" s="508"/>
      <c r="M82" s="508"/>
      <c r="N82" s="508"/>
    </row>
    <row r="83" spans="1:14" x14ac:dyDescent="0.2">
      <c r="A83" s="327"/>
      <c r="B83" s="327"/>
      <c r="C83" s="327"/>
      <c r="D83" s="327"/>
      <c r="E83" s="327"/>
      <c r="F83" s="327"/>
      <c r="G83" s="327"/>
      <c r="H83" s="508"/>
      <c r="I83" s="508"/>
      <c r="J83" s="508"/>
      <c r="K83" s="508"/>
      <c r="L83" s="508"/>
      <c r="M83" s="508"/>
      <c r="N83" s="508"/>
    </row>
    <row r="84" spans="1:14" x14ac:dyDescent="0.2">
      <c r="A84" s="327"/>
      <c r="B84" s="327"/>
      <c r="C84" s="327"/>
      <c r="D84" s="327"/>
      <c r="E84" s="327"/>
      <c r="F84" s="327"/>
      <c r="G84" s="327"/>
      <c r="H84" s="508"/>
      <c r="I84" s="508"/>
      <c r="J84" s="508"/>
      <c r="K84" s="508"/>
      <c r="L84" s="508"/>
      <c r="M84" s="508"/>
      <c r="N84" s="508"/>
    </row>
    <row r="85" spans="1:14" x14ac:dyDescent="0.2">
      <c r="A85" s="327"/>
      <c r="B85" s="327"/>
      <c r="C85" s="327"/>
      <c r="D85" s="327"/>
      <c r="E85" s="327"/>
      <c r="F85" s="327"/>
      <c r="G85" s="327"/>
      <c r="H85" s="508"/>
      <c r="I85" s="508"/>
      <c r="J85" s="508"/>
      <c r="K85" s="508"/>
      <c r="L85" s="508"/>
      <c r="M85" s="508"/>
      <c r="N85" s="508"/>
    </row>
    <row r="86" spans="1:14" x14ac:dyDescent="0.2">
      <c r="A86" s="327"/>
      <c r="B86" s="327"/>
      <c r="C86" s="327"/>
      <c r="D86" s="327"/>
      <c r="E86" s="327"/>
      <c r="F86" s="327"/>
      <c r="G86" s="327"/>
      <c r="H86" s="508"/>
      <c r="I86" s="508"/>
      <c r="J86" s="508"/>
      <c r="K86" s="508"/>
      <c r="L86" s="508"/>
      <c r="M86" s="508"/>
      <c r="N86" s="508"/>
    </row>
    <row r="87" spans="1:14" x14ac:dyDescent="0.2">
      <c r="A87" s="327"/>
      <c r="B87" s="327"/>
      <c r="C87" s="327"/>
      <c r="D87" s="327"/>
      <c r="E87" s="327"/>
      <c r="F87" s="327"/>
      <c r="G87" s="327"/>
      <c r="H87" s="508"/>
      <c r="I87" s="508"/>
      <c r="J87" s="508"/>
      <c r="K87" s="508"/>
      <c r="L87" s="508"/>
      <c r="M87" s="508"/>
      <c r="N87" s="508"/>
    </row>
    <row r="88" spans="1:14" x14ac:dyDescent="0.2">
      <c r="A88" s="327"/>
      <c r="B88" s="327"/>
      <c r="C88" s="327"/>
      <c r="D88" s="327"/>
      <c r="E88" s="327"/>
      <c r="F88" s="327"/>
      <c r="G88" s="327"/>
      <c r="H88" s="508"/>
      <c r="I88" s="508"/>
      <c r="J88" s="508"/>
      <c r="K88" s="508"/>
      <c r="L88" s="508"/>
      <c r="M88" s="508"/>
      <c r="N88" s="508"/>
    </row>
    <row r="89" spans="1:14" x14ac:dyDescent="0.2">
      <c r="A89" s="327"/>
      <c r="B89" s="327"/>
      <c r="C89" s="327"/>
      <c r="D89" s="327"/>
      <c r="E89" s="327"/>
      <c r="F89" s="327"/>
      <c r="G89" s="327"/>
      <c r="H89" s="508"/>
      <c r="I89" s="508"/>
      <c r="J89" s="508"/>
      <c r="K89" s="508"/>
      <c r="L89" s="508"/>
      <c r="M89" s="508"/>
      <c r="N89" s="508"/>
    </row>
    <row r="90" spans="1:14" x14ac:dyDescent="0.2">
      <c r="A90" s="327"/>
      <c r="B90" s="327"/>
      <c r="C90" s="327"/>
      <c r="D90" s="327"/>
      <c r="E90" s="327"/>
      <c r="F90" s="327"/>
      <c r="G90" s="327"/>
      <c r="H90" s="508"/>
      <c r="I90" s="508"/>
      <c r="J90" s="508"/>
      <c r="K90" s="508"/>
      <c r="L90" s="508"/>
      <c r="M90" s="508"/>
      <c r="N90" s="508"/>
    </row>
    <row r="91" spans="1:14" x14ac:dyDescent="0.2">
      <c r="A91" s="327"/>
      <c r="B91" s="327"/>
      <c r="C91" s="327"/>
      <c r="D91" s="327"/>
      <c r="E91" s="327"/>
      <c r="F91" s="327"/>
      <c r="G91" s="327"/>
      <c r="H91" s="508"/>
      <c r="I91" s="508"/>
      <c r="J91" s="508"/>
      <c r="K91" s="508"/>
      <c r="L91" s="508"/>
      <c r="M91" s="508"/>
      <c r="N91" s="508"/>
    </row>
    <row r="92" spans="1:14" x14ac:dyDescent="0.2">
      <c r="A92" s="327"/>
      <c r="B92" s="327"/>
      <c r="C92" s="327"/>
      <c r="D92" s="327"/>
      <c r="E92" s="327"/>
      <c r="F92" s="327"/>
      <c r="G92" s="327"/>
      <c r="H92" s="508"/>
      <c r="I92" s="508"/>
      <c r="J92" s="508"/>
      <c r="K92" s="508"/>
      <c r="L92" s="508"/>
      <c r="M92" s="508"/>
      <c r="N92" s="508"/>
    </row>
    <row r="93" spans="1:14" x14ac:dyDescent="0.2">
      <c r="A93" s="327"/>
      <c r="B93" s="327"/>
      <c r="C93" s="327"/>
      <c r="D93" s="327"/>
      <c r="E93" s="327"/>
      <c r="F93" s="327"/>
      <c r="G93" s="327"/>
      <c r="H93" s="508"/>
      <c r="I93" s="508"/>
      <c r="J93" s="508"/>
      <c r="K93" s="508"/>
      <c r="L93" s="508"/>
      <c r="M93" s="508"/>
      <c r="N93" s="508"/>
    </row>
  </sheetData>
  <mergeCells count="15">
    <mergeCell ref="L41:L93"/>
    <mergeCell ref="M41:M93"/>
    <mergeCell ref="N41:N93"/>
    <mergeCell ref="F2:H2"/>
    <mergeCell ref="C3:K3"/>
    <mergeCell ref="C4:K4"/>
    <mergeCell ref="C7:K7"/>
    <mergeCell ref="C8:K8"/>
    <mergeCell ref="B9:L9"/>
    <mergeCell ref="A41:G41"/>
    <mergeCell ref="H41:H93"/>
    <mergeCell ref="I41:I93"/>
    <mergeCell ref="J41:J93"/>
    <mergeCell ref="K41:K93"/>
    <mergeCell ref="A42:G42"/>
  </mergeCells>
  <hyperlinks>
    <hyperlink ref="G17" r:id="rId1" display="mailto:r.a.wilson@warwick.ac.uk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U54"/>
  <sheetViews>
    <sheetView showGridLines="0" zoomScale="85" zoomScaleNormal="85" workbookViewId="0"/>
  </sheetViews>
  <sheetFormatPr defaultColWidth="9.140625" defaultRowHeight="12.75" x14ac:dyDescent="0.2"/>
  <cols>
    <col min="1" max="1" width="39.28515625" style="286" customWidth="1"/>
    <col min="2" max="4" width="4" style="286" customWidth="1"/>
    <col min="5" max="5" width="5.5703125" style="286" customWidth="1"/>
    <col min="6" max="6" width="2.85546875" style="286" customWidth="1"/>
    <col min="7" max="9" width="4" style="286" customWidth="1"/>
    <col min="10" max="10" width="5.5703125" style="286" customWidth="1"/>
    <col min="11" max="11" width="2.85546875" style="286" customWidth="1"/>
    <col min="12" max="14" width="4" style="286" customWidth="1"/>
    <col min="15" max="15" width="5.5703125" style="286" customWidth="1"/>
    <col min="16" max="16" width="6.7109375" style="286" customWidth="1"/>
    <col min="17" max="17" width="39.28515625" style="286" customWidth="1"/>
    <col min="18" max="18" width="6.7109375" style="286" customWidth="1"/>
    <col min="19" max="20" width="5.7109375" style="286" customWidth="1"/>
    <col min="21" max="21" width="6.7109375" style="286" customWidth="1"/>
    <col min="22" max="22" width="2.85546875" style="286" customWidth="1"/>
    <col min="23" max="23" width="6.7109375" style="286" customWidth="1"/>
    <col min="24" max="25" width="5.7109375" style="286" customWidth="1"/>
    <col min="26" max="26" width="6.7109375" style="286" customWidth="1"/>
    <col min="27" max="27" width="2.85546875" style="286" customWidth="1"/>
    <col min="28" max="29" width="6.7109375" style="286" customWidth="1"/>
    <col min="30" max="30" width="5.7109375" style="286" customWidth="1"/>
    <col min="31" max="31" width="6.7109375" style="286" customWidth="1"/>
    <col min="32" max="32" width="6.85546875" style="286" customWidth="1"/>
    <col min="33" max="33" width="39.28515625" style="286" customWidth="1"/>
    <col min="34" max="34" width="6.7109375" style="286" customWidth="1"/>
    <col min="35" max="36" width="5.7109375" style="286" customWidth="1"/>
    <col min="37" max="37" width="6.7109375" style="286" customWidth="1"/>
    <col min="38" max="38" width="2.85546875" style="286" customWidth="1"/>
    <col min="39" max="39" width="6.7109375" style="286" customWidth="1"/>
    <col min="40" max="41" width="5.7109375" style="286" customWidth="1"/>
    <col min="42" max="42" width="6.7109375" style="286" customWidth="1"/>
    <col min="43" max="43" width="2.85546875" style="286" customWidth="1"/>
    <col min="44" max="45" width="6.7109375" style="286" customWidth="1"/>
    <col min="46" max="46" width="5.7109375" style="286" customWidth="1"/>
    <col min="47" max="47" width="6.7109375" style="286" customWidth="1"/>
    <col min="48" max="16384" width="9.140625" style="286"/>
  </cols>
  <sheetData>
    <row r="1" spans="1:47" ht="15.75" x14ac:dyDescent="0.25">
      <c r="A1" s="23" t="str">
        <f>CONCATENATE("Occupation Table 5  Employment Change by Status (SOC 2010), ",B$5,"-",L$5)</f>
        <v>Occupation Table 5  Employment Change by Status (SOC 2010), 2007-2027</v>
      </c>
      <c r="Q1" s="23" t="str">
        <f>CONCATENATE("Occupation Table 5.1  Males: Employment Change by Status (SOC 2010), ",B$5,"-",L$5)</f>
        <v>Occupation Table 5.1  Males: Employment Change by Status (SOC 2010), 2007-2027</v>
      </c>
      <c r="AG1" s="23" t="str">
        <f>CONCATENATE("Occupation Table 5.2  Females: Employment Change by Status (SOC 2010), ",R$5,"-",AB$5)</f>
        <v>Occupation Table 5.2  Females: Employment Change by Status (SOC 2010), 2007-2027</v>
      </c>
    </row>
    <row r="3" spans="1:47" x14ac:dyDescent="0.2">
      <c r="O3" s="19" t="s">
        <v>35</v>
      </c>
      <c r="AE3" s="19" t="s">
        <v>35</v>
      </c>
      <c r="AU3" s="19" t="s">
        <v>35</v>
      </c>
    </row>
    <row r="4" spans="1:47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</row>
    <row r="5" spans="1:47" x14ac:dyDescent="0.2">
      <c r="A5" s="2"/>
      <c r="B5" s="521">
        <v>2007</v>
      </c>
      <c r="C5" s="521"/>
      <c r="D5" s="521"/>
      <c r="E5" s="521"/>
      <c r="F5" s="57"/>
      <c r="G5" s="521">
        <v>2017</v>
      </c>
      <c r="H5" s="521"/>
      <c r="I5" s="521"/>
      <c r="J5" s="521"/>
      <c r="K5" s="57"/>
      <c r="L5" s="521">
        <v>2027</v>
      </c>
      <c r="M5" s="521"/>
      <c r="N5" s="521"/>
      <c r="O5" s="521"/>
      <c r="Q5" s="2"/>
      <c r="R5" s="521">
        <v>2007</v>
      </c>
      <c r="S5" s="521"/>
      <c r="T5" s="521"/>
      <c r="U5" s="521"/>
      <c r="V5" s="57"/>
      <c r="W5" s="521">
        <v>2017</v>
      </c>
      <c r="X5" s="521"/>
      <c r="Y5" s="521"/>
      <c r="Z5" s="521"/>
      <c r="AA5" s="57"/>
      <c r="AB5" s="521">
        <v>2027</v>
      </c>
      <c r="AC5" s="521"/>
      <c r="AD5" s="521"/>
      <c r="AE5" s="521"/>
      <c r="AG5" s="2"/>
      <c r="AH5" s="521">
        <v>2007</v>
      </c>
      <c r="AI5" s="521"/>
      <c r="AJ5" s="521"/>
      <c r="AK5" s="521"/>
      <c r="AL5" s="57"/>
      <c r="AM5" s="521">
        <v>2017</v>
      </c>
      <c r="AN5" s="521"/>
      <c r="AO5" s="521"/>
      <c r="AP5" s="521"/>
      <c r="AQ5" s="57"/>
      <c r="AR5" s="521">
        <v>2027</v>
      </c>
      <c r="AS5" s="521"/>
      <c r="AT5" s="521"/>
      <c r="AU5" s="521"/>
    </row>
    <row r="6" spans="1:47" x14ac:dyDescent="0.2">
      <c r="A6" s="78" t="s">
        <v>13</v>
      </c>
      <c r="B6" s="485" t="s">
        <v>371</v>
      </c>
      <c r="C6" s="485" t="s">
        <v>373</v>
      </c>
      <c r="D6" s="485" t="s">
        <v>369</v>
      </c>
      <c r="E6" s="485" t="s">
        <v>32</v>
      </c>
      <c r="F6" s="486"/>
      <c r="G6" s="485" t="s">
        <v>371</v>
      </c>
      <c r="H6" s="485" t="s">
        <v>373</v>
      </c>
      <c r="I6" s="485" t="s">
        <v>369</v>
      </c>
      <c r="J6" s="485" t="s">
        <v>32</v>
      </c>
      <c r="K6" s="486"/>
      <c r="L6" s="485" t="s">
        <v>371</v>
      </c>
      <c r="M6" s="485" t="s">
        <v>373</v>
      </c>
      <c r="N6" s="485" t="s">
        <v>369</v>
      </c>
      <c r="O6" s="485" t="s">
        <v>32</v>
      </c>
      <c r="Q6" s="78" t="s">
        <v>13</v>
      </c>
      <c r="R6" s="485" t="s">
        <v>371</v>
      </c>
      <c r="S6" s="485" t="s">
        <v>373</v>
      </c>
      <c r="T6" s="485" t="s">
        <v>369</v>
      </c>
      <c r="U6" s="485" t="s">
        <v>32</v>
      </c>
      <c r="V6" s="486"/>
      <c r="W6" s="485" t="s">
        <v>371</v>
      </c>
      <c r="X6" s="485" t="s">
        <v>373</v>
      </c>
      <c r="Y6" s="485" t="s">
        <v>369</v>
      </c>
      <c r="Z6" s="485" t="s">
        <v>32</v>
      </c>
      <c r="AA6" s="486"/>
      <c r="AB6" s="485" t="s">
        <v>371</v>
      </c>
      <c r="AC6" s="485" t="s">
        <v>373</v>
      </c>
      <c r="AD6" s="485" t="s">
        <v>369</v>
      </c>
      <c r="AE6" s="485" t="s">
        <v>32</v>
      </c>
      <c r="AG6" s="78" t="s">
        <v>13</v>
      </c>
      <c r="AH6" s="485" t="s">
        <v>371</v>
      </c>
      <c r="AI6" s="485" t="s">
        <v>373</v>
      </c>
      <c r="AJ6" s="485" t="s">
        <v>369</v>
      </c>
      <c r="AK6" s="485" t="s">
        <v>32</v>
      </c>
      <c r="AL6" s="486"/>
      <c r="AM6" s="485" t="s">
        <v>371</v>
      </c>
      <c r="AN6" s="485" t="s">
        <v>373</v>
      </c>
      <c r="AO6" s="485" t="s">
        <v>369</v>
      </c>
      <c r="AP6" s="485" t="s">
        <v>32</v>
      </c>
      <c r="AQ6" s="486"/>
      <c r="AR6" s="485" t="s">
        <v>371</v>
      </c>
      <c r="AS6" s="485" t="s">
        <v>373</v>
      </c>
      <c r="AT6" s="485" t="s">
        <v>369</v>
      </c>
      <c r="AU6" s="485" t="s">
        <v>32</v>
      </c>
    </row>
    <row r="7" spans="1:47" x14ac:dyDescent="0.2">
      <c r="B7" s="18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R7" s="18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H7" s="18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</row>
    <row r="8" spans="1:47" x14ac:dyDescent="0.2">
      <c r="A8" s="18" t="str">
        <f>name!E4</f>
        <v>Managers, directors and senior officials</v>
      </c>
      <c r="B8" s="13">
        <v>56.503934751969858</v>
      </c>
      <c r="C8" s="13">
        <v>9.4435918430572183</v>
      </c>
      <c r="D8" s="13">
        <v>30.418464064469518</v>
      </c>
      <c r="E8" s="13">
        <f>SUM(B8:D8)</f>
        <v>96.365990659496589</v>
      </c>
      <c r="F8" s="13"/>
      <c r="G8" s="13">
        <v>70.258307030863349</v>
      </c>
      <c r="H8" s="13">
        <v>13.68887978890583</v>
      </c>
      <c r="I8" s="13">
        <v>37.442533618918731</v>
      </c>
      <c r="J8" s="13">
        <f>SUM(G8:I8)</f>
        <v>121.3897204386879</v>
      </c>
      <c r="K8" s="13"/>
      <c r="L8" s="13">
        <v>82.148471614169011</v>
      </c>
      <c r="M8" s="13">
        <v>17.936914852541168</v>
      </c>
      <c r="N8" s="13">
        <v>36.633168965158369</v>
      </c>
      <c r="O8" s="13">
        <f>SUM(L8:N8)</f>
        <v>136.71855543186854</v>
      </c>
      <c r="Q8" s="12" t="str">
        <f>name!E4</f>
        <v>Managers, directors and senior officials</v>
      </c>
      <c r="R8" s="13">
        <v>44.069915280143995</v>
      </c>
      <c r="S8" s="13">
        <v>4.2172200929973007</v>
      </c>
      <c r="T8" s="13">
        <v>20.285844103164145</v>
      </c>
      <c r="U8" s="13">
        <f>SUM(R8:T8)</f>
        <v>68.572979476305449</v>
      </c>
      <c r="V8" s="13"/>
      <c r="W8" s="13">
        <v>49.842173098456314</v>
      </c>
      <c r="X8" s="13">
        <v>4.7492474215316394</v>
      </c>
      <c r="Y8" s="13">
        <v>22.342788356499089</v>
      </c>
      <c r="Z8" s="13">
        <f>SUM(W8:Y8)</f>
        <v>76.934208876487048</v>
      </c>
      <c r="AA8" s="13"/>
      <c r="AB8" s="13">
        <v>54.878532980093787</v>
      </c>
      <c r="AC8" s="13">
        <v>5.7880039377670327</v>
      </c>
      <c r="AD8" s="13">
        <v>21.302800896915834</v>
      </c>
      <c r="AE8" s="13">
        <f>SUM(AB8:AD8)</f>
        <v>81.969337814776651</v>
      </c>
      <c r="AG8" s="12" t="str">
        <f>name!E4</f>
        <v>Managers, directors and senior officials</v>
      </c>
      <c r="AH8" s="13">
        <v>12.434019471825842</v>
      </c>
      <c r="AI8" s="13">
        <v>5.2263717500599185</v>
      </c>
      <c r="AJ8" s="13">
        <v>10.132619961305334</v>
      </c>
      <c r="AK8" s="13">
        <f>SUM(AH8:AJ8)</f>
        <v>27.793011183191094</v>
      </c>
      <c r="AL8" s="13"/>
      <c r="AM8" s="13">
        <v>20.416133932407018</v>
      </c>
      <c r="AN8" s="13">
        <v>8.9396323673741964</v>
      </c>
      <c r="AO8" s="13">
        <v>15.099745262419576</v>
      </c>
      <c r="AP8" s="13">
        <f>SUM(AM8:AO8)</f>
        <v>44.45551156220079</v>
      </c>
      <c r="AQ8" s="13"/>
      <c r="AR8" s="13">
        <v>27.269938634075167</v>
      </c>
      <c r="AS8" s="13">
        <v>12.148910914774133</v>
      </c>
      <c r="AT8" s="13">
        <v>15.330368068242539</v>
      </c>
      <c r="AU8" s="13">
        <f>SUM(AR8:AT8)</f>
        <v>54.749217617091844</v>
      </c>
    </row>
    <row r="9" spans="1:47" x14ac:dyDescent="0.2">
      <c r="A9" s="18" t="str">
        <f>name!E5</f>
        <v>Professional occupations</v>
      </c>
      <c r="B9" s="13">
        <v>154.10888905629503</v>
      </c>
      <c r="C9" s="13">
        <v>48.362246557911817</v>
      </c>
      <c r="D9" s="13">
        <v>18.610399343532606</v>
      </c>
      <c r="E9" s="13">
        <f t="shared" ref="E9:E18" si="0">SUM(B9:D9)</f>
        <v>221.08153495773945</v>
      </c>
      <c r="F9" s="13"/>
      <c r="G9" s="13">
        <v>192.02254246122951</v>
      </c>
      <c r="H9" s="13">
        <v>71.833254633813269</v>
      </c>
      <c r="I9" s="13">
        <v>23.07652906769928</v>
      </c>
      <c r="J9" s="13">
        <f t="shared" ref="J9:J16" si="1">SUM(G9:I9)</f>
        <v>286.93232616274202</v>
      </c>
      <c r="K9" s="13"/>
      <c r="L9" s="13">
        <v>209.62235628066048</v>
      </c>
      <c r="M9" s="13">
        <v>90.431422344026885</v>
      </c>
      <c r="N9" s="13">
        <v>24.711351201285471</v>
      </c>
      <c r="O9" s="13">
        <f t="shared" ref="O9:O16" si="2">SUM(L9:N9)</f>
        <v>324.76512982597285</v>
      </c>
      <c r="Q9" s="12" t="str">
        <f>name!E5</f>
        <v>Professional occupations</v>
      </c>
      <c r="R9" s="13">
        <v>76.196268296734587</v>
      </c>
      <c r="S9" s="13">
        <v>12.406852032845549</v>
      </c>
      <c r="T9" s="13">
        <v>12.222169685668524</v>
      </c>
      <c r="U9" s="13">
        <f t="shared" ref="U9:U16" si="3">SUM(R9:T9)</f>
        <v>100.82529001524865</v>
      </c>
      <c r="V9" s="13"/>
      <c r="W9" s="13">
        <v>93.564609124706593</v>
      </c>
      <c r="X9" s="13">
        <v>15.099566091088072</v>
      </c>
      <c r="Y9" s="13">
        <v>12.42411335433725</v>
      </c>
      <c r="Z9" s="13">
        <f t="shared" ref="Z9:Z16" si="4">SUM(W9:Y9)</f>
        <v>121.08828857013192</v>
      </c>
      <c r="AA9" s="13"/>
      <c r="AB9" s="13">
        <v>95.101034851934386</v>
      </c>
      <c r="AC9" s="13">
        <v>19.411210058181858</v>
      </c>
      <c r="AD9" s="13">
        <v>12.220560642251948</v>
      </c>
      <c r="AE9" s="13">
        <f t="shared" ref="AE9:AE16" si="5">SUM(AB9:AD9)</f>
        <v>126.73280555236819</v>
      </c>
      <c r="AG9" s="12" t="str">
        <f>name!E5</f>
        <v>Professional occupations</v>
      </c>
      <c r="AH9" s="13">
        <v>77.912620759560426</v>
      </c>
      <c r="AI9" s="13">
        <v>35.955394525066254</v>
      </c>
      <c r="AJ9" s="13">
        <v>6.3882296578640796</v>
      </c>
      <c r="AK9" s="13">
        <f t="shared" ref="AK9:AK18" si="6">SUM(AH9:AJ9)</f>
        <v>120.25624494249075</v>
      </c>
      <c r="AL9" s="13"/>
      <c r="AM9" s="13">
        <v>98.457933336522842</v>
      </c>
      <c r="AN9" s="13">
        <v>56.733688542725204</v>
      </c>
      <c r="AO9" s="13">
        <v>10.652415713362025</v>
      </c>
      <c r="AP9" s="13">
        <f t="shared" ref="AP9:AP18" si="7">SUM(AM9:AO9)</f>
        <v>165.84403759261005</v>
      </c>
      <c r="AQ9" s="13"/>
      <c r="AR9" s="13">
        <v>114.52132142872608</v>
      </c>
      <c r="AS9" s="13">
        <v>71.020212285845034</v>
      </c>
      <c r="AT9" s="13">
        <v>12.49079055903352</v>
      </c>
      <c r="AU9" s="13">
        <f t="shared" ref="AU9:AU18" si="8">SUM(AR9:AT9)</f>
        <v>198.03232427360464</v>
      </c>
    </row>
    <row r="10" spans="1:47" x14ac:dyDescent="0.2">
      <c r="A10" s="18" t="str">
        <f>name!E6</f>
        <v>Associate professional and technical</v>
      </c>
      <c r="B10" s="13">
        <v>103.45688479652581</v>
      </c>
      <c r="C10" s="13">
        <v>24.477028626051286</v>
      </c>
      <c r="D10" s="13">
        <v>17.618880562865986</v>
      </c>
      <c r="E10" s="13">
        <f t="shared" si="0"/>
        <v>145.55279398544309</v>
      </c>
      <c r="F10" s="13"/>
      <c r="G10" s="13">
        <v>113.33874292903683</v>
      </c>
      <c r="H10" s="13">
        <v>30.990975527215895</v>
      </c>
      <c r="I10" s="13">
        <v>27.742400713720823</v>
      </c>
      <c r="J10" s="13">
        <f t="shared" si="1"/>
        <v>172.07211916997355</v>
      </c>
      <c r="K10" s="13"/>
      <c r="L10" s="13">
        <v>121.22684986575926</v>
      </c>
      <c r="M10" s="13">
        <v>38.338902707547462</v>
      </c>
      <c r="N10" s="13">
        <v>29.4436589622029</v>
      </c>
      <c r="O10" s="13">
        <f t="shared" si="2"/>
        <v>189.00941153550963</v>
      </c>
      <c r="Q10" s="12" t="str">
        <f>name!E6</f>
        <v>Associate professional and technical</v>
      </c>
      <c r="R10" s="13">
        <v>67.960386153544363</v>
      </c>
      <c r="S10" s="13">
        <v>6.819656897951865</v>
      </c>
      <c r="T10" s="13">
        <v>11.415357074387819</v>
      </c>
      <c r="U10" s="13">
        <f t="shared" si="3"/>
        <v>86.195400125884035</v>
      </c>
      <c r="V10" s="13"/>
      <c r="W10" s="13">
        <v>69.026837714871888</v>
      </c>
      <c r="X10" s="13">
        <v>7.9311354898264632</v>
      </c>
      <c r="Y10" s="13">
        <v>15.523561540564316</v>
      </c>
      <c r="Z10" s="13">
        <f t="shared" si="4"/>
        <v>92.481534745262664</v>
      </c>
      <c r="AA10" s="13"/>
      <c r="AB10" s="13">
        <v>68.312723856295477</v>
      </c>
      <c r="AC10" s="13">
        <v>9.8411170975155624</v>
      </c>
      <c r="AD10" s="13">
        <v>15.46870089004188</v>
      </c>
      <c r="AE10" s="13">
        <f t="shared" si="5"/>
        <v>93.622541843852929</v>
      </c>
      <c r="AG10" s="12" t="str">
        <f>name!E6</f>
        <v>Associate professional and technical</v>
      </c>
      <c r="AH10" s="13">
        <v>35.496498642981464</v>
      </c>
      <c r="AI10" s="13">
        <v>17.65737172809942</v>
      </c>
      <c r="AJ10" s="13">
        <v>6.2035234884781669</v>
      </c>
      <c r="AK10" s="13">
        <f t="shared" si="6"/>
        <v>59.357393859559053</v>
      </c>
      <c r="AL10" s="13"/>
      <c r="AM10" s="13">
        <v>44.311905214164909</v>
      </c>
      <c r="AN10" s="13">
        <v>23.059840037389431</v>
      </c>
      <c r="AO10" s="13">
        <v>12.218839173156525</v>
      </c>
      <c r="AP10" s="13">
        <f t="shared" si="7"/>
        <v>79.590584424710869</v>
      </c>
      <c r="AQ10" s="13"/>
      <c r="AR10" s="13">
        <v>52.914126009463786</v>
      </c>
      <c r="AS10" s="13">
        <v>28.49778561003189</v>
      </c>
      <c r="AT10" s="13">
        <v>13.974958072161048</v>
      </c>
      <c r="AU10" s="13">
        <f t="shared" si="8"/>
        <v>95.386869691656713</v>
      </c>
    </row>
    <row r="11" spans="1:47" x14ac:dyDescent="0.2">
      <c r="A11" s="18" t="str">
        <f>name!E7</f>
        <v>Administrative and secretarial</v>
      </c>
      <c r="B11" s="13">
        <v>97.246050561217416</v>
      </c>
      <c r="C11" s="13">
        <v>66.25598227778633</v>
      </c>
      <c r="D11" s="13">
        <v>4.3178224087260269</v>
      </c>
      <c r="E11" s="13">
        <f t="shared" si="0"/>
        <v>167.81985524772975</v>
      </c>
      <c r="F11" s="13"/>
      <c r="G11" s="13">
        <v>92.082708062752118</v>
      </c>
      <c r="H11" s="13">
        <v>63.352405806378563</v>
      </c>
      <c r="I11" s="13">
        <v>5.1965116097742694</v>
      </c>
      <c r="J11" s="13">
        <f t="shared" si="1"/>
        <v>160.63162547890494</v>
      </c>
      <c r="K11" s="13"/>
      <c r="L11" s="13">
        <v>80.402558522979348</v>
      </c>
      <c r="M11" s="13">
        <v>54.406912057349231</v>
      </c>
      <c r="N11" s="13">
        <v>3.9219560310641337</v>
      </c>
      <c r="O11" s="13">
        <f t="shared" si="2"/>
        <v>138.73142661139272</v>
      </c>
      <c r="Q11" s="12" t="str">
        <f>name!E7</f>
        <v>Administrative and secretarial</v>
      </c>
      <c r="R11" s="13">
        <v>32.199627108687572</v>
      </c>
      <c r="S11" s="13">
        <v>6.8064190074285342</v>
      </c>
      <c r="T11" s="13">
        <v>1.5111996427927701</v>
      </c>
      <c r="U11" s="13">
        <f t="shared" si="3"/>
        <v>40.517245758908878</v>
      </c>
      <c r="V11" s="13"/>
      <c r="W11" s="13">
        <v>33.502446289778341</v>
      </c>
      <c r="X11" s="13">
        <v>7.1757923417834446</v>
      </c>
      <c r="Y11" s="13">
        <v>1.3706546874976395</v>
      </c>
      <c r="Z11" s="13">
        <f t="shared" si="4"/>
        <v>42.048893319059424</v>
      </c>
      <c r="AA11" s="13"/>
      <c r="AB11" s="13">
        <v>33.839992907965524</v>
      </c>
      <c r="AC11" s="13">
        <v>8.3102015983884421</v>
      </c>
      <c r="AD11" s="13">
        <v>1.2760568807295003</v>
      </c>
      <c r="AE11" s="13">
        <f t="shared" si="5"/>
        <v>43.426251387083468</v>
      </c>
      <c r="AG11" s="12" t="str">
        <f>name!E7</f>
        <v>Administrative and secretarial</v>
      </c>
      <c r="AH11" s="13">
        <v>65.046423452529794</v>
      </c>
      <c r="AI11" s="13">
        <v>59.449563270357785</v>
      </c>
      <c r="AJ11" s="13">
        <v>2.8066227659332594</v>
      </c>
      <c r="AK11" s="13">
        <f t="shared" si="6"/>
        <v>127.30260948882083</v>
      </c>
      <c r="AL11" s="13"/>
      <c r="AM11" s="13">
        <v>58.580261772973728</v>
      </c>
      <c r="AN11" s="13">
        <v>56.176613464595107</v>
      </c>
      <c r="AO11" s="13">
        <v>3.8258569222766337</v>
      </c>
      <c r="AP11" s="13">
        <f t="shared" si="7"/>
        <v>118.58273215984546</v>
      </c>
      <c r="AQ11" s="13"/>
      <c r="AR11" s="13">
        <v>46.562565615013824</v>
      </c>
      <c r="AS11" s="13">
        <v>46.096710458960821</v>
      </c>
      <c r="AT11" s="13">
        <v>2.6458991503346305</v>
      </c>
      <c r="AU11" s="13">
        <f t="shared" si="8"/>
        <v>95.305175224309266</v>
      </c>
    </row>
    <row r="12" spans="1:47" x14ac:dyDescent="0.2">
      <c r="A12" s="18" t="str">
        <f>name!E8</f>
        <v>Skilled trades occupations</v>
      </c>
      <c r="B12" s="13">
        <v>105.14358203561036</v>
      </c>
      <c r="C12" s="13">
        <v>15.984663912597101</v>
      </c>
      <c r="D12" s="13">
        <v>71.489336394665486</v>
      </c>
      <c r="E12" s="13">
        <f t="shared" si="0"/>
        <v>192.61758234287294</v>
      </c>
      <c r="F12" s="13"/>
      <c r="G12" s="13">
        <v>107.25170251540973</v>
      </c>
      <c r="H12" s="13">
        <v>15.865306781304659</v>
      </c>
      <c r="I12" s="13">
        <v>81.542906848483838</v>
      </c>
      <c r="J12" s="13">
        <f t="shared" si="1"/>
        <v>204.65991614519822</v>
      </c>
      <c r="K12" s="13"/>
      <c r="L12" s="13">
        <v>98.472388356053884</v>
      </c>
      <c r="M12" s="13">
        <v>15.034449480272137</v>
      </c>
      <c r="N12" s="13">
        <v>76.878446105314524</v>
      </c>
      <c r="O12" s="13">
        <f t="shared" si="2"/>
        <v>190.38528394164052</v>
      </c>
      <c r="Q12" s="12" t="str">
        <f>name!E8</f>
        <v>Skilled trades occupations</v>
      </c>
      <c r="R12" s="13">
        <v>98.602655567111071</v>
      </c>
      <c r="S12" s="13">
        <v>9.1894246436535063</v>
      </c>
      <c r="T12" s="13">
        <v>65.017469870006323</v>
      </c>
      <c r="U12" s="13">
        <f t="shared" si="3"/>
        <v>172.80955008077092</v>
      </c>
      <c r="V12" s="13"/>
      <c r="W12" s="13">
        <v>99.992844334895011</v>
      </c>
      <c r="X12" s="13">
        <v>9.5158114591806893</v>
      </c>
      <c r="Y12" s="13">
        <v>69.761412607952082</v>
      </c>
      <c r="Z12" s="13">
        <f t="shared" si="4"/>
        <v>179.27006840202779</v>
      </c>
      <c r="AA12" s="13"/>
      <c r="AB12" s="13">
        <v>91.285069077601051</v>
      </c>
      <c r="AC12" s="13">
        <v>8.6265295081989795</v>
      </c>
      <c r="AD12" s="13">
        <v>65.290226689308597</v>
      </c>
      <c r="AE12" s="13">
        <f t="shared" si="5"/>
        <v>165.20182527510863</v>
      </c>
      <c r="AG12" s="12" t="str">
        <f>name!E8</f>
        <v>Skilled trades occupations</v>
      </c>
      <c r="AH12" s="13">
        <v>6.5409264684993484</v>
      </c>
      <c r="AI12" s="13">
        <v>6.795239268943603</v>
      </c>
      <c r="AJ12" s="13">
        <v>6.4718665246590996</v>
      </c>
      <c r="AK12" s="13">
        <f t="shared" si="6"/>
        <v>19.808032262102049</v>
      </c>
      <c r="AL12" s="13"/>
      <c r="AM12" s="13">
        <v>7.2588581805147223</v>
      </c>
      <c r="AN12" s="13">
        <v>6.3494953221239578</v>
      </c>
      <c r="AO12" s="13">
        <v>11.781494240531773</v>
      </c>
      <c r="AP12" s="13">
        <f t="shared" si="7"/>
        <v>25.389847743170453</v>
      </c>
      <c r="AQ12" s="13"/>
      <c r="AR12" s="13">
        <v>7.1873192784528603</v>
      </c>
      <c r="AS12" s="13">
        <v>6.4079199720731612</v>
      </c>
      <c r="AT12" s="13">
        <v>11.588219416005973</v>
      </c>
      <c r="AU12" s="13">
        <f t="shared" si="8"/>
        <v>25.183458666531994</v>
      </c>
    </row>
    <row r="13" spans="1:47" x14ac:dyDescent="0.2">
      <c r="A13" s="18" t="str">
        <f>name!E9</f>
        <v>Caring, leisure and other service</v>
      </c>
      <c r="B13" s="13">
        <v>63.631877333687356</v>
      </c>
      <c r="C13" s="13">
        <v>54.651240384568332</v>
      </c>
      <c r="D13" s="13">
        <v>7.8660125177764275</v>
      </c>
      <c r="E13" s="13">
        <f t="shared" si="0"/>
        <v>126.14913023603211</v>
      </c>
      <c r="F13" s="13"/>
      <c r="G13" s="13">
        <v>75.531761417110943</v>
      </c>
      <c r="H13" s="13">
        <v>76.279574423232361</v>
      </c>
      <c r="I13" s="13">
        <v>16.304835037609369</v>
      </c>
      <c r="J13" s="13">
        <f t="shared" si="1"/>
        <v>168.11617087795267</v>
      </c>
      <c r="K13" s="13"/>
      <c r="L13" s="13">
        <v>80.431145800191004</v>
      </c>
      <c r="M13" s="13">
        <v>93.339106361358589</v>
      </c>
      <c r="N13" s="13">
        <v>15.02500171356945</v>
      </c>
      <c r="O13" s="13">
        <f t="shared" si="2"/>
        <v>188.79525387511904</v>
      </c>
      <c r="Q13" s="12" t="str">
        <f>name!E9</f>
        <v>Caring, leisure and other service</v>
      </c>
      <c r="R13" s="13">
        <v>12.67450188096339</v>
      </c>
      <c r="S13" s="13">
        <v>8.911875717441637</v>
      </c>
      <c r="T13" s="13">
        <v>1.6262463223442767</v>
      </c>
      <c r="U13" s="13">
        <f t="shared" si="3"/>
        <v>23.212623920749305</v>
      </c>
      <c r="V13" s="13"/>
      <c r="W13" s="13">
        <v>16.267693908606216</v>
      </c>
      <c r="X13" s="13">
        <v>7.9837071814509928</v>
      </c>
      <c r="Y13" s="13">
        <v>2.9994713008714884</v>
      </c>
      <c r="Z13" s="13">
        <f t="shared" si="4"/>
        <v>27.250872390928695</v>
      </c>
      <c r="AA13" s="13"/>
      <c r="AB13" s="13">
        <v>18.115407242762473</v>
      </c>
      <c r="AC13" s="13">
        <v>10.690563328768366</v>
      </c>
      <c r="AD13" s="13">
        <v>2.838040658824446</v>
      </c>
      <c r="AE13" s="13">
        <f t="shared" si="5"/>
        <v>31.644011230355286</v>
      </c>
      <c r="AG13" s="12" t="str">
        <f>name!E9</f>
        <v>Caring, leisure and other service</v>
      </c>
      <c r="AH13" s="13">
        <v>50.957375452723937</v>
      </c>
      <c r="AI13" s="13">
        <v>45.739364667126694</v>
      </c>
      <c r="AJ13" s="13">
        <v>6.2397661954321499</v>
      </c>
      <c r="AK13" s="13">
        <f t="shared" si="6"/>
        <v>102.93650631528278</v>
      </c>
      <c r="AL13" s="13"/>
      <c r="AM13" s="13">
        <v>59.264067508504731</v>
      </c>
      <c r="AN13" s="13">
        <v>68.29586724178138</v>
      </c>
      <c r="AO13" s="13">
        <v>13.305363736737879</v>
      </c>
      <c r="AP13" s="13">
        <f t="shared" si="7"/>
        <v>140.86529848702401</v>
      </c>
      <c r="AQ13" s="13"/>
      <c r="AR13" s="13">
        <v>62.315738557428553</v>
      </c>
      <c r="AS13" s="13">
        <v>82.648543032590212</v>
      </c>
      <c r="AT13" s="13">
        <v>12.186961054745007</v>
      </c>
      <c r="AU13" s="13">
        <f t="shared" si="8"/>
        <v>157.15124264476378</v>
      </c>
    </row>
    <row r="14" spans="1:47" x14ac:dyDescent="0.2">
      <c r="A14" s="18" t="str">
        <f>name!E10</f>
        <v>Sales and customer service</v>
      </c>
      <c r="B14" s="13">
        <v>47.026797962030962</v>
      </c>
      <c r="C14" s="13">
        <v>80.599815996870916</v>
      </c>
      <c r="D14" s="13">
        <v>3.7766631547661609</v>
      </c>
      <c r="E14" s="13">
        <f t="shared" si="0"/>
        <v>131.40327711366805</v>
      </c>
      <c r="F14" s="13"/>
      <c r="G14" s="13">
        <v>46.676239102139434</v>
      </c>
      <c r="H14" s="13">
        <v>75.075992719329079</v>
      </c>
      <c r="I14" s="13">
        <v>3.9176471971484705</v>
      </c>
      <c r="J14" s="13">
        <f t="shared" si="1"/>
        <v>125.66987901861698</v>
      </c>
      <c r="K14" s="13"/>
      <c r="L14" s="13">
        <v>44.740151807130481</v>
      </c>
      <c r="M14" s="13">
        <v>74.491302936833122</v>
      </c>
      <c r="N14" s="13">
        <v>2.9175829810541103</v>
      </c>
      <c r="O14" s="13">
        <f t="shared" si="2"/>
        <v>122.14903772501772</v>
      </c>
      <c r="Q14" s="12" t="str">
        <f>name!E10</f>
        <v>Sales and customer service</v>
      </c>
      <c r="R14" s="13">
        <v>18.982887435606145</v>
      </c>
      <c r="S14" s="13">
        <v>21.002491689827611</v>
      </c>
      <c r="T14" s="13">
        <v>1.5256241828061832</v>
      </c>
      <c r="U14" s="13">
        <f t="shared" si="3"/>
        <v>41.511003308239935</v>
      </c>
      <c r="V14" s="13"/>
      <c r="W14" s="13">
        <v>22.41563573994971</v>
      </c>
      <c r="X14" s="13">
        <v>17.524675130610294</v>
      </c>
      <c r="Y14" s="13">
        <v>1.3860390303739232</v>
      </c>
      <c r="Z14" s="13">
        <f t="shared" si="4"/>
        <v>41.326349900933927</v>
      </c>
      <c r="AA14" s="13"/>
      <c r="AB14" s="13">
        <v>22.625365183188354</v>
      </c>
      <c r="AC14" s="13">
        <v>17.564910161544795</v>
      </c>
      <c r="AD14" s="13">
        <v>1.079247868659839</v>
      </c>
      <c r="AE14" s="13">
        <f t="shared" si="5"/>
        <v>41.269523213392993</v>
      </c>
      <c r="AG14" s="12" t="str">
        <f>name!E10</f>
        <v>Sales and customer service</v>
      </c>
      <c r="AH14" s="13">
        <v>28.043910526424792</v>
      </c>
      <c r="AI14" s="13">
        <v>59.597324307043266</v>
      </c>
      <c r="AJ14" s="13">
        <v>2.2510389719599782</v>
      </c>
      <c r="AK14" s="13">
        <f t="shared" si="6"/>
        <v>89.892273805428033</v>
      </c>
      <c r="AL14" s="13"/>
      <c r="AM14" s="13">
        <v>24.260603362189745</v>
      </c>
      <c r="AN14" s="13">
        <v>57.551317588718767</v>
      </c>
      <c r="AO14" s="13">
        <v>2.531608166774546</v>
      </c>
      <c r="AP14" s="13">
        <f t="shared" si="7"/>
        <v>84.343529117683062</v>
      </c>
      <c r="AQ14" s="13"/>
      <c r="AR14" s="13">
        <v>22.114786623942187</v>
      </c>
      <c r="AS14" s="13">
        <v>56.926392775288335</v>
      </c>
      <c r="AT14" s="13">
        <v>1.8383351123942684</v>
      </c>
      <c r="AU14" s="13">
        <f t="shared" si="8"/>
        <v>80.879514511624777</v>
      </c>
    </row>
    <row r="15" spans="1:47" x14ac:dyDescent="0.2">
      <c r="A15" s="18" t="str">
        <f>name!E11</f>
        <v>Process, plant and machine operatives</v>
      </c>
      <c r="B15" s="13">
        <v>103.04152108778554</v>
      </c>
      <c r="C15" s="13">
        <v>14.967686492448264</v>
      </c>
      <c r="D15" s="13">
        <v>12.972864468921856</v>
      </c>
      <c r="E15" s="13">
        <f t="shared" si="0"/>
        <v>130.98207204915565</v>
      </c>
      <c r="F15" s="13"/>
      <c r="G15" s="13">
        <v>87.842353496277582</v>
      </c>
      <c r="H15" s="13">
        <v>14.936283677758816</v>
      </c>
      <c r="I15" s="13">
        <v>11.047101888553296</v>
      </c>
      <c r="J15" s="13">
        <f t="shared" si="1"/>
        <v>113.82573906258969</v>
      </c>
      <c r="K15" s="13"/>
      <c r="L15" s="13">
        <v>77.056933347436768</v>
      </c>
      <c r="M15" s="13">
        <v>16.037383160586199</v>
      </c>
      <c r="N15" s="13">
        <v>9.8925666784119013</v>
      </c>
      <c r="O15" s="13">
        <f t="shared" si="2"/>
        <v>102.98688318643487</v>
      </c>
      <c r="Q15" s="12" t="str">
        <f>name!E11</f>
        <v>Process, plant and machine operatives</v>
      </c>
      <c r="R15" s="13">
        <v>88.238320566748385</v>
      </c>
      <c r="S15" s="13">
        <v>9.5928542668972483</v>
      </c>
      <c r="T15" s="13">
        <v>12.355088898133964</v>
      </c>
      <c r="U15" s="13">
        <f t="shared" si="3"/>
        <v>110.1862637317796</v>
      </c>
      <c r="V15" s="13"/>
      <c r="W15" s="13">
        <v>76.087529522468856</v>
      </c>
      <c r="X15" s="13">
        <v>10.445438321728558</v>
      </c>
      <c r="Y15" s="13">
        <v>9.4765965400157626</v>
      </c>
      <c r="Z15" s="13">
        <f t="shared" si="4"/>
        <v>96.009564384213178</v>
      </c>
      <c r="AA15" s="13"/>
      <c r="AB15" s="13">
        <v>68.399627270101277</v>
      </c>
      <c r="AC15" s="13">
        <v>12.316040990052318</v>
      </c>
      <c r="AD15" s="13">
        <v>8.7422486813367684</v>
      </c>
      <c r="AE15" s="13">
        <f t="shared" si="5"/>
        <v>89.457916941490367</v>
      </c>
      <c r="AG15" s="12" t="str">
        <f>name!E11</f>
        <v>Process, plant and machine operatives</v>
      </c>
      <c r="AH15" s="13">
        <v>14.803200521037086</v>
      </c>
      <c r="AI15" s="13">
        <v>5.3748322255509962</v>
      </c>
      <c r="AJ15" s="13">
        <v>0.61777557078790868</v>
      </c>
      <c r="AK15" s="13">
        <f t="shared" si="6"/>
        <v>20.79580831737599</v>
      </c>
      <c r="AL15" s="13"/>
      <c r="AM15" s="13">
        <v>11.754823973808691</v>
      </c>
      <c r="AN15" s="13">
        <v>4.4908453560302517</v>
      </c>
      <c r="AO15" s="13">
        <v>1.5705053485375302</v>
      </c>
      <c r="AP15" s="13">
        <f t="shared" si="7"/>
        <v>17.816174678376473</v>
      </c>
      <c r="AQ15" s="13"/>
      <c r="AR15" s="13">
        <v>8.6573060773355426</v>
      </c>
      <c r="AS15" s="13">
        <v>3.7213421705338789</v>
      </c>
      <c r="AT15" s="13">
        <v>1.1503179970751389</v>
      </c>
      <c r="AU15" s="13">
        <f t="shared" si="8"/>
        <v>13.528966244944559</v>
      </c>
    </row>
    <row r="16" spans="1:47" x14ac:dyDescent="0.2">
      <c r="A16" s="18" t="str">
        <f>name!E12</f>
        <v>Elementary occupations</v>
      </c>
      <c r="B16" s="13">
        <v>77.313462417202359</v>
      </c>
      <c r="C16" s="13">
        <v>108.08674390767115</v>
      </c>
      <c r="D16" s="13">
        <v>11.594557084933388</v>
      </c>
      <c r="E16" s="13">
        <f t="shared" si="0"/>
        <v>196.99476340980692</v>
      </c>
      <c r="F16" s="13"/>
      <c r="G16" s="13">
        <v>77.527642984236081</v>
      </c>
      <c r="H16" s="13">
        <v>88.048326643545948</v>
      </c>
      <c r="I16" s="13">
        <v>10.886534018394732</v>
      </c>
      <c r="J16" s="13">
        <f t="shared" si="1"/>
        <v>176.46250364617677</v>
      </c>
      <c r="K16" s="13"/>
      <c r="L16" s="13">
        <v>76.528144405845296</v>
      </c>
      <c r="M16" s="13">
        <v>89.76360610047557</v>
      </c>
      <c r="N16" s="13">
        <v>9.3402673626085875</v>
      </c>
      <c r="O16" s="13">
        <f t="shared" si="2"/>
        <v>175.63201786892944</v>
      </c>
      <c r="Q16" s="12" t="str">
        <f>name!E12</f>
        <v>Elementary occupations</v>
      </c>
      <c r="R16" s="13">
        <v>56.66143771025267</v>
      </c>
      <c r="S16" s="13">
        <v>32.438205651158277</v>
      </c>
      <c r="T16" s="13">
        <v>5.6640002211280516</v>
      </c>
      <c r="U16" s="13">
        <f t="shared" si="3"/>
        <v>94.763643582539004</v>
      </c>
      <c r="V16" s="13"/>
      <c r="W16" s="13">
        <v>55.75623026635796</v>
      </c>
      <c r="X16" s="13">
        <v>35.314626563014365</v>
      </c>
      <c r="Y16" s="13">
        <v>4.0253625816866636</v>
      </c>
      <c r="Z16" s="13">
        <f t="shared" si="4"/>
        <v>95.096219411058996</v>
      </c>
      <c r="AA16" s="13"/>
      <c r="AB16" s="13">
        <v>55.674246630618264</v>
      </c>
      <c r="AC16" s="13">
        <v>41.126423319855832</v>
      </c>
      <c r="AD16" s="13">
        <v>3.3221167921450565</v>
      </c>
      <c r="AE16" s="13">
        <f t="shared" si="5"/>
        <v>100.12278674261914</v>
      </c>
      <c r="AG16" s="12" t="str">
        <f>name!E12</f>
        <v>Elementary occupations</v>
      </c>
      <c r="AH16" s="13">
        <v>20.652024706949653</v>
      </c>
      <c r="AI16" s="13">
        <v>75.648538256512779</v>
      </c>
      <c r="AJ16" s="13">
        <v>5.930556863805343</v>
      </c>
      <c r="AK16" s="13">
        <f t="shared" si="6"/>
        <v>102.23111982726778</v>
      </c>
      <c r="AL16" s="13"/>
      <c r="AM16" s="13">
        <v>21.771412717878121</v>
      </c>
      <c r="AN16" s="13">
        <v>52.733700080531698</v>
      </c>
      <c r="AO16" s="13">
        <v>6.8611714367080756</v>
      </c>
      <c r="AP16" s="13">
        <f t="shared" si="7"/>
        <v>81.366284235117888</v>
      </c>
      <c r="AQ16" s="13"/>
      <c r="AR16" s="13">
        <v>20.853897775227004</v>
      </c>
      <c r="AS16" s="13">
        <v>48.637182780619852</v>
      </c>
      <c r="AT16" s="13">
        <v>6.0181505704635301</v>
      </c>
      <c r="AU16" s="13">
        <f t="shared" si="8"/>
        <v>75.509231126310382</v>
      </c>
    </row>
    <row r="17" spans="1:47" x14ac:dyDescent="0.2">
      <c r="A17" s="18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Q17" s="12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G17" s="18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</row>
    <row r="18" spans="1:47" x14ac:dyDescent="0.2">
      <c r="A18" s="28" t="str">
        <f>name!E3</f>
        <v>All occupations</v>
      </c>
      <c r="B18" s="39">
        <f>SUM(B8:B16)</f>
        <v>807.47300000232474</v>
      </c>
      <c r="C18" s="39">
        <f t="shared" ref="C18:D18" si="9">SUM(C8:C16)</f>
        <v>422.82899999896244</v>
      </c>
      <c r="D18" s="39">
        <f t="shared" si="9"/>
        <v>178.66500000065747</v>
      </c>
      <c r="E18" s="39">
        <f t="shared" si="0"/>
        <v>1408.9670000019446</v>
      </c>
      <c r="F18" s="39"/>
      <c r="G18" s="39">
        <f>SUM(G8:G16)</f>
        <v>862.53199999905564</v>
      </c>
      <c r="H18" s="39">
        <f t="shared" ref="H18:I18" si="10">SUM(H8:H16)</f>
        <v>450.07100000148444</v>
      </c>
      <c r="I18" s="39">
        <f t="shared" si="10"/>
        <v>217.15700000030282</v>
      </c>
      <c r="J18" s="39">
        <f t="shared" ref="J18" si="11">SUM(G18:I18)</f>
        <v>1529.7600000008429</v>
      </c>
      <c r="K18" s="39"/>
      <c r="L18" s="39">
        <f>SUM(L8:L16)</f>
        <v>870.62900000022546</v>
      </c>
      <c r="M18" s="39">
        <f t="shared" ref="M18:N18" si="12">SUM(M8:M16)</f>
        <v>489.78000000099036</v>
      </c>
      <c r="N18" s="39">
        <f t="shared" si="12"/>
        <v>208.76400000066943</v>
      </c>
      <c r="O18" s="39">
        <f t="shared" ref="O18" si="13">SUM(L18:N18)</f>
        <v>1569.1730000018854</v>
      </c>
      <c r="Q18" s="336" t="str">
        <f>name!E3</f>
        <v>All occupations</v>
      </c>
      <c r="R18" s="39">
        <f>SUM(R8:R16)</f>
        <v>495.58599999979219</v>
      </c>
      <c r="S18" s="39">
        <f t="shared" ref="S18:T18" si="14">SUM(S8:S16)</f>
        <v>111.38500000020153</v>
      </c>
      <c r="T18" s="39">
        <f t="shared" si="14"/>
        <v>131.62300000043206</v>
      </c>
      <c r="U18" s="39">
        <f t="shared" ref="U18" si="15">SUM(R18:T18)</f>
        <v>738.59400000042581</v>
      </c>
      <c r="V18" s="39"/>
      <c r="W18" s="39">
        <f>SUM(W8:W16)</f>
        <v>516.45600000009085</v>
      </c>
      <c r="X18" s="39">
        <f t="shared" ref="X18:Y18" si="16">SUM(X8:X16)</f>
        <v>115.74000000021451</v>
      </c>
      <c r="Y18" s="39">
        <f t="shared" si="16"/>
        <v>139.30999999979821</v>
      </c>
      <c r="Z18" s="39">
        <f t="shared" ref="Z18" si="17">SUM(W18:Y18)</f>
        <v>771.50600000010354</v>
      </c>
      <c r="AA18" s="39"/>
      <c r="AB18" s="39">
        <f>SUM(AB8:AB16)</f>
        <v>508.23200000056062</v>
      </c>
      <c r="AC18" s="39">
        <f t="shared" ref="AC18:AD18" si="18">SUM(AC8:AC16)</f>
        <v>133.6750000002732</v>
      </c>
      <c r="AD18" s="39">
        <f t="shared" si="18"/>
        <v>131.54000000021387</v>
      </c>
      <c r="AE18" s="39">
        <f t="shared" ref="AE18" si="19">SUM(AB18:AD18)</f>
        <v>773.44700000104763</v>
      </c>
      <c r="AG18" s="336" t="str">
        <f>name!E3</f>
        <v>All occupations</v>
      </c>
      <c r="AH18" s="39">
        <f>SUM(AH8:AH16)</f>
        <v>311.88700000253232</v>
      </c>
      <c r="AI18" s="39">
        <f t="shared" ref="AI18:AJ18" si="20">SUM(AI8:AI16)</f>
        <v>311.44399999876066</v>
      </c>
      <c r="AJ18" s="39">
        <f t="shared" si="20"/>
        <v>47.042000000225322</v>
      </c>
      <c r="AK18" s="39">
        <f t="shared" si="6"/>
        <v>670.37300000151834</v>
      </c>
      <c r="AL18" s="39"/>
      <c r="AM18" s="39">
        <f>SUM(AM8:AM16)</f>
        <v>346.07599999896445</v>
      </c>
      <c r="AN18" s="39">
        <f t="shared" ref="AN18:AO18" si="21">SUM(AN8:AN16)</f>
        <v>334.33100000127001</v>
      </c>
      <c r="AO18" s="39">
        <f t="shared" si="21"/>
        <v>77.847000000504551</v>
      </c>
      <c r="AP18" s="39">
        <f t="shared" si="7"/>
        <v>758.25400000073898</v>
      </c>
      <c r="AQ18" s="39"/>
      <c r="AR18" s="39">
        <f>SUM(AR8:AR16)</f>
        <v>362.39699999966496</v>
      </c>
      <c r="AS18" s="39">
        <f t="shared" ref="AS18:AT18" si="22">SUM(AS8:AS16)</f>
        <v>356.10500000071733</v>
      </c>
      <c r="AT18" s="39">
        <f t="shared" si="22"/>
        <v>77.224000000455646</v>
      </c>
      <c r="AU18" s="39">
        <f t="shared" si="8"/>
        <v>795.72600000083798</v>
      </c>
    </row>
    <row r="19" spans="1:47" x14ac:dyDescent="0.2">
      <c r="A19" s="18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Q19" s="18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G19" s="18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</row>
    <row r="20" spans="1:47" x14ac:dyDescent="0.2">
      <c r="A20" s="18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Q20" s="18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G20" s="18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</row>
    <row r="21" spans="1:47" x14ac:dyDescent="0.2">
      <c r="A21" s="18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9" t="s">
        <v>34</v>
      </c>
      <c r="Q21" s="18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9" t="s">
        <v>34</v>
      </c>
      <c r="AG21" s="18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9" t="s">
        <v>34</v>
      </c>
    </row>
    <row r="22" spans="1:47" x14ac:dyDescent="0.2">
      <c r="A22" s="79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Q22" s="79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G22" s="79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</row>
    <row r="23" spans="1:47" x14ac:dyDescent="0.2">
      <c r="A23" s="44"/>
      <c r="B23" s="521">
        <f>B5</f>
        <v>2007</v>
      </c>
      <c r="C23" s="521"/>
      <c r="D23" s="521"/>
      <c r="E23" s="521"/>
      <c r="F23" s="57"/>
      <c r="G23" s="521">
        <f>G5</f>
        <v>2017</v>
      </c>
      <c r="H23" s="521"/>
      <c r="I23" s="521"/>
      <c r="J23" s="521"/>
      <c r="K23" s="57"/>
      <c r="L23" s="521">
        <f>L5</f>
        <v>2027</v>
      </c>
      <c r="M23" s="521"/>
      <c r="N23" s="521"/>
      <c r="O23" s="521"/>
      <c r="Q23" s="44"/>
      <c r="R23" s="521">
        <f>R5</f>
        <v>2007</v>
      </c>
      <c r="S23" s="521"/>
      <c r="T23" s="521"/>
      <c r="U23" s="521"/>
      <c r="V23" s="57"/>
      <c r="W23" s="521">
        <f>W5</f>
        <v>2017</v>
      </c>
      <c r="X23" s="521"/>
      <c r="Y23" s="521"/>
      <c r="Z23" s="521"/>
      <c r="AA23" s="57"/>
      <c r="AB23" s="521">
        <f>AB5</f>
        <v>2027</v>
      </c>
      <c r="AC23" s="521"/>
      <c r="AD23" s="521"/>
      <c r="AE23" s="521"/>
      <c r="AG23" s="44"/>
      <c r="AH23" s="521">
        <f>AH5</f>
        <v>2007</v>
      </c>
      <c r="AI23" s="521"/>
      <c r="AJ23" s="521"/>
      <c r="AK23" s="521"/>
      <c r="AL23" s="57"/>
      <c r="AM23" s="521">
        <f>AM5</f>
        <v>2017</v>
      </c>
      <c r="AN23" s="521"/>
      <c r="AO23" s="521"/>
      <c r="AP23" s="521"/>
      <c r="AQ23" s="57"/>
      <c r="AR23" s="521">
        <f>AR5</f>
        <v>2027</v>
      </c>
      <c r="AS23" s="521"/>
      <c r="AT23" s="521"/>
      <c r="AU23" s="521"/>
    </row>
    <row r="24" spans="1:47" x14ac:dyDescent="0.2">
      <c r="A24" s="78" t="s">
        <v>511</v>
      </c>
      <c r="B24" s="485" t="s">
        <v>371</v>
      </c>
      <c r="C24" s="485" t="s">
        <v>373</v>
      </c>
      <c r="D24" s="485" t="s">
        <v>369</v>
      </c>
      <c r="E24" s="485" t="s">
        <v>32</v>
      </c>
      <c r="F24" s="486"/>
      <c r="G24" s="485" t="s">
        <v>371</v>
      </c>
      <c r="H24" s="485" t="s">
        <v>373</v>
      </c>
      <c r="I24" s="485" t="s">
        <v>369</v>
      </c>
      <c r="J24" s="485" t="s">
        <v>32</v>
      </c>
      <c r="K24" s="486"/>
      <c r="L24" s="485" t="s">
        <v>371</v>
      </c>
      <c r="M24" s="485" t="s">
        <v>373</v>
      </c>
      <c r="N24" s="485" t="s">
        <v>369</v>
      </c>
      <c r="O24" s="485" t="s">
        <v>32</v>
      </c>
      <c r="Q24" s="78" t="s">
        <v>511</v>
      </c>
      <c r="R24" s="485" t="s">
        <v>371</v>
      </c>
      <c r="S24" s="485" t="s">
        <v>373</v>
      </c>
      <c r="T24" s="485" t="s">
        <v>369</v>
      </c>
      <c r="U24" s="485" t="s">
        <v>32</v>
      </c>
      <c r="V24" s="486"/>
      <c r="W24" s="485" t="s">
        <v>371</v>
      </c>
      <c r="X24" s="485" t="s">
        <v>373</v>
      </c>
      <c r="Y24" s="485" t="s">
        <v>369</v>
      </c>
      <c r="Z24" s="485" t="s">
        <v>32</v>
      </c>
      <c r="AA24" s="486"/>
      <c r="AB24" s="485" t="s">
        <v>371</v>
      </c>
      <c r="AC24" s="485" t="s">
        <v>373</v>
      </c>
      <c r="AD24" s="485" t="s">
        <v>369</v>
      </c>
      <c r="AE24" s="485" t="s">
        <v>32</v>
      </c>
      <c r="AG24" s="78" t="s">
        <v>511</v>
      </c>
      <c r="AH24" s="485" t="s">
        <v>371</v>
      </c>
      <c r="AI24" s="485" t="s">
        <v>373</v>
      </c>
      <c r="AJ24" s="485" t="s">
        <v>369</v>
      </c>
      <c r="AK24" s="485" t="s">
        <v>32</v>
      </c>
      <c r="AL24" s="486"/>
      <c r="AM24" s="485" t="s">
        <v>371</v>
      </c>
      <c r="AN24" s="485" t="s">
        <v>373</v>
      </c>
      <c r="AO24" s="485" t="s">
        <v>369</v>
      </c>
      <c r="AP24" s="485" t="s">
        <v>32</v>
      </c>
      <c r="AQ24" s="486"/>
      <c r="AR24" s="485" t="s">
        <v>371</v>
      </c>
      <c r="AS24" s="485" t="s">
        <v>373</v>
      </c>
      <c r="AT24" s="485" t="s">
        <v>369</v>
      </c>
      <c r="AU24" s="485" t="s">
        <v>32</v>
      </c>
    </row>
    <row r="25" spans="1:47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Q25" s="21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G25" s="21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</row>
    <row r="26" spans="1:47" x14ac:dyDescent="0.2">
      <c r="A26" s="18" t="str">
        <f>$A$8</f>
        <v>Managers, directors and senior officials</v>
      </c>
      <c r="B26" s="22">
        <f>B8/B$18*100</f>
        <v>6.997625276858443</v>
      </c>
      <c r="C26" s="22">
        <f t="shared" ref="C26:O26" si="23">C8/C$18*100</f>
        <v>2.2334304986366571</v>
      </c>
      <c r="D26" s="22">
        <f t="shared" si="23"/>
        <v>17.025418556716527</v>
      </c>
      <c r="E26" s="22">
        <f t="shared" si="23"/>
        <v>6.8394781892949643</v>
      </c>
      <c r="F26" s="22"/>
      <c r="G26" s="22">
        <f t="shared" si="23"/>
        <v>8.1455884571169861</v>
      </c>
      <c r="H26" s="22">
        <f t="shared" si="23"/>
        <v>3.0414934063427062</v>
      </c>
      <c r="I26" s="22">
        <f t="shared" si="23"/>
        <v>17.242149052927843</v>
      </c>
      <c r="J26" s="22">
        <f t="shared" si="23"/>
        <v>7.9352133954751745</v>
      </c>
      <c r="K26" s="22"/>
      <c r="L26" s="22">
        <f t="shared" si="23"/>
        <v>9.4355312784375123</v>
      </c>
      <c r="M26" s="22">
        <f t="shared" si="23"/>
        <v>3.662239138491751</v>
      </c>
      <c r="N26" s="22">
        <f t="shared" si="23"/>
        <v>17.547646608151261</v>
      </c>
      <c r="O26" s="22">
        <f t="shared" si="23"/>
        <v>8.7127777135920805</v>
      </c>
      <c r="Q26" s="18" t="str">
        <f>$A$8</f>
        <v>Managers, directors and senior officials</v>
      </c>
      <c r="R26" s="22">
        <f>R8/R$18*100</f>
        <v>8.8924859217497012</v>
      </c>
      <c r="S26" s="22">
        <f t="shared" ref="S26:U26" si="24">S8/S$18*100</f>
        <v>3.7861651865059658</v>
      </c>
      <c r="T26" s="22">
        <f t="shared" si="24"/>
        <v>15.412081553450047</v>
      </c>
      <c r="U26" s="22">
        <f t="shared" si="24"/>
        <v>9.2842589401302895</v>
      </c>
      <c r="V26" s="22"/>
      <c r="W26" s="22">
        <f t="shared" ref="W26:Z26" si="25">W8/W$18*100</f>
        <v>9.6508072514304306</v>
      </c>
      <c r="X26" s="22">
        <f t="shared" si="25"/>
        <v>4.1033760338023484</v>
      </c>
      <c r="Y26" s="22">
        <f t="shared" si="25"/>
        <v>16.038179855381131</v>
      </c>
      <c r="Z26" s="22">
        <f t="shared" si="25"/>
        <v>9.9719521139792455</v>
      </c>
      <c r="AA26" s="22"/>
      <c r="AB26" s="22">
        <f t="shared" ref="AB26:AE26" si="26">AB8/AB$18*100</f>
        <v>10.797929484966168</v>
      </c>
      <c r="AC26" s="22">
        <f t="shared" si="26"/>
        <v>4.3299075651806271</v>
      </c>
      <c r="AD26" s="22">
        <f t="shared" si="26"/>
        <v>16.194922378653793</v>
      </c>
      <c r="AE26" s="22">
        <f t="shared" si="26"/>
        <v>10.597925625759183</v>
      </c>
      <c r="AG26" s="18" t="str">
        <f>$A$8</f>
        <v>Managers, directors and senior officials</v>
      </c>
      <c r="AH26" s="22">
        <f>AH8/AH$18*100</f>
        <v>3.9867065545293281</v>
      </c>
      <c r="AI26" s="22">
        <f t="shared" ref="AI26:AK26" si="27">AI8/AI$18*100</f>
        <v>1.6781096280810406</v>
      </c>
      <c r="AJ26" s="22">
        <f t="shared" si="27"/>
        <v>21.539517795282514</v>
      </c>
      <c r="AK26" s="22">
        <f t="shared" si="27"/>
        <v>4.1459025323406733</v>
      </c>
      <c r="AL26" s="22"/>
      <c r="AM26" s="22">
        <f t="shared" ref="AM26:AP26" si="28">AM8/AM$18*100</f>
        <v>5.8993209388885992</v>
      </c>
      <c r="AN26" s="22">
        <f t="shared" si="28"/>
        <v>2.6738867671081166</v>
      </c>
      <c r="AO26" s="22">
        <f t="shared" si="28"/>
        <v>19.396695135742817</v>
      </c>
      <c r="AP26" s="22">
        <f t="shared" si="28"/>
        <v>5.8628786082443964</v>
      </c>
      <c r="AQ26" s="22"/>
      <c r="AR26" s="22">
        <f t="shared" ref="AR26:AU26" si="29">AR8/AR$18*100</f>
        <v>7.5248797959421241</v>
      </c>
      <c r="AS26" s="22">
        <f t="shared" si="29"/>
        <v>3.4116091924431449</v>
      </c>
      <c r="AT26" s="22">
        <f t="shared" si="29"/>
        <v>19.851818175893616</v>
      </c>
      <c r="AU26" s="22">
        <f t="shared" si="29"/>
        <v>6.8804107968112369</v>
      </c>
    </row>
    <row r="27" spans="1:47" x14ac:dyDescent="0.2">
      <c r="A27" s="18" t="str">
        <f>$A$9</f>
        <v>Professional occupations</v>
      </c>
      <c r="B27" s="22">
        <f t="shared" ref="B27:B34" si="30">B9/B$18*100</f>
        <v>19.085330290406162</v>
      </c>
      <c r="C27" s="22">
        <f t="shared" ref="C27:O27" si="31">C9/C$18*100</f>
        <v>11.437778997663473</v>
      </c>
      <c r="D27" s="22">
        <f t="shared" si="31"/>
        <v>10.416365456840524</v>
      </c>
      <c r="E27" s="22">
        <f t="shared" si="31"/>
        <v>15.691037118501308</v>
      </c>
      <c r="F27" s="22"/>
      <c r="G27" s="22">
        <f t="shared" si="31"/>
        <v>22.262657207087937</v>
      </c>
      <c r="H27" s="22">
        <f t="shared" si="31"/>
        <v>15.960427273380498</v>
      </c>
      <c r="I27" s="22">
        <f t="shared" si="31"/>
        <v>10.626656781806297</v>
      </c>
      <c r="J27" s="22">
        <f t="shared" si="31"/>
        <v>18.756689033742806</v>
      </c>
      <c r="K27" s="22"/>
      <c r="L27" s="22">
        <f t="shared" si="31"/>
        <v>24.077116232127143</v>
      </c>
      <c r="M27" s="22">
        <f t="shared" si="31"/>
        <v>18.463682131537432</v>
      </c>
      <c r="N27" s="22">
        <f t="shared" si="31"/>
        <v>11.836979173232086</v>
      </c>
      <c r="O27" s="22">
        <f t="shared" si="31"/>
        <v>20.696579014906746</v>
      </c>
      <c r="Q27" s="18" t="str">
        <f>$A$9</f>
        <v>Professional occupations</v>
      </c>
      <c r="R27" s="22">
        <f t="shared" ref="R27:U27" si="32">R9/R$18*100</f>
        <v>15.374984018266566</v>
      </c>
      <c r="S27" s="22">
        <f t="shared" si="32"/>
        <v>11.138709909613594</v>
      </c>
      <c r="T27" s="22">
        <f t="shared" si="32"/>
        <v>9.2857400952936828</v>
      </c>
      <c r="U27" s="22">
        <f t="shared" si="32"/>
        <v>13.65097604572885</v>
      </c>
      <c r="V27" s="22"/>
      <c r="W27" s="22">
        <f t="shared" ref="W27:Z27" si="33">W9/W$18*100</f>
        <v>18.116666109928072</v>
      </c>
      <c r="X27" s="22">
        <f t="shared" si="33"/>
        <v>13.046108597770942</v>
      </c>
      <c r="Y27" s="22">
        <f t="shared" si="33"/>
        <v>8.9183212650601149</v>
      </c>
      <c r="Z27" s="22">
        <f t="shared" si="33"/>
        <v>15.695054681378457</v>
      </c>
      <c r="AA27" s="22"/>
      <c r="AB27" s="22">
        <f t="shared" ref="AB27:AE27" si="34">AB9/AB$18*100</f>
        <v>18.712130454561986</v>
      </c>
      <c r="AC27" s="22">
        <f t="shared" si="34"/>
        <v>14.52119697635473</v>
      </c>
      <c r="AD27" s="22">
        <f t="shared" si="34"/>
        <v>9.2903760394040447</v>
      </c>
      <c r="AE27" s="22">
        <f t="shared" si="34"/>
        <v>16.385454407631876</v>
      </c>
      <c r="AG27" s="18" t="str">
        <f>$A$9</f>
        <v>Professional occupations</v>
      </c>
      <c r="AH27" s="22">
        <f t="shared" ref="AH27:AK27" si="35">AH9/AH$18*100</f>
        <v>24.981041453772626</v>
      </c>
      <c r="AI27" s="22">
        <f t="shared" si="35"/>
        <v>11.544738227485304</v>
      </c>
      <c r="AJ27" s="22">
        <f t="shared" si="35"/>
        <v>13.579842816703119</v>
      </c>
      <c r="AK27" s="22">
        <f t="shared" si="35"/>
        <v>17.938706502531932</v>
      </c>
      <c r="AL27" s="22"/>
      <c r="AM27" s="22">
        <f t="shared" ref="AM27:AP27" si="36">AM9/AM$18*100</f>
        <v>28.449801008107311</v>
      </c>
      <c r="AN27" s="22">
        <f t="shared" si="36"/>
        <v>16.969317395787318</v>
      </c>
      <c r="AO27" s="22">
        <f t="shared" si="36"/>
        <v>13.683784491750464</v>
      </c>
      <c r="AP27" s="22">
        <f t="shared" si="36"/>
        <v>21.871831548854136</v>
      </c>
      <c r="AQ27" s="22"/>
      <c r="AR27" s="22">
        <f t="shared" ref="AR27:AU27" si="37">AR9/AR$18*100</f>
        <v>31.601067732026465</v>
      </c>
      <c r="AS27" s="22">
        <f t="shared" si="37"/>
        <v>19.943615586892061</v>
      </c>
      <c r="AT27" s="22">
        <f t="shared" si="37"/>
        <v>16.174752096446468</v>
      </c>
      <c r="AU27" s="22">
        <f t="shared" si="37"/>
        <v>24.886999328084805</v>
      </c>
    </row>
    <row r="28" spans="1:47" x14ac:dyDescent="0.2">
      <c r="A28" s="18" t="str">
        <f>$A$10</f>
        <v>Associate professional and technical</v>
      </c>
      <c r="B28" s="22">
        <f t="shared" si="30"/>
        <v>12.81242652029578</v>
      </c>
      <c r="C28" s="22">
        <f t="shared" ref="C28:O28" si="38">C10/C$18*100</f>
        <v>5.7888717723030707</v>
      </c>
      <c r="D28" s="22">
        <f t="shared" si="38"/>
        <v>9.861405738561638</v>
      </c>
      <c r="E28" s="22">
        <f t="shared" si="38"/>
        <v>10.330461535667066</v>
      </c>
      <c r="F28" s="22"/>
      <c r="G28" s="22">
        <f t="shared" si="38"/>
        <v>13.140236296063323</v>
      </c>
      <c r="H28" s="22">
        <f t="shared" si="38"/>
        <v>6.8857970247169176</v>
      </c>
      <c r="I28" s="22">
        <f t="shared" si="38"/>
        <v>12.775273518091582</v>
      </c>
      <c r="J28" s="22">
        <f t="shared" si="38"/>
        <v>11.248308177091749</v>
      </c>
      <c r="K28" s="22"/>
      <c r="L28" s="22">
        <f t="shared" si="38"/>
        <v>13.924053743411701</v>
      </c>
      <c r="M28" s="22">
        <f t="shared" si="38"/>
        <v>7.827780372303879</v>
      </c>
      <c r="N28" s="22">
        <f t="shared" si="38"/>
        <v>14.103800924540863</v>
      </c>
      <c r="O28" s="22">
        <f t="shared" si="38"/>
        <v>12.045160829002445</v>
      </c>
      <c r="Q28" s="18" t="str">
        <f>$A$10</f>
        <v>Associate professional and technical</v>
      </c>
      <c r="R28" s="22">
        <f t="shared" ref="R28:U28" si="39">R10/R$18*100</f>
        <v>13.713136802406215</v>
      </c>
      <c r="S28" s="22">
        <f t="shared" si="39"/>
        <v>6.1225990016066136</v>
      </c>
      <c r="T28" s="22">
        <f t="shared" si="39"/>
        <v>8.6727677338689642</v>
      </c>
      <c r="U28" s="22">
        <f t="shared" si="39"/>
        <v>11.67020042483886</v>
      </c>
      <c r="V28" s="22"/>
      <c r="W28" s="22">
        <f t="shared" ref="W28:Z28" si="40">W10/W$18*100</f>
        <v>13.365482773916797</v>
      </c>
      <c r="X28" s="22">
        <f t="shared" si="40"/>
        <v>6.8525449194848491</v>
      </c>
      <c r="Y28" s="22">
        <f t="shared" si="40"/>
        <v>11.143178192941498</v>
      </c>
      <c r="Z28" s="22">
        <f t="shared" si="40"/>
        <v>11.98714394252932</v>
      </c>
      <c r="AA28" s="22"/>
      <c r="AB28" s="22">
        <f t="shared" ref="AB28:AE28" si="41">AB10/AB$18*100</f>
        <v>13.44124806313261</v>
      </c>
      <c r="AC28" s="22">
        <f t="shared" si="41"/>
        <v>7.3619727679038336</v>
      </c>
      <c r="AD28" s="22">
        <f t="shared" si="41"/>
        <v>11.759693545702243</v>
      </c>
      <c r="AE28" s="22">
        <f t="shared" si="41"/>
        <v>12.104584004298435</v>
      </c>
      <c r="AG28" s="18" t="str">
        <f>$A$10</f>
        <v>Associate professional and technical</v>
      </c>
      <c r="AH28" s="22">
        <f t="shared" ref="AH28:AK28" si="42">AH10/AH$18*100</f>
        <v>11.381204937266784</v>
      </c>
      <c r="AI28" s="22">
        <f t="shared" si="42"/>
        <v>5.6695173861656301</v>
      </c>
      <c r="AJ28" s="22">
        <f t="shared" si="42"/>
        <v>13.187201837609908</v>
      </c>
      <c r="AK28" s="22">
        <f t="shared" si="42"/>
        <v>8.8543831358698242</v>
      </c>
      <c r="AL28" s="22"/>
      <c r="AM28" s="22">
        <f t="shared" ref="AM28:AP28" si="43">AM10/AM$18*100</f>
        <v>12.804096560956987</v>
      </c>
      <c r="AN28" s="22">
        <f t="shared" si="43"/>
        <v>6.8973083672473789</v>
      </c>
      <c r="AO28" s="22">
        <f t="shared" si="43"/>
        <v>15.695966669335146</v>
      </c>
      <c r="AP28" s="22">
        <f t="shared" si="43"/>
        <v>10.49655978400817</v>
      </c>
      <c r="AQ28" s="22"/>
      <c r="AR28" s="22">
        <f t="shared" ref="AR28:AU28" si="44">AR10/AR$18*100</f>
        <v>14.60114901875918</v>
      </c>
      <c r="AS28" s="22">
        <f t="shared" si="44"/>
        <v>8.002635629933442</v>
      </c>
      <c r="AT28" s="22">
        <f t="shared" si="44"/>
        <v>18.096651393450987</v>
      </c>
      <c r="AU28" s="22">
        <f t="shared" si="44"/>
        <v>11.987401403442425</v>
      </c>
    </row>
    <row r="29" spans="1:47" x14ac:dyDescent="0.2">
      <c r="A29" s="18" t="str">
        <f>$A$11</f>
        <v>Administrative and secretarial</v>
      </c>
      <c r="B29" s="22">
        <f t="shared" si="30"/>
        <v>12.043257243392341</v>
      </c>
      <c r="C29" s="22">
        <f t="shared" ref="C29:O29" si="45">C11/C$18*100</f>
        <v>15.669687338841213</v>
      </c>
      <c r="D29" s="22">
        <f t="shared" si="45"/>
        <v>2.4167141906417808</v>
      </c>
      <c r="E29" s="22">
        <f t="shared" si="45"/>
        <v>11.910843564646875</v>
      </c>
      <c r="F29" s="22"/>
      <c r="G29" s="22">
        <f t="shared" si="45"/>
        <v>10.675859917412101</v>
      </c>
      <c r="H29" s="22">
        <f t="shared" si="45"/>
        <v>14.076091506933263</v>
      </c>
      <c r="I29" s="22">
        <f t="shared" si="45"/>
        <v>2.3929744883964243</v>
      </c>
      <c r="J29" s="22">
        <f t="shared" si="45"/>
        <v>10.500446179715539</v>
      </c>
      <c r="K29" s="22"/>
      <c r="L29" s="22">
        <f t="shared" si="45"/>
        <v>9.2349965970532253</v>
      </c>
      <c r="M29" s="22">
        <f t="shared" si="45"/>
        <v>11.108438902617342</v>
      </c>
      <c r="N29" s="22">
        <f t="shared" si="45"/>
        <v>1.8786553385888169</v>
      </c>
      <c r="O29" s="22">
        <f t="shared" si="45"/>
        <v>8.8410536385233502</v>
      </c>
      <c r="Q29" s="18" t="str">
        <f>$A$11</f>
        <v>Administrative and secretarial</v>
      </c>
      <c r="R29" s="22">
        <f t="shared" ref="R29:U29" si="46">R11/R$18*100</f>
        <v>6.4972834399480757</v>
      </c>
      <c r="S29" s="22">
        <f t="shared" si="46"/>
        <v>6.1107141961810116</v>
      </c>
      <c r="T29" s="22">
        <f t="shared" si="46"/>
        <v>1.1481273354868142</v>
      </c>
      <c r="U29" s="22">
        <f t="shared" si="46"/>
        <v>5.4857263610164066</v>
      </c>
      <c r="V29" s="22"/>
      <c r="W29" s="22">
        <f t="shared" ref="W29:Z29" si="47">W11/W$18*100</f>
        <v>6.4869894608199825</v>
      </c>
      <c r="X29" s="22">
        <f t="shared" si="47"/>
        <v>6.1999242628046876</v>
      </c>
      <c r="Y29" s="22">
        <f t="shared" si="47"/>
        <v>0.98388822589880487</v>
      </c>
      <c r="Z29" s="22">
        <f t="shared" si="47"/>
        <v>5.4502354251365226</v>
      </c>
      <c r="AA29" s="22"/>
      <c r="AB29" s="22">
        <f t="shared" ref="AB29:AE29" si="48">AB11/AB$18*100</f>
        <v>6.6583750940374067</v>
      </c>
      <c r="AC29" s="22">
        <f t="shared" si="48"/>
        <v>6.2167208515963779</v>
      </c>
      <c r="AD29" s="22">
        <f t="shared" si="48"/>
        <v>0.97009037610417026</v>
      </c>
      <c r="AE29" s="22">
        <f t="shared" si="48"/>
        <v>5.6146382864016084</v>
      </c>
      <c r="AG29" s="18" t="str">
        <f>$A$11</f>
        <v>Administrative and secretarial</v>
      </c>
      <c r="AH29" s="22">
        <f t="shared" ref="AH29:AK29" si="49">AH11/AH$18*100</f>
        <v>20.85576617557053</v>
      </c>
      <c r="AI29" s="22">
        <f t="shared" si="49"/>
        <v>19.088363645019442</v>
      </c>
      <c r="AJ29" s="22">
        <f t="shared" si="49"/>
        <v>5.9662062963305482</v>
      </c>
      <c r="AK29" s="22">
        <f t="shared" si="49"/>
        <v>18.989817532706795</v>
      </c>
      <c r="AL29" s="22"/>
      <c r="AM29" s="22">
        <f t="shared" ref="AM29:AP29" si="50">AM11/AM$18*100</f>
        <v>16.926993427209347</v>
      </c>
      <c r="AN29" s="22">
        <f t="shared" si="50"/>
        <v>16.802693577437246</v>
      </c>
      <c r="AO29" s="22">
        <f t="shared" si="50"/>
        <v>4.9145849194597568</v>
      </c>
      <c r="AP29" s="22">
        <f t="shared" si="50"/>
        <v>15.638919433294108</v>
      </c>
      <c r="AQ29" s="22"/>
      <c r="AR29" s="22">
        <f t="shared" ref="AR29:AU29" si="51">AR11/AR$18*100</f>
        <v>12.848496432105364</v>
      </c>
      <c r="AS29" s="22">
        <f t="shared" si="51"/>
        <v>12.944696215685813</v>
      </c>
      <c r="AT29" s="22">
        <f t="shared" si="51"/>
        <v>3.4262653453835843</v>
      </c>
      <c r="AU29" s="22">
        <f t="shared" si="51"/>
        <v>11.977134745403429</v>
      </c>
    </row>
    <row r="30" spans="1:47" x14ac:dyDescent="0.2">
      <c r="A30" s="18" t="str">
        <f>$A$12</f>
        <v>Skilled trades occupations</v>
      </c>
      <c r="B30" s="22">
        <f t="shared" si="30"/>
        <v>13.02131241977226</v>
      </c>
      <c r="C30" s="22">
        <f t="shared" ref="C30:O30" si="52">C12/C$18*100</f>
        <v>3.7804086078855339</v>
      </c>
      <c r="D30" s="22">
        <f t="shared" si="52"/>
        <v>40.013061536620157</v>
      </c>
      <c r="E30" s="22">
        <f t="shared" si="52"/>
        <v>13.670837027595898</v>
      </c>
      <c r="F30" s="22"/>
      <c r="G30" s="22">
        <f t="shared" si="52"/>
        <v>12.434518663136807</v>
      </c>
      <c r="H30" s="22">
        <f t="shared" si="52"/>
        <v>3.5250675518423384</v>
      </c>
      <c r="I30" s="22">
        <f t="shared" si="52"/>
        <v>37.550208765257452</v>
      </c>
      <c r="J30" s="22">
        <f t="shared" si="52"/>
        <v>13.378563705750279</v>
      </c>
      <c r="K30" s="22"/>
      <c r="L30" s="22">
        <f t="shared" si="52"/>
        <v>11.310487975478463</v>
      </c>
      <c r="M30" s="22">
        <f t="shared" si="52"/>
        <v>3.0696331986283099</v>
      </c>
      <c r="N30" s="22">
        <f t="shared" si="52"/>
        <v>36.825528398128036</v>
      </c>
      <c r="O30" s="22">
        <f t="shared" si="52"/>
        <v>12.132842200408225</v>
      </c>
      <c r="Q30" s="18" t="str">
        <f>$A$12</f>
        <v>Skilled trades occupations</v>
      </c>
      <c r="R30" s="22">
        <f t="shared" ref="R30:U30" si="53">R12/R$18*100</f>
        <v>19.896174542289817</v>
      </c>
      <c r="S30" s="22">
        <f t="shared" si="53"/>
        <v>8.2501455704420525</v>
      </c>
      <c r="T30" s="22">
        <f t="shared" si="53"/>
        <v>49.396739072801033</v>
      </c>
      <c r="U30" s="22">
        <f t="shared" si="53"/>
        <v>23.397096385926677</v>
      </c>
      <c r="V30" s="22"/>
      <c r="W30" s="22">
        <f t="shared" ref="W30:Z30" si="54">W12/W$18*100</f>
        <v>19.361348175813124</v>
      </c>
      <c r="X30" s="22">
        <f t="shared" si="54"/>
        <v>8.2217137196846846</v>
      </c>
      <c r="Y30" s="22">
        <f t="shared" si="54"/>
        <v>50.076385477031891</v>
      </c>
      <c r="Z30" s="22">
        <f t="shared" si="54"/>
        <v>23.236380326530671</v>
      </c>
      <c r="AA30" s="22"/>
      <c r="AB30" s="22">
        <f t="shared" ref="AB30:AE30" si="55">AB12/AB$18*100</f>
        <v>17.961298988946066</v>
      </c>
      <c r="AC30" s="22">
        <f t="shared" si="55"/>
        <v>6.4533603951235072</v>
      </c>
      <c r="AD30" s="22">
        <f t="shared" si="55"/>
        <v>49.63526432203318</v>
      </c>
      <c r="AE30" s="22">
        <f t="shared" si="55"/>
        <v>21.359165563365671</v>
      </c>
      <c r="AG30" s="18" t="str">
        <f>$A$12</f>
        <v>Skilled trades occupations</v>
      </c>
      <c r="AH30" s="22">
        <f t="shared" ref="AH30:AK30" si="56">AH12/AH$18*100</f>
        <v>2.0972103577405408</v>
      </c>
      <c r="AI30" s="22">
        <f t="shared" si="56"/>
        <v>2.181849471805732</v>
      </c>
      <c r="AJ30" s="22">
        <f t="shared" si="56"/>
        <v>13.757634719246845</v>
      </c>
      <c r="AK30" s="22">
        <f t="shared" si="56"/>
        <v>2.9547777523941425</v>
      </c>
      <c r="AL30" s="22"/>
      <c r="AM30" s="22">
        <f t="shared" ref="AM30:AP30" si="57">AM12/AM$18*100</f>
        <v>2.0974751732383763</v>
      </c>
      <c r="AN30" s="22">
        <f t="shared" si="57"/>
        <v>1.8991643975879706</v>
      </c>
      <c r="AO30" s="22">
        <f t="shared" si="57"/>
        <v>15.134166044234734</v>
      </c>
      <c r="AP30" s="22">
        <f t="shared" si="57"/>
        <v>3.348462090954444</v>
      </c>
      <c r="AQ30" s="22"/>
      <c r="AR30" s="22">
        <f t="shared" ref="AR30:AU30" si="58">AR12/AR$18*100</f>
        <v>1.9832722893565635</v>
      </c>
      <c r="AS30" s="22">
        <f t="shared" si="58"/>
        <v>1.7994467845327231</v>
      </c>
      <c r="AT30" s="22">
        <f t="shared" si="58"/>
        <v>15.005981839761731</v>
      </c>
      <c r="AU30" s="22">
        <f t="shared" si="58"/>
        <v>3.1648404936505123</v>
      </c>
    </row>
    <row r="31" spans="1:47" x14ac:dyDescent="0.2">
      <c r="A31" s="18" t="str">
        <f>$A$13</f>
        <v>Caring, leisure and other service</v>
      </c>
      <c r="B31" s="22">
        <f t="shared" si="30"/>
        <v>7.8803721404312164</v>
      </c>
      <c r="C31" s="22">
        <f t="shared" ref="C31:O31" si="59">C13/C$18*100</f>
        <v>12.925140041175615</v>
      </c>
      <c r="D31" s="22">
        <f t="shared" si="59"/>
        <v>4.4026600160901586</v>
      </c>
      <c r="E31" s="22">
        <f t="shared" si="59"/>
        <v>8.9533062332799833</v>
      </c>
      <c r="F31" s="22"/>
      <c r="G31" s="22">
        <f t="shared" si="59"/>
        <v>8.7569807748806578</v>
      </c>
      <c r="H31" s="22">
        <f t="shared" si="59"/>
        <v>16.94834246662877</v>
      </c>
      <c r="I31" s="22">
        <f t="shared" si="59"/>
        <v>7.5083165809007451</v>
      </c>
      <c r="J31" s="22">
        <f t="shared" si="59"/>
        <v>10.989708900602711</v>
      </c>
      <c r="K31" s="22"/>
      <c r="L31" s="22">
        <f t="shared" si="59"/>
        <v>9.238280117038391</v>
      </c>
      <c r="M31" s="22">
        <f t="shared" si="59"/>
        <v>19.057353579396839</v>
      </c>
      <c r="N31" s="22">
        <f t="shared" si="59"/>
        <v>7.1971229299693764</v>
      </c>
      <c r="O31" s="22">
        <f t="shared" si="59"/>
        <v>12.031513024688305</v>
      </c>
      <c r="Q31" s="18" t="str">
        <f>$A$13</f>
        <v>Caring, leisure and other service</v>
      </c>
      <c r="R31" s="22">
        <f t="shared" ref="R31:U31" si="60">R13/R$18*100</f>
        <v>2.5574777901249641</v>
      </c>
      <c r="S31" s="22">
        <f t="shared" si="60"/>
        <v>8.000965765072058</v>
      </c>
      <c r="T31" s="22">
        <f t="shared" si="60"/>
        <v>1.2355335483456071</v>
      </c>
      <c r="U31" s="22">
        <f t="shared" si="60"/>
        <v>3.1428124139562366</v>
      </c>
      <c r="V31" s="22"/>
      <c r="W31" s="22">
        <f t="shared" ref="W31:Z31" si="61">W13/W$18*100</f>
        <v>3.1498702519872657</v>
      </c>
      <c r="X31" s="22">
        <f t="shared" si="61"/>
        <v>6.8979671517506445</v>
      </c>
      <c r="Y31" s="22">
        <f t="shared" si="61"/>
        <v>2.1530911642206831</v>
      </c>
      <c r="Z31" s="22">
        <f t="shared" si="61"/>
        <v>3.5321659703132626</v>
      </c>
      <c r="AA31" s="22"/>
      <c r="AB31" s="22">
        <f t="shared" ref="AB31:AE31" si="62">AB13/AB$18*100</f>
        <v>3.5643972128363601</v>
      </c>
      <c r="AC31" s="22">
        <f t="shared" si="62"/>
        <v>7.9974290845307774</v>
      </c>
      <c r="AD31" s="22">
        <f t="shared" si="62"/>
        <v>2.1575495353655403</v>
      </c>
      <c r="AE31" s="22">
        <f t="shared" si="62"/>
        <v>4.0912966538511908</v>
      </c>
      <c r="AG31" s="18" t="str">
        <f>$A$13</f>
        <v>Caring, leisure and other service</v>
      </c>
      <c r="AH31" s="22">
        <f t="shared" ref="AH31:AK31" si="63">AH13/AH$18*100</f>
        <v>16.338409568949714</v>
      </c>
      <c r="AI31" s="22">
        <f t="shared" si="63"/>
        <v>14.68622438297373</v>
      </c>
      <c r="AJ31" s="22">
        <f t="shared" si="63"/>
        <v>13.264245132864808</v>
      </c>
      <c r="AK31" s="22">
        <f t="shared" si="63"/>
        <v>15.355109217562408</v>
      </c>
      <c r="AL31" s="22"/>
      <c r="AM31" s="22">
        <f t="shared" ref="AM31:AP31" si="64">AM13/AM$18*100</f>
        <v>17.12458174177986</v>
      </c>
      <c r="AN31" s="22">
        <f t="shared" si="64"/>
        <v>20.427620304884066</v>
      </c>
      <c r="AO31" s="22">
        <f t="shared" si="64"/>
        <v>17.091684633513999</v>
      </c>
      <c r="AP31" s="22">
        <f t="shared" si="64"/>
        <v>18.57758725794875</v>
      </c>
      <c r="AQ31" s="22"/>
      <c r="AR31" s="22">
        <f t="shared" ref="AR31:AU31" si="65">AR13/AR$18*100</f>
        <v>17.195434442748191</v>
      </c>
      <c r="AS31" s="22">
        <f t="shared" si="65"/>
        <v>23.209037512088774</v>
      </c>
      <c r="AT31" s="22">
        <f t="shared" si="65"/>
        <v>15.781312875107609</v>
      </c>
      <c r="AU31" s="22">
        <f t="shared" si="65"/>
        <v>19.749416588699916</v>
      </c>
    </row>
    <row r="32" spans="1:47" x14ac:dyDescent="0.2">
      <c r="A32" s="18" t="str">
        <f>$A$14</f>
        <v>Sales and customer service</v>
      </c>
      <c r="B32" s="22">
        <f t="shared" si="30"/>
        <v>5.8239468021711644</v>
      </c>
      <c r="C32" s="22">
        <f t="shared" ref="C32:O32" si="66">C14/C$18*100</f>
        <v>19.06203595237524</v>
      </c>
      <c r="D32" s="22">
        <f t="shared" si="66"/>
        <v>2.1138237230303996</v>
      </c>
      <c r="E32" s="22">
        <f t="shared" si="66"/>
        <v>9.3262139648044773</v>
      </c>
      <c r="F32" s="22"/>
      <c r="G32" s="22">
        <f t="shared" si="66"/>
        <v>5.4115370910517564</v>
      </c>
      <c r="H32" s="22">
        <f t="shared" si="66"/>
        <v>16.680922058759943</v>
      </c>
      <c r="I32" s="22">
        <f t="shared" si="66"/>
        <v>1.8040621288482561</v>
      </c>
      <c r="J32" s="22">
        <f t="shared" si="66"/>
        <v>8.2150062113369255</v>
      </c>
      <c r="K32" s="22"/>
      <c r="L32" s="22">
        <f t="shared" si="66"/>
        <v>5.1388308690749902</v>
      </c>
      <c r="M32" s="22">
        <f t="shared" si="66"/>
        <v>15.20913531313702</v>
      </c>
      <c r="N32" s="22">
        <f t="shared" si="66"/>
        <v>1.3975508138590729</v>
      </c>
      <c r="O32" s="22">
        <f t="shared" si="66"/>
        <v>7.784293874854523</v>
      </c>
      <c r="Q32" s="18" t="str">
        <f>$A$14</f>
        <v>Sales and customer service</v>
      </c>
      <c r="R32" s="22">
        <f t="shared" ref="R32:U32" si="67">R14/R$18*100</f>
        <v>3.8303921893705843</v>
      </c>
      <c r="S32" s="22">
        <f t="shared" si="67"/>
        <v>18.855763064855779</v>
      </c>
      <c r="T32" s="22">
        <f t="shared" si="67"/>
        <v>1.1590863168300185</v>
      </c>
      <c r="U32" s="22">
        <f t="shared" si="67"/>
        <v>5.6202735614175046</v>
      </c>
      <c r="V32" s="22"/>
      <c r="W32" s="22">
        <f t="shared" ref="W32:Z32" si="68">W14/W$18*100</f>
        <v>4.3402798573248766</v>
      </c>
      <c r="X32" s="22">
        <f t="shared" si="68"/>
        <v>15.141416217883027</v>
      </c>
      <c r="Y32" s="22">
        <f t="shared" si="68"/>
        <v>0.99493146965467727</v>
      </c>
      <c r="Z32" s="22">
        <f t="shared" si="68"/>
        <v>5.3565817895036956</v>
      </c>
      <c r="AA32" s="22"/>
      <c r="AB32" s="22">
        <f t="shared" ref="AB32:AE32" si="69">AB14/AB$18*100</f>
        <v>4.4517789480322758</v>
      </c>
      <c r="AC32" s="22">
        <f t="shared" si="69"/>
        <v>13.140011342067623</v>
      </c>
      <c r="AD32" s="22">
        <f t="shared" si="69"/>
        <v>0.82047123966708557</v>
      </c>
      <c r="AE32" s="22">
        <f t="shared" si="69"/>
        <v>5.3357920081579078</v>
      </c>
      <c r="AG32" s="18" t="str">
        <f>$A$14</f>
        <v>Sales and customer service</v>
      </c>
      <c r="AH32" s="22">
        <f t="shared" ref="AH32:AK32" si="70">AH14/AH$18*100</f>
        <v>8.9916894664404392</v>
      </c>
      <c r="AI32" s="22">
        <f t="shared" si="70"/>
        <v>19.135807499030459</v>
      </c>
      <c r="AJ32" s="22">
        <f t="shared" si="70"/>
        <v>4.7851685131354875</v>
      </c>
      <c r="AK32" s="22">
        <f t="shared" si="70"/>
        <v>13.409292111290943</v>
      </c>
      <c r="AL32" s="22"/>
      <c r="AM32" s="22">
        <f t="shared" ref="AM32:AP32" si="71">AM14/AM$18*100</f>
        <v>7.0101952641218519</v>
      </c>
      <c r="AN32" s="22">
        <f t="shared" si="71"/>
        <v>17.213874151215457</v>
      </c>
      <c r="AO32" s="22">
        <f t="shared" si="71"/>
        <v>3.2520304787058434</v>
      </c>
      <c r="AP32" s="22">
        <f t="shared" si="71"/>
        <v>11.123387297343749</v>
      </c>
      <c r="AQ32" s="22"/>
      <c r="AR32" s="22">
        <f t="shared" ref="AR32:AU32" si="72">AR14/AR$18*100</f>
        <v>6.1023647060992872</v>
      </c>
      <c r="AS32" s="22">
        <f t="shared" si="72"/>
        <v>15.985844842159944</v>
      </c>
      <c r="AT32" s="22">
        <f t="shared" si="72"/>
        <v>2.3805230399661004</v>
      </c>
      <c r="AU32" s="22">
        <f t="shared" si="72"/>
        <v>10.164241775628746</v>
      </c>
    </row>
    <row r="33" spans="1:47" x14ac:dyDescent="0.2">
      <c r="A33" s="18" t="str">
        <f>$A$15</f>
        <v>Process, plant and machine operatives</v>
      </c>
      <c r="B33" s="22">
        <f t="shared" si="30"/>
        <v>12.760986570137812</v>
      </c>
      <c r="C33" s="22">
        <f t="shared" ref="C33:O33" si="73">C15/C$18*100</f>
        <v>3.5398911835481939</v>
      </c>
      <c r="D33" s="22">
        <f t="shared" si="73"/>
        <v>7.2609993389159131</v>
      </c>
      <c r="E33" s="22">
        <f t="shared" si="73"/>
        <v>9.2963193636880685</v>
      </c>
      <c r="F33" s="22"/>
      <c r="G33" s="22">
        <f t="shared" si="73"/>
        <v>10.184242845062416</v>
      </c>
      <c r="H33" s="22">
        <f t="shared" si="73"/>
        <v>3.3186505412944962</v>
      </c>
      <c r="I33" s="22">
        <f t="shared" si="73"/>
        <v>5.0871497987805565</v>
      </c>
      <c r="J33" s="22">
        <f t="shared" si="73"/>
        <v>7.4407579661206311</v>
      </c>
      <c r="K33" s="22"/>
      <c r="L33" s="22">
        <f t="shared" si="73"/>
        <v>8.8507198068771906</v>
      </c>
      <c r="M33" s="22">
        <f t="shared" si="73"/>
        <v>3.2744054801244991</v>
      </c>
      <c r="N33" s="22">
        <f t="shared" si="73"/>
        <v>4.73863629667001</v>
      </c>
      <c r="O33" s="22">
        <f t="shared" si="73"/>
        <v>6.5631312281253322</v>
      </c>
      <c r="Q33" s="18" t="str">
        <f>$A$15</f>
        <v>Process, plant and machine operatives</v>
      </c>
      <c r="R33" s="22">
        <f t="shared" ref="R33:U33" si="74">R15/R$18*100</f>
        <v>17.804845287555619</v>
      </c>
      <c r="S33" s="22">
        <f t="shared" si="74"/>
        <v>8.6123394235129442</v>
      </c>
      <c r="T33" s="22">
        <f t="shared" si="74"/>
        <v>9.3867248870588025</v>
      </c>
      <c r="U33" s="22">
        <f t="shared" si="74"/>
        <v>14.918380562489823</v>
      </c>
      <c r="V33" s="22"/>
      <c r="W33" s="22">
        <f t="shared" ref="W33:Z33" si="75">W15/W$18*100</f>
        <v>14.732625726577961</v>
      </c>
      <c r="X33" s="22">
        <f t="shared" si="75"/>
        <v>9.024916469422152</v>
      </c>
      <c r="Y33" s="22">
        <f t="shared" si="75"/>
        <v>6.8025242552792253</v>
      </c>
      <c r="Z33" s="22">
        <f t="shared" si="75"/>
        <v>12.444435219453938</v>
      </c>
      <c r="AA33" s="22"/>
      <c r="AB33" s="22">
        <f t="shared" ref="AB33:AE33" si="76">AB15/AB$18*100</f>
        <v>13.458347225288023</v>
      </c>
      <c r="AC33" s="22">
        <f t="shared" si="76"/>
        <v>9.21342135031019</v>
      </c>
      <c r="AD33" s="22">
        <f t="shared" si="76"/>
        <v>6.6460762363711066</v>
      </c>
      <c r="AE33" s="22">
        <f t="shared" si="76"/>
        <v>11.566134064954573</v>
      </c>
      <c r="AG33" s="18" t="str">
        <f>$A$15</f>
        <v>Process, plant and machine operatives</v>
      </c>
      <c r="AH33" s="22">
        <f t="shared" ref="AH33:AK33" si="77">AH15/AH$18*100</f>
        <v>4.746334576598862</v>
      </c>
      <c r="AI33" s="22">
        <f t="shared" si="77"/>
        <v>1.7257780614082741</v>
      </c>
      <c r="AJ33" s="22">
        <f t="shared" si="77"/>
        <v>1.3132425721375571</v>
      </c>
      <c r="AK33" s="22">
        <f t="shared" si="77"/>
        <v>3.1021249837521632</v>
      </c>
      <c r="AL33" s="22"/>
      <c r="AM33" s="22">
        <f t="shared" ref="AM33:AP33" si="78">AM15/AM$18*100</f>
        <v>3.3966018949143728</v>
      </c>
      <c r="AN33" s="22">
        <f t="shared" si="78"/>
        <v>1.3432333095085984</v>
      </c>
      <c r="AO33" s="22">
        <f t="shared" si="78"/>
        <v>2.0174256535606396</v>
      </c>
      <c r="AP33" s="22">
        <f t="shared" si="78"/>
        <v>2.3496314794724604</v>
      </c>
      <c r="AQ33" s="22"/>
      <c r="AR33" s="22">
        <f t="shared" ref="AR33:AU33" si="79">AR15/AR$18*100</f>
        <v>2.3889011435921232</v>
      </c>
      <c r="AS33" s="22">
        <f t="shared" si="79"/>
        <v>1.0450126144048477</v>
      </c>
      <c r="AT33" s="22">
        <f t="shared" si="79"/>
        <v>1.4895861352278459</v>
      </c>
      <c r="AU33" s="22">
        <f t="shared" si="79"/>
        <v>1.7002041211334444</v>
      </c>
    </row>
    <row r="34" spans="1:47" x14ac:dyDescent="0.2">
      <c r="A34" s="18" t="str">
        <f>$A$16</f>
        <v>Elementary occupations</v>
      </c>
      <c r="B34" s="22">
        <f t="shared" si="30"/>
        <v>9.5747427365348159</v>
      </c>
      <c r="C34" s="22">
        <f t="shared" ref="C34:O34" si="80">C16/C$18*100</f>
        <v>25.562755607570999</v>
      </c>
      <c r="D34" s="22">
        <f t="shared" si="80"/>
        <v>6.48955144258289</v>
      </c>
      <c r="E34" s="22">
        <f t="shared" si="80"/>
        <v>13.981503002521354</v>
      </c>
      <c r="F34" s="22"/>
      <c r="G34" s="22">
        <f t="shared" si="80"/>
        <v>8.9883787481880049</v>
      </c>
      <c r="H34" s="22">
        <f t="shared" si="80"/>
        <v>19.56320817010106</v>
      </c>
      <c r="I34" s="22">
        <f t="shared" si="80"/>
        <v>5.0132088849908367</v>
      </c>
      <c r="J34" s="22">
        <f t="shared" si="80"/>
        <v>11.535306430164178</v>
      </c>
      <c r="K34" s="22"/>
      <c r="L34" s="22">
        <f t="shared" si="80"/>
        <v>8.7899833805013934</v>
      </c>
      <c r="M34" s="22">
        <f t="shared" si="80"/>
        <v>18.327331883762927</v>
      </c>
      <c r="N34" s="22">
        <f t="shared" si="80"/>
        <v>4.4740795168604919</v>
      </c>
      <c r="O34" s="22">
        <f t="shared" si="80"/>
        <v>11.192648475898988</v>
      </c>
      <c r="Q34" s="18" t="str">
        <f>$A$16</f>
        <v>Elementary occupations</v>
      </c>
      <c r="R34" s="22">
        <f t="shared" ref="R34:U34" si="81">R16/R$18*100</f>
        <v>11.433220008288457</v>
      </c>
      <c r="S34" s="22">
        <f t="shared" si="81"/>
        <v>29.122597882209984</v>
      </c>
      <c r="T34" s="22">
        <f t="shared" si="81"/>
        <v>4.3031994568650305</v>
      </c>
      <c r="U34" s="22">
        <f t="shared" si="81"/>
        <v>12.830275304495348</v>
      </c>
      <c r="V34" s="22"/>
      <c r="W34" s="22">
        <f t="shared" ref="W34:Z34" si="82">W16/W$18*100</f>
        <v>10.795930392201495</v>
      </c>
      <c r="X34" s="22">
        <f t="shared" si="82"/>
        <v>30.512032627396678</v>
      </c>
      <c r="Y34" s="22">
        <f t="shared" si="82"/>
        <v>2.8895000945319751</v>
      </c>
      <c r="Z34" s="22">
        <f t="shared" si="82"/>
        <v>12.3260505311749</v>
      </c>
      <c r="AA34" s="22"/>
      <c r="AB34" s="22">
        <f t="shared" ref="AB34:AE34" si="83">AB16/AB$18*100</f>
        <v>10.954494528199101</v>
      </c>
      <c r="AC34" s="22">
        <f t="shared" si="83"/>
        <v>30.765979666932321</v>
      </c>
      <c r="AD34" s="22">
        <f t="shared" si="83"/>
        <v>2.5255563266988408</v>
      </c>
      <c r="AE34" s="22">
        <f t="shared" si="83"/>
        <v>12.945009385579558</v>
      </c>
      <c r="AG34" s="18" t="str">
        <f>$A$16</f>
        <v>Elementary occupations</v>
      </c>
      <c r="AH34" s="22">
        <f t="shared" ref="AH34:AK34" si="84">AH16/AH$18*100</f>
        <v>6.6216369091311833</v>
      </c>
      <c r="AI34" s="22">
        <f t="shared" si="84"/>
        <v>24.289611698030402</v>
      </c>
      <c r="AJ34" s="22">
        <f t="shared" si="84"/>
        <v>12.606940316689208</v>
      </c>
      <c r="AK34" s="22">
        <f t="shared" si="84"/>
        <v>15.249886231551127</v>
      </c>
      <c r="AL34" s="22"/>
      <c r="AM34" s="22">
        <f t="shared" ref="AM34:AP34" si="85">AM16/AM$18*100</f>
        <v>6.2909339907833148</v>
      </c>
      <c r="AN34" s="22">
        <f t="shared" si="85"/>
        <v>15.772901729223848</v>
      </c>
      <c r="AO34" s="22">
        <f t="shared" si="85"/>
        <v>8.8136619736966182</v>
      </c>
      <c r="AP34" s="22">
        <f t="shared" si="85"/>
        <v>10.730742499879801</v>
      </c>
      <c r="AQ34" s="22"/>
      <c r="AR34" s="22">
        <f t="shared" ref="AR34:AU34" si="86">AR16/AR$18*100</f>
        <v>5.754434439370713</v>
      </c>
      <c r="AS34" s="22">
        <f t="shared" si="86"/>
        <v>13.658101621859251</v>
      </c>
      <c r="AT34" s="22">
        <f t="shared" si="86"/>
        <v>7.7931090987620699</v>
      </c>
      <c r="AU34" s="22">
        <f t="shared" si="86"/>
        <v>9.4893507471454814</v>
      </c>
    </row>
    <row r="35" spans="1:47" x14ac:dyDescent="0.2">
      <c r="A35" s="18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Q35" s="18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G35" s="18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</row>
    <row r="36" spans="1:47" x14ac:dyDescent="0.2">
      <c r="A36" s="28" t="str">
        <f>$A$18</f>
        <v>All occupations</v>
      </c>
      <c r="B36" s="30">
        <f>B18/B$18*100</f>
        <v>100</v>
      </c>
      <c r="C36" s="30">
        <f t="shared" ref="C36:O36" si="87">C18/C$18*100</f>
        <v>100</v>
      </c>
      <c r="D36" s="30">
        <f t="shared" si="87"/>
        <v>100</v>
      </c>
      <c r="E36" s="30">
        <f t="shared" si="87"/>
        <v>100</v>
      </c>
      <c r="F36" s="30"/>
      <c r="G36" s="30">
        <f t="shared" si="87"/>
        <v>100</v>
      </c>
      <c r="H36" s="30">
        <f t="shared" si="87"/>
        <v>100</v>
      </c>
      <c r="I36" s="30">
        <f t="shared" si="87"/>
        <v>100</v>
      </c>
      <c r="J36" s="30">
        <f t="shared" si="87"/>
        <v>100</v>
      </c>
      <c r="K36" s="30"/>
      <c r="L36" s="30">
        <f t="shared" si="87"/>
        <v>100</v>
      </c>
      <c r="M36" s="30">
        <f t="shared" si="87"/>
        <v>100</v>
      </c>
      <c r="N36" s="30">
        <f t="shared" si="87"/>
        <v>100</v>
      </c>
      <c r="O36" s="30">
        <f t="shared" si="87"/>
        <v>100</v>
      </c>
      <c r="Q36" s="28" t="str">
        <f>$A$18</f>
        <v>All occupations</v>
      </c>
      <c r="R36" s="30">
        <f>R18/R$18*100</f>
        <v>100</v>
      </c>
      <c r="S36" s="30">
        <f t="shared" ref="S36:U36" si="88">S18/S$18*100</f>
        <v>100</v>
      </c>
      <c r="T36" s="30">
        <f t="shared" si="88"/>
        <v>100</v>
      </c>
      <c r="U36" s="30">
        <f t="shared" si="88"/>
        <v>100</v>
      </c>
      <c r="V36" s="30"/>
      <c r="W36" s="30">
        <f t="shared" ref="W36:Z36" si="89">W18/W$18*100</f>
        <v>100</v>
      </c>
      <c r="X36" s="30">
        <f t="shared" si="89"/>
        <v>100</v>
      </c>
      <c r="Y36" s="30">
        <f t="shared" si="89"/>
        <v>100</v>
      </c>
      <c r="Z36" s="30">
        <f t="shared" si="89"/>
        <v>100</v>
      </c>
      <c r="AA36" s="30"/>
      <c r="AB36" s="30">
        <f t="shared" ref="AB36:AE36" si="90">AB18/AB$18*100</f>
        <v>100</v>
      </c>
      <c r="AC36" s="30">
        <f t="shared" si="90"/>
        <v>100</v>
      </c>
      <c r="AD36" s="30">
        <f t="shared" si="90"/>
        <v>100</v>
      </c>
      <c r="AE36" s="30">
        <f t="shared" si="90"/>
        <v>100</v>
      </c>
      <c r="AG36" s="28" t="str">
        <f>$A$18</f>
        <v>All occupations</v>
      </c>
      <c r="AH36" s="30">
        <f>AH18/AH$18*100</f>
        <v>100</v>
      </c>
      <c r="AI36" s="30">
        <f t="shared" ref="AI36:AK36" si="91">AI18/AI$18*100</f>
        <v>100</v>
      </c>
      <c r="AJ36" s="30">
        <f t="shared" si="91"/>
        <v>100</v>
      </c>
      <c r="AK36" s="30">
        <f t="shared" si="91"/>
        <v>100</v>
      </c>
      <c r="AL36" s="30"/>
      <c r="AM36" s="30">
        <f t="shared" ref="AM36:AP36" si="92">AM18/AM$18*100</f>
        <v>100</v>
      </c>
      <c r="AN36" s="30">
        <f t="shared" si="92"/>
        <v>100</v>
      </c>
      <c r="AO36" s="30">
        <f t="shared" si="92"/>
        <v>100</v>
      </c>
      <c r="AP36" s="30">
        <f t="shared" si="92"/>
        <v>100</v>
      </c>
      <c r="AQ36" s="30"/>
      <c r="AR36" s="30">
        <f t="shared" ref="AR36:AU36" si="93">AR18/AR$18*100</f>
        <v>100</v>
      </c>
      <c r="AS36" s="30">
        <f t="shared" si="93"/>
        <v>100</v>
      </c>
      <c r="AT36" s="30">
        <f t="shared" si="93"/>
        <v>100</v>
      </c>
      <c r="AU36" s="30">
        <f t="shared" si="93"/>
        <v>100</v>
      </c>
    </row>
    <row r="37" spans="1:47" x14ac:dyDescent="0.2">
      <c r="A37" s="18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Q37" s="18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G37" s="18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</row>
    <row r="38" spans="1:47" x14ac:dyDescent="0.2">
      <c r="A38" s="18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Q38" s="18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G38" s="18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</row>
    <row r="39" spans="1:47" x14ac:dyDescent="0.2">
      <c r="A39" s="18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Q39" s="18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G39" s="18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</row>
    <row r="40" spans="1:47" x14ac:dyDescent="0.2">
      <c r="A40" s="79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Q40" s="79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G40" s="79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</row>
    <row r="41" spans="1:47" x14ac:dyDescent="0.2">
      <c r="A41" s="2"/>
      <c r="B41" s="521" t="str">
        <f>B5&amp;"-"&amp;G5</f>
        <v>2007-2017</v>
      </c>
      <c r="C41" s="521"/>
      <c r="D41" s="521"/>
      <c r="E41" s="521"/>
      <c r="F41" s="57"/>
      <c r="G41" s="521" t="str">
        <f>G5&amp;"-"&amp;L5</f>
        <v>2017-2027</v>
      </c>
      <c r="H41" s="521"/>
      <c r="I41" s="521"/>
      <c r="J41" s="521"/>
      <c r="K41" s="57"/>
      <c r="L41" s="521" t="str">
        <f>B5&amp;"-"&amp;L5</f>
        <v>2007-2027</v>
      </c>
      <c r="M41" s="521"/>
      <c r="N41" s="521"/>
      <c r="O41" s="521"/>
      <c r="Q41" s="2"/>
      <c r="R41" s="521" t="str">
        <f>R5&amp;"-"&amp;W5</f>
        <v>2007-2017</v>
      </c>
      <c r="S41" s="521"/>
      <c r="T41" s="521"/>
      <c r="U41" s="521"/>
      <c r="V41" s="57"/>
      <c r="W41" s="521" t="str">
        <f>W5&amp;"-"&amp;AB5</f>
        <v>2017-2027</v>
      </c>
      <c r="X41" s="521"/>
      <c r="Y41" s="521"/>
      <c r="Z41" s="521"/>
      <c r="AA41" s="57"/>
      <c r="AB41" s="521" t="str">
        <f>R5&amp;"-"&amp;AB5</f>
        <v>2007-2027</v>
      </c>
      <c r="AC41" s="521"/>
      <c r="AD41" s="521"/>
      <c r="AE41" s="521"/>
      <c r="AG41" s="2"/>
      <c r="AH41" s="521" t="str">
        <f>AH5&amp;"-"&amp;AM5</f>
        <v>2007-2017</v>
      </c>
      <c r="AI41" s="521"/>
      <c r="AJ41" s="521"/>
      <c r="AK41" s="521"/>
      <c r="AL41" s="57"/>
      <c r="AM41" s="521" t="str">
        <f>AM5&amp;"-"&amp;AR5</f>
        <v>2017-2027</v>
      </c>
      <c r="AN41" s="521"/>
      <c r="AO41" s="521"/>
      <c r="AP41" s="521"/>
      <c r="AQ41" s="57"/>
      <c r="AR41" s="521" t="str">
        <f>AH5&amp;"-"&amp;AR5</f>
        <v>2007-2027</v>
      </c>
      <c r="AS41" s="521"/>
      <c r="AT41" s="521"/>
      <c r="AU41" s="521"/>
    </row>
    <row r="42" spans="1:47" x14ac:dyDescent="0.2">
      <c r="A42" s="50" t="s">
        <v>15</v>
      </c>
      <c r="B42" s="485" t="s">
        <v>371</v>
      </c>
      <c r="C42" s="485" t="s">
        <v>373</v>
      </c>
      <c r="D42" s="485" t="s">
        <v>369</v>
      </c>
      <c r="E42" s="485" t="s">
        <v>32</v>
      </c>
      <c r="F42" s="486"/>
      <c r="G42" s="485" t="s">
        <v>371</v>
      </c>
      <c r="H42" s="485" t="s">
        <v>373</v>
      </c>
      <c r="I42" s="485" t="s">
        <v>369</v>
      </c>
      <c r="J42" s="485" t="s">
        <v>32</v>
      </c>
      <c r="K42" s="486"/>
      <c r="L42" s="485" t="s">
        <v>371</v>
      </c>
      <c r="M42" s="485" t="s">
        <v>373</v>
      </c>
      <c r="N42" s="485" t="s">
        <v>369</v>
      </c>
      <c r="O42" s="485" t="s">
        <v>32</v>
      </c>
      <c r="Q42" s="50" t="s">
        <v>15</v>
      </c>
      <c r="R42" s="485" t="s">
        <v>371</v>
      </c>
      <c r="S42" s="485" t="s">
        <v>373</v>
      </c>
      <c r="T42" s="485" t="s">
        <v>369</v>
      </c>
      <c r="U42" s="485" t="s">
        <v>32</v>
      </c>
      <c r="V42" s="486"/>
      <c r="W42" s="485" t="s">
        <v>371</v>
      </c>
      <c r="X42" s="485" t="s">
        <v>373</v>
      </c>
      <c r="Y42" s="485" t="s">
        <v>369</v>
      </c>
      <c r="Z42" s="485" t="s">
        <v>32</v>
      </c>
      <c r="AA42" s="486"/>
      <c r="AB42" s="485" t="s">
        <v>371</v>
      </c>
      <c r="AC42" s="485" t="s">
        <v>373</v>
      </c>
      <c r="AD42" s="485" t="s">
        <v>369</v>
      </c>
      <c r="AE42" s="485" t="s">
        <v>32</v>
      </c>
      <c r="AG42" s="50" t="s">
        <v>15</v>
      </c>
      <c r="AH42" s="485" t="s">
        <v>371</v>
      </c>
      <c r="AI42" s="485" t="s">
        <v>373</v>
      </c>
      <c r="AJ42" s="485" t="s">
        <v>369</v>
      </c>
      <c r="AK42" s="485" t="s">
        <v>32</v>
      </c>
      <c r="AL42" s="486"/>
      <c r="AM42" s="485" t="s">
        <v>371</v>
      </c>
      <c r="AN42" s="485" t="s">
        <v>373</v>
      </c>
      <c r="AO42" s="485" t="s">
        <v>369</v>
      </c>
      <c r="AP42" s="485" t="s">
        <v>32</v>
      </c>
      <c r="AQ42" s="486"/>
      <c r="AR42" s="485" t="s">
        <v>371</v>
      </c>
      <c r="AS42" s="485" t="s">
        <v>373</v>
      </c>
      <c r="AT42" s="485" t="s">
        <v>369</v>
      </c>
      <c r="AU42" s="485" t="s">
        <v>32</v>
      </c>
    </row>
    <row r="43" spans="1:47" x14ac:dyDescent="0.2">
      <c r="A43" s="1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Q43" s="1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G43" s="1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</row>
    <row r="44" spans="1:47" x14ac:dyDescent="0.2">
      <c r="A44" s="18" t="str">
        <f>$A$8</f>
        <v>Managers, directors and senior officials</v>
      </c>
      <c r="B44" s="31">
        <f>G8-B8</f>
        <v>13.754372278893491</v>
      </c>
      <c r="C44" s="31">
        <f t="shared" ref="C44:E44" si="94">H8-C8</f>
        <v>4.2452879458486112</v>
      </c>
      <c r="D44" s="31">
        <f t="shared" si="94"/>
        <v>7.0240695544492127</v>
      </c>
      <c r="E44" s="31">
        <f t="shared" si="94"/>
        <v>25.023729779191314</v>
      </c>
      <c r="F44" s="31"/>
      <c r="G44" s="31">
        <f>L8-G8</f>
        <v>11.890164583305662</v>
      </c>
      <c r="H44" s="31">
        <f t="shared" ref="H44:J44" si="95">M8-H8</f>
        <v>4.2480350636353386</v>
      </c>
      <c r="I44" s="31">
        <f t="shared" si="95"/>
        <v>-0.80936465376036182</v>
      </c>
      <c r="J44" s="31">
        <f t="shared" si="95"/>
        <v>15.328834993180635</v>
      </c>
      <c r="K44" s="31"/>
      <c r="L44" s="31">
        <f>L8-B8</f>
        <v>25.644536862199153</v>
      </c>
      <c r="M44" s="31">
        <f t="shared" ref="M44:O44" si="96">M8-C8</f>
        <v>8.4933230094839498</v>
      </c>
      <c r="N44" s="31">
        <f t="shared" si="96"/>
        <v>6.2147049006888508</v>
      </c>
      <c r="O44" s="31">
        <f t="shared" si="96"/>
        <v>40.352564772371949</v>
      </c>
      <c r="Q44" s="18" t="str">
        <f>$A$8</f>
        <v>Managers, directors and senior officials</v>
      </c>
      <c r="R44" s="31">
        <f>W8-R8</f>
        <v>5.772257818312319</v>
      </c>
      <c r="S44" s="31">
        <f t="shared" ref="S44:S52" si="97">X8-S8</f>
        <v>0.53202732853433865</v>
      </c>
      <c r="T44" s="31">
        <f t="shared" ref="T44:T52" si="98">Y8-T8</f>
        <v>2.0569442533349438</v>
      </c>
      <c r="U44" s="31">
        <f t="shared" ref="U44:U52" si="99">Z8-U8</f>
        <v>8.3612294001815997</v>
      </c>
      <c r="V44" s="31"/>
      <c r="W44" s="31">
        <f>AB8-W8</f>
        <v>5.0363598816374733</v>
      </c>
      <c r="X44" s="31">
        <f t="shared" ref="X44:X52" si="100">AC8-X8</f>
        <v>1.0387565162353933</v>
      </c>
      <c r="Y44" s="31">
        <f t="shared" ref="Y44:Y52" si="101">AD8-Y8</f>
        <v>-1.039987459583255</v>
      </c>
      <c r="Z44" s="31">
        <f t="shared" ref="Z44:Z52" si="102">AE8-Z8</f>
        <v>5.0351289382896027</v>
      </c>
      <c r="AA44" s="31"/>
      <c r="AB44" s="31">
        <f>AB8-R8</f>
        <v>10.808617699949792</v>
      </c>
      <c r="AC44" s="31">
        <f t="shared" ref="AC44:AC52" si="103">AC8-S8</f>
        <v>1.570783844769732</v>
      </c>
      <c r="AD44" s="31">
        <f t="shared" ref="AD44:AD52" si="104">AD8-T8</f>
        <v>1.0169567937516888</v>
      </c>
      <c r="AE44" s="31">
        <f t="shared" ref="AE44:AE52" si="105">AE8-U8</f>
        <v>13.396358338471202</v>
      </c>
      <c r="AG44" s="18" t="str">
        <f>$A$8</f>
        <v>Managers, directors and senior officials</v>
      </c>
      <c r="AH44" s="31">
        <f>AM8-AH8</f>
        <v>7.982114460581176</v>
      </c>
      <c r="AI44" s="31">
        <f t="shared" ref="AI44:AI52" si="106">AN8-AI8</f>
        <v>3.7132606173142779</v>
      </c>
      <c r="AJ44" s="31">
        <f t="shared" ref="AJ44:AJ52" si="107">AO8-AJ8</f>
        <v>4.9671253011142422</v>
      </c>
      <c r="AK44" s="31">
        <f t="shared" ref="AK44:AK52" si="108">AP8-AK8</f>
        <v>16.662500379009696</v>
      </c>
      <c r="AL44" s="31"/>
      <c r="AM44" s="31">
        <f>AR8-AM8</f>
        <v>6.8538047016681496</v>
      </c>
      <c r="AN44" s="31">
        <f t="shared" ref="AN44:AN52" si="109">AS8-AN8</f>
        <v>3.2092785473999363</v>
      </c>
      <c r="AO44" s="31">
        <f t="shared" ref="AO44:AO52" si="110">AT8-AO8</f>
        <v>0.23062280582296246</v>
      </c>
      <c r="AP44" s="31">
        <f t="shared" ref="AP44:AP52" si="111">AU8-AP8</f>
        <v>10.293706054891054</v>
      </c>
      <c r="AQ44" s="31"/>
      <c r="AR44" s="31">
        <f>AR8-AH8</f>
        <v>14.835919162249326</v>
      </c>
      <c r="AS44" s="31">
        <f t="shared" ref="AS44:AS52" si="112">AS8-AI8</f>
        <v>6.9225391647142143</v>
      </c>
      <c r="AT44" s="31">
        <f t="shared" ref="AT44:AT52" si="113">AT8-AJ8</f>
        <v>5.1977481069372047</v>
      </c>
      <c r="AU44" s="31">
        <f t="shared" ref="AU44:AU52" si="114">AU8-AK8</f>
        <v>26.95620643390075</v>
      </c>
    </row>
    <row r="45" spans="1:47" x14ac:dyDescent="0.2">
      <c r="A45" s="18" t="str">
        <f>$A$9</f>
        <v>Professional occupations</v>
      </c>
      <c r="B45" s="31">
        <f t="shared" ref="B45:B54" si="115">G9-B9</f>
        <v>37.913653404934479</v>
      </c>
      <c r="C45" s="31">
        <f t="shared" ref="C45:C54" si="116">H9-C9</f>
        <v>23.471008075901452</v>
      </c>
      <c r="D45" s="31">
        <f t="shared" ref="D45:D54" si="117">I9-D9</f>
        <v>4.4661297241666738</v>
      </c>
      <c r="E45" s="31">
        <f t="shared" ref="E45:E54" si="118">J9-E9</f>
        <v>65.850791205002565</v>
      </c>
      <c r="F45" s="31"/>
      <c r="G45" s="31">
        <f t="shared" ref="G45:G54" si="119">L9-G9</f>
        <v>17.599813819430977</v>
      </c>
      <c r="H45" s="31">
        <f t="shared" ref="H45:H54" si="120">M9-H9</f>
        <v>18.598167710213616</v>
      </c>
      <c r="I45" s="31">
        <f t="shared" ref="I45:I54" si="121">N9-I9</f>
        <v>1.6348221335861908</v>
      </c>
      <c r="J45" s="31">
        <f t="shared" ref="J45:J54" si="122">O9-J9</f>
        <v>37.832803663230834</v>
      </c>
      <c r="K45" s="31"/>
      <c r="L45" s="31">
        <f t="shared" ref="L45:L54" si="123">L9-B9</f>
        <v>55.513467224365456</v>
      </c>
      <c r="M45" s="31">
        <f t="shared" ref="M45:M54" si="124">M9-C9</f>
        <v>42.069175786115068</v>
      </c>
      <c r="N45" s="31">
        <f t="shared" ref="N45:N54" si="125">N9-D9</f>
        <v>6.1009518577528645</v>
      </c>
      <c r="O45" s="31">
        <f t="shared" ref="O45:O54" si="126">O9-E9</f>
        <v>103.6835948682334</v>
      </c>
      <c r="Q45" s="18" t="str">
        <f>$A$9</f>
        <v>Professional occupations</v>
      </c>
      <c r="R45" s="31">
        <f t="shared" ref="R45:R52" si="127">W9-R9</f>
        <v>17.368340827972006</v>
      </c>
      <c r="S45" s="31">
        <f t="shared" si="97"/>
        <v>2.6927140582425224</v>
      </c>
      <c r="T45" s="31">
        <f t="shared" si="98"/>
        <v>0.20194366866872571</v>
      </c>
      <c r="U45" s="31">
        <f t="shared" si="99"/>
        <v>20.262998554883268</v>
      </c>
      <c r="V45" s="31"/>
      <c r="W45" s="31">
        <f t="shared" ref="W45:W52" si="128">AB9-W9</f>
        <v>1.5364257272277939</v>
      </c>
      <c r="X45" s="31">
        <f t="shared" si="100"/>
        <v>4.3116439670937865</v>
      </c>
      <c r="Y45" s="31">
        <f t="shared" si="101"/>
        <v>-0.20355271208530112</v>
      </c>
      <c r="Z45" s="31">
        <f t="shared" si="102"/>
        <v>5.6445169822362686</v>
      </c>
      <c r="AA45" s="31"/>
      <c r="AB45" s="31">
        <f t="shared" ref="AB45:AB52" si="129">AB9-R9</f>
        <v>18.904766555199799</v>
      </c>
      <c r="AC45" s="31">
        <f t="shared" si="103"/>
        <v>7.0043580253363089</v>
      </c>
      <c r="AD45" s="31">
        <f t="shared" si="104"/>
        <v>-1.6090434165754175E-3</v>
      </c>
      <c r="AE45" s="31">
        <f t="shared" si="105"/>
        <v>25.907515537119536</v>
      </c>
      <c r="AG45" s="18" t="str">
        <f>$A$9</f>
        <v>Professional occupations</v>
      </c>
      <c r="AH45" s="31">
        <f t="shared" ref="AH45:AH52" si="130">AM9-AH9</f>
        <v>20.545312576962417</v>
      </c>
      <c r="AI45" s="31">
        <f t="shared" si="106"/>
        <v>20.778294017658951</v>
      </c>
      <c r="AJ45" s="31">
        <f t="shared" si="107"/>
        <v>4.2641860554979454</v>
      </c>
      <c r="AK45" s="31">
        <f t="shared" si="108"/>
        <v>45.587792650119297</v>
      </c>
      <c r="AL45" s="31"/>
      <c r="AM45" s="31">
        <f t="shared" ref="AM45:AM52" si="131">AR9-AM9</f>
        <v>16.06338809220324</v>
      </c>
      <c r="AN45" s="31">
        <f t="shared" si="109"/>
        <v>14.28652374311983</v>
      </c>
      <c r="AO45" s="31">
        <f t="shared" si="110"/>
        <v>1.8383748456714955</v>
      </c>
      <c r="AP45" s="31">
        <f t="shared" si="111"/>
        <v>32.188286680994594</v>
      </c>
      <c r="AQ45" s="31"/>
      <c r="AR45" s="31">
        <f t="shared" ref="AR45:AR52" si="132">AR9-AH9</f>
        <v>36.608700669165657</v>
      </c>
      <c r="AS45" s="31">
        <f t="shared" si="112"/>
        <v>35.06481776077878</v>
      </c>
      <c r="AT45" s="31">
        <f t="shared" si="113"/>
        <v>6.1025609011694408</v>
      </c>
      <c r="AU45" s="31">
        <f t="shared" si="114"/>
        <v>77.776079331113891</v>
      </c>
    </row>
    <row r="46" spans="1:47" x14ac:dyDescent="0.2">
      <c r="A46" s="18" t="str">
        <f>$A$10</f>
        <v>Associate professional and technical</v>
      </c>
      <c r="B46" s="31">
        <f t="shared" si="115"/>
        <v>9.8818581325110131</v>
      </c>
      <c r="C46" s="31">
        <f t="shared" si="116"/>
        <v>6.5139469011646085</v>
      </c>
      <c r="D46" s="31">
        <f t="shared" si="117"/>
        <v>10.123520150854837</v>
      </c>
      <c r="E46" s="31">
        <f t="shared" si="118"/>
        <v>26.519325184530459</v>
      </c>
      <c r="F46" s="31"/>
      <c r="G46" s="31">
        <f t="shared" si="119"/>
        <v>7.888106936722437</v>
      </c>
      <c r="H46" s="31">
        <f t="shared" si="120"/>
        <v>7.3479271803315669</v>
      </c>
      <c r="I46" s="31">
        <f t="shared" si="121"/>
        <v>1.7012582484820769</v>
      </c>
      <c r="J46" s="31">
        <f t="shared" si="122"/>
        <v>16.937292365536081</v>
      </c>
      <c r="K46" s="31"/>
      <c r="L46" s="31">
        <f t="shared" si="123"/>
        <v>17.76996506923345</v>
      </c>
      <c r="M46" s="31">
        <f t="shared" si="124"/>
        <v>13.861874081496175</v>
      </c>
      <c r="N46" s="31">
        <f t="shared" si="125"/>
        <v>11.824778399336914</v>
      </c>
      <c r="O46" s="31">
        <f t="shared" si="126"/>
        <v>43.456617550066539</v>
      </c>
      <c r="Q46" s="18" t="str">
        <f>$A$10</f>
        <v>Associate professional and technical</v>
      </c>
      <c r="R46" s="31">
        <f t="shared" si="127"/>
        <v>1.0664515613275256</v>
      </c>
      <c r="S46" s="31">
        <f t="shared" si="97"/>
        <v>1.1114785918745982</v>
      </c>
      <c r="T46" s="31">
        <f t="shared" si="98"/>
        <v>4.1082044661764971</v>
      </c>
      <c r="U46" s="31">
        <f t="shared" si="99"/>
        <v>6.2861346193786289</v>
      </c>
      <c r="V46" s="31"/>
      <c r="W46" s="31">
        <f t="shared" si="128"/>
        <v>-0.71411385857641108</v>
      </c>
      <c r="X46" s="31">
        <f t="shared" si="100"/>
        <v>1.9099816076890992</v>
      </c>
      <c r="Y46" s="31">
        <f t="shared" si="101"/>
        <v>-5.4860650522435606E-2</v>
      </c>
      <c r="Z46" s="31">
        <f t="shared" si="102"/>
        <v>1.1410070985902649</v>
      </c>
      <c r="AA46" s="31"/>
      <c r="AB46" s="31">
        <f t="shared" si="129"/>
        <v>0.35233770275111453</v>
      </c>
      <c r="AC46" s="31">
        <f t="shared" si="103"/>
        <v>3.0214601995636974</v>
      </c>
      <c r="AD46" s="31">
        <f t="shared" si="104"/>
        <v>4.0533438156540615</v>
      </c>
      <c r="AE46" s="31">
        <f t="shared" si="105"/>
        <v>7.4271417179688939</v>
      </c>
      <c r="AG46" s="18" t="str">
        <f>$A$10</f>
        <v>Associate professional and technical</v>
      </c>
      <c r="AH46" s="31">
        <f t="shared" si="130"/>
        <v>8.8154065711834448</v>
      </c>
      <c r="AI46" s="31">
        <f t="shared" si="106"/>
        <v>5.4024683092900112</v>
      </c>
      <c r="AJ46" s="31">
        <f t="shared" si="107"/>
        <v>6.0153156846783578</v>
      </c>
      <c r="AK46" s="31">
        <f t="shared" si="108"/>
        <v>20.233190565151816</v>
      </c>
      <c r="AL46" s="31"/>
      <c r="AM46" s="31">
        <f t="shared" si="131"/>
        <v>8.6022207952988765</v>
      </c>
      <c r="AN46" s="31">
        <f t="shared" si="109"/>
        <v>5.4379455726424588</v>
      </c>
      <c r="AO46" s="31">
        <f t="shared" si="110"/>
        <v>1.7561188990045231</v>
      </c>
      <c r="AP46" s="31">
        <f t="shared" si="111"/>
        <v>15.796285266945844</v>
      </c>
      <c r="AQ46" s="31"/>
      <c r="AR46" s="31">
        <f t="shared" si="132"/>
        <v>17.417627366482321</v>
      </c>
      <c r="AS46" s="31">
        <f t="shared" si="112"/>
        <v>10.84041388193247</v>
      </c>
      <c r="AT46" s="31">
        <f t="shared" si="113"/>
        <v>7.7714345836828809</v>
      </c>
      <c r="AU46" s="31">
        <f t="shared" si="114"/>
        <v>36.02947583209766</v>
      </c>
    </row>
    <row r="47" spans="1:47" x14ac:dyDescent="0.2">
      <c r="A47" s="18" t="str">
        <f>$A$11</f>
        <v>Administrative and secretarial</v>
      </c>
      <c r="B47" s="31">
        <f t="shared" si="115"/>
        <v>-5.1633424984652976</v>
      </c>
      <c r="C47" s="31">
        <f t="shared" si="116"/>
        <v>-2.9035764714077672</v>
      </c>
      <c r="D47" s="31">
        <f t="shared" si="117"/>
        <v>0.87868920104824255</v>
      </c>
      <c r="E47" s="31">
        <f t="shared" si="118"/>
        <v>-7.1882297688248116</v>
      </c>
      <c r="F47" s="31"/>
      <c r="G47" s="31">
        <f t="shared" si="119"/>
        <v>-11.680149539772771</v>
      </c>
      <c r="H47" s="31">
        <f t="shared" si="120"/>
        <v>-8.9454937490293318</v>
      </c>
      <c r="I47" s="31">
        <f t="shared" si="121"/>
        <v>-1.2745555787101357</v>
      </c>
      <c r="J47" s="31">
        <f t="shared" si="122"/>
        <v>-21.900198867512216</v>
      </c>
      <c r="K47" s="31"/>
      <c r="L47" s="31">
        <f t="shared" si="123"/>
        <v>-16.843492038238068</v>
      </c>
      <c r="M47" s="31">
        <f t="shared" si="124"/>
        <v>-11.849070220437099</v>
      </c>
      <c r="N47" s="31">
        <f t="shared" si="125"/>
        <v>-0.39586637766189314</v>
      </c>
      <c r="O47" s="31">
        <f t="shared" si="126"/>
        <v>-29.088428636337028</v>
      </c>
      <c r="Q47" s="18" t="str">
        <f>$A$11</f>
        <v>Administrative and secretarial</v>
      </c>
      <c r="R47" s="31">
        <f t="shared" si="127"/>
        <v>1.3028191810907686</v>
      </c>
      <c r="S47" s="31">
        <f t="shared" si="97"/>
        <v>0.36937333435491038</v>
      </c>
      <c r="T47" s="31">
        <f t="shared" si="98"/>
        <v>-0.14054495529513056</v>
      </c>
      <c r="U47" s="31">
        <f t="shared" si="99"/>
        <v>1.5316475601505459</v>
      </c>
      <c r="V47" s="31"/>
      <c r="W47" s="31">
        <f t="shared" si="128"/>
        <v>0.3375466181871829</v>
      </c>
      <c r="X47" s="31">
        <f t="shared" si="100"/>
        <v>1.1344092566049975</v>
      </c>
      <c r="Y47" s="31">
        <f t="shared" si="101"/>
        <v>-9.4597806768139225E-2</v>
      </c>
      <c r="Z47" s="31">
        <f t="shared" si="102"/>
        <v>1.3773580680240443</v>
      </c>
      <c r="AA47" s="31"/>
      <c r="AB47" s="31">
        <f t="shared" si="129"/>
        <v>1.6403657992779515</v>
      </c>
      <c r="AC47" s="31">
        <f t="shared" si="103"/>
        <v>1.5037825909599078</v>
      </c>
      <c r="AD47" s="31">
        <f t="shared" si="104"/>
        <v>-0.23514276206326978</v>
      </c>
      <c r="AE47" s="31">
        <f t="shared" si="105"/>
        <v>2.9090056281745902</v>
      </c>
      <c r="AG47" s="18" t="str">
        <f>$A$11</f>
        <v>Administrative and secretarial</v>
      </c>
      <c r="AH47" s="31">
        <f t="shared" si="130"/>
        <v>-6.4661616795560661</v>
      </c>
      <c r="AI47" s="31">
        <f t="shared" si="106"/>
        <v>-3.2729498057626785</v>
      </c>
      <c r="AJ47" s="31">
        <f t="shared" si="107"/>
        <v>1.0192341563433742</v>
      </c>
      <c r="AK47" s="31">
        <f t="shared" si="108"/>
        <v>-8.7198773289753717</v>
      </c>
      <c r="AL47" s="31"/>
      <c r="AM47" s="31">
        <f t="shared" si="131"/>
        <v>-12.017696157959904</v>
      </c>
      <c r="AN47" s="31">
        <f t="shared" si="109"/>
        <v>-10.079903005634286</v>
      </c>
      <c r="AO47" s="31">
        <f t="shared" si="110"/>
        <v>-1.1799577719420031</v>
      </c>
      <c r="AP47" s="31">
        <f t="shared" si="111"/>
        <v>-23.277556935536197</v>
      </c>
      <c r="AQ47" s="31"/>
      <c r="AR47" s="31">
        <f t="shared" si="132"/>
        <v>-18.48385783751597</v>
      </c>
      <c r="AS47" s="31">
        <f t="shared" si="112"/>
        <v>-13.352852811396964</v>
      </c>
      <c r="AT47" s="31">
        <f t="shared" si="113"/>
        <v>-0.16072361559862891</v>
      </c>
      <c r="AU47" s="31">
        <f t="shared" si="114"/>
        <v>-31.997434264511568</v>
      </c>
    </row>
    <row r="48" spans="1:47" x14ac:dyDescent="0.2">
      <c r="A48" s="18" t="str">
        <f>$A$12</f>
        <v>Skilled trades occupations</v>
      </c>
      <c r="B48" s="31">
        <f t="shared" si="115"/>
        <v>2.1081204797993678</v>
      </c>
      <c r="C48" s="31">
        <f t="shared" si="116"/>
        <v>-0.11935713129244263</v>
      </c>
      <c r="D48" s="31">
        <f t="shared" si="117"/>
        <v>10.053570453818352</v>
      </c>
      <c r="E48" s="31">
        <f t="shared" si="118"/>
        <v>12.042333802325288</v>
      </c>
      <c r="F48" s="31"/>
      <c r="G48" s="31">
        <f t="shared" si="119"/>
        <v>-8.7793141593558488</v>
      </c>
      <c r="H48" s="31">
        <f t="shared" si="120"/>
        <v>-0.83085730103252153</v>
      </c>
      <c r="I48" s="31">
        <f t="shared" si="121"/>
        <v>-4.6644607431693146</v>
      </c>
      <c r="J48" s="31">
        <f t="shared" si="122"/>
        <v>-14.274632203557701</v>
      </c>
      <c r="K48" s="31"/>
      <c r="L48" s="31">
        <f t="shared" si="123"/>
        <v>-6.671193679556481</v>
      </c>
      <c r="M48" s="31">
        <f t="shared" si="124"/>
        <v>-0.95021443232496416</v>
      </c>
      <c r="N48" s="31">
        <f t="shared" si="125"/>
        <v>5.3891097106490378</v>
      </c>
      <c r="O48" s="31">
        <f t="shared" si="126"/>
        <v>-2.2322984012324127</v>
      </c>
      <c r="Q48" s="18" t="str">
        <f>$A$12</f>
        <v>Skilled trades occupations</v>
      </c>
      <c r="R48" s="31">
        <f t="shared" si="127"/>
        <v>1.3901887677839397</v>
      </c>
      <c r="S48" s="31">
        <f t="shared" si="97"/>
        <v>0.32638681552718296</v>
      </c>
      <c r="T48" s="31">
        <f t="shared" si="98"/>
        <v>4.7439427379457584</v>
      </c>
      <c r="U48" s="31">
        <f t="shared" si="99"/>
        <v>6.4605183212568704</v>
      </c>
      <c r="V48" s="31"/>
      <c r="W48" s="31">
        <f t="shared" si="128"/>
        <v>-8.7077752572939602</v>
      </c>
      <c r="X48" s="31">
        <f t="shared" si="100"/>
        <v>-0.88928195098170981</v>
      </c>
      <c r="Y48" s="31">
        <f t="shared" si="101"/>
        <v>-4.471185918643485</v>
      </c>
      <c r="Z48" s="31">
        <f t="shared" si="102"/>
        <v>-14.068243126919157</v>
      </c>
      <c r="AA48" s="31"/>
      <c r="AB48" s="31">
        <f t="shared" si="129"/>
        <v>-7.3175864895100204</v>
      </c>
      <c r="AC48" s="31">
        <f t="shared" si="103"/>
        <v>-0.56289513545452685</v>
      </c>
      <c r="AD48" s="31">
        <f t="shared" si="104"/>
        <v>0.27275681930227336</v>
      </c>
      <c r="AE48" s="31">
        <f t="shared" si="105"/>
        <v>-7.6077248056622864</v>
      </c>
      <c r="AG48" s="18" t="str">
        <f>$A$12</f>
        <v>Skilled trades occupations</v>
      </c>
      <c r="AH48" s="31">
        <f t="shared" si="130"/>
        <v>0.71793171201537387</v>
      </c>
      <c r="AI48" s="31">
        <f t="shared" si="106"/>
        <v>-0.44574394681964513</v>
      </c>
      <c r="AJ48" s="31">
        <f t="shared" si="107"/>
        <v>5.309627715872673</v>
      </c>
      <c r="AK48" s="31">
        <f t="shared" si="108"/>
        <v>5.5818154810684035</v>
      </c>
      <c r="AL48" s="31"/>
      <c r="AM48" s="31">
        <f t="shared" si="131"/>
        <v>-7.1538902061861975E-2</v>
      </c>
      <c r="AN48" s="31">
        <f t="shared" si="109"/>
        <v>5.8424649949203378E-2</v>
      </c>
      <c r="AO48" s="31">
        <f t="shared" si="110"/>
        <v>-0.19327482452579936</v>
      </c>
      <c r="AP48" s="31">
        <f t="shared" si="111"/>
        <v>-0.20638907663845885</v>
      </c>
      <c r="AQ48" s="31"/>
      <c r="AR48" s="31">
        <f t="shared" si="132"/>
        <v>0.64639280995351189</v>
      </c>
      <c r="AS48" s="31">
        <f t="shared" si="112"/>
        <v>-0.38731929687044175</v>
      </c>
      <c r="AT48" s="31">
        <f t="shared" si="113"/>
        <v>5.1163528913468737</v>
      </c>
      <c r="AU48" s="31">
        <f t="shared" si="114"/>
        <v>5.3754264044299447</v>
      </c>
    </row>
    <row r="49" spans="1:47" x14ac:dyDescent="0.2">
      <c r="A49" s="18" t="str">
        <f>$A$13</f>
        <v>Caring, leisure and other service</v>
      </c>
      <c r="B49" s="31">
        <f t="shared" si="115"/>
        <v>11.899884083423586</v>
      </c>
      <c r="C49" s="31">
        <f t="shared" si="116"/>
        <v>21.628334038664029</v>
      </c>
      <c r="D49" s="31">
        <f t="shared" si="117"/>
        <v>8.4388225198329412</v>
      </c>
      <c r="E49" s="31">
        <f t="shared" si="118"/>
        <v>41.967040641920562</v>
      </c>
      <c r="F49" s="31"/>
      <c r="G49" s="31">
        <f t="shared" si="119"/>
        <v>4.8993843830800614</v>
      </c>
      <c r="H49" s="31">
        <f t="shared" si="120"/>
        <v>17.059531938126227</v>
      </c>
      <c r="I49" s="31">
        <f t="shared" si="121"/>
        <v>-1.2798333240399185</v>
      </c>
      <c r="J49" s="31">
        <f t="shared" si="122"/>
        <v>20.679082997166375</v>
      </c>
      <c r="K49" s="31"/>
      <c r="L49" s="31">
        <f t="shared" si="123"/>
        <v>16.799268466503648</v>
      </c>
      <c r="M49" s="31">
        <f t="shared" si="124"/>
        <v>38.687865976790256</v>
      </c>
      <c r="N49" s="31">
        <f t="shared" si="125"/>
        <v>7.1589891957930227</v>
      </c>
      <c r="O49" s="31">
        <f t="shared" si="126"/>
        <v>62.646123639086937</v>
      </c>
      <c r="Q49" s="18" t="str">
        <f>$A$13</f>
        <v>Caring, leisure and other service</v>
      </c>
      <c r="R49" s="31">
        <f t="shared" si="127"/>
        <v>3.5931920276428251</v>
      </c>
      <c r="S49" s="31">
        <f t="shared" si="97"/>
        <v>-0.92816853599064419</v>
      </c>
      <c r="T49" s="31">
        <f t="shared" si="98"/>
        <v>1.3732249785272117</v>
      </c>
      <c r="U49" s="31">
        <f t="shared" si="99"/>
        <v>4.0382484701793899</v>
      </c>
      <c r="V49" s="31"/>
      <c r="W49" s="31">
        <f t="shared" si="128"/>
        <v>1.847713334156257</v>
      </c>
      <c r="X49" s="31">
        <f t="shared" si="100"/>
        <v>2.7068561473173736</v>
      </c>
      <c r="Y49" s="31">
        <f t="shared" si="101"/>
        <v>-0.16143064204704238</v>
      </c>
      <c r="Z49" s="31">
        <f t="shared" si="102"/>
        <v>4.3931388394265909</v>
      </c>
      <c r="AA49" s="31"/>
      <c r="AB49" s="31">
        <f t="shared" si="129"/>
        <v>5.4409053617990821</v>
      </c>
      <c r="AC49" s="31">
        <f t="shared" si="103"/>
        <v>1.7786876113267294</v>
      </c>
      <c r="AD49" s="31">
        <f t="shared" si="104"/>
        <v>1.2117943364801693</v>
      </c>
      <c r="AE49" s="31">
        <f t="shared" si="105"/>
        <v>8.4313873096059808</v>
      </c>
      <c r="AG49" s="18" t="str">
        <f>$A$13</f>
        <v>Caring, leisure and other service</v>
      </c>
      <c r="AH49" s="31">
        <f t="shared" si="130"/>
        <v>8.3066920557807933</v>
      </c>
      <c r="AI49" s="31">
        <f t="shared" si="106"/>
        <v>22.556502574654687</v>
      </c>
      <c r="AJ49" s="31">
        <f t="shared" si="107"/>
        <v>7.0655975413057295</v>
      </c>
      <c r="AK49" s="31">
        <f t="shared" si="108"/>
        <v>37.928792171741222</v>
      </c>
      <c r="AL49" s="31"/>
      <c r="AM49" s="31">
        <f t="shared" si="131"/>
        <v>3.0516710489238221</v>
      </c>
      <c r="AN49" s="31">
        <f t="shared" si="109"/>
        <v>14.352675790808831</v>
      </c>
      <c r="AO49" s="31">
        <f t="shared" si="110"/>
        <v>-1.1184026819928725</v>
      </c>
      <c r="AP49" s="31">
        <f t="shared" si="111"/>
        <v>16.285944157739777</v>
      </c>
      <c r="AQ49" s="31"/>
      <c r="AR49" s="31">
        <f t="shared" si="132"/>
        <v>11.358363104704615</v>
      </c>
      <c r="AS49" s="31">
        <f t="shared" si="112"/>
        <v>36.909178365463518</v>
      </c>
      <c r="AT49" s="31">
        <f t="shared" si="113"/>
        <v>5.947194859312857</v>
      </c>
      <c r="AU49" s="31">
        <f t="shared" si="114"/>
        <v>54.214736329480999</v>
      </c>
    </row>
    <row r="50" spans="1:47" x14ac:dyDescent="0.2">
      <c r="A50" s="18" t="str">
        <f>$A$14</f>
        <v>Sales and customer service</v>
      </c>
      <c r="B50" s="31">
        <f t="shared" si="115"/>
        <v>-0.35055885989152813</v>
      </c>
      <c r="C50" s="31">
        <f t="shared" si="116"/>
        <v>-5.5238232775418368</v>
      </c>
      <c r="D50" s="31">
        <f t="shared" si="117"/>
        <v>0.14098404238230966</v>
      </c>
      <c r="E50" s="31">
        <f t="shared" si="118"/>
        <v>-5.7333980950510721</v>
      </c>
      <c r="F50" s="31"/>
      <c r="G50" s="31">
        <f t="shared" si="119"/>
        <v>-1.9360872950089529</v>
      </c>
      <c r="H50" s="31">
        <f t="shared" si="120"/>
        <v>-0.58468978249595693</v>
      </c>
      <c r="I50" s="31">
        <f t="shared" si="121"/>
        <v>-1.0000642160943602</v>
      </c>
      <c r="J50" s="31">
        <f t="shared" si="122"/>
        <v>-3.5208412935992612</v>
      </c>
      <c r="K50" s="31"/>
      <c r="L50" s="31">
        <f t="shared" si="123"/>
        <v>-2.2866461549004811</v>
      </c>
      <c r="M50" s="31">
        <f t="shared" si="124"/>
        <v>-6.1085130600377937</v>
      </c>
      <c r="N50" s="31">
        <f t="shared" si="125"/>
        <v>-0.85908017371205059</v>
      </c>
      <c r="O50" s="31">
        <f t="shared" si="126"/>
        <v>-9.2542393886503334</v>
      </c>
      <c r="Q50" s="18" t="str">
        <f>$A$14</f>
        <v>Sales and customer service</v>
      </c>
      <c r="R50" s="31">
        <f t="shared" si="127"/>
        <v>3.4327483043435656</v>
      </c>
      <c r="S50" s="31">
        <f t="shared" si="97"/>
        <v>-3.4778165592173167</v>
      </c>
      <c r="T50" s="31">
        <f t="shared" si="98"/>
        <v>-0.13958515243226</v>
      </c>
      <c r="U50" s="31">
        <f t="shared" si="99"/>
        <v>-0.18465340730600843</v>
      </c>
      <c r="V50" s="31"/>
      <c r="W50" s="31">
        <f t="shared" si="128"/>
        <v>0.2097294432386434</v>
      </c>
      <c r="X50" s="31">
        <f t="shared" si="100"/>
        <v>4.0235030934500315E-2</v>
      </c>
      <c r="Y50" s="31">
        <f t="shared" si="101"/>
        <v>-0.30679116171408416</v>
      </c>
      <c r="Z50" s="31">
        <f t="shared" si="102"/>
        <v>-5.6826687540933563E-2</v>
      </c>
      <c r="AA50" s="31"/>
      <c r="AB50" s="31">
        <f t="shared" si="129"/>
        <v>3.642477747582209</v>
      </c>
      <c r="AC50" s="31">
        <f t="shared" si="103"/>
        <v>-3.4375815282828164</v>
      </c>
      <c r="AD50" s="31">
        <f t="shared" si="104"/>
        <v>-0.44637631414634416</v>
      </c>
      <c r="AE50" s="31">
        <f t="shared" si="105"/>
        <v>-0.241480094846942</v>
      </c>
      <c r="AG50" s="18" t="str">
        <f>$A$14</f>
        <v>Sales and customer service</v>
      </c>
      <c r="AH50" s="31">
        <f t="shared" si="130"/>
        <v>-3.7833071642350475</v>
      </c>
      <c r="AI50" s="31">
        <f t="shared" si="106"/>
        <v>-2.0460067183244988</v>
      </c>
      <c r="AJ50" s="31">
        <f t="shared" si="107"/>
        <v>0.28056919481456788</v>
      </c>
      <c r="AK50" s="31">
        <f t="shared" si="108"/>
        <v>-5.5487446877449713</v>
      </c>
      <c r="AL50" s="31"/>
      <c r="AM50" s="31">
        <f t="shared" si="131"/>
        <v>-2.1458167382475573</v>
      </c>
      <c r="AN50" s="31">
        <f t="shared" si="109"/>
        <v>-0.62492481343043238</v>
      </c>
      <c r="AO50" s="31">
        <f t="shared" si="110"/>
        <v>-0.69327305438027764</v>
      </c>
      <c r="AP50" s="31">
        <f t="shared" si="111"/>
        <v>-3.464014606058285</v>
      </c>
      <c r="AQ50" s="31"/>
      <c r="AR50" s="31">
        <f t="shared" si="132"/>
        <v>-5.9291239024826048</v>
      </c>
      <c r="AS50" s="31">
        <f t="shared" si="112"/>
        <v>-2.6709315317549311</v>
      </c>
      <c r="AT50" s="31">
        <f t="shared" si="113"/>
        <v>-0.41270385956570976</v>
      </c>
      <c r="AU50" s="31">
        <f t="shared" si="114"/>
        <v>-9.0127592938032564</v>
      </c>
    </row>
    <row r="51" spans="1:47" x14ac:dyDescent="0.2">
      <c r="A51" s="18" t="str">
        <f>$A$15</f>
        <v>Process, plant and machine operatives</v>
      </c>
      <c r="B51" s="31">
        <f t="shared" si="115"/>
        <v>-15.199167591507958</v>
      </c>
      <c r="C51" s="31">
        <f t="shared" si="116"/>
        <v>-3.1402814689448277E-2</v>
      </c>
      <c r="D51" s="31">
        <f t="shared" si="117"/>
        <v>-1.9257625803685592</v>
      </c>
      <c r="E51" s="31">
        <f t="shared" si="118"/>
        <v>-17.156332986565957</v>
      </c>
      <c r="F51" s="31"/>
      <c r="G51" s="31">
        <f t="shared" si="119"/>
        <v>-10.785420148840814</v>
      </c>
      <c r="H51" s="31">
        <f t="shared" si="120"/>
        <v>1.101099482827383</v>
      </c>
      <c r="I51" s="31">
        <f t="shared" si="121"/>
        <v>-1.154535210141395</v>
      </c>
      <c r="J51" s="31">
        <f t="shared" si="122"/>
        <v>-10.838855876154824</v>
      </c>
      <c r="K51" s="31"/>
      <c r="L51" s="31">
        <f t="shared" si="123"/>
        <v>-25.984587740348772</v>
      </c>
      <c r="M51" s="31">
        <f t="shared" si="124"/>
        <v>1.0696966681379347</v>
      </c>
      <c r="N51" s="31">
        <f t="shared" si="125"/>
        <v>-3.0802977905099542</v>
      </c>
      <c r="O51" s="31">
        <f t="shared" si="126"/>
        <v>-27.995188862720781</v>
      </c>
      <c r="Q51" s="18" t="str">
        <f>$A$15</f>
        <v>Process, plant and machine operatives</v>
      </c>
      <c r="R51" s="31">
        <f t="shared" si="127"/>
        <v>-12.150791044279529</v>
      </c>
      <c r="S51" s="31">
        <f t="shared" si="97"/>
        <v>0.8525840548313095</v>
      </c>
      <c r="T51" s="31">
        <f t="shared" si="98"/>
        <v>-2.8784923581182014</v>
      </c>
      <c r="U51" s="31">
        <f t="shared" si="99"/>
        <v>-14.176699347566426</v>
      </c>
      <c r="V51" s="31"/>
      <c r="W51" s="31">
        <f t="shared" si="128"/>
        <v>-7.6879022523675786</v>
      </c>
      <c r="X51" s="31">
        <f t="shared" si="100"/>
        <v>1.8706026683237607</v>
      </c>
      <c r="Y51" s="31">
        <f t="shared" si="101"/>
        <v>-0.73434785867899421</v>
      </c>
      <c r="Z51" s="31">
        <f t="shared" si="102"/>
        <v>-6.5516474427228104</v>
      </c>
      <c r="AA51" s="31"/>
      <c r="AB51" s="31">
        <f t="shared" si="129"/>
        <v>-19.838693296647108</v>
      </c>
      <c r="AC51" s="31">
        <f t="shared" si="103"/>
        <v>2.7231867231550702</v>
      </c>
      <c r="AD51" s="31">
        <f t="shared" si="104"/>
        <v>-3.6128402167971956</v>
      </c>
      <c r="AE51" s="31">
        <f t="shared" si="105"/>
        <v>-20.728346790289237</v>
      </c>
      <c r="AG51" s="18" t="str">
        <f>$A$15</f>
        <v>Process, plant and machine operatives</v>
      </c>
      <c r="AH51" s="31">
        <f t="shared" si="130"/>
        <v>-3.0483765472283952</v>
      </c>
      <c r="AI51" s="31">
        <f t="shared" si="106"/>
        <v>-0.88398686952074446</v>
      </c>
      <c r="AJ51" s="31">
        <f t="shared" si="107"/>
        <v>0.95272977774962153</v>
      </c>
      <c r="AK51" s="31">
        <f t="shared" si="108"/>
        <v>-2.9796336389995162</v>
      </c>
      <c r="AL51" s="31"/>
      <c r="AM51" s="31">
        <f t="shared" si="131"/>
        <v>-3.097517896473148</v>
      </c>
      <c r="AN51" s="31">
        <f t="shared" si="109"/>
        <v>-0.76950318549637275</v>
      </c>
      <c r="AO51" s="31">
        <f t="shared" si="110"/>
        <v>-0.42018735146239128</v>
      </c>
      <c r="AP51" s="31">
        <f t="shared" si="111"/>
        <v>-4.287208433431914</v>
      </c>
      <c r="AQ51" s="31"/>
      <c r="AR51" s="31">
        <f t="shared" si="132"/>
        <v>-6.1458944437015433</v>
      </c>
      <c r="AS51" s="31">
        <f t="shared" si="112"/>
        <v>-1.6534900550171172</v>
      </c>
      <c r="AT51" s="31">
        <f t="shared" si="113"/>
        <v>0.53254242628723025</v>
      </c>
      <c r="AU51" s="31">
        <f t="shared" si="114"/>
        <v>-7.2668420724314302</v>
      </c>
    </row>
    <row r="52" spans="1:47" x14ac:dyDescent="0.2">
      <c r="A52" s="18" t="str">
        <f>$A$16</f>
        <v>Elementary occupations</v>
      </c>
      <c r="B52" s="31">
        <f t="shared" si="115"/>
        <v>0.21418056703372201</v>
      </c>
      <c r="C52" s="31">
        <f t="shared" si="116"/>
        <v>-20.038417264125201</v>
      </c>
      <c r="D52" s="31">
        <f t="shared" si="117"/>
        <v>-0.70802306653865621</v>
      </c>
      <c r="E52" s="31">
        <f t="shared" si="118"/>
        <v>-20.532259763630151</v>
      </c>
      <c r="F52" s="31"/>
      <c r="G52" s="31">
        <f t="shared" si="119"/>
        <v>-0.99949857839078504</v>
      </c>
      <c r="H52" s="31">
        <f t="shared" si="120"/>
        <v>1.7152794569296219</v>
      </c>
      <c r="I52" s="31">
        <f t="shared" si="121"/>
        <v>-1.5462666557861446</v>
      </c>
      <c r="J52" s="31">
        <f t="shared" si="122"/>
        <v>-0.83048577724733263</v>
      </c>
      <c r="K52" s="31"/>
      <c r="L52" s="31">
        <f t="shared" si="123"/>
        <v>-0.78531801135706303</v>
      </c>
      <c r="M52" s="31">
        <f t="shared" si="124"/>
        <v>-18.323137807195579</v>
      </c>
      <c r="N52" s="31">
        <f t="shared" si="125"/>
        <v>-2.2542897223248008</v>
      </c>
      <c r="O52" s="31">
        <f t="shared" si="126"/>
        <v>-21.362745540877484</v>
      </c>
      <c r="Q52" s="18" t="str">
        <f>$A$16</f>
        <v>Elementary occupations</v>
      </c>
      <c r="R52" s="31">
        <f t="shared" si="127"/>
        <v>-0.9052074438947102</v>
      </c>
      <c r="S52" s="31">
        <f t="shared" si="97"/>
        <v>2.8764209118560871</v>
      </c>
      <c r="T52" s="31">
        <f t="shared" si="98"/>
        <v>-1.638637639441388</v>
      </c>
      <c r="U52" s="31">
        <f t="shared" si="99"/>
        <v>0.33257582851999246</v>
      </c>
      <c r="V52" s="31"/>
      <c r="W52" s="31">
        <f t="shared" si="128"/>
        <v>-8.1983635739696581E-2</v>
      </c>
      <c r="X52" s="31">
        <f t="shared" si="100"/>
        <v>5.811796756841467</v>
      </c>
      <c r="Y52" s="31">
        <f t="shared" si="101"/>
        <v>-0.7032457895416071</v>
      </c>
      <c r="Z52" s="31">
        <f t="shared" si="102"/>
        <v>5.0265673315601447</v>
      </c>
      <c r="AA52" s="31"/>
      <c r="AB52" s="31">
        <f t="shared" si="129"/>
        <v>-0.98719107963440678</v>
      </c>
      <c r="AC52" s="31">
        <f t="shared" si="103"/>
        <v>8.6882176686975541</v>
      </c>
      <c r="AD52" s="31">
        <f t="shared" si="104"/>
        <v>-2.3418834289829951</v>
      </c>
      <c r="AE52" s="31">
        <f t="shared" si="105"/>
        <v>5.3591431600801371</v>
      </c>
      <c r="AG52" s="18" t="str">
        <f>$A$16</f>
        <v>Elementary occupations</v>
      </c>
      <c r="AH52" s="31">
        <f t="shared" si="130"/>
        <v>1.1193880109284677</v>
      </c>
      <c r="AI52" s="31">
        <f t="shared" si="106"/>
        <v>-22.914838175981082</v>
      </c>
      <c r="AJ52" s="31">
        <f t="shared" si="107"/>
        <v>0.93061457290273264</v>
      </c>
      <c r="AK52" s="31">
        <f t="shared" si="108"/>
        <v>-20.864835592149888</v>
      </c>
      <c r="AL52" s="31"/>
      <c r="AM52" s="31">
        <f t="shared" si="131"/>
        <v>-0.91751494265111688</v>
      </c>
      <c r="AN52" s="31">
        <f t="shared" si="109"/>
        <v>-4.0965172999118451</v>
      </c>
      <c r="AO52" s="31">
        <f t="shared" si="110"/>
        <v>-0.84302086624454553</v>
      </c>
      <c r="AP52" s="31">
        <f t="shared" si="111"/>
        <v>-5.8570531088075057</v>
      </c>
      <c r="AQ52" s="31"/>
      <c r="AR52" s="31">
        <f t="shared" si="132"/>
        <v>0.20187306827735085</v>
      </c>
      <c r="AS52" s="31">
        <f t="shared" si="112"/>
        <v>-27.011355475892927</v>
      </c>
      <c r="AT52" s="31">
        <f t="shared" si="113"/>
        <v>8.7593706658187109E-2</v>
      </c>
      <c r="AU52" s="31">
        <f t="shared" si="114"/>
        <v>-26.721888700957393</v>
      </c>
    </row>
    <row r="53" spans="1:47" x14ac:dyDescent="0.2">
      <c r="A53" s="18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Q53" s="18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G53" s="18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</row>
    <row r="54" spans="1:47" x14ac:dyDescent="0.2">
      <c r="A54" s="28" t="str">
        <f>$A$18</f>
        <v>All occupations</v>
      </c>
      <c r="B54" s="33">
        <f t="shared" si="115"/>
        <v>55.058999996730904</v>
      </c>
      <c r="C54" s="33">
        <f t="shared" si="116"/>
        <v>27.242000002521991</v>
      </c>
      <c r="D54" s="33">
        <f t="shared" si="117"/>
        <v>38.491999999645344</v>
      </c>
      <c r="E54" s="33">
        <f t="shared" si="118"/>
        <v>120.79299999889827</v>
      </c>
      <c r="F54" s="33"/>
      <c r="G54" s="33">
        <f t="shared" si="119"/>
        <v>8.0970000011698176</v>
      </c>
      <c r="H54" s="33">
        <f t="shared" si="120"/>
        <v>39.70899999950592</v>
      </c>
      <c r="I54" s="33">
        <f t="shared" si="121"/>
        <v>-8.3929999996333891</v>
      </c>
      <c r="J54" s="33">
        <f t="shared" si="122"/>
        <v>39.413000001042519</v>
      </c>
      <c r="K54" s="33"/>
      <c r="L54" s="33">
        <f t="shared" si="123"/>
        <v>63.155999997900722</v>
      </c>
      <c r="M54" s="33">
        <f t="shared" si="124"/>
        <v>66.951000002027911</v>
      </c>
      <c r="N54" s="33">
        <f t="shared" si="125"/>
        <v>30.099000000011955</v>
      </c>
      <c r="O54" s="33">
        <f t="shared" si="126"/>
        <v>160.20599999994079</v>
      </c>
      <c r="Q54" s="28" t="str">
        <f>$A$18</f>
        <v>All occupations</v>
      </c>
      <c r="R54" s="33">
        <f t="shared" ref="R54" si="133">W18-R18</f>
        <v>20.87000000029866</v>
      </c>
      <c r="S54" s="33">
        <f t="shared" ref="S54" si="134">X18-S18</f>
        <v>4.3550000000129785</v>
      </c>
      <c r="T54" s="33">
        <f t="shared" ref="T54" si="135">Y18-T18</f>
        <v>7.6869999993661509</v>
      </c>
      <c r="U54" s="33">
        <f t="shared" ref="U54" si="136">Z18-U18</f>
        <v>32.911999999677732</v>
      </c>
      <c r="V54" s="33"/>
      <c r="W54" s="33">
        <f t="shared" ref="W54" si="137">AB18-W18</f>
        <v>-8.2239999995302355</v>
      </c>
      <c r="X54" s="33">
        <f t="shared" ref="X54" si="138">AC18-X18</f>
        <v>17.935000000058693</v>
      </c>
      <c r="Y54" s="33">
        <f t="shared" ref="Y54" si="139">AD18-Y18</f>
        <v>-7.7699999995843427</v>
      </c>
      <c r="Z54" s="33">
        <f t="shared" ref="Z54" si="140">AE18-Z18</f>
        <v>1.9410000009440864</v>
      </c>
      <c r="AA54" s="33"/>
      <c r="AB54" s="33">
        <f t="shared" ref="AB54" si="141">AB18-R18</f>
        <v>12.646000000768424</v>
      </c>
      <c r="AC54" s="33">
        <f t="shared" ref="AC54" si="142">AC18-S18</f>
        <v>22.290000000071672</v>
      </c>
      <c r="AD54" s="33">
        <f t="shared" ref="AD54" si="143">AD18-T18</f>
        <v>-8.3000000218191872E-2</v>
      </c>
      <c r="AE54" s="33">
        <f t="shared" ref="AE54" si="144">AE18-U18</f>
        <v>34.853000000621819</v>
      </c>
      <c r="AG54" s="28" t="str">
        <f>$A$18</f>
        <v>All occupations</v>
      </c>
      <c r="AH54" s="33">
        <f t="shared" ref="AH54" si="145">AM18-AH18</f>
        <v>34.188999996432131</v>
      </c>
      <c r="AI54" s="33">
        <f t="shared" ref="AI54" si="146">AN18-AI18</f>
        <v>22.887000002509353</v>
      </c>
      <c r="AJ54" s="33">
        <f t="shared" ref="AJ54" si="147">AO18-AJ18</f>
        <v>30.805000000279229</v>
      </c>
      <c r="AK54" s="33">
        <f t="shared" ref="AK54" si="148">AP18-AK18</f>
        <v>87.880999999220649</v>
      </c>
      <c r="AL54" s="33"/>
      <c r="AM54" s="33">
        <f t="shared" ref="AM54" si="149">AR18-AM18</f>
        <v>16.321000000700508</v>
      </c>
      <c r="AN54" s="33">
        <f t="shared" ref="AN54" si="150">AS18-AN18</f>
        <v>21.773999999447312</v>
      </c>
      <c r="AO54" s="33">
        <f t="shared" ref="AO54" si="151">AT18-AO18</f>
        <v>-0.62300000004890421</v>
      </c>
      <c r="AP54" s="33">
        <f t="shared" ref="AP54" si="152">AU18-AP18</f>
        <v>37.472000000099001</v>
      </c>
      <c r="AQ54" s="33"/>
      <c r="AR54" s="33">
        <f t="shared" ref="AR54" si="153">AR18-AH18</f>
        <v>50.509999997132638</v>
      </c>
      <c r="AS54" s="33">
        <f t="shared" ref="AS54" si="154">AS18-AI18</f>
        <v>44.661000001956666</v>
      </c>
      <c r="AT54" s="33">
        <f t="shared" ref="AT54" si="155">AT18-AJ18</f>
        <v>30.182000000230325</v>
      </c>
      <c r="AU54" s="33">
        <f t="shared" ref="AU54" si="156">AU18-AK18</f>
        <v>125.35299999931965</v>
      </c>
    </row>
  </sheetData>
  <mergeCells count="27">
    <mergeCell ref="AB5:AE5"/>
    <mergeCell ref="R23:U23"/>
    <mergeCell ref="W23:Z23"/>
    <mergeCell ref="AB23:AE23"/>
    <mergeCell ref="R41:U41"/>
    <mergeCell ref="B41:E41"/>
    <mergeCell ref="G41:J41"/>
    <mergeCell ref="L41:O41"/>
    <mergeCell ref="R5:U5"/>
    <mergeCell ref="W5:Z5"/>
    <mergeCell ref="B5:E5"/>
    <mergeCell ref="G5:J5"/>
    <mergeCell ref="L5:O5"/>
    <mergeCell ref="B23:E23"/>
    <mergeCell ref="G23:J23"/>
    <mergeCell ref="L23:O23"/>
    <mergeCell ref="AH41:AK41"/>
    <mergeCell ref="W41:Z41"/>
    <mergeCell ref="AB41:AE41"/>
    <mergeCell ref="AM41:AP41"/>
    <mergeCell ref="AR41:AU41"/>
    <mergeCell ref="AH5:AK5"/>
    <mergeCell ref="AM5:AP5"/>
    <mergeCell ref="AR5:AU5"/>
    <mergeCell ref="AH23:AK23"/>
    <mergeCell ref="AM23:AP23"/>
    <mergeCell ref="AR23:AU23"/>
  </mergeCells>
  <pageMargins left="0.39370078740157483" right="0.39370078740157483" top="0.78740157480314965" bottom="0.78740157480314965" header="0.51181102362204722" footer="0.51181102362204722"/>
  <pageSetup paperSize="9" scale="76" orientation="portrait" r:id="rId1"/>
  <headerFooter alignWithMargins="0"/>
  <colBreaks count="2" manualBreakCount="2">
    <brk id="15" max="1048575" man="1"/>
    <brk id="31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P162"/>
  <sheetViews>
    <sheetView zoomScale="75" zoomScaleNormal="75" workbookViewId="0"/>
  </sheetViews>
  <sheetFormatPr defaultColWidth="9.140625" defaultRowHeight="12.75" x14ac:dyDescent="0.2"/>
  <cols>
    <col min="1" max="1" width="11" style="222" bestFit="1" customWidth="1"/>
    <col min="2" max="9" width="9.140625" style="222"/>
    <col min="10" max="10" width="17.5703125" style="222" customWidth="1"/>
    <col min="11" max="11" width="8.28515625" style="222" customWidth="1"/>
    <col min="12" max="12" width="52.7109375" style="123" customWidth="1"/>
    <col min="13" max="13" width="12.42578125" style="123" customWidth="1"/>
    <col min="14" max="14" width="10.140625" style="123" customWidth="1"/>
    <col min="15" max="16384" width="9.140625" style="123"/>
  </cols>
  <sheetData>
    <row r="1" spans="1:14" ht="15.75" x14ac:dyDescent="0.25">
      <c r="A1" s="221" t="str">
        <f>CONCATENATE("Occupation Figure 1  Growth in Employment by Occupation (SOC 2010), ",M6," and ",N6)</f>
        <v>Occupation Figure 1  Growth in Employment by Occupation (SOC 2010), 2007-2017 and 2017-2027</v>
      </c>
    </row>
    <row r="3" spans="1:14" x14ac:dyDescent="0.2">
      <c r="L3" s="223" t="s">
        <v>486</v>
      </c>
    </row>
    <row r="5" spans="1:14" x14ac:dyDescent="0.2">
      <c r="L5" s="164" t="s">
        <v>468</v>
      </c>
    </row>
    <row r="6" spans="1:14" x14ac:dyDescent="0.2">
      <c r="L6" s="168"/>
      <c r="M6" s="260" t="str">
        <f>'Occ T2'!H147</f>
        <v>2007-2017</v>
      </c>
      <c r="N6" s="260" t="str">
        <f>'Occ T2'!I147</f>
        <v>2017-2027</v>
      </c>
    </row>
    <row r="7" spans="1:14" x14ac:dyDescent="0.2">
      <c r="L7" s="224" t="str">
        <f>'Occ T3'!A50</f>
        <v>All occupations</v>
      </c>
      <c r="M7" s="168">
        <f>'Occ T2'!H175</f>
        <v>0.82593264427839319</v>
      </c>
      <c r="N7" s="168">
        <f>'Occ T2'!I175</f>
        <v>0.25470250340746681</v>
      </c>
    </row>
    <row r="8" spans="1:14" x14ac:dyDescent="0.2">
      <c r="L8" s="224"/>
      <c r="M8" s="168"/>
      <c r="N8" s="168"/>
    </row>
    <row r="9" spans="1:14" x14ac:dyDescent="0.2">
      <c r="L9" s="168" t="str">
        <f>'Occ T3'!A48</f>
        <v xml:space="preserve"> 92 Elementary administration and service occupations</v>
      </c>
      <c r="M9" s="168">
        <f>'Occ T2'!H173</f>
        <v>-1.2051980780247828</v>
      </c>
      <c r="N9" s="168">
        <f>'Occ T2'!I173</f>
        <v>-6.0462630192947842E-2</v>
      </c>
    </row>
    <row r="10" spans="1:14" x14ac:dyDescent="0.2">
      <c r="L10" s="168" t="str">
        <f>'Occ T3'!A47</f>
        <v xml:space="preserve"> 91 Elementary trades and related occupations</v>
      </c>
      <c r="M10" s="168">
        <f>'Occ T2'!H172</f>
        <v>-0.5346509463751814</v>
      </c>
      <c r="N10" s="168">
        <f>'Occ T2'!I172</f>
        <v>1.7530046008640277E-2</v>
      </c>
    </row>
    <row r="11" spans="1:14" x14ac:dyDescent="0.2">
      <c r="L11" s="224" t="str">
        <f>"["&amp;'Occ T3'!A46&amp;"]"</f>
        <v>[Elementary occupations]</v>
      </c>
      <c r="M11" s="168">
        <f>'Occ T1'!H88</f>
        <v>-1.0946519688648459</v>
      </c>
      <c r="N11" s="168">
        <f>'Occ T1'!I88</f>
        <v>-4.7162986637749871E-2</v>
      </c>
    </row>
    <row r="12" spans="1:14" x14ac:dyDescent="0.2">
      <c r="L12" s="224"/>
      <c r="M12" s="168"/>
      <c r="N12" s="168"/>
    </row>
    <row r="13" spans="1:14" x14ac:dyDescent="0.2">
      <c r="L13" s="168" t="str">
        <f>'Occ T3'!A44</f>
        <v xml:space="preserve"> 82 Transport and mobile machine drivers and operatives</v>
      </c>
      <c r="M13" s="168">
        <f>'Occ T2'!H171</f>
        <v>-2.4051227493668392</v>
      </c>
      <c r="N13" s="168">
        <f>'Occ T2'!I171</f>
        <v>0.31872899598330839</v>
      </c>
    </row>
    <row r="14" spans="1:14" x14ac:dyDescent="0.2">
      <c r="L14" s="168" t="str">
        <f>'Occ T3'!A43</f>
        <v xml:space="preserve"> 81 Process, plant and machine operatives</v>
      </c>
      <c r="M14" s="168">
        <f>'Occ T2'!H170</f>
        <v>-0.89548520646197671</v>
      </c>
      <c r="N14" s="168">
        <f>'Occ T2'!I170</f>
        <v>-1.6470782775396486</v>
      </c>
    </row>
    <row r="15" spans="1:14" x14ac:dyDescent="0.2">
      <c r="L15" s="224" t="str">
        <f>"["&amp;'Occ T3'!A42&amp;"]"</f>
        <v>[Process, plant and machine operatives]</v>
      </c>
      <c r="M15" s="168">
        <f>'Occ T1'!H87</f>
        <v>-1.3941088810559665</v>
      </c>
      <c r="N15" s="168">
        <f>'Occ T1'!I87</f>
        <v>-0.99568036965712592</v>
      </c>
    </row>
    <row r="16" spans="1:14" x14ac:dyDescent="0.2">
      <c r="L16" s="224"/>
      <c r="M16" s="168"/>
      <c r="N16" s="168"/>
    </row>
    <row r="17" spans="12:14" x14ac:dyDescent="0.2">
      <c r="L17" s="168" t="str">
        <f>'Occ T3'!A40</f>
        <v xml:space="preserve"> 72 Customer service occupations</v>
      </c>
      <c r="M17" s="168">
        <f>'Occ T2'!H169</f>
        <v>2.9316187925596537</v>
      </c>
      <c r="N17" s="168">
        <f>'Occ T2'!I169</f>
        <v>1.5441074965757196</v>
      </c>
    </row>
    <row r="18" spans="12:14" x14ac:dyDescent="0.2">
      <c r="L18" s="168" t="str">
        <f>'Occ T3'!A39</f>
        <v xml:space="preserve"> 71 Sales occupations</v>
      </c>
      <c r="M18" s="168">
        <f>'Occ T2'!H168</f>
        <v>-1.2527437202036418</v>
      </c>
      <c r="N18" s="168">
        <f>'Occ T2'!I168</f>
        <v>-0.89461808753181771</v>
      </c>
    </row>
    <row r="19" spans="12:14" x14ac:dyDescent="0.2">
      <c r="L19" s="224" t="str">
        <f>"["&amp;'Occ T3'!A38&amp;"]"</f>
        <v>[Sales and customer service]</v>
      </c>
      <c r="M19" s="168">
        <f>'Occ T1'!H86</f>
        <v>-0.44513218471342597</v>
      </c>
      <c r="N19" s="168">
        <f>'Occ T1'!I86</f>
        <v>-0.28376204303273145</v>
      </c>
    </row>
    <row r="20" spans="12:14" x14ac:dyDescent="0.2">
      <c r="L20" s="224"/>
      <c r="M20" s="168"/>
      <c r="N20" s="168"/>
    </row>
    <row r="21" spans="12:14" x14ac:dyDescent="0.2">
      <c r="L21" s="168" t="str">
        <f>'Occ T3'!A36</f>
        <v xml:space="preserve"> 62 Leisure, travel and related personal service occupations</v>
      </c>
      <c r="M21" s="168">
        <f>'Occ T2'!H167</f>
        <v>2.3713923399894421</v>
      </c>
      <c r="N21" s="168">
        <f>'Occ T2'!I167</f>
        <v>-0.49798719440820038</v>
      </c>
    </row>
    <row r="22" spans="12:14" x14ac:dyDescent="0.2">
      <c r="L22" s="168" t="str">
        <f>'Occ T3'!A35</f>
        <v xml:space="preserve"> 61 Caring personal service occupations</v>
      </c>
      <c r="M22" s="168">
        <f>'Occ T2'!H166</f>
        <v>3.0565651275840988</v>
      </c>
      <c r="N22" s="168">
        <f>'Occ T2'!I166</f>
        <v>1.553433547285854</v>
      </c>
    </row>
    <row r="23" spans="12:14" x14ac:dyDescent="0.2">
      <c r="L23" s="224" t="str">
        <f>"["&amp;'Occ T3'!A34&amp;"]"</f>
        <v>[Caring, leisure and other service]</v>
      </c>
      <c r="M23" s="168">
        <f>'Occ T1'!H85</f>
        <v>2.9135413460431137</v>
      </c>
      <c r="N23" s="168">
        <f>'Occ T1'!I85</f>
        <v>1.166833822824298</v>
      </c>
    </row>
    <row r="24" spans="12:14" x14ac:dyDescent="0.2">
      <c r="L24" s="224"/>
      <c r="M24" s="168"/>
      <c r="N24" s="168"/>
    </row>
    <row r="25" spans="12:14" x14ac:dyDescent="0.2">
      <c r="L25" s="168" t="str">
        <f>'Occ T3'!A32</f>
        <v xml:space="preserve"> 54 Textiles, printing and other skilled trades</v>
      </c>
      <c r="M25" s="168">
        <f>'Occ T2'!H165</f>
        <v>1.2779889939976696</v>
      </c>
      <c r="N25" s="168">
        <f>'Occ T2'!I165</f>
        <v>-1.4438592472573175</v>
      </c>
    </row>
    <row r="26" spans="12:14" x14ac:dyDescent="0.2">
      <c r="L26" s="168" t="str">
        <f>'Occ T3'!A31</f>
        <v xml:space="preserve"> 53 Skilled construction and building trades</v>
      </c>
      <c r="M26" s="168">
        <f>'Occ T2'!H164</f>
        <v>-1.1101210525838123</v>
      </c>
      <c r="N26" s="168">
        <f>'Occ T2'!I164</f>
        <v>4.6227892528172276E-2</v>
      </c>
    </row>
    <row r="27" spans="12:14" x14ac:dyDescent="0.2">
      <c r="L27" s="168" t="str">
        <f>'Occ T3'!A30</f>
        <v xml:space="preserve"> 52 Skilled metal, electrical and electronic trades</v>
      </c>
      <c r="M27" s="168">
        <f>'Occ T2'!H163</f>
        <v>-0.68351776879601589</v>
      </c>
      <c r="N27" s="168">
        <f>'Occ T2'!I163</f>
        <v>-1.3160419011164493</v>
      </c>
    </row>
    <row r="28" spans="12:14" x14ac:dyDescent="0.2">
      <c r="L28" s="168" t="str">
        <f>'Occ T3'!A29</f>
        <v xml:space="preserve"> 51 Skilled agricultural and related trades</v>
      </c>
      <c r="M28" s="168">
        <f>'Occ T2'!H162</f>
        <v>5.1521671063625263</v>
      </c>
      <c r="N28" s="168">
        <f>'Occ T2'!I162</f>
        <v>-0.24451182051379305</v>
      </c>
    </row>
    <row r="29" spans="12:14" x14ac:dyDescent="0.2">
      <c r="L29" s="224" t="str">
        <f>"["&amp;'Occ T3'!A28&amp;"]"</f>
        <v>[Skilled trades occupations]</v>
      </c>
      <c r="M29" s="168">
        <f>'Occ T1'!H84</f>
        <v>0.60827121463102873</v>
      </c>
      <c r="N29" s="168">
        <f>'Occ T1'!I84</f>
        <v>-0.72039092282821793</v>
      </c>
    </row>
    <row r="30" spans="12:14" x14ac:dyDescent="0.2">
      <c r="L30" s="224"/>
      <c r="M30" s="168"/>
      <c r="N30" s="168"/>
    </row>
    <row r="31" spans="12:14" x14ac:dyDescent="0.2">
      <c r="L31" s="168" t="str">
        <f>'Occ T3'!A26</f>
        <v xml:space="preserve"> 42 Secretarial and related occupations</v>
      </c>
      <c r="M31" s="168">
        <f>'Occ T2'!H161</f>
        <v>-1.638580004104051</v>
      </c>
      <c r="N31" s="168">
        <f>'Occ T2'!I161</f>
        <v>-5.5413615210982208</v>
      </c>
    </row>
    <row r="32" spans="12:14" x14ac:dyDescent="0.2">
      <c r="L32" s="168" t="str">
        <f>'Occ T3'!A25</f>
        <v xml:space="preserve"> 41 Administrative occupations</v>
      </c>
      <c r="M32" s="168">
        <f>'Occ T2'!H160</f>
        <v>-9.6726929101975667E-2</v>
      </c>
      <c r="N32" s="168">
        <f>'Occ T2'!I160</f>
        <v>-0.60539296001799192</v>
      </c>
    </row>
    <row r="33" spans="12:14" x14ac:dyDescent="0.2">
      <c r="L33" s="224" t="str">
        <f>"["&amp;'Occ T3'!A24&amp;"]"</f>
        <v>[Administrative and secretarial]</v>
      </c>
      <c r="M33" s="168">
        <f>'Occ T1'!H83</f>
        <v>-0.43681727571288631</v>
      </c>
      <c r="N33" s="168">
        <f>'Occ T1'!I83</f>
        <v>-1.4550485636952715</v>
      </c>
    </row>
    <row r="34" spans="12:14" x14ac:dyDescent="0.2">
      <c r="L34" s="224"/>
      <c r="M34" s="168"/>
      <c r="N34" s="168"/>
    </row>
    <row r="35" spans="12:14" x14ac:dyDescent="0.2">
      <c r="L35" s="168" t="str">
        <f>'Occ T3'!A22</f>
        <v xml:space="preserve"> 35 Business and public service associate professionals</v>
      </c>
      <c r="M35" s="168">
        <f>'Occ T2'!H159</f>
        <v>1.302451151537487</v>
      </c>
      <c r="N35" s="168">
        <f>'Occ T2'!I159</f>
        <v>1.2653580353135352</v>
      </c>
    </row>
    <row r="36" spans="12:14" x14ac:dyDescent="0.2">
      <c r="L36" s="168" t="str">
        <f>'Occ T3'!A21</f>
        <v xml:space="preserve"> 34 Culture, media and sports occupations</v>
      </c>
      <c r="M36" s="168">
        <f>'Occ T2'!H158</f>
        <v>4.1758094313880001</v>
      </c>
      <c r="N36" s="168">
        <f>'Occ T2'!I158</f>
        <v>1.0378626727059803</v>
      </c>
    </row>
    <row r="37" spans="12:14" x14ac:dyDescent="0.2">
      <c r="L37" s="168" t="str">
        <f>'Occ T3'!A20</f>
        <v xml:space="preserve"> 33 Protective service occupations</v>
      </c>
      <c r="M37" s="168">
        <f>'Occ T2'!H157</f>
        <v>-0.84354564401439847</v>
      </c>
      <c r="N37" s="168">
        <f>'Occ T2'!I157</f>
        <v>-0.55431135151697841</v>
      </c>
    </row>
    <row r="38" spans="12:14" x14ac:dyDescent="0.2">
      <c r="L38" s="168" t="str">
        <f>'Occ T3'!A19</f>
        <v xml:space="preserve"> 32 Health and social care associate professionals</v>
      </c>
      <c r="M38" s="168">
        <f>'Occ T2'!H156</f>
        <v>3.5576644480845854</v>
      </c>
      <c r="N38" s="168">
        <f>'Occ T2'!I156</f>
        <v>1.5237651683793763</v>
      </c>
    </row>
    <row r="39" spans="12:14" x14ac:dyDescent="0.2">
      <c r="L39" s="168" t="str">
        <f>'Occ T3'!A18</f>
        <v xml:space="preserve"> 31 Science, engineering and technology associate professionals</v>
      </c>
      <c r="M39" s="168">
        <f>'Occ T2'!H155</f>
        <v>0.48326582084652348</v>
      </c>
      <c r="N39" s="168">
        <f>'Occ T2'!I155</f>
        <v>5.4709481239223479E-2</v>
      </c>
    </row>
    <row r="40" spans="12:14" x14ac:dyDescent="0.2">
      <c r="L40" s="224" t="str">
        <f>"["&amp;'Occ T3'!A17&amp;"]"</f>
        <v>[Associate professional and technical]</v>
      </c>
      <c r="M40" s="168">
        <f>'Occ T1'!H82</f>
        <v>1.6878338452994468</v>
      </c>
      <c r="N40" s="168">
        <f>'Occ T1'!I82</f>
        <v>0.94325208311298869</v>
      </c>
    </row>
    <row r="41" spans="12:14" x14ac:dyDescent="0.2">
      <c r="L41" s="224"/>
      <c r="M41" s="168"/>
      <c r="N41" s="168"/>
    </row>
    <row r="42" spans="12:14" x14ac:dyDescent="0.2">
      <c r="L42" s="168" t="str">
        <f>'Occ T3'!A15</f>
        <v xml:space="preserve"> 24 Business, media and public service professionals</v>
      </c>
      <c r="M42" s="168">
        <f>'Occ T2'!H154</f>
        <v>1.3466548838722003</v>
      </c>
      <c r="N42" s="168">
        <f>'Occ T2'!I154</f>
        <v>1.3871044082407025</v>
      </c>
    </row>
    <row r="43" spans="12:14" x14ac:dyDescent="0.2">
      <c r="L43" s="168" t="str">
        <f>'Occ T3'!A14</f>
        <v xml:space="preserve"> 23 Teaching and educational professionals</v>
      </c>
      <c r="M43" s="168">
        <f>'Occ T2'!H153</f>
        <v>2.4010555735428207</v>
      </c>
      <c r="N43" s="168">
        <f>'Occ T2'!I153</f>
        <v>1.0724678058517956</v>
      </c>
    </row>
    <row r="44" spans="12:14" x14ac:dyDescent="0.2">
      <c r="L44" s="168" t="str">
        <f>'Occ T3'!A13</f>
        <v xml:space="preserve"> 22 Health professionals</v>
      </c>
      <c r="M44" s="168">
        <f>'Occ T2'!H152</f>
        <v>3.8783044933423216</v>
      </c>
      <c r="N44" s="168">
        <f>'Occ T2'!I152</f>
        <v>1.5407237475517643</v>
      </c>
    </row>
    <row r="45" spans="12:14" x14ac:dyDescent="0.2">
      <c r="L45" s="168" t="str">
        <f>'Occ T3'!A12</f>
        <v xml:space="preserve"> 21 Science, research, engineering and technology professionals</v>
      </c>
      <c r="M45" s="168">
        <f>'Occ T2'!H151</f>
        <v>2.1932905540868131</v>
      </c>
      <c r="N45" s="168">
        <f>'Occ T2'!I151</f>
        <v>0.84299612859253248</v>
      </c>
    </row>
    <row r="46" spans="12:14" x14ac:dyDescent="0.2">
      <c r="L46" s="224" t="str">
        <f>"["&amp;'Occ T3'!A11&amp;"]"</f>
        <v>[Professional occupations]</v>
      </c>
      <c r="M46" s="168">
        <f>'Occ T1'!H81</f>
        <v>2.6414316068591459</v>
      </c>
      <c r="N46" s="168">
        <f>'Occ T1'!I81</f>
        <v>1.2462604308442593</v>
      </c>
    </row>
    <row r="48" spans="12:14" x14ac:dyDescent="0.2">
      <c r="L48" s="337" t="str">
        <f>'Occ T3'!A9</f>
        <v xml:space="preserve"> 12 Other managers and proprietors</v>
      </c>
      <c r="M48" s="168">
        <f>'Occ T2'!H150</f>
        <v>3.1001258201194482</v>
      </c>
      <c r="N48" s="168">
        <f>'Occ T2'!I150</f>
        <v>0.9197768365001302</v>
      </c>
    </row>
    <row r="49" spans="12:14" x14ac:dyDescent="0.2">
      <c r="L49" s="337" t="str">
        <f>'Occ T3'!A8</f>
        <v xml:space="preserve"> 11 Corporate managers and directors</v>
      </c>
      <c r="M49" s="168">
        <f>'Occ T2'!H149</f>
        <v>1.9043591371399549</v>
      </c>
      <c r="N49" s="168">
        <f>'Occ T2'!I149</f>
        <v>1.3592117513565372</v>
      </c>
    </row>
    <row r="50" spans="12:14" x14ac:dyDescent="0.2">
      <c r="L50" s="224" t="str">
        <f>"["&amp;'Occ T3'!A7&amp;"]"</f>
        <v>[Managers, directors and senior officials]</v>
      </c>
      <c r="M50" s="168">
        <f>'Occ T1'!H80</f>
        <v>2.3353813018541336</v>
      </c>
      <c r="N50" s="168">
        <f>'Occ T1'!I80</f>
        <v>1.1962816190847603</v>
      </c>
    </row>
    <row r="80" spans="1:14" ht="15.75" x14ac:dyDescent="0.25">
      <c r="A80" s="221" t="str">
        <f>CONCATENATE("Occupation Figure 1.1  Change in Employment by Occupation (SOC 2010), ",M80," and ",N80)</f>
        <v>Occupation Figure 1.1  Change in Employment by Occupation (SOC 2010), 2007-2017 and 2017-2027</v>
      </c>
      <c r="M80" s="145" t="str">
        <f>'Occ F1'!M6</f>
        <v>2007-2017</v>
      </c>
      <c r="N80" s="145" t="str">
        <f>'Occ F1'!N6</f>
        <v>2017-2027</v>
      </c>
    </row>
    <row r="81" spans="12:14" x14ac:dyDescent="0.2">
      <c r="L81" s="12" t="str">
        <f>name!D4</f>
        <v xml:space="preserve"> 11 Corporate managers and directors</v>
      </c>
      <c r="M81" s="127">
        <f>'Occ T2'!D8-'Occ T2'!B8</f>
        <v>13.036216961940482</v>
      </c>
      <c r="N81" s="127">
        <f>'Occ T2'!F116</f>
        <v>10.960331293600007</v>
      </c>
    </row>
    <row r="82" spans="12:14" x14ac:dyDescent="0.2">
      <c r="L82" s="12" t="str">
        <f>name!D5</f>
        <v xml:space="preserve"> 12 Other managers and proprietors</v>
      </c>
      <c r="M82" s="127">
        <f>'Occ T2'!D9-'Occ T2'!B9</f>
        <v>11.987512817251243</v>
      </c>
      <c r="N82" s="127">
        <f>'Occ T2'!F117</f>
        <v>4.3685036995802093</v>
      </c>
    </row>
    <row r="83" spans="12:14" x14ac:dyDescent="0.2">
      <c r="L83" s="12" t="str">
        <f>name!D6</f>
        <v xml:space="preserve"> 21 Science, research, engineering and technology professionals</v>
      </c>
      <c r="M83" s="127">
        <f>'Occ T2'!D10-'Occ T2'!B10</f>
        <v>9.5473054728444779</v>
      </c>
      <c r="N83" s="127">
        <f>'Occ T2'!F118</f>
        <v>4.2866939877258972</v>
      </c>
    </row>
    <row r="84" spans="12:14" x14ac:dyDescent="0.2">
      <c r="L84" s="12" t="str">
        <f>name!D7</f>
        <v xml:space="preserve"> 22 Health professionals</v>
      </c>
      <c r="M84" s="127">
        <f>'Occ T2'!D11-'Occ T2'!B11</f>
        <v>30.521116915354327</v>
      </c>
      <c r="N84" s="127">
        <f>'Occ T2'!F119</f>
        <v>15.932331434701936</v>
      </c>
    </row>
    <row r="85" spans="12:14" x14ac:dyDescent="0.2">
      <c r="L85" s="12" t="str">
        <f>name!D8</f>
        <v xml:space="preserve"> 23 Teaching and educational professionals</v>
      </c>
      <c r="M85" s="127">
        <f>'Occ T2'!D12-'Occ T2'!B12</f>
        <v>19.793742642028647</v>
      </c>
      <c r="N85" s="127">
        <f>'Occ T2'!F120</f>
        <v>10.549407354924554</v>
      </c>
    </row>
    <row r="86" spans="12:14" x14ac:dyDescent="0.2">
      <c r="L86" s="12" t="str">
        <f>name!D9</f>
        <v xml:space="preserve"> 24 Business, media and public service professionals</v>
      </c>
      <c r="M86" s="127">
        <f>'Occ T2'!D13-'Occ T2'!B13</f>
        <v>5.9886261747751206</v>
      </c>
      <c r="N86" s="127">
        <f>'Occ T2'!F121</f>
        <v>7.064370885878084</v>
      </c>
    </row>
    <row r="87" spans="12:14" x14ac:dyDescent="0.2">
      <c r="L87" s="12" t="str">
        <f>name!D10</f>
        <v xml:space="preserve"> 31 Science, engineering and technology associate professionals</v>
      </c>
      <c r="M87" s="127">
        <f>'Occ T2'!D14-'Occ T2'!B14</f>
        <v>1.183867921078555</v>
      </c>
      <c r="N87" s="127">
        <f>'Occ T2'!F122</f>
        <v>0.13795046100521091</v>
      </c>
    </row>
    <row r="88" spans="12:14" x14ac:dyDescent="0.2">
      <c r="L88" s="12" t="str">
        <f>name!D11</f>
        <v xml:space="preserve"> 32 Health and social care associate professionals</v>
      </c>
      <c r="M88" s="127">
        <f>'Occ T2'!D15-'Occ T2'!B15</f>
        <v>9.2153937036808955</v>
      </c>
      <c r="N88" s="127">
        <f>'Occ T2'!F123</f>
        <v>5.0997228109638577</v>
      </c>
    </row>
    <row r="89" spans="12:14" x14ac:dyDescent="0.2">
      <c r="L89" s="12" t="str">
        <f>name!D12</f>
        <v xml:space="preserve"> 33 Protective service occupations</v>
      </c>
      <c r="M89" s="127">
        <f>'Occ T2'!D16-'Occ T2'!B16</f>
        <v>-1.4777453689833067</v>
      </c>
      <c r="N89" s="127">
        <f>'Occ T2'!F124</f>
        <v>-0.9038031440884069</v>
      </c>
    </row>
    <row r="90" spans="12:14" x14ac:dyDescent="0.2">
      <c r="L90" s="12" t="str">
        <f>name!D13</f>
        <v xml:space="preserve"> 34 Culture, media and sports occupations</v>
      </c>
      <c r="M90" s="127">
        <f>'Occ T2'!D17-'Occ T2'!B17</f>
        <v>8.7475543927764079</v>
      </c>
      <c r="N90" s="127">
        <f>'Occ T2'!F125</f>
        <v>2.8338664568018501</v>
      </c>
    </row>
    <row r="91" spans="12:14" x14ac:dyDescent="0.2">
      <c r="L91" s="12" t="str">
        <f>name!D14</f>
        <v xml:space="preserve"> 35 Business and public service associate professionals</v>
      </c>
      <c r="M91" s="127">
        <f>'Occ T2'!D18-'Occ T2'!B18</f>
        <v>8.8502545359777542</v>
      </c>
      <c r="N91" s="127">
        <f>'Occ T2'!F126</f>
        <v>9.7695557808537075</v>
      </c>
    </row>
    <row r="92" spans="12:14" x14ac:dyDescent="0.2">
      <c r="L92" s="12" t="str">
        <f>name!D15</f>
        <v xml:space="preserve"> 41 Administrative occupations</v>
      </c>
      <c r="M92" s="127">
        <f>'Occ T2'!D19-'Occ T2'!B19</f>
        <v>-1.2400622395039278</v>
      </c>
      <c r="N92" s="127">
        <f>'Occ T2'!F127</f>
        <v>-7.5130964642708449</v>
      </c>
    </row>
    <row r="93" spans="12:14" x14ac:dyDescent="0.2">
      <c r="L93" s="12" t="str">
        <f>name!D16</f>
        <v xml:space="preserve"> 42 Secretarial and related occupations</v>
      </c>
      <c r="M93" s="127">
        <f>'Occ T2'!D20-'Occ T2'!B20</f>
        <v>-5.9481675293212035</v>
      </c>
      <c r="N93" s="127">
        <f>'Occ T2'!F128</f>
        <v>-14.387102403241297</v>
      </c>
    </row>
    <row r="94" spans="12:14" x14ac:dyDescent="0.2">
      <c r="L94" s="12" t="str">
        <f>name!D17</f>
        <v xml:space="preserve"> 51 Skilled agricultural and related trades</v>
      </c>
      <c r="M94" s="127">
        <f>'Occ T2'!D21-'Occ T2'!B21</f>
        <v>17.629709334342756</v>
      </c>
      <c r="N94" s="127">
        <f>'Occ T2'!F129</f>
        <v>-1.0796171110473054</v>
      </c>
    </row>
    <row r="95" spans="12:14" x14ac:dyDescent="0.2">
      <c r="L95" s="12" t="str">
        <f>name!D18</f>
        <v xml:space="preserve"> 52 Skilled metal, electrical and electronic trades</v>
      </c>
      <c r="M95" s="127">
        <f>'Occ T2'!D22-'Occ T2'!B22</f>
        <v>-4.2807713807982068</v>
      </c>
      <c r="N95" s="127">
        <f>'Occ T2'!F130</f>
        <v>-7.4816754306663782</v>
      </c>
    </row>
    <row r="96" spans="12:14" x14ac:dyDescent="0.2">
      <c r="L96" s="12" t="str">
        <f>name!D19</f>
        <v xml:space="preserve"> 53 Skilled construction and building trades</v>
      </c>
      <c r="M96" s="127">
        <f>'Occ T2'!D23-'Occ T2'!B23</f>
        <v>-6.5673229717182693</v>
      </c>
      <c r="N96" s="127">
        <f>'Occ T2'!F131</f>
        <v>0.25759514296083807</v>
      </c>
    </row>
    <row r="97" spans="12:14" x14ac:dyDescent="0.2">
      <c r="L97" s="12" t="str">
        <f>name!D20</f>
        <v xml:space="preserve"> 54 Textiles, printing and other skilled trades</v>
      </c>
      <c r="M97" s="127">
        <f>'Occ T2'!D24-'Occ T2'!B24</f>
        <v>5.2607188204988944</v>
      </c>
      <c r="N97" s="127">
        <f>'Occ T2'!F132</f>
        <v>-5.970934804804827</v>
      </c>
    </row>
    <row r="98" spans="12:14" x14ac:dyDescent="0.2">
      <c r="L98" s="12" t="str">
        <f>name!D21</f>
        <v xml:space="preserve"> 61 Caring personal service occupations</v>
      </c>
      <c r="M98" s="127">
        <f>'Occ T2'!D25-'Occ T2'!B25</f>
        <v>34.846228774299036</v>
      </c>
      <c r="N98" s="127">
        <f>'Occ T2'!F133</f>
        <v>22.338788680701697</v>
      </c>
    </row>
    <row r="99" spans="12:14" x14ac:dyDescent="0.2">
      <c r="L99" s="12" t="str">
        <f>name!D22</f>
        <v xml:space="preserve"> 62 Leisure, travel and related personal service occupations</v>
      </c>
      <c r="M99" s="127">
        <f>'Occ T2'!D26-'Occ T2'!B26</f>
        <v>7.1208118676217005</v>
      </c>
      <c r="N99" s="127">
        <f>'Occ T2'!F134</f>
        <v>-1.6597056835354351</v>
      </c>
    </row>
    <row r="100" spans="12:14" x14ac:dyDescent="0.2">
      <c r="L100" s="12" t="str">
        <f>name!D23</f>
        <v xml:space="preserve"> 71 Sales occupations</v>
      </c>
      <c r="M100" s="127">
        <f>'Occ T2'!D27-'Occ T2'!B27</f>
        <v>-12.99613945180468</v>
      </c>
      <c r="N100" s="127">
        <f>'Occ T2'!F135</f>
        <v>-8.3133310868705621</v>
      </c>
    </row>
    <row r="101" spans="12:14" x14ac:dyDescent="0.2">
      <c r="L101" s="12" t="str">
        <f>name!D24</f>
        <v xml:space="preserve"> 72 Customer service occupations</v>
      </c>
      <c r="M101" s="127">
        <f>'Occ T2'!D28-'Occ T2'!B28</f>
        <v>7.262741356753569</v>
      </c>
      <c r="N101" s="127">
        <f>'Occ T2'!F136</f>
        <v>4.7924897932714821</v>
      </c>
    </row>
    <row r="102" spans="12:14" x14ac:dyDescent="0.2">
      <c r="L102" s="12" t="str">
        <f>name!D25</f>
        <v xml:space="preserve"> 81 Process, plant and machine operatives</v>
      </c>
      <c r="M102" s="127">
        <f>'Occ T2'!D29-'Occ T2'!B29</f>
        <v>-7.3727712025023493</v>
      </c>
      <c r="N102" s="127">
        <f>'Occ T2'!F137</f>
        <v>-11.986496541482367</v>
      </c>
    </row>
    <row r="103" spans="12:14" x14ac:dyDescent="0.2">
      <c r="L103" s="12" t="str">
        <f>name!D26</f>
        <v xml:space="preserve"> 82 Transport and mobile machine drivers and operatives</v>
      </c>
      <c r="M103" s="127">
        <f>'Occ T2'!D30-'Occ T2'!B30</f>
        <v>-9.7835617840633375</v>
      </c>
      <c r="N103" s="127">
        <f>'Occ T2'!F138</f>
        <v>1.1476406653274438</v>
      </c>
    </row>
    <row r="104" spans="12:14" x14ac:dyDescent="0.2">
      <c r="L104" s="12" t="str">
        <f>name!D27</f>
        <v xml:space="preserve"> 91 Elementary trades and related occupations</v>
      </c>
      <c r="M104" s="127">
        <f>'Occ T2'!D31-'Occ T2'!B31</f>
        <v>-1.6523419151416441</v>
      </c>
      <c r="N104" s="127">
        <f>'Occ T2'!F139</f>
        <v>5.2637921546835997E-2</v>
      </c>
    </row>
    <row r="105" spans="12:14" x14ac:dyDescent="0.2">
      <c r="L105" s="12" t="str">
        <f>name!D28</f>
        <v xml:space="preserve"> 92 Elementary administration and service occupations</v>
      </c>
      <c r="M105" s="127">
        <f>'Occ T2'!D32-'Occ T2'!B32</f>
        <v>-18.879917848487509</v>
      </c>
      <c r="N105" s="127">
        <f>'Occ T2'!F140</f>
        <v>-0.88312369879480457</v>
      </c>
    </row>
    <row r="106" spans="12:14" x14ac:dyDescent="0.2">
      <c r="L106" s="12"/>
      <c r="M106" s="127"/>
      <c r="N106" s="127"/>
    </row>
    <row r="107" spans="12:14" x14ac:dyDescent="0.2">
      <c r="L107" s="12" t="str">
        <f>name!D3</f>
        <v>All occupations</v>
      </c>
      <c r="M107" s="127">
        <f>'Occ T2'!D34-'Occ T2'!B34</f>
        <v>120.79299999889895</v>
      </c>
      <c r="N107" s="127">
        <f>'Occ T2'!F142</f>
        <v>39.413000001041837</v>
      </c>
    </row>
    <row r="150" spans="1:16" ht="15.75" x14ac:dyDescent="0.25">
      <c r="A150" s="221" t="str">
        <f>CONCATENATE("Occupation Figure 1.2  Change in Employment by Occupation (SOC 2010), ",M150," and ",N150)</f>
        <v>Occupation Figure 1.2  Change in Employment by Occupation (SOC 2010), 2007 - 2017 and 2017-2027</v>
      </c>
      <c r="M150" s="123" t="str">
        <f>'Occ T1'!B6&amp;" - "&amp;'Occ T1'!D6</f>
        <v>2007 - 2017</v>
      </c>
      <c r="N150" s="123" t="str">
        <f>'Occ T1'!H4</f>
        <v>2017-2027</v>
      </c>
    </row>
    <row r="151" spans="1:16" x14ac:dyDescent="0.2">
      <c r="L151" s="12" t="str">
        <f>name!E4</f>
        <v>Managers, directors and senior officials</v>
      </c>
      <c r="M151" s="127">
        <f>'Occ T1'!D8-'Occ T1'!B8</f>
        <v>25.02372977919174</v>
      </c>
      <c r="N151" s="127">
        <f>'Occ T1'!H8</f>
        <v>15.328834993180209</v>
      </c>
      <c r="P151" s="127"/>
    </row>
    <row r="152" spans="1:16" x14ac:dyDescent="0.2">
      <c r="L152" s="12" t="str">
        <f>name!E5</f>
        <v>Professional occupations</v>
      </c>
      <c r="M152" s="127">
        <f>'Occ T1'!D9-'Occ T1'!B9</f>
        <v>65.850791205002594</v>
      </c>
      <c r="N152" s="127">
        <f>'Occ T1'!H9</f>
        <v>37.832803663230493</v>
      </c>
      <c r="P152" s="127"/>
    </row>
    <row r="153" spans="1:16" x14ac:dyDescent="0.2">
      <c r="L153" s="12" t="str">
        <f>name!E6</f>
        <v>Associate professional and technical</v>
      </c>
      <c r="M153" s="127">
        <f>'Occ T1'!D10-'Occ T1'!B10</f>
        <v>26.519325184530317</v>
      </c>
      <c r="N153" s="127">
        <f>'Occ T1'!H10</f>
        <v>16.937292365536223</v>
      </c>
      <c r="P153" s="127"/>
    </row>
    <row r="154" spans="1:16" x14ac:dyDescent="0.2">
      <c r="L154" s="12" t="str">
        <f>name!E7</f>
        <v>Administrative and secretarial</v>
      </c>
      <c r="M154" s="127">
        <f>'Occ T1'!D11-'Occ T1'!B11</f>
        <v>-7.1882297688251526</v>
      </c>
      <c r="N154" s="127">
        <f>'Occ T1'!H11</f>
        <v>-21.900198867512131</v>
      </c>
      <c r="P154" s="127"/>
    </row>
    <row r="155" spans="1:16" x14ac:dyDescent="0.2">
      <c r="L155" s="12" t="str">
        <f>name!E8</f>
        <v>Skilled trades occupations</v>
      </c>
      <c r="M155" s="127">
        <f>'Occ T1'!D12-'Occ T1'!B12</f>
        <v>12.042333802325146</v>
      </c>
      <c r="N155" s="127">
        <f>'Occ T1'!H12</f>
        <v>-14.274632203557672</v>
      </c>
      <c r="P155" s="127"/>
    </row>
    <row r="156" spans="1:16" x14ac:dyDescent="0.2">
      <c r="L156" s="12" t="str">
        <f>name!E9</f>
        <v>Caring, leisure and other service</v>
      </c>
      <c r="M156" s="127">
        <f>'Occ T1'!D13-'Occ T1'!B13</f>
        <v>41.967040641920747</v>
      </c>
      <c r="N156" s="127">
        <f>'Occ T1'!H13</f>
        <v>20.679082997166262</v>
      </c>
      <c r="P156" s="127"/>
    </row>
    <row r="157" spans="1:16" x14ac:dyDescent="0.2">
      <c r="L157" s="12" t="str">
        <f>name!E10</f>
        <v>Sales and customer service</v>
      </c>
      <c r="M157" s="127">
        <f>'Occ T1'!D14-'Occ T1'!B14</f>
        <v>-5.7333980950511005</v>
      </c>
      <c r="N157" s="127">
        <f>'Occ T1'!H14</f>
        <v>-3.5208412935990765</v>
      </c>
      <c r="P157" s="127"/>
    </row>
    <row r="158" spans="1:16" x14ac:dyDescent="0.2">
      <c r="L158" s="12" t="str">
        <f>name!E11</f>
        <v>Process, plant and machine operatives</v>
      </c>
      <c r="M158" s="127">
        <f>'Occ T1'!D15-'Occ T1'!B15</f>
        <v>-17.156332986565701</v>
      </c>
      <c r="N158" s="127">
        <f>'Occ T1'!H15</f>
        <v>-10.838855876154923</v>
      </c>
      <c r="P158" s="127"/>
    </row>
    <row r="159" spans="1:16" x14ac:dyDescent="0.2">
      <c r="L159" s="12" t="str">
        <f>name!E12</f>
        <v>Elementary occupations</v>
      </c>
      <c r="M159" s="127">
        <f>'Occ T1'!D16-'Occ T1'!B16</f>
        <v>-20.532259763629156</v>
      </c>
      <c r="N159" s="127">
        <f>'Occ T1'!H16</f>
        <v>-0.83048577724795791</v>
      </c>
      <c r="P159" s="127"/>
    </row>
    <row r="160" spans="1:16" x14ac:dyDescent="0.2">
      <c r="L160" s="12"/>
      <c r="M160" s="127"/>
      <c r="N160" s="127"/>
      <c r="P160" s="127"/>
    </row>
    <row r="161" spans="12:16" x14ac:dyDescent="0.2">
      <c r="L161" s="12" t="str">
        <f>name!E3</f>
        <v>All occupations</v>
      </c>
      <c r="M161" s="127">
        <f>'Occ T1'!D18-'Occ T1'!B18</f>
        <v>120.79299999889918</v>
      </c>
      <c r="N161" s="127">
        <f>'Occ T1'!H18</f>
        <v>39.413000001041425</v>
      </c>
      <c r="P161" s="127"/>
    </row>
    <row r="162" spans="12:16" x14ac:dyDescent="0.2">
      <c r="P162" s="127"/>
    </row>
  </sheetData>
  <conditionalFormatting sqref="L17:L18 L6:N6">
    <cfRule type="cellIs" dxfId="7" priority="1" stopIfTrue="1" operator="equal">
      <formula>0</formula>
    </cfRule>
  </conditionalFormatting>
  <pageMargins left="0.55118110236220474" right="0.55118110236220474" top="0.98425196850393704" bottom="0.98425196850393704" header="0.51181102362204722" footer="0.51181102362204722"/>
  <pageSetup paperSize="9" scale="72" orientation="portrait" r:id="rId1"/>
  <headerFooter alignWithMargins="0"/>
  <rowBreaks count="1" manualBreakCount="1">
    <brk id="78" max="9" man="1"/>
  </rowBreaks>
  <colBreaks count="1" manualBreakCount="1">
    <brk id="10" max="147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O506"/>
  <sheetViews>
    <sheetView zoomScale="75" zoomScaleNormal="75" workbookViewId="0"/>
  </sheetViews>
  <sheetFormatPr defaultColWidth="9.140625" defaultRowHeight="12.75" x14ac:dyDescent="0.2"/>
  <cols>
    <col min="1" max="1" width="17" style="104" customWidth="1"/>
    <col min="2" max="8" width="9.140625" style="104"/>
    <col min="9" max="9" width="31.85546875" style="104" customWidth="1"/>
    <col min="10" max="10" width="11.28515625" style="104" customWidth="1"/>
    <col min="11" max="11" width="6.140625" style="104" customWidth="1"/>
    <col min="12" max="12" width="52.28515625" style="220" customWidth="1"/>
    <col min="13" max="38" width="15.7109375" style="220" customWidth="1"/>
    <col min="39" max="39" width="7.7109375" style="220" customWidth="1"/>
    <col min="40" max="63" width="6.28515625" style="220" customWidth="1"/>
    <col min="64" max="16384" width="9.140625" style="220"/>
  </cols>
  <sheetData>
    <row r="1" spans="1:67" ht="15.75" x14ac:dyDescent="0.25">
      <c r="A1" s="103" t="str">
        <f>CONCATENATE("Occupation Figure 2  Employment by Occupation (SOC 2010), ",$M$2,"-",$O$2)</f>
        <v>Occupation Figure 2  Employment by Occupation (SOC 2010), 2007-2027</v>
      </c>
      <c r="L1" s="56"/>
    </row>
    <row r="2" spans="1:67" x14ac:dyDescent="0.2">
      <c r="L2" s="19" t="s">
        <v>28</v>
      </c>
      <c r="M2" s="59">
        <f>M4</f>
        <v>2007</v>
      </c>
      <c r="N2" s="219" t="s">
        <v>27</v>
      </c>
      <c r="O2" s="59">
        <f>MAX(Q4:BO4)</f>
        <v>2027</v>
      </c>
    </row>
    <row r="3" spans="1:67" x14ac:dyDescent="0.2">
      <c r="L3" s="19"/>
      <c r="M3" s="19"/>
      <c r="N3" s="219"/>
      <c r="O3" s="19"/>
    </row>
    <row r="4" spans="1:67" x14ac:dyDescent="0.2">
      <c r="L4" s="1" t="s">
        <v>35</v>
      </c>
      <c r="M4" s="59">
        <v>2007</v>
      </c>
      <c r="N4" s="59">
        <v>2008</v>
      </c>
      <c r="O4" s="59">
        <v>2009</v>
      </c>
      <c r="P4" s="59">
        <v>2010</v>
      </c>
      <c r="Q4" s="59">
        <v>2011</v>
      </c>
      <c r="R4" s="59">
        <v>2012</v>
      </c>
      <c r="S4" s="59">
        <v>2013</v>
      </c>
      <c r="T4" s="59">
        <v>2014</v>
      </c>
      <c r="U4" s="59">
        <v>2015</v>
      </c>
      <c r="V4" s="59">
        <v>2016</v>
      </c>
      <c r="W4" s="59">
        <v>2017</v>
      </c>
      <c r="X4" s="59">
        <v>2018</v>
      </c>
      <c r="Y4" s="59">
        <v>2019</v>
      </c>
      <c r="Z4" s="59">
        <v>2020</v>
      </c>
      <c r="AA4" s="59">
        <v>2021</v>
      </c>
      <c r="AB4" s="59">
        <v>2022</v>
      </c>
      <c r="AC4" s="59">
        <v>2023</v>
      </c>
      <c r="AD4" s="59">
        <v>2024</v>
      </c>
      <c r="AE4" s="59">
        <v>2025</v>
      </c>
      <c r="AF4" s="59">
        <v>2026</v>
      </c>
      <c r="AG4" s="59">
        <v>2027</v>
      </c>
      <c r="AH4" s="59"/>
      <c r="AI4" s="59"/>
      <c r="AJ4" s="59"/>
      <c r="AK4" s="59"/>
      <c r="AL4" s="59"/>
      <c r="AM4" s="59"/>
      <c r="AN4" s="59"/>
      <c r="AO4" s="59"/>
      <c r="AP4" s="59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</row>
    <row r="5" spans="1:67" x14ac:dyDescent="0.2">
      <c r="L5" s="20" t="str">
        <f>'Occ T3'!A7</f>
        <v>Managers, directors and senior officials</v>
      </c>
      <c r="M5" s="339">
        <f t="shared" ref="M5:P5" si="0">SUM(M6:M7)</f>
        <v>96.365990659496248</v>
      </c>
      <c r="N5" s="339">
        <f t="shared" si="0"/>
        <v>103.38941650416018</v>
      </c>
      <c r="O5" s="339">
        <f t="shared" si="0"/>
        <v>100.767424551799</v>
      </c>
      <c r="P5" s="339">
        <f t="shared" si="0"/>
        <v>102.89499777903652</v>
      </c>
      <c r="Q5" s="339">
        <f>SUM(Q6:Q7)</f>
        <v>100.43457864934837</v>
      </c>
      <c r="R5" s="339">
        <f t="shared" ref="R5:AG5" si="1">SUM(R6:R7)</f>
        <v>102.06840889696952</v>
      </c>
      <c r="S5" s="339">
        <f t="shared" si="1"/>
        <v>102.34011569751704</v>
      </c>
      <c r="T5" s="339">
        <f t="shared" si="1"/>
        <v>106.85784429166803</v>
      </c>
      <c r="U5" s="339">
        <f t="shared" si="1"/>
        <v>112.03163744453036</v>
      </c>
      <c r="V5" s="339">
        <f t="shared" si="1"/>
        <v>120.83309696662408</v>
      </c>
      <c r="W5" s="339">
        <f t="shared" si="1"/>
        <v>121.38972043868799</v>
      </c>
      <c r="X5" s="339">
        <f t="shared" si="1"/>
        <v>122.8927591782803</v>
      </c>
      <c r="Y5" s="339">
        <f t="shared" si="1"/>
        <v>124.5605346557405</v>
      </c>
      <c r="Z5" s="339">
        <f t="shared" si="1"/>
        <v>126.40913549545392</v>
      </c>
      <c r="AA5" s="339">
        <f t="shared" si="1"/>
        <v>127.89236649050338</v>
      </c>
      <c r="AB5" s="339">
        <f t="shared" si="1"/>
        <v>129.5004089755376</v>
      </c>
      <c r="AC5" s="339">
        <f t="shared" si="1"/>
        <v>130.98226297757074</v>
      </c>
      <c r="AD5" s="339">
        <f t="shared" si="1"/>
        <v>132.43779214497468</v>
      </c>
      <c r="AE5" s="339">
        <f t="shared" si="1"/>
        <v>133.89840936015867</v>
      </c>
      <c r="AF5" s="339">
        <f t="shared" si="1"/>
        <v>135.34070900454955</v>
      </c>
      <c r="AG5" s="339">
        <f t="shared" si="1"/>
        <v>136.7185554318682</v>
      </c>
      <c r="AH5" s="339"/>
      <c r="AI5" s="339"/>
      <c r="AJ5" s="339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</row>
    <row r="6" spans="1:67" x14ac:dyDescent="0.2">
      <c r="L6" s="338" t="str">
        <f>'Occ T3'!A8</f>
        <v xml:space="preserve"> 11 Corporate managers and directors</v>
      </c>
      <c r="M6" s="13">
        <v>62.791080673241183</v>
      </c>
      <c r="N6" s="13">
        <v>64.737701936232455</v>
      </c>
      <c r="O6" s="13">
        <v>65.794834525932941</v>
      </c>
      <c r="P6" s="13">
        <v>65.216716437225131</v>
      </c>
      <c r="Q6" s="13">
        <v>64.39137422333512</v>
      </c>
      <c r="R6" s="13">
        <v>63.931722947781608</v>
      </c>
      <c r="S6" s="13">
        <v>66.680696542671768</v>
      </c>
      <c r="T6" s="13">
        <v>69.076699935157578</v>
      </c>
      <c r="U6" s="13">
        <v>71.381092726783749</v>
      </c>
      <c r="V6" s="13">
        <v>74.557998518744199</v>
      </c>
      <c r="W6" s="13">
        <v>75.827297635181665</v>
      </c>
      <c r="X6" s="13">
        <v>76.872430216499581</v>
      </c>
      <c r="Y6" s="13">
        <v>78.07812385872603</v>
      </c>
      <c r="Z6" s="13">
        <v>79.431235134359881</v>
      </c>
      <c r="AA6" s="13">
        <v>80.49162718450323</v>
      </c>
      <c r="AB6" s="13">
        <v>81.604810249282991</v>
      </c>
      <c r="AC6" s="13">
        <v>82.718288261965967</v>
      </c>
      <c r="AD6" s="13">
        <v>83.793014395099235</v>
      </c>
      <c r="AE6" s="13">
        <v>84.844529602760062</v>
      </c>
      <c r="AF6" s="13">
        <v>85.849219950171602</v>
      </c>
      <c r="AG6" s="13">
        <v>86.787628928781672</v>
      </c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</row>
    <row r="7" spans="1:67" x14ac:dyDescent="0.2">
      <c r="L7" s="338" t="str">
        <f>'Occ T3'!A9</f>
        <v xml:space="preserve"> 12 Other managers and proprietors</v>
      </c>
      <c r="M7" s="13">
        <v>33.574909986255072</v>
      </c>
      <c r="N7" s="13">
        <v>38.651714567927719</v>
      </c>
      <c r="O7" s="13">
        <v>34.972590025866062</v>
      </c>
      <c r="P7" s="13">
        <v>37.678281341811378</v>
      </c>
      <c r="Q7" s="13">
        <v>36.04320442601324</v>
      </c>
      <c r="R7" s="13">
        <v>38.136685949187907</v>
      </c>
      <c r="S7" s="13">
        <v>35.65941915484526</v>
      </c>
      <c r="T7" s="13">
        <v>37.781144356510453</v>
      </c>
      <c r="U7" s="13">
        <v>40.650544717746605</v>
      </c>
      <c r="V7" s="13">
        <v>46.275098447879877</v>
      </c>
      <c r="W7" s="13">
        <v>45.562422803506315</v>
      </c>
      <c r="X7" s="13">
        <v>46.020328961780727</v>
      </c>
      <c r="Y7" s="13">
        <v>46.48241079701446</v>
      </c>
      <c r="Z7" s="13">
        <v>46.977900361094044</v>
      </c>
      <c r="AA7" s="13">
        <v>47.400739306000155</v>
      </c>
      <c r="AB7" s="13">
        <v>47.895598726254597</v>
      </c>
      <c r="AC7" s="13">
        <v>48.263974715604775</v>
      </c>
      <c r="AD7" s="13">
        <v>48.644777749875438</v>
      </c>
      <c r="AE7" s="13">
        <v>49.053879757398597</v>
      </c>
      <c r="AF7" s="13">
        <v>49.491489054377958</v>
      </c>
      <c r="AG7" s="13">
        <v>49.930926503086525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</row>
    <row r="8" spans="1:67" x14ac:dyDescent="0.2">
      <c r="L8" s="338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</row>
    <row r="9" spans="1:67" x14ac:dyDescent="0.2">
      <c r="L9" s="20" t="str">
        <f>'Occ T3'!A11</f>
        <v>Professional occupations</v>
      </c>
      <c r="M9" s="339">
        <f t="shared" ref="M9:P9" si="2">SUM(M10:M13)</f>
        <v>221.08153495773954</v>
      </c>
      <c r="N9" s="339">
        <f t="shared" si="2"/>
        <v>226.97248177376213</v>
      </c>
      <c r="O9" s="339">
        <f t="shared" si="2"/>
        <v>234.38158587296905</v>
      </c>
      <c r="P9" s="339">
        <f t="shared" si="2"/>
        <v>230.31758019896509</v>
      </c>
      <c r="Q9" s="339">
        <f>SUM(Q10:Q13)</f>
        <v>234.35538102061585</v>
      </c>
      <c r="R9" s="339">
        <f t="shared" ref="R9:AG9" si="3">SUM(R10:R13)</f>
        <v>238.11769957384956</v>
      </c>
      <c r="S9" s="339">
        <f t="shared" si="3"/>
        <v>242.52593225271971</v>
      </c>
      <c r="T9" s="339">
        <f t="shared" si="3"/>
        <v>251.81685015630745</v>
      </c>
      <c r="U9" s="339">
        <f t="shared" si="3"/>
        <v>259.62926796289923</v>
      </c>
      <c r="V9" s="339">
        <f t="shared" si="3"/>
        <v>268.67691641091079</v>
      </c>
      <c r="W9" s="339">
        <f t="shared" si="3"/>
        <v>286.93232616274213</v>
      </c>
      <c r="X9" s="339">
        <f t="shared" si="3"/>
        <v>289.61107276002679</v>
      </c>
      <c r="Y9" s="339">
        <f t="shared" si="3"/>
        <v>292.29301041659244</v>
      </c>
      <c r="Z9" s="339">
        <f t="shared" si="3"/>
        <v>295.57898014989081</v>
      </c>
      <c r="AA9" s="339">
        <f t="shared" si="3"/>
        <v>299.81292618768123</v>
      </c>
      <c r="AB9" s="339">
        <f t="shared" si="3"/>
        <v>304.3607521899271</v>
      </c>
      <c r="AC9" s="339">
        <f t="shared" si="3"/>
        <v>308.83615480653668</v>
      </c>
      <c r="AD9" s="339">
        <f t="shared" si="3"/>
        <v>313.10289884989515</v>
      </c>
      <c r="AE9" s="339">
        <f t="shared" si="3"/>
        <v>317.28911828985213</v>
      </c>
      <c r="AF9" s="339">
        <f t="shared" si="3"/>
        <v>321.15671026447797</v>
      </c>
      <c r="AG9" s="339">
        <f t="shared" si="3"/>
        <v>324.76512982597262</v>
      </c>
      <c r="AH9" s="339"/>
      <c r="AI9" s="339"/>
      <c r="AJ9" s="339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</row>
    <row r="10" spans="1:67" x14ac:dyDescent="0.2">
      <c r="L10" s="338" t="str">
        <f>'Occ T3'!A12</f>
        <v xml:space="preserve"> 21 Science, research, engineering and technology professionals</v>
      </c>
      <c r="M10" s="13">
        <v>39.404062516743629</v>
      </c>
      <c r="N10" s="13">
        <v>39.118087889987663</v>
      </c>
      <c r="O10" s="13">
        <v>40.759231543491367</v>
      </c>
      <c r="P10" s="13">
        <v>40.54299011116224</v>
      </c>
      <c r="Q10" s="13">
        <v>40.593212345064146</v>
      </c>
      <c r="R10" s="13">
        <v>40.310454710373008</v>
      </c>
      <c r="S10" s="13">
        <v>40.71452365964015</v>
      </c>
      <c r="T10" s="13">
        <v>42.064082378944413</v>
      </c>
      <c r="U10" s="13">
        <v>43.487604364003452</v>
      </c>
      <c r="V10" s="13">
        <v>46.258763726016625</v>
      </c>
      <c r="W10" s="13">
        <v>48.951367989588107</v>
      </c>
      <c r="X10" s="13">
        <v>49.385243165752819</v>
      </c>
      <c r="Y10" s="13">
        <v>49.936070100893211</v>
      </c>
      <c r="Z10" s="13">
        <v>50.57675787039139</v>
      </c>
      <c r="AA10" s="13">
        <v>50.94176426591531</v>
      </c>
      <c r="AB10" s="13">
        <v>51.330824580438318</v>
      </c>
      <c r="AC10" s="13">
        <v>51.728529969787907</v>
      </c>
      <c r="AD10" s="13">
        <v>52.08857857562819</v>
      </c>
      <c r="AE10" s="13">
        <v>52.474581212649539</v>
      </c>
      <c r="AF10" s="13">
        <v>52.857297824831633</v>
      </c>
      <c r="AG10" s="13">
        <v>53.238061977314004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</row>
    <row r="11" spans="1:67" x14ac:dyDescent="0.2">
      <c r="L11" s="338" t="str">
        <f>'Occ T3'!A13</f>
        <v xml:space="preserve"> 22 Health professionals</v>
      </c>
      <c r="M11" s="13">
        <v>65.918325380874236</v>
      </c>
      <c r="N11" s="13">
        <v>68.685267659941758</v>
      </c>
      <c r="O11" s="13">
        <v>72.131546330588293</v>
      </c>
      <c r="P11" s="13">
        <v>67.734080735213013</v>
      </c>
      <c r="Q11" s="13">
        <v>72.807018303453589</v>
      </c>
      <c r="R11" s="13">
        <v>73.932405683303031</v>
      </c>
      <c r="S11" s="13">
        <v>77.398023147277215</v>
      </c>
      <c r="T11" s="13">
        <v>80.852826688433936</v>
      </c>
      <c r="U11" s="13">
        <v>85.022856940705097</v>
      </c>
      <c r="V11" s="13">
        <v>84.551557584879873</v>
      </c>
      <c r="W11" s="13">
        <v>96.439442296228563</v>
      </c>
      <c r="X11" s="13">
        <v>98.019934367893242</v>
      </c>
      <c r="Y11" s="13">
        <v>99.141273140179464</v>
      </c>
      <c r="Z11" s="13">
        <v>100.33571490513182</v>
      </c>
      <c r="AA11" s="13">
        <v>102.28630183600762</v>
      </c>
      <c r="AB11" s="13">
        <v>104.33498800884813</v>
      </c>
      <c r="AC11" s="13">
        <v>106.07217433682082</v>
      </c>
      <c r="AD11" s="13">
        <v>107.77516622488108</v>
      </c>
      <c r="AE11" s="13">
        <v>109.42382611923425</v>
      </c>
      <c r="AF11" s="13">
        <v>110.91837484142853</v>
      </c>
      <c r="AG11" s="13">
        <v>112.3717737309305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</row>
    <row r="12" spans="1:67" x14ac:dyDescent="0.2">
      <c r="L12" s="338" t="str">
        <f>'Occ T3'!A14</f>
        <v xml:space="preserve"> 23 Teaching and educational professionals</v>
      </c>
      <c r="M12" s="13">
        <v>73.917574240407916</v>
      </c>
      <c r="N12" s="13">
        <v>78.107769393397717</v>
      </c>
      <c r="O12" s="13">
        <v>78.116612265276771</v>
      </c>
      <c r="P12" s="13">
        <v>79.677251302960272</v>
      </c>
      <c r="Q12" s="13">
        <v>80.431972885157904</v>
      </c>
      <c r="R12" s="13">
        <v>83.824240112476602</v>
      </c>
      <c r="S12" s="13">
        <v>81.584163404768702</v>
      </c>
      <c r="T12" s="13">
        <v>86.388939328332839</v>
      </c>
      <c r="U12" s="13">
        <v>87.651164742205211</v>
      </c>
      <c r="V12" s="13">
        <v>91.98842843866278</v>
      </c>
      <c r="W12" s="13">
        <v>93.711316882436563</v>
      </c>
      <c r="X12" s="13">
        <v>93.631794331184437</v>
      </c>
      <c r="Y12" s="13">
        <v>93.754218641157706</v>
      </c>
      <c r="Z12" s="13">
        <v>94.236577356517429</v>
      </c>
      <c r="AA12" s="13">
        <v>95.352412724645006</v>
      </c>
      <c r="AB12" s="13">
        <v>96.639242989237744</v>
      </c>
      <c r="AC12" s="13">
        <v>98.405427164545301</v>
      </c>
      <c r="AD12" s="13">
        <v>100.08021631791193</v>
      </c>
      <c r="AE12" s="13">
        <v>101.63467062199574</v>
      </c>
      <c r="AF12" s="13">
        <v>103.04073245965633</v>
      </c>
      <c r="AG12" s="13">
        <v>104.26072423736112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x14ac:dyDescent="0.2">
      <c r="L13" s="338" t="str">
        <f>'Occ T3'!A15</f>
        <v xml:space="preserve"> 24 Business, media and public service professionals</v>
      </c>
      <c r="M13" s="13">
        <v>41.841572819713782</v>
      </c>
      <c r="N13" s="13">
        <v>41.061356830434974</v>
      </c>
      <c r="O13" s="13">
        <v>43.374195733612616</v>
      </c>
      <c r="P13" s="13">
        <v>42.363258049629565</v>
      </c>
      <c r="Q13" s="13">
        <v>40.523177486940234</v>
      </c>
      <c r="R13" s="13">
        <v>40.050599067696901</v>
      </c>
      <c r="S13" s="13">
        <v>42.829222041033638</v>
      </c>
      <c r="T13" s="13">
        <v>42.511001760596244</v>
      </c>
      <c r="U13" s="13">
        <v>43.467641915985517</v>
      </c>
      <c r="V13" s="13">
        <v>45.878166661351564</v>
      </c>
      <c r="W13" s="13">
        <v>47.830198994488903</v>
      </c>
      <c r="X13" s="13">
        <v>48.574100895196281</v>
      </c>
      <c r="Y13" s="13">
        <v>49.461448534362049</v>
      </c>
      <c r="Z13" s="13">
        <v>50.429930017850175</v>
      </c>
      <c r="AA13" s="13">
        <v>51.23244736111328</v>
      </c>
      <c r="AB13" s="13">
        <v>52.055696611402929</v>
      </c>
      <c r="AC13" s="13">
        <v>52.630023335382674</v>
      </c>
      <c r="AD13" s="13">
        <v>53.158937731473934</v>
      </c>
      <c r="AE13" s="13">
        <v>53.756040335972628</v>
      </c>
      <c r="AF13" s="13">
        <v>54.340305138561448</v>
      </c>
      <c r="AG13" s="13">
        <v>54.894569880366987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x14ac:dyDescent="0.2">
      <c r="L14" s="338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x14ac:dyDescent="0.2">
      <c r="L15" s="20" t="str">
        <f>'Occ T3'!A17</f>
        <v>Associate professional and technical</v>
      </c>
      <c r="M15" s="339">
        <f>SUM(M16:M20)</f>
        <v>145.55279398544303</v>
      </c>
      <c r="N15" s="339">
        <f t="shared" ref="N15:P15" si="4">SUM(N16:N20)</f>
        <v>146.84528955566691</v>
      </c>
      <c r="O15" s="339">
        <f t="shared" si="4"/>
        <v>146.43064322377148</v>
      </c>
      <c r="P15" s="339">
        <f t="shared" si="4"/>
        <v>145.60438546000015</v>
      </c>
      <c r="Q15" s="339">
        <f>SUM(Q16:Q20)</f>
        <v>146.10351336968756</v>
      </c>
      <c r="R15" s="339">
        <f t="shared" ref="R15:AG15" si="5">SUM(R16:R20)</f>
        <v>145.42546728127255</v>
      </c>
      <c r="S15" s="339">
        <f t="shared" si="5"/>
        <v>153.70881876096249</v>
      </c>
      <c r="T15" s="339">
        <f t="shared" si="5"/>
        <v>154.63232791664728</v>
      </c>
      <c r="U15" s="339">
        <f t="shared" si="5"/>
        <v>157.26477840164677</v>
      </c>
      <c r="V15" s="339">
        <f t="shared" si="5"/>
        <v>163.97575908831831</v>
      </c>
      <c r="W15" s="339">
        <f t="shared" si="5"/>
        <v>172.07211916997335</v>
      </c>
      <c r="X15" s="339">
        <f t="shared" si="5"/>
        <v>173.79240826807677</v>
      </c>
      <c r="Y15" s="339">
        <f t="shared" si="5"/>
        <v>175.58396868671429</v>
      </c>
      <c r="Z15" s="339">
        <f t="shared" si="5"/>
        <v>177.67010584317939</v>
      </c>
      <c r="AA15" s="339">
        <f t="shared" si="5"/>
        <v>179.53184988829796</v>
      </c>
      <c r="AB15" s="339">
        <f t="shared" si="5"/>
        <v>181.51224362511181</v>
      </c>
      <c r="AC15" s="339">
        <f t="shared" si="5"/>
        <v>183.11435236290589</v>
      </c>
      <c r="AD15" s="339">
        <f t="shared" si="5"/>
        <v>184.69515198086555</v>
      </c>
      <c r="AE15" s="339">
        <f t="shared" si="5"/>
        <v>186.22503508006861</v>
      </c>
      <c r="AF15" s="339">
        <f t="shared" si="5"/>
        <v>187.66051228556199</v>
      </c>
      <c r="AG15" s="339">
        <f t="shared" si="5"/>
        <v>189.00941153550957</v>
      </c>
      <c r="AH15" s="339"/>
      <c r="AI15" s="339"/>
      <c r="AJ15" s="339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</row>
    <row r="16" spans="1:67" x14ac:dyDescent="0.2">
      <c r="L16" s="338" t="str">
        <f>'Occ T3'!A18</f>
        <v xml:space="preserve"> 31 Science, engineering and technology associate professionals</v>
      </c>
      <c r="M16" s="13">
        <v>23.969208752827978</v>
      </c>
      <c r="N16" s="13">
        <v>23.157003955376918</v>
      </c>
      <c r="O16" s="13">
        <v>24.245434339776192</v>
      </c>
      <c r="P16" s="13">
        <v>22.939157416195474</v>
      </c>
      <c r="Q16" s="13">
        <v>22.757293011633301</v>
      </c>
      <c r="R16" s="13">
        <v>22.082241601988173</v>
      </c>
      <c r="S16" s="13">
        <v>22.474320334063663</v>
      </c>
      <c r="T16" s="13">
        <v>22.978398745259607</v>
      </c>
      <c r="U16" s="13">
        <v>23.789820915285588</v>
      </c>
      <c r="V16" s="13">
        <v>24.132607374251766</v>
      </c>
      <c r="W16" s="13">
        <v>25.153076673906533</v>
      </c>
      <c r="X16" s="13">
        <v>25.095047744664605</v>
      </c>
      <c r="Y16" s="13">
        <v>25.076358668276907</v>
      </c>
      <c r="Z16" s="13">
        <v>25.104704935673798</v>
      </c>
      <c r="AA16" s="13">
        <v>25.106528050283089</v>
      </c>
      <c r="AB16" s="13">
        <v>25.133794864033277</v>
      </c>
      <c r="AC16" s="13">
        <v>25.18187919494228</v>
      </c>
      <c r="AD16" s="13">
        <v>25.220816035871863</v>
      </c>
      <c r="AE16" s="13">
        <v>25.258232377239626</v>
      </c>
      <c r="AF16" s="13">
        <v>25.261760323505236</v>
      </c>
      <c r="AG16" s="13">
        <v>25.291027134911744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2:67" x14ac:dyDescent="0.2">
      <c r="L17" s="338" t="str">
        <f>'Occ T3'!A19</f>
        <v xml:space="preserve"> 32 Health and social care associate professionals</v>
      </c>
      <c r="M17" s="13">
        <v>22.021237095591832</v>
      </c>
      <c r="N17" s="13">
        <v>22.326504546295052</v>
      </c>
      <c r="O17" s="13">
        <v>23.089325469605892</v>
      </c>
      <c r="P17" s="13">
        <v>22.414156627444456</v>
      </c>
      <c r="Q17" s="13">
        <v>24.061248007309583</v>
      </c>
      <c r="R17" s="13">
        <v>24.271169744617566</v>
      </c>
      <c r="S17" s="13">
        <v>25.109604543275712</v>
      </c>
      <c r="T17" s="13">
        <v>26.371423041472301</v>
      </c>
      <c r="U17" s="13">
        <v>27.87550747266652</v>
      </c>
      <c r="V17" s="13">
        <v>27.239487655490546</v>
      </c>
      <c r="W17" s="13">
        <v>31.236630799272728</v>
      </c>
      <c r="X17" s="13">
        <v>31.802622614059324</v>
      </c>
      <c r="Y17" s="13">
        <v>32.210781192366191</v>
      </c>
      <c r="Z17" s="13">
        <v>32.633387863034379</v>
      </c>
      <c r="AA17" s="13">
        <v>33.229072630087366</v>
      </c>
      <c r="AB17" s="13">
        <v>33.858640696036062</v>
      </c>
      <c r="AC17" s="13">
        <v>34.375141719810252</v>
      </c>
      <c r="AD17" s="13">
        <v>34.883786248087993</v>
      </c>
      <c r="AE17" s="13">
        <v>35.373866849025724</v>
      </c>
      <c r="AF17" s="13">
        <v>35.868842699139392</v>
      </c>
      <c r="AG17" s="13">
        <v>36.336353610236586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</row>
    <row r="18" spans="12:67" x14ac:dyDescent="0.2">
      <c r="L18" s="338" t="str">
        <f>'Occ T3'!A20</f>
        <v xml:space="preserve"> 33 Protective service occupations</v>
      </c>
      <c r="M18" s="13">
        <v>18.193573896604018</v>
      </c>
      <c r="N18" s="13">
        <v>17.676708931069861</v>
      </c>
      <c r="O18" s="13">
        <v>17.232695759951266</v>
      </c>
      <c r="P18" s="13">
        <v>16.663824963490494</v>
      </c>
      <c r="Q18" s="13">
        <v>15.85994008793647</v>
      </c>
      <c r="R18" s="13">
        <v>16.088909587826628</v>
      </c>
      <c r="S18" s="13">
        <v>16.432766384046733</v>
      </c>
      <c r="T18" s="13">
        <v>15.967394255097956</v>
      </c>
      <c r="U18" s="13">
        <v>16.532661530699976</v>
      </c>
      <c r="V18" s="13">
        <v>16.476042086166636</v>
      </c>
      <c r="W18" s="13">
        <v>16.715828527620712</v>
      </c>
      <c r="X18" s="13">
        <v>16.596385177406336</v>
      </c>
      <c r="Y18" s="13">
        <v>16.499301435631935</v>
      </c>
      <c r="Z18" s="13">
        <v>16.406351047898845</v>
      </c>
      <c r="AA18" s="13">
        <v>16.284738824857229</v>
      </c>
      <c r="AB18" s="13">
        <v>16.17133108976617</v>
      </c>
      <c r="AC18" s="13">
        <v>16.106042083737481</v>
      </c>
      <c r="AD18" s="13">
        <v>16.0449319269343</v>
      </c>
      <c r="AE18" s="13">
        <v>15.974792741192259</v>
      </c>
      <c r="AF18" s="13">
        <v>15.902657500317982</v>
      </c>
      <c r="AG18" s="13">
        <v>15.812025383532305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12:67" x14ac:dyDescent="0.2">
      <c r="L19" s="338" t="str">
        <f>'Occ T3'!A21</f>
        <v xml:space="preserve"> 34 Culture, media and sports occupations</v>
      </c>
      <c r="M19" s="13">
        <v>17.306171623307954</v>
      </c>
      <c r="N19" s="13">
        <v>20.028158496029945</v>
      </c>
      <c r="O19" s="13">
        <v>18.931393704563853</v>
      </c>
      <c r="P19" s="13">
        <v>21.408852832611501</v>
      </c>
      <c r="Q19" s="13">
        <v>22.557309492923899</v>
      </c>
      <c r="R19" s="13">
        <v>21.245999474288546</v>
      </c>
      <c r="S19" s="13">
        <v>25.713826545638874</v>
      </c>
      <c r="T19" s="13">
        <v>22.884218754400585</v>
      </c>
      <c r="U19" s="13">
        <v>20.70493538552293</v>
      </c>
      <c r="V19" s="13">
        <v>24.954809128454698</v>
      </c>
      <c r="W19" s="13">
        <v>26.053726016084362</v>
      </c>
      <c r="X19" s="13">
        <v>26.460253241166772</v>
      </c>
      <c r="Y19" s="13">
        <v>26.836731091308486</v>
      </c>
      <c r="Z19" s="13">
        <v>27.267644322872709</v>
      </c>
      <c r="AA19" s="13">
        <v>27.648945538327329</v>
      </c>
      <c r="AB19" s="13">
        <v>28.046718468437099</v>
      </c>
      <c r="AC19" s="13">
        <v>28.221404899894189</v>
      </c>
      <c r="AD19" s="13">
        <v>28.398884201888396</v>
      </c>
      <c r="AE19" s="13">
        <v>28.57200228868416</v>
      </c>
      <c r="AF19" s="13">
        <v>28.734276323436905</v>
      </c>
      <c r="AG19" s="13">
        <v>28.887592472886212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12:67" x14ac:dyDescent="0.2">
      <c r="L20" s="338" t="str">
        <f>'Occ T3'!A22</f>
        <v xml:space="preserve"> 35 Business and public service associate professionals</v>
      </c>
      <c r="M20" s="13">
        <v>64.062602617111267</v>
      </c>
      <c r="N20" s="13">
        <v>63.65691362689514</v>
      </c>
      <c r="O20" s="13">
        <v>62.931793949874269</v>
      </c>
      <c r="P20" s="13">
        <v>62.178393620258227</v>
      </c>
      <c r="Q20" s="13">
        <v>60.867722769884296</v>
      </c>
      <c r="R20" s="13">
        <v>61.737146872551641</v>
      </c>
      <c r="S20" s="13">
        <v>63.978300953937513</v>
      </c>
      <c r="T20" s="13">
        <v>66.430893120416854</v>
      </c>
      <c r="U20" s="13">
        <v>68.361853097471766</v>
      </c>
      <c r="V20" s="13">
        <v>71.172812843954674</v>
      </c>
      <c r="W20" s="13">
        <v>72.912857153089021</v>
      </c>
      <c r="X20" s="13">
        <v>73.838099490779726</v>
      </c>
      <c r="Y20" s="13">
        <v>74.960796299130763</v>
      </c>
      <c r="Z20" s="13">
        <v>76.258017673699655</v>
      </c>
      <c r="AA20" s="13">
        <v>77.26256484474294</v>
      </c>
      <c r="AB20" s="13">
        <v>78.301758506839192</v>
      </c>
      <c r="AC20" s="13">
        <v>79.229884464521675</v>
      </c>
      <c r="AD20" s="13">
        <v>80.146733568082979</v>
      </c>
      <c r="AE20" s="13">
        <v>81.046140823926834</v>
      </c>
      <c r="AF20" s="13">
        <v>81.892975439162484</v>
      </c>
      <c r="AG20" s="13">
        <v>82.682412933942729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2:67" x14ac:dyDescent="0.2">
      <c r="L21" s="338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2:67" x14ac:dyDescent="0.2">
      <c r="L22" s="20" t="str">
        <f>'Occ T3'!A24</f>
        <v>Administrative and secretarial</v>
      </c>
      <c r="M22" s="339">
        <f t="shared" ref="M22:P22" si="6">SUM(M23:M24)</f>
        <v>167.81985524773</v>
      </c>
      <c r="N22" s="339">
        <f t="shared" si="6"/>
        <v>159.76099050709135</v>
      </c>
      <c r="O22" s="339">
        <f t="shared" si="6"/>
        <v>157.41778996884543</v>
      </c>
      <c r="P22" s="339">
        <f t="shared" si="6"/>
        <v>158.47348632619168</v>
      </c>
      <c r="Q22" s="339">
        <f>SUM(Q23:Q24)</f>
        <v>156.78006759655693</v>
      </c>
      <c r="R22" s="339">
        <f t="shared" ref="R22:AG22" si="7">SUM(R23:R24)</f>
        <v>154.55956652721534</v>
      </c>
      <c r="S22" s="339">
        <f t="shared" si="7"/>
        <v>160.20782272543468</v>
      </c>
      <c r="T22" s="339">
        <f t="shared" si="7"/>
        <v>163.80931165318725</v>
      </c>
      <c r="U22" s="339">
        <f t="shared" si="7"/>
        <v>162.74777408738444</v>
      </c>
      <c r="V22" s="339">
        <f t="shared" si="7"/>
        <v>159.14199689623493</v>
      </c>
      <c r="W22" s="339">
        <f t="shared" si="7"/>
        <v>160.63162547890485</v>
      </c>
      <c r="X22" s="339">
        <f t="shared" si="7"/>
        <v>158.25385803139298</v>
      </c>
      <c r="Y22" s="339">
        <f t="shared" si="7"/>
        <v>155.82083092194105</v>
      </c>
      <c r="Z22" s="339">
        <f t="shared" si="7"/>
        <v>153.57677228864813</v>
      </c>
      <c r="AA22" s="339">
        <f t="shared" si="7"/>
        <v>151.23827718968309</v>
      </c>
      <c r="AB22" s="339">
        <f t="shared" si="7"/>
        <v>148.91887637436366</v>
      </c>
      <c r="AC22" s="339">
        <f t="shared" si="7"/>
        <v>146.35521203708478</v>
      </c>
      <c r="AD22" s="339">
        <f t="shared" si="7"/>
        <v>144.07367884719417</v>
      </c>
      <c r="AE22" s="339">
        <f t="shared" si="7"/>
        <v>141.98217791444935</v>
      </c>
      <c r="AF22" s="339">
        <f t="shared" si="7"/>
        <v>140.25774612661672</v>
      </c>
      <c r="AG22" s="339">
        <f t="shared" si="7"/>
        <v>138.73142661139272</v>
      </c>
      <c r="AH22" s="339"/>
      <c r="AI22" s="339"/>
      <c r="AJ22" s="339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2:67" x14ac:dyDescent="0.2">
      <c r="L23" s="338" t="str">
        <f>'Occ T3'!A25</f>
        <v xml:space="preserve"> 41 Administrative occupations</v>
      </c>
      <c r="M23" s="13">
        <v>128.76139674940373</v>
      </c>
      <c r="N23" s="13">
        <v>122.22502827156325</v>
      </c>
      <c r="O23" s="13">
        <v>120.40620536716008</v>
      </c>
      <c r="P23" s="13">
        <v>121.69167358069954</v>
      </c>
      <c r="Q23" s="13">
        <v>121.07093761138333</v>
      </c>
      <c r="R23" s="13">
        <v>119.92922229333625</v>
      </c>
      <c r="S23" s="13">
        <v>124.50951367193099</v>
      </c>
      <c r="T23" s="13">
        <v>127.2105597522779</v>
      </c>
      <c r="U23" s="13">
        <v>127.85199185445119</v>
      </c>
      <c r="V23" s="13">
        <v>125.9660839278137</v>
      </c>
      <c r="W23" s="13">
        <v>127.5213345098998</v>
      </c>
      <c r="X23" s="13">
        <v>126.70329584776286</v>
      </c>
      <c r="Y23" s="13">
        <v>125.83692913411086</v>
      </c>
      <c r="Z23" s="13">
        <v>125.14174915168024</v>
      </c>
      <c r="AA23" s="13">
        <v>124.38983038076039</v>
      </c>
      <c r="AB23" s="13">
        <v>123.6717396969581</v>
      </c>
      <c r="AC23" s="13">
        <v>122.78912521758106</v>
      </c>
      <c r="AD23" s="13">
        <v>122.06120441441539</v>
      </c>
      <c r="AE23" s="13">
        <v>121.32858467451864</v>
      </c>
      <c r="AF23" s="13">
        <v>120.60585900921852</v>
      </c>
      <c r="AG23" s="13">
        <v>120.00823804562896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2:67" x14ac:dyDescent="0.2">
      <c r="L24" s="338" t="str">
        <f>'Occ T3'!A26</f>
        <v xml:space="preserve"> 42 Secretarial and related occupations</v>
      </c>
      <c r="M24" s="13">
        <v>39.05845849832626</v>
      </c>
      <c r="N24" s="13">
        <v>37.535962235528096</v>
      </c>
      <c r="O24" s="13">
        <v>37.011584601685335</v>
      </c>
      <c r="P24" s="13">
        <v>36.781812745492118</v>
      </c>
      <c r="Q24" s="13">
        <v>35.709129985173611</v>
      </c>
      <c r="R24" s="13">
        <v>34.630344233879086</v>
      </c>
      <c r="S24" s="13">
        <v>35.698309053503692</v>
      </c>
      <c r="T24" s="13">
        <v>36.598751900909363</v>
      </c>
      <c r="U24" s="13">
        <v>34.89578223293325</v>
      </c>
      <c r="V24" s="13">
        <v>33.175912968421223</v>
      </c>
      <c r="W24" s="13">
        <v>33.110290969005057</v>
      </c>
      <c r="X24" s="13">
        <v>31.550562183630127</v>
      </c>
      <c r="Y24" s="13">
        <v>29.983901787830199</v>
      </c>
      <c r="Z24" s="13">
        <v>28.435023136967875</v>
      </c>
      <c r="AA24" s="13">
        <v>26.848446808922692</v>
      </c>
      <c r="AB24" s="13">
        <v>25.247136677405564</v>
      </c>
      <c r="AC24" s="13">
        <v>23.566086819503731</v>
      </c>
      <c r="AD24" s="13">
        <v>22.012474432778792</v>
      </c>
      <c r="AE24" s="13">
        <v>20.653593239930725</v>
      </c>
      <c r="AF24" s="13">
        <v>19.651887117398193</v>
      </c>
      <c r="AG24" s="13">
        <v>18.72318856576376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</row>
    <row r="25" spans="12:67" x14ac:dyDescent="0.2">
      <c r="L25" s="338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2:67" x14ac:dyDescent="0.2">
      <c r="L26" s="20" t="str">
        <f>'Occ T3'!A28</f>
        <v>Skilled trades occupations</v>
      </c>
      <c r="M26" s="339">
        <f t="shared" ref="M26:P26" si="8">SUM(M27:M30)</f>
        <v>192.61758234287316</v>
      </c>
      <c r="N26" s="339">
        <f t="shared" si="8"/>
        <v>186.56415549102027</v>
      </c>
      <c r="O26" s="339">
        <f t="shared" si="8"/>
        <v>186.45521674331025</v>
      </c>
      <c r="P26" s="339">
        <f t="shared" si="8"/>
        <v>176.75863130370229</v>
      </c>
      <c r="Q26" s="339">
        <f>SUM(Q27:Q30)</f>
        <v>177.83893116631154</v>
      </c>
      <c r="R26" s="339">
        <f t="shared" ref="R26:AG26" si="9">SUM(R27:R30)</f>
        <v>173.6295944701626</v>
      </c>
      <c r="S26" s="339">
        <f t="shared" si="9"/>
        <v>169.08612874601272</v>
      </c>
      <c r="T26" s="339">
        <f t="shared" si="9"/>
        <v>184.34298102947133</v>
      </c>
      <c r="U26" s="339">
        <f>SUM(U27:U30)</f>
        <v>189.03282930325483</v>
      </c>
      <c r="V26" s="339">
        <f t="shared" si="9"/>
        <v>192.01109781749213</v>
      </c>
      <c r="W26" s="339">
        <f t="shared" si="9"/>
        <v>204.65991614519831</v>
      </c>
      <c r="X26" s="339">
        <f t="shared" si="9"/>
        <v>203.32376803958562</v>
      </c>
      <c r="Y26" s="339">
        <f t="shared" si="9"/>
        <v>202.19405998020892</v>
      </c>
      <c r="Z26" s="339">
        <f t="shared" si="9"/>
        <v>201.12494917312983</v>
      </c>
      <c r="AA26" s="339">
        <f t="shared" si="9"/>
        <v>199.32231391301383</v>
      </c>
      <c r="AB26" s="339">
        <f t="shared" si="9"/>
        <v>197.71367725030444</v>
      </c>
      <c r="AC26" s="339">
        <f t="shared" si="9"/>
        <v>196.27350459537445</v>
      </c>
      <c r="AD26" s="339">
        <f t="shared" si="9"/>
        <v>194.81386361990741</v>
      </c>
      <c r="AE26" s="339">
        <f t="shared" si="9"/>
        <v>193.39062063518915</v>
      </c>
      <c r="AF26" s="339">
        <f t="shared" si="9"/>
        <v>191.94140913225206</v>
      </c>
      <c r="AG26" s="339">
        <f t="shared" si="9"/>
        <v>190.38528394164064</v>
      </c>
      <c r="AH26" s="339"/>
      <c r="AI26" s="339"/>
      <c r="AJ26" s="339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2:67" x14ac:dyDescent="0.2">
      <c r="L27" s="338" t="str">
        <f>'Occ T3'!A29</f>
        <v xml:space="preserve"> 51 Skilled agricultural and related trades</v>
      </c>
      <c r="M27" s="13">
        <v>27.01228324618716</v>
      </c>
      <c r="N27" s="13">
        <v>27.570192173462281</v>
      </c>
      <c r="O27" s="13">
        <v>30.618435073792323</v>
      </c>
      <c r="P27" s="13">
        <v>22.909034104375333</v>
      </c>
      <c r="Q27" s="13">
        <v>28.818343918870461</v>
      </c>
      <c r="R27" s="13">
        <v>27.852633214650783</v>
      </c>
      <c r="S27" s="13">
        <v>23.043615315562612</v>
      </c>
      <c r="T27" s="13">
        <v>24.277042121932411</v>
      </c>
      <c r="U27" s="13">
        <v>30.585855965502692</v>
      </c>
      <c r="V27" s="13">
        <v>27.422197220300649</v>
      </c>
      <c r="W27" s="13">
        <v>44.641992580529916</v>
      </c>
      <c r="X27" s="13">
        <v>44.530506083626889</v>
      </c>
      <c r="Y27" s="13">
        <v>44.393723566270133</v>
      </c>
      <c r="Z27" s="13">
        <v>44.234219892796702</v>
      </c>
      <c r="AA27" s="13">
        <v>44.086965204344693</v>
      </c>
      <c r="AB27" s="13">
        <v>43.978336219184072</v>
      </c>
      <c r="AC27" s="13">
        <v>43.931026100932478</v>
      </c>
      <c r="AD27" s="13">
        <v>43.864683278591109</v>
      </c>
      <c r="AE27" s="13">
        <v>43.779087039814371</v>
      </c>
      <c r="AF27" s="13">
        <v>43.679275982494083</v>
      </c>
      <c r="AG27" s="13">
        <v>43.56237546948261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2:67" x14ac:dyDescent="0.2">
      <c r="L28" s="338" t="str">
        <f>'Occ T3'!A30</f>
        <v xml:space="preserve"> 52 Skilled metal, electrical and electronic trades</v>
      </c>
      <c r="M28" s="13">
        <v>64.57909849455713</v>
      </c>
      <c r="N28" s="13">
        <v>63.450297066022252</v>
      </c>
      <c r="O28" s="13">
        <v>62.189428879456109</v>
      </c>
      <c r="P28" s="13">
        <v>62.848643698166256</v>
      </c>
      <c r="Q28" s="13">
        <v>60.407941048992384</v>
      </c>
      <c r="R28" s="13">
        <v>56.496204507904956</v>
      </c>
      <c r="S28" s="13">
        <v>59.631421053842878</v>
      </c>
      <c r="T28" s="13">
        <v>61.333251934707128</v>
      </c>
      <c r="U28" s="13">
        <v>63.551321570371378</v>
      </c>
      <c r="V28" s="13">
        <v>64.447384857180651</v>
      </c>
      <c r="W28" s="13">
        <v>60.298327113758923</v>
      </c>
      <c r="X28" s="13">
        <v>59.373477548605536</v>
      </c>
      <c r="Y28" s="13">
        <v>58.543526012051586</v>
      </c>
      <c r="Z28" s="13">
        <v>57.933457755360017</v>
      </c>
      <c r="AA28" s="13">
        <v>56.851678170285069</v>
      </c>
      <c r="AB28" s="13">
        <v>55.865669083490999</v>
      </c>
      <c r="AC28" s="13">
        <v>55.247882950760591</v>
      </c>
      <c r="AD28" s="13">
        <v>54.642866817888951</v>
      </c>
      <c r="AE28" s="13">
        <v>54.069527125737416</v>
      </c>
      <c r="AF28" s="13">
        <v>53.461876854954127</v>
      </c>
      <c r="AG28" s="13">
        <v>52.816651683092545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2:67" x14ac:dyDescent="0.2">
      <c r="L29" s="338" t="str">
        <f>'Occ T3'!A31</f>
        <v xml:space="preserve"> 53 Skilled construction and building trades</v>
      </c>
      <c r="M29" s="13">
        <v>62.17438600693751</v>
      </c>
      <c r="N29" s="13">
        <v>55.804558850281921</v>
      </c>
      <c r="O29" s="13">
        <v>56.539295399230106</v>
      </c>
      <c r="P29" s="13">
        <v>51.583390692113326</v>
      </c>
      <c r="Q29" s="13">
        <v>52.336334599950057</v>
      </c>
      <c r="R29" s="13">
        <v>48.321987318260412</v>
      </c>
      <c r="S29" s="13">
        <v>47.213104529123683</v>
      </c>
      <c r="T29" s="13">
        <v>60.24610442364088</v>
      </c>
      <c r="U29" s="13">
        <v>53.045408248903172</v>
      </c>
      <c r="V29" s="13">
        <v>55.324443115389876</v>
      </c>
      <c r="W29" s="13">
        <v>55.607063035219241</v>
      </c>
      <c r="X29" s="13">
        <v>55.728454138366004</v>
      </c>
      <c r="Y29" s="13">
        <v>56.069492321755256</v>
      </c>
      <c r="Z29" s="13">
        <v>56.360806455457116</v>
      </c>
      <c r="AA29" s="13">
        <v>56.396153168407814</v>
      </c>
      <c r="AB29" s="13">
        <v>56.441055319271051</v>
      </c>
      <c r="AC29" s="13">
        <v>56.330824262384063</v>
      </c>
      <c r="AD29" s="13">
        <v>56.227823680251987</v>
      </c>
      <c r="AE29" s="13">
        <v>56.115523917706838</v>
      </c>
      <c r="AF29" s="13">
        <v>56.000545882856102</v>
      </c>
      <c r="AG29" s="13">
        <v>55.864658178180079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2:67" x14ac:dyDescent="0.2">
      <c r="L30" s="338" t="str">
        <f>'Occ T3'!A32</f>
        <v xml:space="preserve"> 54 Textiles, printing and other skilled trades</v>
      </c>
      <c r="M30" s="13">
        <v>38.851814595191357</v>
      </c>
      <c r="N30" s="13">
        <v>39.739107401253825</v>
      </c>
      <c r="O30" s="13">
        <v>37.108057390831704</v>
      </c>
      <c r="P30" s="13">
        <v>39.417562809047382</v>
      </c>
      <c r="Q30" s="13">
        <v>36.276311598498637</v>
      </c>
      <c r="R30" s="13">
        <v>40.958769429346432</v>
      </c>
      <c r="S30" s="13">
        <v>39.19798784748356</v>
      </c>
      <c r="T30" s="13">
        <v>38.486582549190935</v>
      </c>
      <c r="U30" s="13">
        <v>41.850243518477576</v>
      </c>
      <c r="V30" s="13">
        <v>44.817072624620941</v>
      </c>
      <c r="W30" s="13">
        <v>44.112533415690251</v>
      </c>
      <c r="X30" s="13">
        <v>43.691330268987215</v>
      </c>
      <c r="Y30" s="13">
        <v>43.187318080131931</v>
      </c>
      <c r="Z30" s="13">
        <v>42.596465069516015</v>
      </c>
      <c r="AA30" s="13">
        <v>41.987517369976246</v>
      </c>
      <c r="AB30" s="13">
        <v>41.428616628358341</v>
      </c>
      <c r="AC30" s="13">
        <v>40.763771281297323</v>
      </c>
      <c r="AD30" s="13">
        <v>40.078489843175376</v>
      </c>
      <c r="AE30" s="13">
        <v>39.426482551930512</v>
      </c>
      <c r="AF30" s="13">
        <v>38.79971041194775</v>
      </c>
      <c r="AG30" s="13">
        <v>38.141598610885424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</row>
    <row r="31" spans="12:67" x14ac:dyDescent="0.2">
      <c r="L31" s="338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</row>
    <row r="32" spans="12:67" x14ac:dyDescent="0.2">
      <c r="L32" s="20" t="str">
        <f>'Occ T3'!A34</f>
        <v>Caring, leisure and other service</v>
      </c>
      <c r="M32" s="339">
        <f t="shared" ref="M32:P32" si="10">SUM(M33:M34)</f>
        <v>126.14913023603195</v>
      </c>
      <c r="N32" s="339">
        <f t="shared" si="10"/>
        <v>130.61083201574263</v>
      </c>
      <c r="O32" s="339">
        <f t="shared" si="10"/>
        <v>131.13256159995194</v>
      </c>
      <c r="P32" s="339">
        <f t="shared" si="10"/>
        <v>130.50289311626972</v>
      </c>
      <c r="Q32" s="339">
        <f>SUM(Q33:Q34)</f>
        <v>137.55633393562755</v>
      </c>
      <c r="R32" s="339">
        <f t="shared" ref="R32:AG32" si="11">SUM(R33:R34)</f>
        <v>137.01849261936439</v>
      </c>
      <c r="S32" s="339">
        <f t="shared" si="11"/>
        <v>143.68570215950675</v>
      </c>
      <c r="T32" s="339">
        <f t="shared" si="11"/>
        <v>155.65826969352088</v>
      </c>
      <c r="U32" s="339">
        <f t="shared" si="11"/>
        <v>151.13813304482903</v>
      </c>
      <c r="V32" s="339">
        <f t="shared" si="11"/>
        <v>155.49539890883213</v>
      </c>
      <c r="W32" s="339">
        <f t="shared" si="11"/>
        <v>168.1161708779527</v>
      </c>
      <c r="X32" s="339">
        <f t="shared" si="11"/>
        <v>170.23861036486781</v>
      </c>
      <c r="Y32" s="339">
        <f t="shared" si="11"/>
        <v>171.86070429673259</v>
      </c>
      <c r="Z32" s="339">
        <f t="shared" si="11"/>
        <v>173.56901566773908</v>
      </c>
      <c r="AA32" s="339">
        <f t="shared" si="11"/>
        <v>175.31777905697797</v>
      </c>
      <c r="AB32" s="339">
        <f t="shared" si="11"/>
        <v>177.32710037561748</v>
      </c>
      <c r="AC32" s="339">
        <f t="shared" si="11"/>
        <v>179.72173434022858</v>
      </c>
      <c r="AD32" s="339">
        <f t="shared" si="11"/>
        <v>182.14029248508979</v>
      </c>
      <c r="AE32" s="339">
        <f t="shared" si="11"/>
        <v>184.53743806529255</v>
      </c>
      <c r="AF32" s="339">
        <f t="shared" si="11"/>
        <v>186.75638551088812</v>
      </c>
      <c r="AG32" s="339">
        <f t="shared" si="11"/>
        <v>188.79525387511896</v>
      </c>
      <c r="AH32" s="339"/>
      <c r="AI32" s="339"/>
      <c r="AJ32" s="339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</row>
    <row r="33" spans="12:67" x14ac:dyDescent="0.2">
      <c r="L33" s="338" t="str">
        <f>'Occ T3'!A35</f>
        <v xml:space="preserve"> 61 Caring personal service occupations</v>
      </c>
      <c r="M33" s="13">
        <v>99.187958703714813</v>
      </c>
      <c r="N33" s="13">
        <v>102.88866431589956</v>
      </c>
      <c r="O33" s="13">
        <v>103.40710702152521</v>
      </c>
      <c r="P33" s="13">
        <v>102.07734062589564</v>
      </c>
      <c r="Q33" s="13">
        <v>108.31847529773364</v>
      </c>
      <c r="R33" s="13">
        <v>108.78205721203497</v>
      </c>
      <c r="S33" s="13">
        <v>113.51180817475201</v>
      </c>
      <c r="T33" s="13">
        <v>120.60352250508001</v>
      </c>
      <c r="U33" s="13">
        <v>123.02180450683093</v>
      </c>
      <c r="V33" s="13">
        <v>124.04586130523727</v>
      </c>
      <c r="W33" s="13">
        <v>134.03418747801385</v>
      </c>
      <c r="X33" s="13">
        <v>136.29681795842384</v>
      </c>
      <c r="Y33" s="13">
        <v>138.10471083604918</v>
      </c>
      <c r="Z33" s="13">
        <v>139.98528945561446</v>
      </c>
      <c r="AA33" s="13">
        <v>141.92493525783033</v>
      </c>
      <c r="AB33" s="13">
        <v>144.11345945912691</v>
      </c>
      <c r="AC33" s="13">
        <v>146.691735430238</v>
      </c>
      <c r="AD33" s="13">
        <v>149.30151705884145</v>
      </c>
      <c r="AE33" s="13">
        <v>151.84813970898534</v>
      </c>
      <c r="AF33" s="13">
        <v>154.20282374136428</v>
      </c>
      <c r="AG33" s="13">
        <v>156.37297615871555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2:67" x14ac:dyDescent="0.2">
      <c r="L34" s="338" t="str">
        <f>'Occ T3'!A36</f>
        <v xml:space="preserve"> 62 Leisure, travel and related personal service occupations</v>
      </c>
      <c r="M34" s="13">
        <v>26.961171532317142</v>
      </c>
      <c r="N34" s="13">
        <v>27.722167699843066</v>
      </c>
      <c r="O34" s="13">
        <v>27.725454578426731</v>
      </c>
      <c r="P34" s="13">
        <v>28.425552490374088</v>
      </c>
      <c r="Q34" s="13">
        <v>29.237858637893915</v>
      </c>
      <c r="R34" s="13">
        <v>28.236435407329424</v>
      </c>
      <c r="S34" s="13">
        <v>30.173893984754738</v>
      </c>
      <c r="T34" s="13">
        <v>35.054747188440864</v>
      </c>
      <c r="U34" s="13">
        <v>28.116328537998111</v>
      </c>
      <c r="V34" s="13">
        <v>31.449537603594869</v>
      </c>
      <c r="W34" s="13">
        <v>34.081983399938842</v>
      </c>
      <c r="X34" s="13">
        <v>33.941792406443959</v>
      </c>
      <c r="Y34" s="13">
        <v>33.755993460683399</v>
      </c>
      <c r="Z34" s="13">
        <v>33.583726212124624</v>
      </c>
      <c r="AA34" s="13">
        <v>33.392843799147634</v>
      </c>
      <c r="AB34" s="13">
        <v>33.213640916490561</v>
      </c>
      <c r="AC34" s="13">
        <v>33.029998909990596</v>
      </c>
      <c r="AD34" s="13">
        <v>32.838775426248333</v>
      </c>
      <c r="AE34" s="13">
        <v>32.689298356307198</v>
      </c>
      <c r="AF34" s="13">
        <v>32.553561769523839</v>
      </c>
      <c r="AG34" s="13">
        <v>32.422277716403407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</row>
    <row r="35" spans="12:67" x14ac:dyDescent="0.2">
      <c r="L35" s="338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</row>
    <row r="36" spans="12:67" x14ac:dyDescent="0.2">
      <c r="L36" s="20" t="str">
        <f>'Occ T3'!A38</f>
        <v>Sales and customer service</v>
      </c>
      <c r="M36" s="339">
        <f t="shared" ref="M36:P36" si="12">SUM(M37:M38)</f>
        <v>131.40327711366808</v>
      </c>
      <c r="N36" s="339">
        <f t="shared" si="12"/>
        <v>131.481901867239</v>
      </c>
      <c r="O36" s="339">
        <f t="shared" si="12"/>
        <v>125.57865019548356</v>
      </c>
      <c r="P36" s="339">
        <f t="shared" si="12"/>
        <v>122.32590274598171</v>
      </c>
      <c r="Q36" s="339">
        <f>SUM(Q37:Q38)</f>
        <v>125.20320853008897</v>
      </c>
      <c r="R36" s="339">
        <f t="shared" ref="R36:AG36" si="13">SUM(R37:R38)</f>
        <v>125.82025945502616</v>
      </c>
      <c r="S36" s="339">
        <f t="shared" si="13"/>
        <v>122.08143992867943</v>
      </c>
      <c r="T36" s="339">
        <f t="shared" si="13"/>
        <v>122.06537147325085</v>
      </c>
      <c r="U36" s="339">
        <f t="shared" si="13"/>
        <v>120.13112369237734</v>
      </c>
      <c r="V36" s="339">
        <f t="shared" si="13"/>
        <v>122.82721714394943</v>
      </c>
      <c r="W36" s="339">
        <f t="shared" si="13"/>
        <v>125.66987901861698</v>
      </c>
      <c r="X36" s="339">
        <f t="shared" si="13"/>
        <v>125.59041859895834</v>
      </c>
      <c r="Y36" s="339">
        <f t="shared" si="13"/>
        <v>125.53737447927973</v>
      </c>
      <c r="Z36" s="339">
        <f t="shared" si="13"/>
        <v>125.66695223478186</v>
      </c>
      <c r="AA36" s="339">
        <f t="shared" si="13"/>
        <v>124.6745692938529</v>
      </c>
      <c r="AB36" s="339">
        <f t="shared" si="13"/>
        <v>123.63412707601984</v>
      </c>
      <c r="AC36" s="339">
        <f t="shared" si="13"/>
        <v>123.34563273206706</v>
      </c>
      <c r="AD36" s="339">
        <f t="shared" si="13"/>
        <v>123.05306161658086</v>
      </c>
      <c r="AE36" s="339">
        <f t="shared" si="13"/>
        <v>122.76147836010503</v>
      </c>
      <c r="AF36" s="339">
        <f t="shared" si="13"/>
        <v>122.47851772498525</v>
      </c>
      <c r="AG36" s="339">
        <f t="shared" si="13"/>
        <v>122.14903772501791</v>
      </c>
      <c r="AH36" s="339"/>
      <c r="AI36" s="339"/>
      <c r="AJ36" s="339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</row>
    <row r="37" spans="12:67" x14ac:dyDescent="0.2">
      <c r="L37" s="338" t="str">
        <f>'Occ T3'!A39</f>
        <v xml:space="preserve"> 71 Sales occupations</v>
      </c>
      <c r="M37" s="13">
        <v>109.72479758960813</v>
      </c>
      <c r="N37" s="13">
        <v>109.32656541344713</v>
      </c>
      <c r="O37" s="13">
        <v>101.09405566388921</v>
      </c>
      <c r="P37" s="13">
        <v>98.509242993437795</v>
      </c>
      <c r="Q37" s="13">
        <v>100.78118446380159</v>
      </c>
      <c r="R37" s="13">
        <v>101.02984488381639</v>
      </c>
      <c r="S37" s="13">
        <v>96.593833146177431</v>
      </c>
      <c r="T37" s="13">
        <v>94.782533482141346</v>
      </c>
      <c r="U37" s="13">
        <v>91.879114788781237</v>
      </c>
      <c r="V37" s="13">
        <v>94.451213415232388</v>
      </c>
      <c r="W37" s="13">
        <v>96.72865813780345</v>
      </c>
      <c r="X37" s="13">
        <v>96.181425107619873</v>
      </c>
      <c r="Y37" s="13">
        <v>95.655763754878919</v>
      </c>
      <c r="Z37" s="13">
        <v>95.281791401925332</v>
      </c>
      <c r="AA37" s="13">
        <v>93.779971600167158</v>
      </c>
      <c r="AB37" s="13">
        <v>92.221847071554265</v>
      </c>
      <c r="AC37" s="13">
        <v>91.463308731472992</v>
      </c>
      <c r="AD37" s="13">
        <v>90.686922182103487</v>
      </c>
      <c r="AE37" s="13">
        <v>89.908820517135482</v>
      </c>
      <c r="AF37" s="13">
        <v>89.166915788093817</v>
      </c>
      <c r="AG37" s="13">
        <v>88.415327050932888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</row>
    <row r="38" spans="12:67" x14ac:dyDescent="0.2">
      <c r="L38" s="338" t="str">
        <f>'Occ T3'!A40</f>
        <v xml:space="preserve"> 72 Customer service occupations</v>
      </c>
      <c r="M38" s="13">
        <v>21.678479524059966</v>
      </c>
      <c r="N38" s="13">
        <v>22.155336453791882</v>
      </c>
      <c r="O38" s="13">
        <v>24.48459453159435</v>
      </c>
      <c r="P38" s="13">
        <v>23.816659752543913</v>
      </c>
      <c r="Q38" s="13">
        <v>24.422024066287371</v>
      </c>
      <c r="R38" s="13">
        <v>24.790414571209773</v>
      </c>
      <c r="S38" s="13">
        <v>25.487606782501995</v>
      </c>
      <c r="T38" s="13">
        <v>27.28283799110951</v>
      </c>
      <c r="U38" s="13">
        <v>28.252008903596099</v>
      </c>
      <c r="V38" s="13">
        <v>28.376003728717034</v>
      </c>
      <c r="W38" s="13">
        <v>28.941220880813535</v>
      </c>
      <c r="X38" s="13">
        <v>29.408993491338471</v>
      </c>
      <c r="Y38" s="13">
        <v>29.881610724400812</v>
      </c>
      <c r="Z38" s="13">
        <v>30.385160832856531</v>
      </c>
      <c r="AA38" s="13">
        <v>30.894597693685736</v>
      </c>
      <c r="AB38" s="13">
        <v>31.412280004465572</v>
      </c>
      <c r="AC38" s="13">
        <v>31.882324000594064</v>
      </c>
      <c r="AD38" s="13">
        <v>32.366139434477383</v>
      </c>
      <c r="AE38" s="13">
        <v>32.852657842969556</v>
      </c>
      <c r="AF38" s="13">
        <v>33.311601936891435</v>
      </c>
      <c r="AG38" s="13">
        <v>33.733710674085017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</row>
    <row r="39" spans="12:67" x14ac:dyDescent="0.2">
      <c r="L39" s="338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</row>
    <row r="40" spans="12:67" x14ac:dyDescent="0.2">
      <c r="L40" s="20" t="str">
        <f>'Occ T3'!A42</f>
        <v>Process, plant and machine operatives</v>
      </c>
      <c r="M40" s="339">
        <f t="shared" ref="M40:P40" si="14">SUM(M41:M42)</f>
        <v>130.98207204915556</v>
      </c>
      <c r="N40" s="339">
        <f t="shared" si="14"/>
        <v>130.18978922359292</v>
      </c>
      <c r="O40" s="339">
        <f t="shared" si="14"/>
        <v>126.28951963803959</v>
      </c>
      <c r="P40" s="339">
        <f t="shared" si="14"/>
        <v>118.10596794563548</v>
      </c>
      <c r="Q40" s="339">
        <f>SUM(Q41:Q42)</f>
        <v>119.92226513048922</v>
      </c>
      <c r="R40" s="339">
        <f t="shared" ref="R40:AG40" si="15">SUM(R41:R42)</f>
        <v>116.61966769195422</v>
      </c>
      <c r="S40" s="339">
        <f t="shared" si="15"/>
        <v>117.89435780035458</v>
      </c>
      <c r="T40" s="339">
        <f t="shared" si="15"/>
        <v>128.33722412350613</v>
      </c>
      <c r="U40" s="339">
        <f t="shared" si="15"/>
        <v>125.35444511160632</v>
      </c>
      <c r="V40" s="339">
        <f t="shared" si="15"/>
        <v>119.29645249291741</v>
      </c>
      <c r="W40" s="339">
        <f t="shared" si="15"/>
        <v>113.82573906258986</v>
      </c>
      <c r="X40" s="339">
        <f t="shared" si="15"/>
        <v>112.19885402844145</v>
      </c>
      <c r="Y40" s="339">
        <f t="shared" si="15"/>
        <v>110.66993764591882</v>
      </c>
      <c r="Z40" s="339">
        <f t="shared" si="15"/>
        <v>109.57356167729768</v>
      </c>
      <c r="AA40" s="339">
        <f t="shared" si="15"/>
        <v>108.09240353239122</v>
      </c>
      <c r="AB40" s="339">
        <f t="shared" si="15"/>
        <v>106.80862144444538</v>
      </c>
      <c r="AC40" s="339">
        <f t="shared" si="15"/>
        <v>105.89851675489888</v>
      </c>
      <c r="AD40" s="339">
        <f t="shared" si="15"/>
        <v>105.11964401402776</v>
      </c>
      <c r="AE40" s="339">
        <f t="shared" si="15"/>
        <v>104.34008128261257</v>
      </c>
      <c r="AF40" s="339">
        <f t="shared" si="15"/>
        <v>103.67511800221189</v>
      </c>
      <c r="AG40" s="339">
        <f t="shared" si="15"/>
        <v>102.98688318643494</v>
      </c>
      <c r="AH40" s="339"/>
      <c r="AI40" s="339"/>
      <c r="AJ40" s="339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</row>
    <row r="41" spans="12:67" x14ac:dyDescent="0.2">
      <c r="L41" s="338" t="str">
        <f>'Occ T3'!A43</f>
        <v xml:space="preserve"> 81 Process, plant and machine operatives</v>
      </c>
      <c r="M41" s="13">
        <v>85.70514998203177</v>
      </c>
      <c r="N41" s="13">
        <v>84.04670761200444</v>
      </c>
      <c r="O41" s="13">
        <v>80.833490810576023</v>
      </c>
      <c r="P41" s="13">
        <v>77.927091408077899</v>
      </c>
      <c r="Q41" s="13">
        <v>78.473654700646492</v>
      </c>
      <c r="R41" s="13">
        <v>78.222128118878317</v>
      </c>
      <c r="S41" s="13">
        <v>78.985760507301237</v>
      </c>
      <c r="T41" s="13">
        <v>84.102192914451095</v>
      </c>
      <c r="U41" s="13">
        <v>83.22268969612017</v>
      </c>
      <c r="V41" s="13">
        <v>81.870894894982058</v>
      </c>
      <c r="W41" s="13">
        <v>78.332378779529421</v>
      </c>
      <c r="X41" s="13">
        <v>76.626008638196708</v>
      </c>
      <c r="Y41" s="13">
        <v>74.892173318111048</v>
      </c>
      <c r="Z41" s="13">
        <v>73.478480242834593</v>
      </c>
      <c r="AA41" s="13">
        <v>72.039054610746874</v>
      </c>
      <c r="AB41" s="13">
        <v>70.793393427315365</v>
      </c>
      <c r="AC41" s="13">
        <v>69.73131105291894</v>
      </c>
      <c r="AD41" s="13">
        <v>68.798668756909592</v>
      </c>
      <c r="AE41" s="13">
        <v>67.884287560447362</v>
      </c>
      <c r="AF41" s="13">
        <v>67.108050681180856</v>
      </c>
      <c r="AG41" s="13">
        <v>66.345882238047054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</row>
    <row r="42" spans="12:67" x14ac:dyDescent="0.2">
      <c r="L42" s="338" t="str">
        <f>'Occ T3'!A44</f>
        <v xml:space="preserve"> 82 Transport and mobile machine drivers and operatives</v>
      </c>
      <c r="M42" s="13">
        <v>45.276922067123785</v>
      </c>
      <c r="N42" s="13">
        <v>46.143081611588471</v>
      </c>
      <c r="O42" s="13">
        <v>45.456028827463562</v>
      </c>
      <c r="P42" s="13">
        <v>40.178876537557585</v>
      </c>
      <c r="Q42" s="13">
        <v>41.448610429842724</v>
      </c>
      <c r="R42" s="13">
        <v>38.39753957307591</v>
      </c>
      <c r="S42" s="13">
        <v>38.908597293053354</v>
      </c>
      <c r="T42" s="13">
        <v>44.235031209055045</v>
      </c>
      <c r="U42" s="13">
        <v>42.131755415486154</v>
      </c>
      <c r="V42" s="13">
        <v>37.425557597935359</v>
      </c>
      <c r="W42" s="13">
        <v>35.493360283060447</v>
      </c>
      <c r="X42" s="13">
        <v>35.572845390244744</v>
      </c>
      <c r="Y42" s="13">
        <v>35.77776432780778</v>
      </c>
      <c r="Z42" s="13">
        <v>36.09508143446309</v>
      </c>
      <c r="AA42" s="13">
        <v>36.053348921644343</v>
      </c>
      <c r="AB42" s="13">
        <v>36.015228017130013</v>
      </c>
      <c r="AC42" s="13">
        <v>36.167205701979931</v>
      </c>
      <c r="AD42" s="13">
        <v>36.320975257118164</v>
      </c>
      <c r="AE42" s="13">
        <v>36.455793722165218</v>
      </c>
      <c r="AF42" s="13">
        <v>36.567067321031033</v>
      </c>
      <c r="AG42" s="13">
        <v>36.641000948387891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</row>
    <row r="43" spans="12:67" x14ac:dyDescent="0.2">
      <c r="L43" s="338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</row>
    <row r="44" spans="12:67" x14ac:dyDescent="0.2">
      <c r="L44" s="20" t="str">
        <f>'Occ T3'!A46</f>
        <v>Elementary occupations</v>
      </c>
      <c r="M44" s="339">
        <f t="shared" ref="M44:P44" si="16">SUM(M45:M46)</f>
        <v>196.99476340980632</v>
      </c>
      <c r="N44" s="339">
        <f t="shared" si="16"/>
        <v>186.37314306342961</v>
      </c>
      <c r="O44" s="339">
        <f t="shared" si="16"/>
        <v>178.17560820724225</v>
      </c>
      <c r="P44" s="339">
        <f t="shared" si="16"/>
        <v>175.92315512530413</v>
      </c>
      <c r="Q44" s="339">
        <f>SUM(Q45:Q46)</f>
        <v>167.26772060227898</v>
      </c>
      <c r="R44" s="339">
        <f t="shared" ref="R44:AG44" si="17">SUM(R45:R46)</f>
        <v>164.61884348517052</v>
      </c>
      <c r="S44" s="339">
        <f t="shared" si="17"/>
        <v>158.32668192883929</v>
      </c>
      <c r="T44" s="339">
        <f t="shared" si="17"/>
        <v>159.91581966244729</v>
      </c>
      <c r="U44" s="339">
        <f t="shared" si="17"/>
        <v>163.33901095171248</v>
      </c>
      <c r="V44" s="339">
        <f t="shared" si="17"/>
        <v>169.97506427501645</v>
      </c>
      <c r="W44" s="339">
        <f t="shared" si="17"/>
        <v>176.46250364617717</v>
      </c>
      <c r="X44" s="339">
        <f t="shared" si="17"/>
        <v>176.8232507318989</v>
      </c>
      <c r="Y44" s="339">
        <f t="shared" si="17"/>
        <v>177.45357891825074</v>
      </c>
      <c r="Z44" s="339">
        <f t="shared" si="17"/>
        <v>178.20252747131693</v>
      </c>
      <c r="AA44" s="339">
        <f t="shared" si="17"/>
        <v>177.29051444929229</v>
      </c>
      <c r="AB44" s="339">
        <f t="shared" si="17"/>
        <v>176.51119269083904</v>
      </c>
      <c r="AC44" s="339">
        <f t="shared" si="17"/>
        <v>176.09862939529452</v>
      </c>
      <c r="AD44" s="339">
        <f t="shared" si="17"/>
        <v>175.82761644377373</v>
      </c>
      <c r="AE44" s="339">
        <f t="shared" si="17"/>
        <v>175.59964101413954</v>
      </c>
      <c r="AF44" s="339">
        <f t="shared" si="17"/>
        <v>175.49289195065691</v>
      </c>
      <c r="AG44" s="339">
        <f t="shared" si="17"/>
        <v>175.63201786892921</v>
      </c>
      <c r="AH44" s="339"/>
      <c r="AI44" s="339"/>
      <c r="AJ44" s="339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</row>
    <row r="45" spans="12:67" x14ac:dyDescent="0.2">
      <c r="L45" s="338" t="str">
        <f>'Occ T3'!A47</f>
        <v xml:space="preserve"> 91 Elementary trades and related occupations</v>
      </c>
      <c r="M45" s="13">
        <v>31.655920531721669</v>
      </c>
      <c r="N45" s="13">
        <v>29.606640948168618</v>
      </c>
      <c r="O45" s="13">
        <v>30.600727641834471</v>
      </c>
      <c r="P45" s="13">
        <v>28.402011886347726</v>
      </c>
      <c r="Q45" s="13">
        <v>28.232855904447725</v>
      </c>
      <c r="R45" s="13">
        <v>28.077506117493837</v>
      </c>
      <c r="S45" s="13">
        <v>27.152147780795389</v>
      </c>
      <c r="T45" s="13">
        <v>29.486789704625256</v>
      </c>
      <c r="U45" s="13">
        <v>30.430131670225308</v>
      </c>
      <c r="V45" s="13">
        <v>30.631225411851457</v>
      </c>
      <c r="W45" s="13">
        <v>30.003578616580025</v>
      </c>
      <c r="X45" s="13">
        <v>29.940574657638191</v>
      </c>
      <c r="Y45" s="13">
        <v>29.903770188922579</v>
      </c>
      <c r="Z45" s="13">
        <v>29.951690678737872</v>
      </c>
      <c r="AA45" s="13">
        <v>29.867512819715802</v>
      </c>
      <c r="AB45" s="13">
        <v>29.820583339074787</v>
      </c>
      <c r="AC45" s="13">
        <v>29.859380866065003</v>
      </c>
      <c r="AD45" s="13">
        <v>29.926266241315979</v>
      </c>
      <c r="AE45" s="13">
        <v>29.972846865512654</v>
      </c>
      <c r="AF45" s="13">
        <v>30.011312737100237</v>
      </c>
      <c r="AG45" s="13">
        <v>30.056216538126861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</row>
    <row r="46" spans="12:67" x14ac:dyDescent="0.2">
      <c r="L46" s="338" t="str">
        <f>'Occ T3'!A48</f>
        <v xml:space="preserve"> 92 Elementary administration and service occupations</v>
      </c>
      <c r="M46" s="13">
        <v>165.33884287808465</v>
      </c>
      <c r="N46" s="13">
        <v>156.76650211526098</v>
      </c>
      <c r="O46" s="13">
        <v>147.57488056540777</v>
      </c>
      <c r="P46" s="13">
        <v>147.5211432389564</v>
      </c>
      <c r="Q46" s="13">
        <v>139.03486469783127</v>
      </c>
      <c r="R46" s="13">
        <v>136.54133736767668</v>
      </c>
      <c r="S46" s="13">
        <v>131.1745341480439</v>
      </c>
      <c r="T46" s="13">
        <v>130.42902995782202</v>
      </c>
      <c r="U46" s="13">
        <v>132.90887928148717</v>
      </c>
      <c r="V46" s="13">
        <v>139.34383886316499</v>
      </c>
      <c r="W46" s="13">
        <v>146.45892502959714</v>
      </c>
      <c r="X46" s="13">
        <v>146.8826760742607</v>
      </c>
      <c r="Y46" s="13">
        <v>147.54980872932816</v>
      </c>
      <c r="Z46" s="13">
        <v>148.25083679257907</v>
      </c>
      <c r="AA46" s="13">
        <v>147.42300162957648</v>
      </c>
      <c r="AB46" s="13">
        <v>146.69060935176427</v>
      </c>
      <c r="AC46" s="13">
        <v>146.23924852922951</v>
      </c>
      <c r="AD46" s="13">
        <v>145.90135020245776</v>
      </c>
      <c r="AE46" s="13">
        <v>145.62679414862689</v>
      </c>
      <c r="AF46" s="13">
        <v>145.48157921355667</v>
      </c>
      <c r="AG46" s="13">
        <v>145.57580133080234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</row>
    <row r="47" spans="12:67" x14ac:dyDescent="0.2">
      <c r="L47" s="338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</row>
    <row r="48" spans="12:67" x14ac:dyDescent="0.2">
      <c r="L48" s="20" t="str">
        <f>'Occ T3'!A50</f>
        <v>All occupations</v>
      </c>
      <c r="M48" s="339">
        <f t="shared" ref="M48:P48" si="18">SUM(M5,M9,M15,M22,M26,M32,M36,M40,M44)</f>
        <v>1408.9670000019441</v>
      </c>
      <c r="N48" s="339">
        <f t="shared" si="18"/>
        <v>1402.1880000017049</v>
      </c>
      <c r="O48" s="339">
        <f t="shared" si="18"/>
        <v>1386.6290000014126</v>
      </c>
      <c r="P48" s="339">
        <f t="shared" si="18"/>
        <v>1360.9070000010868</v>
      </c>
      <c r="Q48" s="339">
        <f>SUM(Q5,Q9,Q15,Q22,Q26,Q32,Q36,Q40,Q44)</f>
        <v>1365.462000001005</v>
      </c>
      <c r="R48" s="339">
        <f t="shared" ref="R48:AG48" si="19">SUM(R5,R9,R15,R22,R26,R32,R36,R40,R44)</f>
        <v>1357.8780000009849</v>
      </c>
      <c r="S48" s="339">
        <f t="shared" si="19"/>
        <v>1369.8570000000266</v>
      </c>
      <c r="T48" s="339">
        <f t="shared" si="19"/>
        <v>1427.4360000000065</v>
      </c>
      <c r="U48" s="339">
        <f t="shared" si="19"/>
        <v>1440.6690000002409</v>
      </c>
      <c r="V48" s="339">
        <f t="shared" si="19"/>
        <v>1472.2330000002953</v>
      </c>
      <c r="W48" s="339">
        <f t="shared" si="19"/>
        <v>1529.7600000008433</v>
      </c>
      <c r="X48" s="339">
        <f t="shared" si="19"/>
        <v>1532.725000001529</v>
      </c>
      <c r="Y48" s="339">
        <f t="shared" si="19"/>
        <v>1535.9740000013792</v>
      </c>
      <c r="Z48" s="339">
        <f t="shared" si="19"/>
        <v>1541.3720000014375</v>
      </c>
      <c r="AA48" s="339">
        <f t="shared" si="19"/>
        <v>1543.1730000016939</v>
      </c>
      <c r="AB48" s="339">
        <f t="shared" si="19"/>
        <v>1546.2870000021662</v>
      </c>
      <c r="AC48" s="339">
        <f t="shared" si="19"/>
        <v>1550.6260000019618</v>
      </c>
      <c r="AD48" s="339">
        <f t="shared" si="19"/>
        <v>1555.2640000023089</v>
      </c>
      <c r="AE48" s="339">
        <f t="shared" si="19"/>
        <v>1560.0240000018675</v>
      </c>
      <c r="AF48" s="339">
        <f t="shared" si="19"/>
        <v>1564.7600000022007</v>
      </c>
      <c r="AG48" s="339">
        <f t="shared" si="19"/>
        <v>1569.1730000018847</v>
      </c>
      <c r="AH48" s="339"/>
      <c r="AI48" s="339"/>
      <c r="AJ48" s="339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</row>
    <row r="49" spans="1:53" x14ac:dyDescent="0.2">
      <c r="L49" s="338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</row>
    <row r="50" spans="1:53" x14ac:dyDescent="0.2">
      <c r="L50" s="1" t="s">
        <v>61</v>
      </c>
      <c r="M50" s="59">
        <v>2007</v>
      </c>
      <c r="N50" s="59">
        <v>2008</v>
      </c>
      <c r="O50" s="59">
        <v>2009</v>
      </c>
      <c r="P50" s="59">
        <v>2010</v>
      </c>
      <c r="Q50" s="59">
        <v>2011</v>
      </c>
      <c r="R50" s="59">
        <v>2012</v>
      </c>
      <c r="S50" s="59">
        <v>2013</v>
      </c>
      <c r="T50" s="59">
        <v>2014</v>
      </c>
      <c r="U50" s="59">
        <v>2015</v>
      </c>
      <c r="V50" s="59">
        <v>2016</v>
      </c>
      <c r="W50" s="59">
        <v>2017</v>
      </c>
      <c r="X50" s="59">
        <v>2018</v>
      </c>
      <c r="Y50" s="59">
        <v>2019</v>
      </c>
      <c r="Z50" s="59">
        <v>2020</v>
      </c>
      <c r="AA50" s="59">
        <v>2021</v>
      </c>
      <c r="AB50" s="59">
        <v>2022</v>
      </c>
      <c r="AC50" s="59">
        <v>2023</v>
      </c>
      <c r="AD50" s="59">
        <v>2024</v>
      </c>
      <c r="AE50" s="59">
        <v>2025</v>
      </c>
      <c r="AF50" s="59">
        <v>2026</v>
      </c>
      <c r="AG50" s="59">
        <v>2027</v>
      </c>
      <c r="AH50" s="13"/>
      <c r="AI50" s="13"/>
      <c r="AJ50" s="13"/>
      <c r="AK50" s="13"/>
      <c r="AL50" s="13"/>
    </row>
    <row r="51" spans="1:53" x14ac:dyDescent="0.2">
      <c r="L51" s="20" t="str">
        <f>'Occ T3'!A7</f>
        <v>Managers, directors and senior officials</v>
      </c>
      <c r="M51" s="484">
        <f>M5/M$48</f>
        <v>6.8394781892949424E-2</v>
      </c>
      <c r="N51" s="484">
        <f t="shared" ref="N51:AG51" si="20">N5/N$48</f>
        <v>7.3734346966337225E-2</v>
      </c>
      <c r="O51" s="484">
        <f t="shared" si="20"/>
        <v>7.2670789772676284E-2</v>
      </c>
      <c r="P51" s="484">
        <f t="shared" si="20"/>
        <v>7.5607662962240876E-2</v>
      </c>
      <c r="Q51" s="484">
        <f t="shared" si="20"/>
        <v>7.3553550848924718E-2</v>
      </c>
      <c r="R51" s="484">
        <f t="shared" si="20"/>
        <v>7.5167584198945328E-2</v>
      </c>
      <c r="S51" s="484">
        <f t="shared" si="20"/>
        <v>7.4708612429994548E-2</v>
      </c>
      <c r="T51" s="484">
        <f t="shared" si="20"/>
        <v>7.4859989723999917E-2</v>
      </c>
      <c r="U51" s="484">
        <f t="shared" si="20"/>
        <v>7.7763620543311221E-2</v>
      </c>
      <c r="V51" s="484">
        <f t="shared" si="20"/>
        <v>8.2074710298301864E-2</v>
      </c>
      <c r="W51" s="484">
        <f t="shared" si="20"/>
        <v>7.9352133954751769E-2</v>
      </c>
      <c r="X51" s="484">
        <f t="shared" si="20"/>
        <v>8.0179261888569511E-2</v>
      </c>
      <c r="Y51" s="484">
        <f t="shared" si="20"/>
        <v>8.1095470792883637E-2</v>
      </c>
      <c r="Z51" s="484">
        <f t="shared" si="20"/>
        <v>8.2010790059334177E-2</v>
      </c>
      <c r="AA51" s="484">
        <f t="shared" si="20"/>
        <v>8.2876233896240409E-2</v>
      </c>
      <c r="AB51" s="484">
        <f t="shared" si="20"/>
        <v>8.3749270979679824E-2</v>
      </c>
      <c r="AC51" s="484">
        <f t="shared" si="20"/>
        <v>8.4470570580788037E-2</v>
      </c>
      <c r="AD51" s="484">
        <f t="shared" si="20"/>
        <v>8.5154541058481428E-2</v>
      </c>
      <c r="AE51" s="484">
        <f t="shared" si="20"/>
        <v>8.5830993215487955E-2</v>
      </c>
      <c r="AF51" s="484">
        <f t="shared" si="20"/>
        <v>8.6492950359390072E-2</v>
      </c>
      <c r="AG51" s="484">
        <f t="shared" si="20"/>
        <v>8.7127777135920639E-2</v>
      </c>
      <c r="AH51" s="245"/>
      <c r="AI51" s="245"/>
      <c r="AJ51" s="245"/>
      <c r="AK51" s="245"/>
      <c r="AL51" s="245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</row>
    <row r="52" spans="1:53" x14ac:dyDescent="0.2">
      <c r="L52" s="338" t="str">
        <f>'Occ T3'!A8</f>
        <v xml:space="preserve"> 11 Corporate managers and directors</v>
      </c>
      <c r="M52" s="483">
        <f t="shared" ref="M52:AG52" si="21">M6/M$48</f>
        <v>4.4565330964568044E-2</v>
      </c>
      <c r="N52" s="483">
        <f t="shared" si="21"/>
        <v>4.6169060023444598E-2</v>
      </c>
      <c r="O52" s="483">
        <f t="shared" si="21"/>
        <v>4.7449486867695623E-2</v>
      </c>
      <c r="P52" s="483">
        <f t="shared" si="21"/>
        <v>4.7921508550674695E-2</v>
      </c>
      <c r="Q52" s="483">
        <f t="shared" si="21"/>
        <v>4.7157207028308168E-2</v>
      </c>
      <c r="R52" s="483">
        <f t="shared" si="21"/>
        <v>4.7082081709649351E-2</v>
      </c>
      <c r="S52" s="483">
        <f t="shared" si="21"/>
        <v>4.8677122168715767E-2</v>
      </c>
      <c r="T52" s="483">
        <f t="shared" si="21"/>
        <v>4.8392152037049128E-2</v>
      </c>
      <c r="U52" s="483">
        <f t="shared" si="21"/>
        <v>4.9547184486354472E-2</v>
      </c>
      <c r="V52" s="483">
        <f t="shared" si="21"/>
        <v>5.0642798061671788E-2</v>
      </c>
      <c r="W52" s="483">
        <f t="shared" si="21"/>
        <v>4.9568100640061098E-2</v>
      </c>
      <c r="X52" s="483">
        <f t="shared" si="21"/>
        <v>5.0154091710139063E-2</v>
      </c>
      <c r="Y52" s="483">
        <f t="shared" si="21"/>
        <v>5.0832972341104683E-2</v>
      </c>
      <c r="Z52" s="483">
        <f t="shared" si="21"/>
        <v>5.1532813061535954E-2</v>
      </c>
      <c r="AA52" s="483">
        <f t="shared" si="21"/>
        <v>5.2159820826579308E-2</v>
      </c>
      <c r="AB52" s="483">
        <f t="shared" si="21"/>
        <v>5.2774685584997268E-2</v>
      </c>
      <c r="AC52" s="483">
        <f t="shared" si="21"/>
        <v>5.3345093053941646E-2</v>
      </c>
      <c r="AD52" s="483">
        <f t="shared" si="21"/>
        <v>5.3877035921216489E-2</v>
      </c>
      <c r="AE52" s="483">
        <f t="shared" si="21"/>
        <v>5.4386682257874554E-2</v>
      </c>
      <c r="AF52" s="483">
        <f t="shared" si="21"/>
        <v>5.4864145268316455E-2</v>
      </c>
      <c r="AG52" s="483">
        <f t="shared" si="21"/>
        <v>5.5307878053393371E-2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</row>
    <row r="53" spans="1:53" x14ac:dyDescent="0.2">
      <c r="L53" s="338" t="str">
        <f>'Occ T3'!A9</f>
        <v xml:space="preserve"> 12 Other managers and proprietors</v>
      </c>
      <c r="M53" s="483">
        <f t="shared" ref="M53:AG53" si="22">M7/M$48</f>
        <v>2.3829450928381391E-2</v>
      </c>
      <c r="N53" s="483">
        <f t="shared" si="22"/>
        <v>2.7565286942892623E-2</v>
      </c>
      <c r="O53" s="483">
        <f t="shared" si="22"/>
        <v>2.5221302904980664E-2</v>
      </c>
      <c r="P53" s="483">
        <f t="shared" si="22"/>
        <v>2.7686154411566175E-2</v>
      </c>
      <c r="Q53" s="483">
        <f t="shared" si="22"/>
        <v>2.6396343820616546E-2</v>
      </c>
      <c r="R53" s="483">
        <f t="shared" si="22"/>
        <v>2.8085502489295981E-2</v>
      </c>
      <c r="S53" s="483">
        <f t="shared" si="22"/>
        <v>2.6031490261278781E-2</v>
      </c>
      <c r="T53" s="483">
        <f t="shared" si="22"/>
        <v>2.6467837686950785E-2</v>
      </c>
      <c r="U53" s="483">
        <f t="shared" si="22"/>
        <v>2.8216436056956739E-2</v>
      </c>
      <c r="V53" s="483">
        <f t="shared" si="22"/>
        <v>3.1431912236630069E-2</v>
      </c>
      <c r="W53" s="483">
        <f t="shared" si="22"/>
        <v>2.9784033314690671E-2</v>
      </c>
      <c r="X53" s="483">
        <f t="shared" si="22"/>
        <v>3.0025170178430455E-2</v>
      </c>
      <c r="Y53" s="483">
        <f t="shared" si="22"/>
        <v>3.026249845177895E-2</v>
      </c>
      <c r="Z53" s="483">
        <f t="shared" si="22"/>
        <v>3.0477976997798216E-2</v>
      </c>
      <c r="AA53" s="483">
        <f t="shared" si="22"/>
        <v>3.0716413069661098E-2</v>
      </c>
      <c r="AB53" s="483">
        <f t="shared" si="22"/>
        <v>3.0974585394682553E-2</v>
      </c>
      <c r="AC53" s="483">
        <f t="shared" si="22"/>
        <v>3.1125477526846392E-2</v>
      </c>
      <c r="AD53" s="483">
        <f t="shared" si="22"/>
        <v>3.127750513726494E-2</v>
      </c>
      <c r="AE53" s="483">
        <f t="shared" si="22"/>
        <v>3.1444310957613394E-2</v>
      </c>
      <c r="AF53" s="483">
        <f t="shared" si="22"/>
        <v>3.1628805091073617E-2</v>
      </c>
      <c r="AG53" s="483">
        <f t="shared" si="22"/>
        <v>3.1819899082527262E-2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</row>
    <row r="54" spans="1:53" x14ac:dyDescent="0.2">
      <c r="L54" s="338"/>
      <c r="M54" s="483"/>
      <c r="N54" s="483"/>
      <c r="O54" s="483"/>
      <c r="P54" s="483"/>
      <c r="Q54" s="483"/>
      <c r="R54" s="483"/>
      <c r="S54" s="483"/>
      <c r="T54" s="483"/>
      <c r="U54" s="483"/>
      <c r="V54" s="483"/>
      <c r="W54" s="483"/>
      <c r="X54" s="483"/>
      <c r="Y54" s="483"/>
      <c r="Z54" s="483"/>
      <c r="AA54" s="483"/>
      <c r="AB54" s="483"/>
      <c r="AC54" s="483"/>
      <c r="AD54" s="483"/>
      <c r="AE54" s="483"/>
      <c r="AF54" s="483"/>
      <c r="AG54" s="48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</row>
    <row r="55" spans="1:53" x14ac:dyDescent="0.2">
      <c r="L55" s="20" t="str">
        <f>'Occ T3'!A11</f>
        <v>Professional occupations</v>
      </c>
      <c r="M55" s="484">
        <f t="shared" ref="M55:AG55" si="23">M9/M$48</f>
        <v>0.15691037118501319</v>
      </c>
      <c r="N55" s="484">
        <f t="shared" si="23"/>
        <v>0.16187022123530237</v>
      </c>
      <c r="O55" s="484">
        <f t="shared" si="23"/>
        <v>0.1690297735535102</v>
      </c>
      <c r="P55" s="484">
        <f t="shared" si="23"/>
        <v>0.16923829490096029</v>
      </c>
      <c r="Q55" s="484">
        <f t="shared" si="23"/>
        <v>0.17163083338858451</v>
      </c>
      <c r="R55" s="484">
        <f t="shared" si="23"/>
        <v>0.17536015722596349</v>
      </c>
      <c r="S55" s="484">
        <f t="shared" si="23"/>
        <v>0.17704470777074907</v>
      </c>
      <c r="T55" s="484">
        <f t="shared" si="23"/>
        <v>0.17641200737287438</v>
      </c>
      <c r="U55" s="484">
        <f t="shared" si="23"/>
        <v>0.18021437815546515</v>
      </c>
      <c r="V55" s="484">
        <f t="shared" si="23"/>
        <v>0.18249619211826992</v>
      </c>
      <c r="W55" s="484">
        <f t="shared" si="23"/>
        <v>0.18756689033742807</v>
      </c>
      <c r="X55" s="484">
        <f t="shared" si="23"/>
        <v>0.18895175113587753</v>
      </c>
      <c r="Y55" s="484">
        <f t="shared" si="23"/>
        <v>0.19029814984910551</v>
      </c>
      <c r="Z55" s="484">
        <f t="shared" si="23"/>
        <v>0.19176355879671822</v>
      </c>
      <c r="AA55" s="484">
        <f t="shared" si="23"/>
        <v>0.19428341876597902</v>
      </c>
      <c r="AB55" s="484">
        <f t="shared" si="23"/>
        <v>0.19683328656937601</v>
      </c>
      <c r="AC55" s="484">
        <f t="shared" si="23"/>
        <v>0.19916869367993698</v>
      </c>
      <c r="AD55" s="484">
        <f t="shared" si="23"/>
        <v>0.20131816775121802</v>
      </c>
      <c r="AE55" s="484">
        <f t="shared" si="23"/>
        <v>0.20338733140610163</v>
      </c>
      <c r="AF55" s="484">
        <f t="shared" si="23"/>
        <v>0.20524343047114335</v>
      </c>
      <c r="AG55" s="484">
        <f t="shared" si="23"/>
        <v>0.20696579014906741</v>
      </c>
      <c r="AH55" s="13"/>
      <c r="AI55" s="13"/>
      <c r="AJ55" s="13"/>
      <c r="AK55" s="13"/>
      <c r="AL55" s="13"/>
    </row>
    <row r="56" spans="1:53" x14ac:dyDescent="0.2">
      <c r="L56" s="338" t="str">
        <f>'Occ T3'!A12</f>
        <v xml:space="preserve"> 21 Science, research, engineering and technology professionals</v>
      </c>
      <c r="M56" s="483">
        <f t="shared" ref="M56:AG56" si="24">M10/M$48</f>
        <v>2.7966632658315813E-2</v>
      </c>
      <c r="N56" s="483">
        <f t="shared" si="24"/>
        <v>2.7897890931843732E-2</v>
      </c>
      <c r="O56" s="483">
        <f t="shared" si="24"/>
        <v>2.9394475049526473E-2</v>
      </c>
      <c r="P56" s="483">
        <f t="shared" si="24"/>
        <v>2.9791154069403615E-2</v>
      </c>
      <c r="Q56" s="483">
        <f t="shared" si="24"/>
        <v>2.9728555130083642E-2</v>
      </c>
      <c r="R56" s="483">
        <f t="shared" si="24"/>
        <v>2.9686359680577909E-2</v>
      </c>
      <c r="S56" s="483">
        <f t="shared" si="24"/>
        <v>2.9721732749943504E-2</v>
      </c>
      <c r="T56" s="483">
        <f t="shared" si="24"/>
        <v>2.9468279053452638E-2</v>
      </c>
      <c r="U56" s="483">
        <f t="shared" si="24"/>
        <v>3.0185701478963024E-2</v>
      </c>
      <c r="V56" s="483">
        <f t="shared" si="24"/>
        <v>3.1420817035080283E-2</v>
      </c>
      <c r="W56" s="483">
        <f t="shared" si="24"/>
        <v>3.1999377673335112E-2</v>
      </c>
      <c r="X56" s="483">
        <f t="shared" si="24"/>
        <v>3.2220550435142346E-2</v>
      </c>
      <c r="Y56" s="483">
        <f t="shared" si="24"/>
        <v>3.2511012621859729E-2</v>
      </c>
      <c r="Z56" s="483">
        <f t="shared" si="24"/>
        <v>3.2812817327902817E-2</v>
      </c>
      <c r="AA56" s="483">
        <f t="shared" si="24"/>
        <v>3.3011052076377306E-2</v>
      </c>
      <c r="AB56" s="483">
        <f t="shared" si="24"/>
        <v>3.3196181938001425E-2</v>
      </c>
      <c r="AC56" s="483">
        <f t="shared" si="24"/>
        <v>3.3359772098315428E-2</v>
      </c>
      <c r="AD56" s="483">
        <f t="shared" si="24"/>
        <v>3.3491792117319542E-2</v>
      </c>
      <c r="AE56" s="483">
        <f t="shared" si="24"/>
        <v>3.363703456651098E-2</v>
      </c>
      <c r="AF56" s="483">
        <f t="shared" si="24"/>
        <v>3.3779811488507692E-2</v>
      </c>
      <c r="AG56" s="483">
        <f t="shared" si="24"/>
        <v>3.3927464962276346E-2</v>
      </c>
      <c r="AH56" s="245"/>
      <c r="AI56" s="245"/>
      <c r="AJ56" s="245"/>
      <c r="AK56" s="245"/>
      <c r="AL56" s="245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</row>
    <row r="57" spans="1:53" x14ac:dyDescent="0.2">
      <c r="L57" s="338" t="str">
        <f>'Occ T3'!A13</f>
        <v xml:space="preserve"> 22 Health professionals</v>
      </c>
      <c r="M57" s="483">
        <f t="shared" ref="M57:AG57" si="25">M11/M$48</f>
        <v>4.6784861093824966E-2</v>
      </c>
      <c r="N57" s="483">
        <f t="shared" si="25"/>
        <v>4.8984349930150765E-2</v>
      </c>
      <c r="O57" s="483">
        <f t="shared" si="25"/>
        <v>5.2019355091026377E-2</v>
      </c>
      <c r="P57" s="483">
        <f t="shared" si="25"/>
        <v>4.9771278077898724E-2</v>
      </c>
      <c r="Q57" s="483">
        <f t="shared" si="25"/>
        <v>5.3320428033442162E-2</v>
      </c>
      <c r="R57" s="483">
        <f t="shared" si="25"/>
        <v>5.4447016361741929E-2</v>
      </c>
      <c r="S57" s="483">
        <f t="shared" si="25"/>
        <v>5.6500804936044938E-2</v>
      </c>
      <c r="T57" s="483">
        <f t="shared" si="25"/>
        <v>5.6641997741708604E-2</v>
      </c>
      <c r="U57" s="483">
        <f t="shared" si="25"/>
        <v>5.9016232695151265E-2</v>
      </c>
      <c r="V57" s="483">
        <f t="shared" si="25"/>
        <v>5.7430826224424338E-2</v>
      </c>
      <c r="W57" s="483">
        <f t="shared" si="25"/>
        <v>6.3042204199466184E-2</v>
      </c>
      <c r="X57" s="483">
        <f t="shared" si="25"/>
        <v>6.3951416182156259E-2</v>
      </c>
      <c r="Y57" s="483">
        <f t="shared" si="25"/>
        <v>6.4546192279355277E-2</v>
      </c>
      <c r="Z57" s="483">
        <f t="shared" si="25"/>
        <v>6.5095067838937162E-2</v>
      </c>
      <c r="AA57" s="483">
        <f t="shared" si="25"/>
        <v>6.6283107490796786E-2</v>
      </c>
      <c r="AB57" s="483">
        <f t="shared" si="25"/>
        <v>6.7474529636931541E-2</v>
      </c>
      <c r="AC57" s="483">
        <f t="shared" si="25"/>
        <v>6.8406033651368298E-2</v>
      </c>
      <c r="AD57" s="483">
        <f t="shared" si="25"/>
        <v>6.9297023672328997E-2</v>
      </c>
      <c r="AE57" s="483">
        <f t="shared" si="25"/>
        <v>7.0142399167643102E-2</v>
      </c>
      <c r="AF57" s="483">
        <f t="shared" si="25"/>
        <v>7.0885231499573431E-2</v>
      </c>
      <c r="AG57" s="483">
        <f t="shared" si="25"/>
        <v>7.161209996016725E-2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</row>
    <row r="58" spans="1:53" ht="15.75" x14ac:dyDescent="0.25">
      <c r="A58" s="103" t="str">
        <f>CONCATENATE("Occupation Figure 2.1  Employment by Occupation (% shares), ",$M$2,"-",$O$2)</f>
        <v>Occupation Figure 2.1  Employment by Occupation (% shares), 2007-2027</v>
      </c>
      <c r="L58" s="338" t="str">
        <f>'Occ T3'!A14</f>
        <v xml:space="preserve"> 23 Teaching and educational professionals</v>
      </c>
      <c r="M58" s="483">
        <f t="shared" ref="M58:AG58" si="26">M12/M$48</f>
        <v>5.2462246624871922E-2</v>
      </c>
      <c r="N58" s="483">
        <f t="shared" si="26"/>
        <v>5.5704206135912405E-2</v>
      </c>
      <c r="O58" s="483">
        <f t="shared" si="26"/>
        <v>5.6335625654156368E-2</v>
      </c>
      <c r="P58" s="483">
        <f t="shared" si="26"/>
        <v>5.8547168397911575E-2</v>
      </c>
      <c r="Q58" s="483">
        <f t="shared" si="26"/>
        <v>5.8904585323574517E-2</v>
      </c>
      <c r="R58" s="483">
        <f t="shared" si="26"/>
        <v>6.173179042035868E-2</v>
      </c>
      <c r="S58" s="483">
        <f t="shared" si="26"/>
        <v>5.9556700739396243E-2</v>
      </c>
      <c r="T58" s="483">
        <f t="shared" si="26"/>
        <v>6.0520359111254335E-2</v>
      </c>
      <c r="U58" s="483">
        <f t="shared" si="26"/>
        <v>6.0840598876071156E-2</v>
      </c>
      <c r="V58" s="483">
        <f t="shared" si="26"/>
        <v>6.2482248692051004E-2</v>
      </c>
      <c r="W58" s="483">
        <f t="shared" si="26"/>
        <v>6.1258835949681588E-2</v>
      </c>
      <c r="X58" s="483">
        <f t="shared" si="26"/>
        <v>6.1088449872671896E-2</v>
      </c>
      <c r="Y58" s="483">
        <f t="shared" si="26"/>
        <v>6.1038935972271356E-2</v>
      </c>
      <c r="Z58" s="483">
        <f t="shared" si="26"/>
        <v>6.1138114197240863E-2</v>
      </c>
      <c r="AA58" s="483">
        <f t="shared" si="26"/>
        <v>6.1789839975518193E-2</v>
      </c>
      <c r="AB58" s="483">
        <f t="shared" si="26"/>
        <v>6.249761072110311E-2</v>
      </c>
      <c r="AC58" s="483">
        <f t="shared" si="26"/>
        <v>6.3461742008982691E-2</v>
      </c>
      <c r="AD58" s="483">
        <f t="shared" si="26"/>
        <v>6.4349342823960015E-2</v>
      </c>
      <c r="AE58" s="483">
        <f t="shared" si="26"/>
        <v>6.5149427586930764E-2</v>
      </c>
      <c r="AF58" s="483">
        <f t="shared" si="26"/>
        <v>6.5850822144936857E-2</v>
      </c>
      <c r="AG58" s="483">
        <f t="shared" si="26"/>
        <v>6.6443103620337521E-2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</row>
    <row r="59" spans="1:53" x14ac:dyDescent="0.2">
      <c r="L59" s="338" t="str">
        <f>'Occ T3'!A15</f>
        <v xml:space="preserve"> 24 Business, media and public service professionals</v>
      </c>
      <c r="M59" s="483">
        <f t="shared" ref="M59:AG59" si="27">M13/M$48</f>
        <v>2.9696630808000505E-2</v>
      </c>
      <c r="N59" s="483">
        <f t="shared" si="27"/>
        <v>2.9283774237395446E-2</v>
      </c>
      <c r="O59" s="483">
        <f t="shared" si="27"/>
        <v>3.1280317758800968E-2</v>
      </c>
      <c r="P59" s="483">
        <f t="shared" si="27"/>
        <v>3.1128694355746379E-2</v>
      </c>
      <c r="Q59" s="483">
        <f t="shared" si="27"/>
        <v>2.9677264901484195E-2</v>
      </c>
      <c r="R59" s="483">
        <f t="shared" si="27"/>
        <v>2.9494990763284958E-2</v>
      </c>
      <c r="S59" s="483">
        <f t="shared" si="27"/>
        <v>3.1265469345364373E-2</v>
      </c>
      <c r="T59" s="483">
        <f t="shared" si="27"/>
        <v>2.9781371466458775E-2</v>
      </c>
      <c r="U59" s="483">
        <f t="shared" si="27"/>
        <v>3.0171845105279736E-2</v>
      </c>
      <c r="V59" s="483">
        <f t="shared" si="27"/>
        <v>3.1162300166714344E-2</v>
      </c>
      <c r="W59" s="483">
        <f t="shared" si="27"/>
        <v>3.126647251494518E-2</v>
      </c>
      <c r="X59" s="483">
        <f t="shared" si="27"/>
        <v>3.169133464590701E-2</v>
      </c>
      <c r="Y59" s="483">
        <f t="shared" si="27"/>
        <v>3.2202008975619145E-2</v>
      </c>
      <c r="Z59" s="483">
        <f t="shared" si="27"/>
        <v>3.2717559432637378E-2</v>
      </c>
      <c r="AA59" s="483">
        <f t="shared" si="27"/>
        <v>3.3199419223286723E-2</v>
      </c>
      <c r="AB59" s="483">
        <f t="shared" si="27"/>
        <v>3.3664964273339947E-2</v>
      </c>
      <c r="AC59" s="483">
        <f t="shared" si="27"/>
        <v>3.3941145921270566E-2</v>
      </c>
      <c r="AD59" s="483">
        <f t="shared" si="27"/>
        <v>3.4180009137609442E-2</v>
      </c>
      <c r="AE59" s="483">
        <f t="shared" si="27"/>
        <v>3.4458470085016818E-2</v>
      </c>
      <c r="AF59" s="483">
        <f t="shared" si="27"/>
        <v>3.4727565338125349E-2</v>
      </c>
      <c r="AG59" s="483">
        <f t="shared" si="27"/>
        <v>3.4983121606286277E-2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</row>
    <row r="60" spans="1:53" x14ac:dyDescent="0.2">
      <c r="L60" s="338"/>
      <c r="M60" s="483"/>
      <c r="N60" s="483"/>
      <c r="O60" s="483"/>
      <c r="P60" s="483"/>
      <c r="Q60" s="483"/>
      <c r="R60" s="483"/>
      <c r="S60" s="483"/>
      <c r="T60" s="483"/>
      <c r="U60" s="483"/>
      <c r="V60" s="483"/>
      <c r="W60" s="483"/>
      <c r="X60" s="483"/>
      <c r="Y60" s="483"/>
      <c r="Z60" s="483"/>
      <c r="AA60" s="483"/>
      <c r="AB60" s="483"/>
      <c r="AC60" s="483"/>
      <c r="AD60" s="483"/>
      <c r="AE60" s="483"/>
      <c r="AF60" s="483"/>
      <c r="AG60" s="48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</row>
    <row r="61" spans="1:53" x14ac:dyDescent="0.2">
      <c r="L61" s="20" t="str">
        <f>'Occ T3'!A17</f>
        <v>Associate professional and technical</v>
      </c>
      <c r="M61" s="484">
        <f t="shared" ref="M61:AG61" si="28">M15/M$48</f>
        <v>0.10330461535667067</v>
      </c>
      <c r="N61" s="484">
        <f t="shared" si="28"/>
        <v>0.10472582104217719</v>
      </c>
      <c r="O61" s="484">
        <f t="shared" si="28"/>
        <v>0.10560189006837611</v>
      </c>
      <c r="P61" s="484">
        <f t="shared" si="28"/>
        <v>0.10699069477920524</v>
      </c>
      <c r="Q61" s="484">
        <f t="shared" si="28"/>
        <v>0.10699932577367956</v>
      </c>
      <c r="R61" s="484">
        <f t="shared" si="28"/>
        <v>0.1070975943944648</v>
      </c>
      <c r="S61" s="484">
        <f t="shared" si="28"/>
        <v>0.1122079302883144</v>
      </c>
      <c r="T61" s="484">
        <f t="shared" si="28"/>
        <v>0.10832872921563319</v>
      </c>
      <c r="U61" s="484">
        <f t="shared" si="28"/>
        <v>0.10916093731566409</v>
      </c>
      <c r="V61" s="484">
        <f t="shared" si="28"/>
        <v>0.1113789455122154</v>
      </c>
      <c r="W61" s="484">
        <f t="shared" si="28"/>
        <v>0.11248308177091733</v>
      </c>
      <c r="X61" s="484">
        <f t="shared" si="28"/>
        <v>0.11338786035844878</v>
      </c>
      <c r="Y61" s="484">
        <f t="shared" si="28"/>
        <v>0.11431441462326616</v>
      </c>
      <c r="Z61" s="484">
        <f t="shared" si="28"/>
        <v>0.11526750573061771</v>
      </c>
      <c r="AA61" s="484">
        <f t="shared" si="28"/>
        <v>0.11633941877424041</v>
      </c>
      <c r="AB61" s="484">
        <f t="shared" si="28"/>
        <v>0.11738586926285839</v>
      </c>
      <c r="AC61" s="484">
        <f t="shared" si="28"/>
        <v>0.1180905984825962</v>
      </c>
      <c r="AD61" s="484">
        <f t="shared" si="28"/>
        <v>0.11875485575477306</v>
      </c>
      <c r="AE61" s="484">
        <f t="shared" si="28"/>
        <v>0.11937318597652707</v>
      </c>
      <c r="AF61" s="484">
        <f t="shared" si="28"/>
        <v>0.11992926217777682</v>
      </c>
      <c r="AG61" s="484">
        <f t="shared" si="28"/>
        <v>0.12045160829002446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</row>
    <row r="62" spans="1:53" x14ac:dyDescent="0.2">
      <c r="L62" s="338" t="str">
        <f>'Occ T3'!A18</f>
        <v xml:space="preserve"> 31 Science, engineering and technology associate professionals</v>
      </c>
      <c r="M62" s="483">
        <f t="shared" ref="M62:AG62" si="29">M16/M$48</f>
        <v>1.7011902161509038E-2</v>
      </c>
      <c r="N62" s="483">
        <f t="shared" si="29"/>
        <v>1.6514906671108838E-2</v>
      </c>
      <c r="O62" s="483">
        <f t="shared" si="29"/>
        <v>1.7485163183339952E-2</v>
      </c>
      <c r="P62" s="483">
        <f t="shared" si="29"/>
        <v>1.6855786189781636E-2</v>
      </c>
      <c r="Q62" s="483">
        <f t="shared" si="29"/>
        <v>1.6666368607560336E-2</v>
      </c>
      <c r="R62" s="483">
        <f t="shared" si="29"/>
        <v>1.6262316350932969E-2</v>
      </c>
      <c r="S62" s="483">
        <f t="shared" si="29"/>
        <v>1.6406325867636715E-2</v>
      </c>
      <c r="T62" s="483">
        <f t="shared" si="29"/>
        <v>1.6097673552621275E-2</v>
      </c>
      <c r="U62" s="483">
        <f t="shared" si="29"/>
        <v>1.6513037287039293E-2</v>
      </c>
      <c r="V62" s="483">
        <f t="shared" si="29"/>
        <v>1.6391839725265582E-2</v>
      </c>
      <c r="W62" s="483">
        <f t="shared" si="29"/>
        <v>1.6442498610169352E-2</v>
      </c>
      <c r="X62" s="483">
        <f t="shared" si="29"/>
        <v>1.6372831228458836E-2</v>
      </c>
      <c r="Y62" s="483">
        <f t="shared" si="29"/>
        <v>1.6326030693393501E-2</v>
      </c>
      <c r="Z62" s="483">
        <f t="shared" si="29"/>
        <v>1.6287245996197144E-2</v>
      </c>
      <c r="AA62" s="483">
        <f t="shared" si="29"/>
        <v>1.6269418950600828E-2</v>
      </c>
      <c r="AB62" s="483">
        <f t="shared" si="29"/>
        <v>1.6254288410882368E-2</v>
      </c>
      <c r="AC62" s="483">
        <f t="shared" si="29"/>
        <v>1.6239814884382451E-2</v>
      </c>
      <c r="AD62" s="483">
        <f t="shared" si="29"/>
        <v>1.6216421157973452E-2</v>
      </c>
      <c r="AE62" s="483">
        <f t="shared" si="29"/>
        <v>1.6190925509613562E-2</v>
      </c>
      <c r="AF62" s="483">
        <f t="shared" si="29"/>
        <v>1.61441756713296E-2</v>
      </c>
      <c r="AG62" s="483">
        <f t="shared" si="29"/>
        <v>1.611742435976235E-2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</row>
    <row r="63" spans="1:53" x14ac:dyDescent="0.2">
      <c r="L63" s="338" t="str">
        <f>'Occ T3'!A19</f>
        <v xml:space="preserve"> 32 Health and social care associate professionals</v>
      </c>
      <c r="M63" s="483">
        <f t="shared" ref="M63:AG63" si="30">M17/M$48</f>
        <v>1.5629349087353677E-2</v>
      </c>
      <c r="N63" s="483">
        <f t="shared" si="30"/>
        <v>1.5922618469326442E-2</v>
      </c>
      <c r="O63" s="483">
        <f t="shared" si="30"/>
        <v>1.6651408177372873E-2</v>
      </c>
      <c r="P63" s="483">
        <f t="shared" si="30"/>
        <v>1.6470013474415634E-2</v>
      </c>
      <c r="Q63" s="483">
        <f t="shared" si="30"/>
        <v>1.7621323777074628E-2</v>
      </c>
      <c r="R63" s="483">
        <f t="shared" si="30"/>
        <v>1.7874337565377714E-2</v>
      </c>
      <c r="S63" s="483">
        <f t="shared" si="30"/>
        <v>1.8330091785693853E-2</v>
      </c>
      <c r="T63" s="483">
        <f t="shared" si="30"/>
        <v>1.8474679804539176E-2</v>
      </c>
      <c r="U63" s="483">
        <f t="shared" si="30"/>
        <v>1.9349002076578213E-2</v>
      </c>
      <c r="V63" s="483">
        <f t="shared" si="30"/>
        <v>1.850215805207809E-2</v>
      </c>
      <c r="W63" s="483">
        <f t="shared" si="30"/>
        <v>2.0419301589305189E-2</v>
      </c>
      <c r="X63" s="483">
        <f t="shared" si="30"/>
        <v>2.0749072804337111E-2</v>
      </c>
      <c r="Y63" s="483">
        <f t="shared" si="30"/>
        <v>2.0970915648531336E-2</v>
      </c>
      <c r="Z63" s="483">
        <f t="shared" si="30"/>
        <v>2.1171649584269044E-2</v>
      </c>
      <c r="AA63" s="483">
        <f t="shared" si="30"/>
        <v>2.153295361573258E-2</v>
      </c>
      <c r="AB63" s="483">
        <f t="shared" si="30"/>
        <v>2.1896737601744456E-2</v>
      </c>
      <c r="AC63" s="483">
        <f t="shared" si="30"/>
        <v>2.2168557550155073E-2</v>
      </c>
      <c r="AD63" s="483">
        <f t="shared" si="30"/>
        <v>2.2429495087673994E-2</v>
      </c>
      <c r="AE63" s="483">
        <f t="shared" si="30"/>
        <v>2.2675206823089503E-2</v>
      </c>
      <c r="AF63" s="483">
        <f t="shared" si="30"/>
        <v>2.2922903639592616E-2</v>
      </c>
      <c r="AG63" s="483">
        <f t="shared" si="30"/>
        <v>2.3156371929795468E-2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</row>
    <row r="64" spans="1:53" x14ac:dyDescent="0.2">
      <c r="L64" s="338" t="str">
        <f>'Occ T3'!A20</f>
        <v xml:space="preserve"> 33 Protective service occupations</v>
      </c>
      <c r="M64" s="483">
        <f t="shared" ref="M64:AG64" si="31">M18/M$48</f>
        <v>1.2912704056644984E-2</v>
      </c>
      <c r="N64" s="483">
        <f t="shared" si="31"/>
        <v>1.2606518477585293E-2</v>
      </c>
      <c r="O64" s="483">
        <f t="shared" si="31"/>
        <v>1.2427762407921449E-2</v>
      </c>
      <c r="P64" s="483">
        <f t="shared" si="31"/>
        <v>1.2244646374423225E-2</v>
      </c>
      <c r="Q64" s="483">
        <f t="shared" si="31"/>
        <v>1.1615072472119178E-2</v>
      </c>
      <c r="R64" s="483">
        <f t="shared" si="31"/>
        <v>1.1848567829963338E-2</v>
      </c>
      <c r="S64" s="483">
        <f t="shared" si="31"/>
        <v>1.19959721226715E-2</v>
      </c>
      <c r="T64" s="483">
        <f t="shared" si="31"/>
        <v>1.1186066664353346E-2</v>
      </c>
      <c r="U64" s="483">
        <f t="shared" si="31"/>
        <v>1.1475683540561511E-2</v>
      </c>
      <c r="V64" s="483">
        <f t="shared" si="31"/>
        <v>1.1191191941875595E-2</v>
      </c>
      <c r="W64" s="483">
        <f t="shared" si="31"/>
        <v>1.0927092176296607E-2</v>
      </c>
      <c r="X64" s="483">
        <f t="shared" si="31"/>
        <v>1.0828025364882664E-2</v>
      </c>
      <c r="Y64" s="483">
        <f t="shared" si="31"/>
        <v>1.0741914534762385E-2</v>
      </c>
      <c r="Z64" s="483">
        <f t="shared" si="31"/>
        <v>1.0643991877290844E-2</v>
      </c>
      <c r="AA64" s="483">
        <f t="shared" si="31"/>
        <v>1.0552762927318812E-2</v>
      </c>
      <c r="AB64" s="483">
        <f t="shared" si="31"/>
        <v>1.0458169207749606E-2</v>
      </c>
      <c r="AC64" s="483">
        <f t="shared" si="31"/>
        <v>1.0386799965766797E-2</v>
      </c>
      <c r="AD64" s="483">
        <f t="shared" si="31"/>
        <v>1.0316532708858741E-2</v>
      </c>
      <c r="AE64" s="483">
        <f t="shared" si="31"/>
        <v>1.0240094217251231E-2</v>
      </c>
      <c r="AF64" s="483">
        <f t="shared" si="31"/>
        <v>1.016300103549146E-2</v>
      </c>
      <c r="AG64" s="483">
        <f t="shared" si="31"/>
        <v>1.0076661645027867E-2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</row>
    <row r="65" spans="12:53" x14ac:dyDescent="0.2">
      <c r="L65" s="338" t="str">
        <f>'Occ T3'!A21</f>
        <v xml:space="preserve"> 34 Culture, media and sports occupations</v>
      </c>
      <c r="M65" s="483">
        <f t="shared" ref="M65:AG65" si="32">M19/M$48</f>
        <v>1.2282879317460291E-2</v>
      </c>
      <c r="N65" s="483">
        <f t="shared" si="32"/>
        <v>1.428350442023865E-2</v>
      </c>
      <c r="O65" s="483">
        <f t="shared" si="32"/>
        <v>1.3652818240888202E-2</v>
      </c>
      <c r="P65" s="483">
        <f t="shared" si="32"/>
        <v>1.573131215622699E-2</v>
      </c>
      <c r="Q65" s="483">
        <f t="shared" si="32"/>
        <v>1.6519910105815685E-2</v>
      </c>
      <c r="R65" s="483">
        <f t="shared" si="32"/>
        <v>1.5646471534462695E-2</v>
      </c>
      <c r="S65" s="483">
        <f t="shared" si="32"/>
        <v>1.8771175783777704E-2</v>
      </c>
      <c r="T65" s="483">
        <f t="shared" si="32"/>
        <v>1.6031695119361204E-2</v>
      </c>
      <c r="U65" s="483">
        <f t="shared" si="32"/>
        <v>1.4371750475313531E-2</v>
      </c>
      <c r="V65" s="483">
        <f t="shared" si="32"/>
        <v>1.6950312300056915E-2</v>
      </c>
      <c r="W65" s="483">
        <f t="shared" si="32"/>
        <v>1.7031250664202226E-2</v>
      </c>
      <c r="X65" s="483">
        <f t="shared" si="32"/>
        <v>1.7263536016663378E-2</v>
      </c>
      <c r="Y65" s="483">
        <f t="shared" si="32"/>
        <v>1.7472125889685886E-2</v>
      </c>
      <c r="Z65" s="483">
        <f t="shared" si="32"/>
        <v>1.7690501918321649E-2</v>
      </c>
      <c r="AA65" s="483">
        <f t="shared" si="32"/>
        <v>1.7916944852130627E-2</v>
      </c>
      <c r="AB65" s="483">
        <f t="shared" si="32"/>
        <v>1.8138106618239568E-2</v>
      </c>
      <c r="AC65" s="483">
        <f t="shared" si="32"/>
        <v>1.8200007545248489E-2</v>
      </c>
      <c r="AD65" s="483">
        <f t="shared" si="32"/>
        <v>1.8259847975550286E-2</v>
      </c>
      <c r="AE65" s="483">
        <f t="shared" si="32"/>
        <v>1.8315104311632358E-2</v>
      </c>
      <c r="AF65" s="483">
        <f t="shared" si="32"/>
        <v>1.83633760598408E-2</v>
      </c>
      <c r="AG65" s="483">
        <f t="shared" si="32"/>
        <v>1.8409437629153393E-2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</row>
    <row r="66" spans="12:53" x14ac:dyDescent="0.2">
      <c r="L66" s="338" t="str">
        <f>'Occ T3'!A22</f>
        <v xml:space="preserve"> 35 Business and public service associate professionals</v>
      </c>
      <c r="M66" s="483">
        <f t="shared" ref="M66:AG66" si="33">M20/M$48</f>
        <v>4.5467780733702688E-2</v>
      </c>
      <c r="N66" s="483">
        <f t="shared" si="33"/>
        <v>4.5398273003917973E-2</v>
      </c>
      <c r="O66" s="483">
        <f t="shared" si="33"/>
        <v>4.5384738058853638E-2</v>
      </c>
      <c r="P66" s="483">
        <f t="shared" si="33"/>
        <v>4.5688936584357763E-2</v>
      </c>
      <c r="Q66" s="483">
        <f t="shared" si="33"/>
        <v>4.4576650811109716E-2</v>
      </c>
      <c r="R66" s="483">
        <f t="shared" si="33"/>
        <v>4.5465901113728086E-2</v>
      </c>
      <c r="S66" s="483">
        <f t="shared" si="33"/>
        <v>4.6704364728534634E-2</v>
      </c>
      <c r="T66" s="483">
        <f t="shared" si="33"/>
        <v>4.6538614074758206E-2</v>
      </c>
      <c r="U66" s="483">
        <f t="shared" si="33"/>
        <v>4.7451463936171556E-2</v>
      </c>
      <c r="V66" s="483">
        <f t="shared" si="33"/>
        <v>4.8343443492939224E-2</v>
      </c>
      <c r="W66" s="483">
        <f t="shared" si="33"/>
        <v>4.7662938730943953E-2</v>
      </c>
      <c r="X66" s="483">
        <f t="shared" si="33"/>
        <v>4.8174394944106781E-2</v>
      </c>
      <c r="Y66" s="483">
        <f t="shared" si="33"/>
        <v>4.8803427856893053E-2</v>
      </c>
      <c r="Z66" s="483">
        <f t="shared" si="33"/>
        <v>4.9474116354539029E-2</v>
      </c>
      <c r="AA66" s="483">
        <f t="shared" si="33"/>
        <v>5.0067338428457557E-2</v>
      </c>
      <c r="AB66" s="483">
        <f t="shared" si="33"/>
        <v>5.0638567424242394E-2</v>
      </c>
      <c r="AC66" s="483">
        <f t="shared" si="33"/>
        <v>5.1095418537043386E-2</v>
      </c>
      <c r="AD66" s="483">
        <f t="shared" si="33"/>
        <v>5.1532558824716572E-2</v>
      </c>
      <c r="AE66" s="483">
        <f t="shared" si="33"/>
        <v>5.1951855114940416E-2</v>
      </c>
      <c r="AF66" s="483">
        <f t="shared" si="33"/>
        <v>5.2335805771522345E-2</v>
      </c>
      <c r="AG66" s="483">
        <f t="shared" si="33"/>
        <v>5.2691712726285388E-2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</row>
    <row r="67" spans="12:53" x14ac:dyDescent="0.2">
      <c r="L67" s="338"/>
      <c r="M67" s="483"/>
      <c r="N67" s="483"/>
      <c r="O67" s="483"/>
      <c r="P67" s="483"/>
      <c r="Q67" s="483"/>
      <c r="R67" s="483"/>
      <c r="S67" s="483"/>
      <c r="T67" s="483"/>
      <c r="U67" s="483"/>
      <c r="V67" s="483"/>
      <c r="W67" s="483"/>
      <c r="X67" s="483"/>
      <c r="Y67" s="483"/>
      <c r="Z67" s="483"/>
      <c r="AA67" s="483"/>
      <c r="AB67" s="483"/>
      <c r="AC67" s="483"/>
      <c r="AD67" s="483"/>
      <c r="AE67" s="483"/>
      <c r="AF67" s="483"/>
      <c r="AG67" s="48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</row>
    <row r="68" spans="12:53" x14ac:dyDescent="0.2">
      <c r="L68" s="20" t="str">
        <f>'Occ T3'!A24</f>
        <v>Administrative and secretarial</v>
      </c>
      <c r="M68" s="484">
        <f t="shared" ref="M68:AG68" si="34">M22/M$48</f>
        <v>0.11910843564646896</v>
      </c>
      <c r="N68" s="484">
        <f t="shared" si="34"/>
        <v>0.11393692608045219</v>
      </c>
      <c r="O68" s="484">
        <f t="shared" si="34"/>
        <v>0.11352552843528085</v>
      </c>
      <c r="P68" s="484">
        <f t="shared" si="34"/>
        <v>0.11644696244935555</v>
      </c>
      <c r="Q68" s="484">
        <f t="shared" si="34"/>
        <v>0.11481833078946287</v>
      </c>
      <c r="R68" s="484">
        <f t="shared" si="34"/>
        <v>0.11382433954088897</v>
      </c>
      <c r="S68" s="484">
        <f t="shared" si="34"/>
        <v>0.11695222400982845</v>
      </c>
      <c r="T68" s="484">
        <f t="shared" si="34"/>
        <v>0.11475772759912634</v>
      </c>
      <c r="U68" s="484">
        <f t="shared" si="34"/>
        <v>0.11296680506581125</v>
      </c>
      <c r="V68" s="484">
        <f t="shared" si="34"/>
        <v>0.10809565938014092</v>
      </c>
      <c r="W68" s="484">
        <f t="shared" si="34"/>
        <v>0.10500446179715531</v>
      </c>
      <c r="X68" s="484">
        <f t="shared" si="34"/>
        <v>0.10325000116213613</v>
      </c>
      <c r="Y68" s="484">
        <f t="shared" si="34"/>
        <v>0.10144757067619709</v>
      </c>
      <c r="Z68" s="484">
        <f t="shared" si="34"/>
        <v>9.9636409827416672E-2</v>
      </c>
      <c r="AA68" s="484">
        <f t="shared" si="34"/>
        <v>9.8004745540206495E-2</v>
      </c>
      <c r="AB68" s="484">
        <f t="shared" si="34"/>
        <v>9.6307397251710086E-2</v>
      </c>
      <c r="AC68" s="484">
        <f t="shared" si="34"/>
        <v>9.4384598244128259E-2</v>
      </c>
      <c r="AD68" s="484">
        <f t="shared" si="34"/>
        <v>9.2636156206907821E-2</v>
      </c>
      <c r="AE68" s="484">
        <f t="shared" si="34"/>
        <v>9.1012816414541939E-2</v>
      </c>
      <c r="AF68" s="484">
        <f t="shared" si="34"/>
        <v>8.9635309009956449E-2</v>
      </c>
      <c r="AG68" s="484">
        <f t="shared" si="34"/>
        <v>8.8410536385233551E-2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</row>
    <row r="69" spans="12:53" x14ac:dyDescent="0.2">
      <c r="L69" s="338" t="str">
        <f>'Occ T3'!A25</f>
        <v xml:space="preserve"> 41 Administrative occupations</v>
      </c>
      <c r="M69" s="483">
        <f t="shared" ref="M69:AG69" si="35">M23/M$48</f>
        <v>9.1387091925663314E-2</v>
      </c>
      <c r="N69" s="483">
        <f t="shared" si="35"/>
        <v>8.7167361488912062E-2</v>
      </c>
      <c r="O69" s="483">
        <f t="shared" si="35"/>
        <v>8.6833756806642168E-2</v>
      </c>
      <c r="P69" s="483">
        <f t="shared" si="35"/>
        <v>8.9419536809350206E-2</v>
      </c>
      <c r="Q69" s="483">
        <f t="shared" si="35"/>
        <v>8.8666647340822538E-2</v>
      </c>
      <c r="R69" s="483">
        <f t="shared" si="35"/>
        <v>8.8321058514276879E-2</v>
      </c>
      <c r="S69" s="483">
        <f t="shared" si="35"/>
        <v>9.0892343997898015E-2</v>
      </c>
      <c r="T69" s="483">
        <f t="shared" si="35"/>
        <v>8.9118222990226759E-2</v>
      </c>
      <c r="U69" s="483">
        <f t="shared" si="35"/>
        <v>8.8744876064127023E-2</v>
      </c>
      <c r="V69" s="483">
        <f t="shared" si="35"/>
        <v>8.5561241955443484E-2</v>
      </c>
      <c r="W69" s="483">
        <f t="shared" si="35"/>
        <v>8.3360353591301575E-2</v>
      </c>
      <c r="X69" s="483">
        <f t="shared" si="35"/>
        <v>8.266538083977E-2</v>
      </c>
      <c r="Y69" s="483">
        <f t="shared" si="35"/>
        <v>8.1926470847812446E-2</v>
      </c>
      <c r="Z69" s="483">
        <f t="shared" si="35"/>
        <v>8.1188544460106662E-2</v>
      </c>
      <c r="AA69" s="483">
        <f t="shared" si="35"/>
        <v>8.0606536260434736E-2</v>
      </c>
      <c r="AB69" s="483">
        <f t="shared" si="35"/>
        <v>7.9979809502883262E-2</v>
      </c>
      <c r="AC69" s="483">
        <f t="shared" si="35"/>
        <v>7.9186809209587428E-2</v>
      </c>
      <c r="AD69" s="483">
        <f t="shared" si="35"/>
        <v>7.8482627010098727E-2</v>
      </c>
      <c r="AE69" s="483">
        <f t="shared" si="35"/>
        <v>7.7773537249666277E-2</v>
      </c>
      <c r="AF69" s="483">
        <f t="shared" si="35"/>
        <v>7.7076266653703374E-2</v>
      </c>
      <c r="AG69" s="483">
        <f t="shared" si="35"/>
        <v>7.6478653434315286E-2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</row>
    <row r="70" spans="12:53" x14ac:dyDescent="0.2">
      <c r="L70" s="338" t="str">
        <f>'Occ T3'!A26</f>
        <v xml:space="preserve"> 42 Secretarial and related occupations</v>
      </c>
      <c r="M70" s="483">
        <f t="shared" ref="M70:AG70" si="36">M24/M$48</f>
        <v>2.7721343720805643E-2</v>
      </c>
      <c r="N70" s="483">
        <f t="shared" si="36"/>
        <v>2.6769564591540118E-2</v>
      </c>
      <c r="O70" s="483">
        <f t="shared" si="36"/>
        <v>2.6691771628638686E-2</v>
      </c>
      <c r="P70" s="483">
        <f t="shared" si="36"/>
        <v>2.7027425640005338E-2</v>
      </c>
      <c r="Q70" s="483">
        <f t="shared" si="36"/>
        <v>2.6151683448640335E-2</v>
      </c>
      <c r="R70" s="483">
        <f t="shared" si="36"/>
        <v>2.5503281026612087E-2</v>
      </c>
      <c r="S70" s="483">
        <f t="shared" si="36"/>
        <v>2.6059880011930443E-2</v>
      </c>
      <c r="T70" s="483">
        <f t="shared" si="36"/>
        <v>2.5639504608899591E-2</v>
      </c>
      <c r="U70" s="483">
        <f t="shared" si="36"/>
        <v>2.4221929001684229E-2</v>
      </c>
      <c r="V70" s="483">
        <f t="shared" si="36"/>
        <v>2.2534417424697428E-2</v>
      </c>
      <c r="W70" s="483">
        <f t="shared" si="36"/>
        <v>2.1644108205853732E-2</v>
      </c>
      <c r="X70" s="483">
        <f t="shared" si="36"/>
        <v>2.0584620322366149E-2</v>
      </c>
      <c r="Y70" s="483">
        <f t="shared" si="36"/>
        <v>1.9521099828384646E-2</v>
      </c>
      <c r="Z70" s="483">
        <f t="shared" si="36"/>
        <v>1.8447865367310003E-2</v>
      </c>
      <c r="AA70" s="483">
        <f t="shared" si="36"/>
        <v>1.7398209279771756E-2</v>
      </c>
      <c r="AB70" s="483">
        <f t="shared" si="36"/>
        <v>1.6327587748826831E-2</v>
      </c>
      <c r="AC70" s="483">
        <f t="shared" si="36"/>
        <v>1.5197789034540835E-2</v>
      </c>
      <c r="AD70" s="483">
        <f t="shared" si="36"/>
        <v>1.4153529196809103E-2</v>
      </c>
      <c r="AE70" s="483">
        <f t="shared" si="36"/>
        <v>1.3239279164875668E-2</v>
      </c>
      <c r="AF70" s="483">
        <f t="shared" si="36"/>
        <v>1.255904235625307E-2</v>
      </c>
      <c r="AG70" s="483">
        <f t="shared" si="36"/>
        <v>1.1931882950918269E-2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</row>
    <row r="71" spans="12:53" x14ac:dyDescent="0.2">
      <c r="L71" s="338"/>
      <c r="M71" s="483"/>
      <c r="N71" s="483"/>
      <c r="O71" s="483"/>
      <c r="P71" s="483"/>
      <c r="Q71" s="483"/>
      <c r="R71" s="483"/>
      <c r="S71" s="483"/>
      <c r="T71" s="483"/>
      <c r="U71" s="483"/>
      <c r="V71" s="483"/>
      <c r="W71" s="483"/>
      <c r="X71" s="483"/>
      <c r="Y71" s="483"/>
      <c r="Z71" s="483"/>
      <c r="AA71" s="483"/>
      <c r="AB71" s="483"/>
      <c r="AC71" s="483"/>
      <c r="AD71" s="483"/>
      <c r="AE71" s="483"/>
      <c r="AF71" s="483"/>
      <c r="AG71" s="48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</row>
    <row r="72" spans="12:53" x14ac:dyDescent="0.2">
      <c r="L72" s="20" t="str">
        <f>'Occ T3'!A28</f>
        <v>Skilled trades occupations</v>
      </c>
      <c r="M72" s="484">
        <f t="shared" ref="M72:AG72" si="37">M26/M$48</f>
        <v>0.1367083702759592</v>
      </c>
      <c r="N72" s="484">
        <f t="shared" si="37"/>
        <v>0.13305216953132779</v>
      </c>
      <c r="O72" s="484">
        <f t="shared" si="37"/>
        <v>0.13446654926668944</v>
      </c>
      <c r="P72" s="484">
        <f t="shared" si="37"/>
        <v>0.12988296136588404</v>
      </c>
      <c r="Q72" s="484">
        <f t="shared" si="37"/>
        <v>0.13024084973890204</v>
      </c>
      <c r="R72" s="484">
        <f t="shared" si="37"/>
        <v>0.12786833166899875</v>
      </c>
      <c r="S72" s="484">
        <f t="shared" si="37"/>
        <v>0.1234334158572825</v>
      </c>
      <c r="T72" s="484">
        <f t="shared" si="37"/>
        <v>0.1291427293619262</v>
      </c>
      <c r="U72" s="484">
        <f t="shared" si="37"/>
        <v>0.13121183929356656</v>
      </c>
      <c r="V72" s="484">
        <f t="shared" si="37"/>
        <v>0.13042167769466764</v>
      </c>
      <c r="W72" s="484">
        <f t="shared" si="37"/>
        <v>0.13378563705750279</v>
      </c>
      <c r="X72" s="484">
        <f t="shared" si="37"/>
        <v>0.13265508688080563</v>
      </c>
      <c r="Y72" s="484">
        <f t="shared" si="37"/>
        <v>0.13163898606358398</v>
      </c>
      <c r="Z72" s="484">
        <f t="shared" si="37"/>
        <v>0.13048436663760743</v>
      </c>
      <c r="AA72" s="484">
        <f t="shared" si="37"/>
        <v>0.12916394591714281</v>
      </c>
      <c r="AB72" s="484">
        <f t="shared" si="37"/>
        <v>0.12786350609558733</v>
      </c>
      <c r="AC72" s="484">
        <f t="shared" si="37"/>
        <v>0.12657694672675818</v>
      </c>
      <c r="AD72" s="484">
        <f t="shared" si="37"/>
        <v>0.12526096123848954</v>
      </c>
      <c r="AE72" s="484">
        <f t="shared" si="37"/>
        <v>0.12396643938487975</v>
      </c>
      <c r="AF72" s="484">
        <f t="shared" si="37"/>
        <v>0.12266507907409578</v>
      </c>
      <c r="AG72" s="484">
        <f t="shared" si="37"/>
        <v>0.12132842200408238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</row>
    <row r="73" spans="12:53" x14ac:dyDescent="0.2">
      <c r="L73" s="338" t="str">
        <f>'Occ T3'!A29</f>
        <v xml:space="preserve"> 51 Skilled agricultural and related trades</v>
      </c>
      <c r="M73" s="483">
        <f t="shared" ref="M73:AG73" si="38">M27/M$48</f>
        <v>1.9171693337139823E-2</v>
      </c>
      <c r="N73" s="483">
        <f t="shared" si="38"/>
        <v>1.9662265098138593E-2</v>
      </c>
      <c r="O73" s="483">
        <f t="shared" si="38"/>
        <v>2.2081202018536417E-2</v>
      </c>
      <c r="P73" s="483">
        <f t="shared" si="38"/>
        <v>1.6833651457709483E-2</v>
      </c>
      <c r="Q73" s="483">
        <f t="shared" si="38"/>
        <v>2.1105196569988216E-2</v>
      </c>
      <c r="R73" s="483">
        <f t="shared" si="38"/>
        <v>2.0511881932419984E-2</v>
      </c>
      <c r="S73" s="483">
        <f t="shared" si="38"/>
        <v>1.6821913028558576E-2</v>
      </c>
      <c r="T73" s="483">
        <f t="shared" si="38"/>
        <v>1.7007447004231572E-2</v>
      </c>
      <c r="U73" s="483">
        <f t="shared" si="38"/>
        <v>2.1230314503537993E-2</v>
      </c>
      <c r="V73" s="483">
        <f t="shared" si="38"/>
        <v>1.8626261753604999E-2</v>
      </c>
      <c r="W73" s="483">
        <f t="shared" si="38"/>
        <v>2.9182350552050849E-2</v>
      </c>
      <c r="X73" s="483">
        <f t="shared" si="38"/>
        <v>2.9053160928139404E-2</v>
      </c>
      <c r="Y73" s="483">
        <f t="shared" si="38"/>
        <v>2.8902653017714018E-2</v>
      </c>
      <c r="Z73" s="483">
        <f t="shared" si="38"/>
        <v>2.8697952144424218E-2</v>
      </c>
      <c r="AA73" s="483">
        <f t="shared" si="38"/>
        <v>2.8569036138071557E-2</v>
      </c>
      <c r="AB73" s="483">
        <f t="shared" si="38"/>
        <v>2.8441250698688188E-2</v>
      </c>
      <c r="AC73" s="483">
        <f t="shared" si="38"/>
        <v>2.8331155353306922E-2</v>
      </c>
      <c r="AD73" s="483">
        <f t="shared" si="38"/>
        <v>2.8204011202294908E-2</v>
      </c>
      <c r="AE73" s="483">
        <f t="shared" si="38"/>
        <v>2.8063085593402384E-2</v>
      </c>
      <c r="AF73" s="483">
        <f t="shared" si="38"/>
        <v>2.7914361296577525E-2</v>
      </c>
      <c r="AG73" s="483">
        <f t="shared" si="38"/>
        <v>2.7761359308011473E-2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</row>
    <row r="74" spans="12:53" x14ac:dyDescent="0.2">
      <c r="L74" s="338" t="str">
        <f>'Occ T3'!A30</f>
        <v xml:space="preserve"> 52 Skilled metal, electrical and electronic trades</v>
      </c>
      <c r="M74" s="483">
        <f t="shared" ref="M74:AG74" si="39">M28/M$48</f>
        <v>4.5834358430302501E-2</v>
      </c>
      <c r="N74" s="483">
        <f t="shared" si="39"/>
        <v>4.5250920037787447E-2</v>
      </c>
      <c r="O74" s="483">
        <f t="shared" si="39"/>
        <v>4.4849364090461655E-2</v>
      </c>
      <c r="P74" s="483">
        <f t="shared" si="39"/>
        <v>4.6181439068294944E-2</v>
      </c>
      <c r="Q74" s="483">
        <f t="shared" si="39"/>
        <v>4.4239928353149278E-2</v>
      </c>
      <c r="R74" s="483">
        <f t="shared" si="39"/>
        <v>4.1606244823072451E-2</v>
      </c>
      <c r="S74" s="483">
        <f t="shared" si="39"/>
        <v>4.3531128470958441E-2</v>
      </c>
      <c r="T74" s="483">
        <f t="shared" si="39"/>
        <v>4.2967426865167226E-2</v>
      </c>
      <c r="U74" s="483">
        <f t="shared" si="39"/>
        <v>4.4112368330519194E-2</v>
      </c>
      <c r="V74" s="483">
        <f t="shared" si="39"/>
        <v>4.3775261699179224E-2</v>
      </c>
      <c r="W74" s="483">
        <f t="shared" si="39"/>
        <v>3.9416854352137383E-2</v>
      </c>
      <c r="X74" s="483">
        <f t="shared" si="39"/>
        <v>3.8737201747571358E-2</v>
      </c>
      <c r="Y74" s="483">
        <f t="shared" si="39"/>
        <v>3.8114919921820957E-2</v>
      </c>
      <c r="Z74" s="483">
        <f t="shared" si="39"/>
        <v>3.7585643021480854E-2</v>
      </c>
      <c r="AA74" s="483">
        <f t="shared" si="39"/>
        <v>3.6840767801291668E-2</v>
      </c>
      <c r="AB74" s="483">
        <f t="shared" si="39"/>
        <v>3.6128913379865922E-2</v>
      </c>
      <c r="AC74" s="483">
        <f t="shared" si="39"/>
        <v>3.5629405769470324E-2</v>
      </c>
      <c r="AD74" s="483">
        <f t="shared" si="39"/>
        <v>3.5134142382134373E-2</v>
      </c>
      <c r="AE74" s="483">
        <f t="shared" si="39"/>
        <v>3.4659420063840485E-2</v>
      </c>
      <c r="AF74" s="483">
        <f t="shared" si="39"/>
        <v>3.4166183219713528E-2</v>
      </c>
      <c r="AG74" s="483">
        <f t="shared" si="39"/>
        <v>3.3658909300012876E-2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</row>
    <row r="75" spans="12:53" x14ac:dyDescent="0.2">
      <c r="L75" s="338" t="str">
        <f>'Occ T3'!A31</f>
        <v xml:space="preserve"> 53 Skilled construction and building trades</v>
      </c>
      <c r="M75" s="483">
        <f t="shared" ref="M75:AG75" si="40">M29/M$48</f>
        <v>4.4127638196531017E-2</v>
      </c>
      <c r="N75" s="483">
        <f t="shared" si="40"/>
        <v>3.9798200277148331E-2</v>
      </c>
      <c r="O75" s="483">
        <f t="shared" si="40"/>
        <v>4.0774637916250495E-2</v>
      </c>
      <c r="P75" s="483">
        <f t="shared" si="40"/>
        <v>3.7903685330498066E-2</v>
      </c>
      <c r="Q75" s="483">
        <f t="shared" si="40"/>
        <v>3.8328664290849204E-2</v>
      </c>
      <c r="R75" s="483">
        <f t="shared" si="40"/>
        <v>3.5586398276005182E-2</v>
      </c>
      <c r="S75" s="483">
        <f t="shared" si="40"/>
        <v>3.4465717610759929E-2</v>
      </c>
      <c r="T75" s="483">
        <f t="shared" si="40"/>
        <v>4.2205818280918093E-2</v>
      </c>
      <c r="U75" s="483">
        <f t="shared" si="40"/>
        <v>3.6819983111245055E-2</v>
      </c>
      <c r="V75" s="483">
        <f t="shared" si="40"/>
        <v>3.7578591918112678E-2</v>
      </c>
      <c r="W75" s="483">
        <f t="shared" si="40"/>
        <v>3.6350187634131226E-2</v>
      </c>
      <c r="X75" s="483">
        <f t="shared" si="40"/>
        <v>3.635906906869165E-2</v>
      </c>
      <c r="Y75" s="483">
        <f t="shared" si="40"/>
        <v>3.6504193639804394E-2</v>
      </c>
      <c r="Z75" s="483">
        <f t="shared" si="40"/>
        <v>3.6565349867134313E-2</v>
      </c>
      <c r="AA75" s="483">
        <f t="shared" si="40"/>
        <v>3.6545580546280883E-2</v>
      </c>
      <c r="AB75" s="483">
        <f t="shared" si="40"/>
        <v>3.6501021685619799E-2</v>
      </c>
      <c r="AC75" s="483">
        <f t="shared" si="40"/>
        <v>3.6327795524074016E-2</v>
      </c>
      <c r="AD75" s="483">
        <f t="shared" si="40"/>
        <v>3.6153234229152426E-2</v>
      </c>
      <c r="AE75" s="483">
        <f t="shared" si="40"/>
        <v>3.597093629177478E-2</v>
      </c>
      <c r="AF75" s="483">
        <f t="shared" si="40"/>
        <v>3.5788584755986438E-2</v>
      </c>
      <c r="AG75" s="483">
        <f t="shared" si="40"/>
        <v>3.5601337888246216E-2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</row>
    <row r="76" spans="12:53" x14ac:dyDescent="0.2">
      <c r="L76" s="338" t="str">
        <f>'Occ T3'!A32</f>
        <v xml:space="preserve"> 54 Textiles, printing and other skilled trades</v>
      </c>
      <c r="M76" s="483">
        <f t="shared" ref="M76:AG76" si="41">M30/M$48</f>
        <v>2.7574680311985837E-2</v>
      </c>
      <c r="N76" s="483">
        <f t="shared" si="41"/>
        <v>2.8340784118253404E-2</v>
      </c>
      <c r="O76" s="483">
        <f t="shared" si="41"/>
        <v>2.6761345241440863E-2</v>
      </c>
      <c r="P76" s="483">
        <f t="shared" si="41"/>
        <v>2.896418550938154E-2</v>
      </c>
      <c r="Q76" s="483">
        <f t="shared" si="41"/>
        <v>2.656706052491533E-2</v>
      </c>
      <c r="R76" s="483">
        <f t="shared" si="41"/>
        <v>3.0163806637501105E-2</v>
      </c>
      <c r="S76" s="483">
        <f t="shared" si="41"/>
        <v>2.8614656747005564E-2</v>
      </c>
      <c r="T76" s="483">
        <f t="shared" si="41"/>
        <v>2.6962037211609318E-2</v>
      </c>
      <c r="U76" s="483">
        <f t="shared" si="41"/>
        <v>2.9049173348264297E-2</v>
      </c>
      <c r="V76" s="483">
        <f t="shared" si="41"/>
        <v>3.0441562323770727E-2</v>
      </c>
      <c r="W76" s="483">
        <f t="shared" si="41"/>
        <v>2.8836244519183356E-2</v>
      </c>
      <c r="X76" s="483">
        <f t="shared" si="41"/>
        <v>2.8505655136403223E-2</v>
      </c>
      <c r="Y76" s="483">
        <f t="shared" si="41"/>
        <v>2.8117219484244622E-2</v>
      </c>
      <c r="Z76" s="483">
        <f t="shared" si="41"/>
        <v>2.7635421604568066E-2</v>
      </c>
      <c r="AA76" s="483">
        <f t="shared" si="41"/>
        <v>2.7208561431498707E-2</v>
      </c>
      <c r="AB76" s="483">
        <f t="shared" si="41"/>
        <v>2.6792320331413447E-2</v>
      </c>
      <c r="AC76" s="483">
        <f t="shared" si="41"/>
        <v>2.6288590079906922E-2</v>
      </c>
      <c r="AD76" s="483">
        <f t="shared" si="41"/>
        <v>2.5769573424907845E-2</v>
      </c>
      <c r="AE76" s="483">
        <f t="shared" si="41"/>
        <v>2.5272997435862084E-2</v>
      </c>
      <c r="AF76" s="483">
        <f t="shared" si="41"/>
        <v>2.4795949801818287E-2</v>
      </c>
      <c r="AG76" s="483">
        <f t="shared" si="41"/>
        <v>2.430681550781183E-2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</row>
    <row r="77" spans="12:53" x14ac:dyDescent="0.2">
      <c r="L77" s="338"/>
      <c r="M77" s="483"/>
      <c r="N77" s="483"/>
      <c r="O77" s="483"/>
      <c r="P77" s="483"/>
      <c r="Q77" s="483"/>
      <c r="R77" s="483"/>
      <c r="S77" s="483"/>
      <c r="T77" s="483"/>
      <c r="U77" s="483"/>
      <c r="V77" s="483"/>
      <c r="W77" s="483"/>
      <c r="X77" s="483"/>
      <c r="Y77" s="483"/>
      <c r="Z77" s="483"/>
      <c r="AA77" s="483"/>
      <c r="AB77" s="483"/>
      <c r="AC77" s="483"/>
      <c r="AD77" s="483"/>
      <c r="AE77" s="483"/>
      <c r="AF77" s="483"/>
      <c r="AG77" s="48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</row>
    <row r="78" spans="12:53" x14ac:dyDescent="0.2">
      <c r="L78" s="20" t="str">
        <f>'Occ T3'!A34</f>
        <v>Caring, leisure and other service</v>
      </c>
      <c r="M78" s="484">
        <f t="shared" ref="M78:AG78" si="42">M32/M$48</f>
        <v>8.953306233279977E-2</v>
      </c>
      <c r="N78" s="484">
        <f t="shared" si="42"/>
        <v>9.3147874618513218E-2</v>
      </c>
      <c r="O78" s="484">
        <f t="shared" si="42"/>
        <v>9.4569319983801262E-2</v>
      </c>
      <c r="P78" s="484">
        <f t="shared" si="42"/>
        <v>9.5894056769614308E-2</v>
      </c>
      <c r="Q78" s="484">
        <f t="shared" si="42"/>
        <v>0.10073977447598417</v>
      </c>
      <c r="R78" s="484">
        <f t="shared" si="42"/>
        <v>0.10090633519304754</v>
      </c>
      <c r="S78" s="484">
        <f t="shared" si="42"/>
        <v>0.10489102304802907</v>
      </c>
      <c r="T78" s="484">
        <f t="shared" si="42"/>
        <v>0.1090474597064388</v>
      </c>
      <c r="U78" s="484">
        <f t="shared" si="42"/>
        <v>0.10490829818980194</v>
      </c>
      <c r="V78" s="484">
        <f t="shared" si="42"/>
        <v>0.10561874303102901</v>
      </c>
      <c r="W78" s="484">
        <f t="shared" si="42"/>
        <v>0.1098970890060271</v>
      </c>
      <c r="X78" s="484">
        <f t="shared" si="42"/>
        <v>0.1110692461887801</v>
      </c>
      <c r="Y78" s="484">
        <f t="shared" si="42"/>
        <v>0.11189037333742516</v>
      </c>
      <c r="Z78" s="484">
        <f t="shared" si="42"/>
        <v>0.11260683058183048</v>
      </c>
      <c r="AA78" s="484">
        <f t="shared" si="42"/>
        <v>0.11360863562075381</v>
      </c>
      <c r="AB78" s="484">
        <f t="shared" si="42"/>
        <v>0.11467929328473243</v>
      </c>
      <c r="AC78" s="484">
        <f t="shared" si="42"/>
        <v>0.115902696291692</v>
      </c>
      <c r="AD78" s="484">
        <f t="shared" si="42"/>
        <v>0.11711213818671261</v>
      </c>
      <c r="AE78" s="484">
        <f t="shared" si="42"/>
        <v>0.11829140966105113</v>
      </c>
      <c r="AF78" s="484">
        <f t="shared" si="42"/>
        <v>0.11935145677971412</v>
      </c>
      <c r="AG78" s="484">
        <f t="shared" si="42"/>
        <v>0.12031513024688303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</row>
    <row r="79" spans="12:53" x14ac:dyDescent="0.2">
      <c r="L79" s="338" t="str">
        <f>'Occ T3'!A35</f>
        <v xml:space="preserve"> 61 Caring personal service occupations</v>
      </c>
      <c r="M79" s="483">
        <f t="shared" ref="M79:AG79" si="43">M33/M$48</f>
        <v>7.0397645014807261E-2</v>
      </c>
      <c r="N79" s="483">
        <f t="shared" si="43"/>
        <v>7.3377224962540302E-2</v>
      </c>
      <c r="O79" s="483">
        <f t="shared" si="43"/>
        <v>7.4574458648578576E-2</v>
      </c>
      <c r="P79" s="483">
        <f t="shared" si="43"/>
        <v>7.5006845159745761E-2</v>
      </c>
      <c r="Q79" s="483">
        <f t="shared" si="43"/>
        <v>7.9327345101990326E-2</v>
      </c>
      <c r="R79" s="483">
        <f t="shared" si="43"/>
        <v>8.0111804751204496E-2</v>
      </c>
      <c r="S79" s="483">
        <f t="shared" si="43"/>
        <v>8.2863983740455976E-2</v>
      </c>
      <c r="T79" s="483">
        <f t="shared" si="43"/>
        <v>8.4489618102023115E-2</v>
      </c>
      <c r="U79" s="483">
        <f t="shared" si="43"/>
        <v>8.5392136921673453E-2</v>
      </c>
      <c r="V79" s="483">
        <f t="shared" si="43"/>
        <v>8.4256949345118862E-2</v>
      </c>
      <c r="W79" s="483">
        <f t="shared" si="43"/>
        <v>8.7617788069984812E-2</v>
      </c>
      <c r="X79" s="483">
        <f t="shared" si="43"/>
        <v>8.8924508935580668E-2</v>
      </c>
      <c r="Y79" s="483">
        <f t="shared" si="43"/>
        <v>8.991344308948275E-2</v>
      </c>
      <c r="Z79" s="483">
        <f t="shared" si="43"/>
        <v>9.0818627466623184E-2</v>
      </c>
      <c r="AA79" s="483">
        <f t="shared" si="43"/>
        <v>9.1969555751477333E-2</v>
      </c>
      <c r="AB79" s="483">
        <f t="shared" si="43"/>
        <v>9.3199683796685237E-2</v>
      </c>
      <c r="AC79" s="483">
        <f t="shared" si="43"/>
        <v>9.4601622460897997E-2</v>
      </c>
      <c r="AD79" s="483">
        <f t="shared" si="43"/>
        <v>9.599753936220462E-2</v>
      </c>
      <c r="AE79" s="483">
        <f t="shared" si="43"/>
        <v>9.7337053602254558E-2</v>
      </c>
      <c r="AF79" s="483">
        <f t="shared" si="43"/>
        <v>9.854726842528401E-2</v>
      </c>
      <c r="AG79" s="483">
        <f t="shared" si="43"/>
        <v>9.9653114193608811E-2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</row>
    <row r="80" spans="12:53" x14ac:dyDescent="0.2">
      <c r="L80" s="338" t="str">
        <f>'Occ T3'!A36</f>
        <v xml:space="preserve"> 62 Leisure, travel and related personal service occupations</v>
      </c>
      <c r="M80" s="483">
        <f t="shared" ref="M80:AG80" si="44">M34/M$48</f>
        <v>1.9135417317992502E-2</v>
      </c>
      <c r="N80" s="483">
        <f t="shared" si="44"/>
        <v>1.977064965597292E-2</v>
      </c>
      <c r="O80" s="483">
        <f t="shared" si="44"/>
        <v>1.9994861335222679E-2</v>
      </c>
      <c r="P80" s="483">
        <f t="shared" si="44"/>
        <v>2.0887211609868558E-2</v>
      </c>
      <c r="Q80" s="483">
        <f t="shared" si="44"/>
        <v>2.1412429373993853E-2</v>
      </c>
      <c r="R80" s="483">
        <f t="shared" si="44"/>
        <v>2.079453044184304E-2</v>
      </c>
      <c r="S80" s="483">
        <f t="shared" si="44"/>
        <v>2.202703930757309E-2</v>
      </c>
      <c r="T80" s="483">
        <f t="shared" si="44"/>
        <v>2.4557841604415681E-2</v>
      </c>
      <c r="U80" s="483">
        <f t="shared" si="44"/>
        <v>1.9516161268128496E-2</v>
      </c>
      <c r="V80" s="483">
        <f t="shared" si="44"/>
        <v>2.1361793685910152E-2</v>
      </c>
      <c r="W80" s="483">
        <f t="shared" si="44"/>
        <v>2.2279300936042291E-2</v>
      </c>
      <c r="X80" s="483">
        <f t="shared" si="44"/>
        <v>2.2144737253199431E-2</v>
      </c>
      <c r="Y80" s="483">
        <f t="shared" si="44"/>
        <v>2.1976930247942405E-2</v>
      </c>
      <c r="Z80" s="483">
        <f t="shared" si="44"/>
        <v>2.1788203115207298E-2</v>
      </c>
      <c r="AA80" s="483">
        <f t="shared" si="44"/>
        <v>2.1639079869276472E-2</v>
      </c>
      <c r="AB80" s="483">
        <f t="shared" si="44"/>
        <v>2.1479609488047193E-2</v>
      </c>
      <c r="AC80" s="483">
        <f t="shared" si="44"/>
        <v>2.1301073830794021E-2</v>
      </c>
      <c r="AD80" s="483">
        <f t="shared" si="44"/>
        <v>2.1114598824507981E-2</v>
      </c>
      <c r="AE80" s="483">
        <f t="shared" si="44"/>
        <v>2.0954356058796572E-2</v>
      </c>
      <c r="AF80" s="483">
        <f t="shared" si="44"/>
        <v>2.0804188354430108E-2</v>
      </c>
      <c r="AG80" s="483">
        <f t="shared" si="44"/>
        <v>2.066201605327422E-2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</row>
    <row r="81" spans="12:53" x14ac:dyDescent="0.2">
      <c r="L81" s="338"/>
      <c r="M81" s="483"/>
      <c r="N81" s="483"/>
      <c r="O81" s="483"/>
      <c r="P81" s="483"/>
      <c r="Q81" s="483"/>
      <c r="R81" s="483"/>
      <c r="S81" s="483"/>
      <c r="T81" s="483"/>
      <c r="U81" s="483"/>
      <c r="V81" s="483"/>
      <c r="W81" s="483"/>
      <c r="X81" s="483"/>
      <c r="Y81" s="483"/>
      <c r="Z81" s="483"/>
      <c r="AA81" s="483"/>
      <c r="AB81" s="483"/>
      <c r="AC81" s="483"/>
      <c r="AD81" s="483"/>
      <c r="AE81" s="483"/>
      <c r="AF81" s="483"/>
      <c r="AG81" s="48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</row>
    <row r="82" spans="12:53" x14ac:dyDescent="0.2">
      <c r="L82" s="20" t="str">
        <f>'Occ T3'!A38</f>
        <v>Sales and customer service</v>
      </c>
      <c r="M82" s="484">
        <f t="shared" ref="M82:AG82" si="45">M36/M$48</f>
        <v>9.326213964804482E-2</v>
      </c>
      <c r="N82" s="484">
        <f t="shared" si="45"/>
        <v>9.3769096488544423E-2</v>
      </c>
      <c r="O82" s="484">
        <f t="shared" si="45"/>
        <v>9.0563986614556335E-2</v>
      </c>
      <c r="P82" s="484">
        <f t="shared" si="45"/>
        <v>8.988557098015075E-2</v>
      </c>
      <c r="Q82" s="484">
        <f t="shared" si="45"/>
        <v>9.1692927763641047E-2</v>
      </c>
      <c r="R82" s="484">
        <f t="shared" si="45"/>
        <v>9.2659472688220071E-2</v>
      </c>
      <c r="S82" s="484">
        <f t="shared" si="45"/>
        <v>8.9119842384042317E-2</v>
      </c>
      <c r="T82" s="484">
        <f t="shared" si="45"/>
        <v>8.5513726340971014E-2</v>
      </c>
      <c r="U82" s="484">
        <f t="shared" si="45"/>
        <v>8.3385651868928434E-2</v>
      </c>
      <c r="V82" s="484">
        <f t="shared" si="45"/>
        <v>8.3429197106656888E-2</v>
      </c>
      <c r="W82" s="484">
        <f t="shared" si="45"/>
        <v>8.2150062113369227E-2</v>
      </c>
      <c r="X82" s="484">
        <f t="shared" si="45"/>
        <v>8.1939303266295685E-2</v>
      </c>
      <c r="Y82" s="484">
        <f t="shared" si="45"/>
        <v>8.1731444984854573E-2</v>
      </c>
      <c r="Z82" s="484">
        <f t="shared" si="45"/>
        <v>8.1529281857114735E-2</v>
      </c>
      <c r="AA82" s="484">
        <f t="shared" si="45"/>
        <v>8.0791051485294293E-2</v>
      </c>
      <c r="AB82" s="484">
        <f t="shared" si="45"/>
        <v>7.9955485026936543E-2</v>
      </c>
      <c r="AC82" s="484">
        <f t="shared" si="45"/>
        <v>7.9545701369583E-2</v>
      </c>
      <c r="AD82" s="484">
        <f t="shared" si="45"/>
        <v>7.9120369028279555E-2</v>
      </c>
      <c r="AE82" s="484">
        <f t="shared" si="45"/>
        <v>7.8692044712105752E-2</v>
      </c>
      <c r="AF82" s="484">
        <f t="shared" si="45"/>
        <v>7.8273037222841194E-2</v>
      </c>
      <c r="AG82" s="484">
        <f t="shared" si="45"/>
        <v>7.7842938748545379E-2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</row>
    <row r="83" spans="12:53" x14ac:dyDescent="0.2">
      <c r="L83" s="338" t="str">
        <f>'Occ T3'!A39</f>
        <v xml:space="preserve"> 71 Sales occupations</v>
      </c>
      <c r="M83" s="483">
        <f t="shared" ref="M83:AG83" si="46">M37/M$48</f>
        <v>7.7876059261470801E-2</v>
      </c>
      <c r="N83" s="483">
        <f t="shared" si="46"/>
        <v>7.796855016111548E-2</v>
      </c>
      <c r="O83" s="483">
        <f t="shared" si="46"/>
        <v>7.2906347453995421E-2</v>
      </c>
      <c r="P83" s="483">
        <f t="shared" si="46"/>
        <v>7.238499250379278E-2</v>
      </c>
      <c r="Q83" s="483">
        <f t="shared" si="46"/>
        <v>7.3807388608198118E-2</v>
      </c>
      <c r="R83" s="483">
        <f t="shared" si="46"/>
        <v>7.4402740808631643E-2</v>
      </c>
      <c r="S83" s="483">
        <f t="shared" si="46"/>
        <v>7.0513807752324187E-2</v>
      </c>
      <c r="T83" s="483">
        <f t="shared" si="46"/>
        <v>6.6400548593520764E-2</v>
      </c>
      <c r="U83" s="483">
        <f t="shared" si="46"/>
        <v>6.3775311878554952E-2</v>
      </c>
      <c r="V83" s="483">
        <f t="shared" si="46"/>
        <v>6.4155071524149676E-2</v>
      </c>
      <c r="W83" s="483">
        <f t="shared" si="46"/>
        <v>6.3231263817690439E-2</v>
      </c>
      <c r="X83" s="483">
        <f t="shared" si="46"/>
        <v>6.2751912513675914E-2</v>
      </c>
      <c r="Y83" s="483">
        <f t="shared" si="46"/>
        <v>6.2276942028180834E-2</v>
      </c>
      <c r="Z83" s="483">
        <f t="shared" si="46"/>
        <v>6.1816220485279655E-2</v>
      </c>
      <c r="AA83" s="483">
        <f t="shared" si="46"/>
        <v>6.0770873777641406E-2</v>
      </c>
      <c r="AB83" s="483">
        <f t="shared" si="46"/>
        <v>5.9640834509651228E-2</v>
      </c>
      <c r="AC83" s="483">
        <f t="shared" si="46"/>
        <v>5.898476404455831E-2</v>
      </c>
      <c r="AD83" s="483">
        <f t="shared" si="46"/>
        <v>5.8309664585542299E-2</v>
      </c>
      <c r="AE83" s="483">
        <f t="shared" si="46"/>
        <v>5.7632972644669475E-2</v>
      </c>
      <c r="AF83" s="483">
        <f t="shared" si="46"/>
        <v>5.6984403862552983E-2</v>
      </c>
      <c r="AG83" s="483">
        <f t="shared" si="46"/>
        <v>5.6345174847404776E-2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</row>
    <row r="84" spans="12:53" x14ac:dyDescent="0.2">
      <c r="L84" s="338" t="str">
        <f>'Occ T3'!A40</f>
        <v xml:space="preserve"> 72 Customer service occupations</v>
      </c>
      <c r="M84" s="483">
        <f t="shared" ref="M84:AG84" si="47">M38/M$48</f>
        <v>1.5386080386574031E-2</v>
      </c>
      <c r="N84" s="483">
        <f t="shared" si="47"/>
        <v>1.5800546327428951E-2</v>
      </c>
      <c r="O84" s="483">
        <f t="shared" si="47"/>
        <v>1.7657639160560904E-2</v>
      </c>
      <c r="P84" s="483">
        <f t="shared" si="47"/>
        <v>1.750057847635797E-2</v>
      </c>
      <c r="Q84" s="483">
        <f t="shared" si="47"/>
        <v>1.7885539155442918E-2</v>
      </c>
      <c r="R84" s="483">
        <f t="shared" si="47"/>
        <v>1.8256731879588439E-2</v>
      </c>
      <c r="S84" s="483">
        <f t="shared" si="47"/>
        <v>1.860603463171813E-2</v>
      </c>
      <c r="T84" s="483">
        <f t="shared" si="47"/>
        <v>1.9113177747450243E-2</v>
      </c>
      <c r="U84" s="483">
        <f t="shared" si="47"/>
        <v>1.9610339990373482E-2</v>
      </c>
      <c r="V84" s="483">
        <f t="shared" si="47"/>
        <v>1.9274125582507212E-2</v>
      </c>
      <c r="W84" s="483">
        <f t="shared" si="47"/>
        <v>1.8918798295678788E-2</v>
      </c>
      <c r="X84" s="483">
        <f t="shared" si="47"/>
        <v>1.9187390752619767E-2</v>
      </c>
      <c r="Y84" s="483">
        <f t="shared" si="47"/>
        <v>1.9454502956673732E-2</v>
      </c>
      <c r="Z84" s="483">
        <f t="shared" si="47"/>
        <v>1.9713061371835087E-2</v>
      </c>
      <c r="AA84" s="483">
        <f t="shared" si="47"/>
        <v>2.0020177707652884E-2</v>
      </c>
      <c r="AB84" s="483">
        <f t="shared" si="47"/>
        <v>2.0314650517285319E-2</v>
      </c>
      <c r="AC84" s="483">
        <f t="shared" si="47"/>
        <v>2.0560937325024686E-2</v>
      </c>
      <c r="AD84" s="483">
        <f t="shared" si="47"/>
        <v>2.0810704442737266E-2</v>
      </c>
      <c r="AE84" s="483">
        <f t="shared" si="47"/>
        <v>2.1059072067436287E-2</v>
      </c>
      <c r="AF84" s="483">
        <f t="shared" si="47"/>
        <v>2.1288633360288214E-2</v>
      </c>
      <c r="AG84" s="483">
        <f t="shared" si="47"/>
        <v>2.1497763901140603E-2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</row>
    <row r="85" spans="12:53" x14ac:dyDescent="0.2">
      <c r="L85" s="338"/>
      <c r="M85" s="483"/>
      <c r="N85" s="483"/>
      <c r="O85" s="483"/>
      <c r="P85" s="483"/>
      <c r="Q85" s="483"/>
      <c r="R85" s="483"/>
      <c r="S85" s="483"/>
      <c r="T85" s="483"/>
      <c r="U85" s="483"/>
      <c r="V85" s="483"/>
      <c r="W85" s="483"/>
      <c r="X85" s="483"/>
      <c r="Y85" s="483"/>
      <c r="Z85" s="483"/>
      <c r="AA85" s="483"/>
      <c r="AB85" s="483"/>
      <c r="AC85" s="483"/>
      <c r="AD85" s="483"/>
      <c r="AE85" s="483"/>
      <c r="AF85" s="483"/>
      <c r="AG85" s="48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</row>
    <row r="86" spans="12:53" x14ac:dyDescent="0.2">
      <c r="L86" s="20" t="str">
        <f>'Occ T3'!A42</f>
        <v>Process, plant and machine operatives</v>
      </c>
      <c r="M86" s="484">
        <f t="shared" ref="M86:AG86" si="48">M40/M$48</f>
        <v>9.2963193636880659E-2</v>
      </c>
      <c r="N86" s="484">
        <f t="shared" si="48"/>
        <v>9.2847599054787677E-2</v>
      </c>
      <c r="O86" s="484">
        <f t="shared" si="48"/>
        <v>9.1076646772792827E-2</v>
      </c>
      <c r="P86" s="484">
        <f t="shared" si="48"/>
        <v>8.6784745721449869E-2</v>
      </c>
      <c r="Q86" s="484">
        <f t="shared" si="48"/>
        <v>8.78254137650121E-2</v>
      </c>
      <c r="R86" s="484">
        <f t="shared" si="48"/>
        <v>8.588375958066162E-2</v>
      </c>
      <c r="S86" s="484">
        <f t="shared" si="48"/>
        <v>8.6063259011964238E-2</v>
      </c>
      <c r="T86" s="484">
        <f t="shared" si="48"/>
        <v>8.9907515379677644E-2</v>
      </c>
      <c r="U86" s="484">
        <f t="shared" si="48"/>
        <v>8.7011274006441014E-2</v>
      </c>
      <c r="V86" s="484">
        <f t="shared" si="48"/>
        <v>8.1030959428903898E-2</v>
      </c>
      <c r="W86" s="484">
        <f t="shared" si="48"/>
        <v>7.4407579661206411E-2</v>
      </c>
      <c r="X86" s="484">
        <f t="shared" si="48"/>
        <v>7.3202207850938381E-2</v>
      </c>
      <c r="Y86" s="484">
        <f t="shared" si="48"/>
        <v>7.2051960284366431E-2</v>
      </c>
      <c r="Z86" s="484">
        <f t="shared" si="48"/>
        <v>7.1088330187129053E-2</v>
      </c>
      <c r="AA86" s="484">
        <f t="shared" si="48"/>
        <v>7.004555129740643E-2</v>
      </c>
      <c r="AB86" s="484">
        <f t="shared" si="48"/>
        <v>6.907425429063023E-2</v>
      </c>
      <c r="AC86" s="484">
        <f t="shared" si="48"/>
        <v>6.8294041732026231E-2</v>
      </c>
      <c r="AD86" s="484">
        <f t="shared" si="48"/>
        <v>6.7589582227757919E-2</v>
      </c>
      <c r="AE86" s="484">
        <f t="shared" si="48"/>
        <v>6.688363850972015E-2</v>
      </c>
      <c r="AF86" s="484">
        <f t="shared" si="48"/>
        <v>6.6256242492181594E-2</v>
      </c>
      <c r="AG86" s="484">
        <f t="shared" si="48"/>
        <v>6.5631312281253407E-2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</row>
    <row r="87" spans="12:53" x14ac:dyDescent="0.2">
      <c r="L87" s="338" t="str">
        <f>'Occ T3'!A43</f>
        <v xml:space="preserve"> 81 Process, plant and machine operatives</v>
      </c>
      <c r="M87" s="483">
        <f t="shared" ref="M87:AG87" si="49">M41/M$48</f>
        <v>6.0828358635733493E-2</v>
      </c>
      <c r="N87" s="483">
        <f t="shared" si="49"/>
        <v>5.9939685414439607E-2</v>
      </c>
      <c r="O87" s="483">
        <f t="shared" si="49"/>
        <v>5.8294966289103772E-2</v>
      </c>
      <c r="P87" s="483">
        <f t="shared" si="49"/>
        <v>5.7261143787206377E-2</v>
      </c>
      <c r="Q87" s="483">
        <f t="shared" si="49"/>
        <v>5.7470405401679969E-2</v>
      </c>
      <c r="R87" s="483">
        <f t="shared" si="49"/>
        <v>5.7606153217609812E-2</v>
      </c>
      <c r="S87" s="483">
        <f t="shared" si="49"/>
        <v>5.7659858297106709E-2</v>
      </c>
      <c r="T87" s="483">
        <f t="shared" si="49"/>
        <v>5.8918363355310296E-2</v>
      </c>
      <c r="U87" s="483">
        <f t="shared" si="49"/>
        <v>5.7766697066506084E-2</v>
      </c>
      <c r="V87" s="483">
        <f t="shared" si="49"/>
        <v>5.5610012066680772E-2</v>
      </c>
      <c r="W87" s="483">
        <f t="shared" si="49"/>
        <v>5.1205665450453824E-2</v>
      </c>
      <c r="X87" s="483">
        <f t="shared" si="49"/>
        <v>4.9993318200016484E-2</v>
      </c>
      <c r="Y87" s="483">
        <f t="shared" si="49"/>
        <v>4.8758750680704101E-2</v>
      </c>
      <c r="Z87" s="483">
        <f t="shared" si="49"/>
        <v>4.7670828484471017E-2</v>
      </c>
      <c r="AA87" s="483">
        <f t="shared" si="49"/>
        <v>4.6682422910890614E-2</v>
      </c>
      <c r="AB87" s="483">
        <f t="shared" si="49"/>
        <v>4.5782829078441577E-2</v>
      </c>
      <c r="AC87" s="483">
        <f t="shared" si="49"/>
        <v>4.4969780625908971E-2</v>
      </c>
      <c r="AD87" s="483">
        <f t="shared" si="49"/>
        <v>4.4236006720921629E-2</v>
      </c>
      <c r="AE87" s="483">
        <f t="shared" si="49"/>
        <v>4.3514899488960486E-2</v>
      </c>
      <c r="AF87" s="483">
        <f t="shared" si="49"/>
        <v>4.2887120504797205E-2</v>
      </c>
      <c r="AG87" s="483">
        <f t="shared" si="49"/>
        <v>4.2280795194645442E-2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</row>
    <row r="88" spans="12:53" x14ac:dyDescent="0.2">
      <c r="L88" s="338" t="str">
        <f>'Occ T3'!A44</f>
        <v xml:space="preserve"> 82 Transport and mobile machine drivers and operatives</v>
      </c>
      <c r="M88" s="483">
        <f t="shared" ref="M88:AG88" si="50">M42/M$48</f>
        <v>3.2134835001147159E-2</v>
      </c>
      <c r="N88" s="483">
        <f t="shared" si="50"/>
        <v>3.2907913640348056E-2</v>
      </c>
      <c r="O88" s="483">
        <f t="shared" si="50"/>
        <v>3.2781680483689048E-2</v>
      </c>
      <c r="P88" s="483">
        <f t="shared" si="50"/>
        <v>2.9523601934243485E-2</v>
      </c>
      <c r="Q88" s="483">
        <f t="shared" si="50"/>
        <v>3.0355008363332131E-2</v>
      </c>
      <c r="R88" s="483">
        <f t="shared" si="50"/>
        <v>2.8277606363051804E-2</v>
      </c>
      <c r="S88" s="483">
        <f t="shared" si="50"/>
        <v>2.8403400714857537E-2</v>
      </c>
      <c r="T88" s="483">
        <f t="shared" si="50"/>
        <v>3.0989152024367358E-2</v>
      </c>
      <c r="U88" s="483">
        <f t="shared" si="50"/>
        <v>2.9244576939934926E-2</v>
      </c>
      <c r="V88" s="483">
        <f t="shared" si="50"/>
        <v>2.5420947362223136E-2</v>
      </c>
      <c r="W88" s="483">
        <f t="shared" si="50"/>
        <v>2.320191421075259E-2</v>
      </c>
      <c r="X88" s="483">
        <f t="shared" si="50"/>
        <v>2.3208889650921893E-2</v>
      </c>
      <c r="Y88" s="483">
        <f t="shared" si="50"/>
        <v>2.3293209603662338E-2</v>
      </c>
      <c r="Z88" s="483">
        <f t="shared" si="50"/>
        <v>2.341750170265804E-2</v>
      </c>
      <c r="AA88" s="483">
        <f t="shared" si="50"/>
        <v>2.3363128386515813E-2</v>
      </c>
      <c r="AB88" s="483">
        <f t="shared" si="50"/>
        <v>2.3291425212188657E-2</v>
      </c>
      <c r="AC88" s="483">
        <f t="shared" si="50"/>
        <v>2.3324261106117256E-2</v>
      </c>
      <c r="AD88" s="483">
        <f t="shared" si="50"/>
        <v>2.3353575506836297E-2</v>
      </c>
      <c r="AE88" s="483">
        <f t="shared" si="50"/>
        <v>2.3368739020759664E-2</v>
      </c>
      <c r="AF88" s="483">
        <f t="shared" si="50"/>
        <v>2.3369121987384393E-2</v>
      </c>
      <c r="AG88" s="483">
        <f t="shared" si="50"/>
        <v>2.3350517086607965E-2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</row>
    <row r="89" spans="12:53" x14ac:dyDescent="0.2">
      <c r="L89" s="338"/>
      <c r="M89" s="483"/>
      <c r="N89" s="483"/>
      <c r="O89" s="483"/>
      <c r="P89" s="483"/>
      <c r="Q89" s="483"/>
      <c r="R89" s="483"/>
      <c r="S89" s="483"/>
      <c r="T89" s="483"/>
      <c r="U89" s="483"/>
      <c r="V89" s="483"/>
      <c r="W89" s="483"/>
      <c r="X89" s="483"/>
      <c r="Y89" s="483"/>
      <c r="Z89" s="483"/>
      <c r="AA89" s="483"/>
      <c r="AB89" s="483"/>
      <c r="AC89" s="483"/>
      <c r="AD89" s="483"/>
      <c r="AE89" s="483"/>
      <c r="AF89" s="483"/>
      <c r="AG89" s="48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</row>
    <row r="90" spans="12:53" x14ac:dyDescent="0.2">
      <c r="L90" s="20" t="str">
        <f>'Occ T3'!A46</f>
        <v>Elementary occupations</v>
      </c>
      <c r="M90" s="484">
        <f t="shared" ref="M90:AG90" si="51">M44/M$48</f>
        <v>0.13981503002521314</v>
      </c>
      <c r="N90" s="484">
        <f t="shared" si="51"/>
        <v>0.13291594498255796</v>
      </c>
      <c r="O90" s="484">
        <f t="shared" si="51"/>
        <v>0.12849551553231667</v>
      </c>
      <c r="P90" s="484">
        <f t="shared" si="51"/>
        <v>0.12926905007113906</v>
      </c>
      <c r="Q90" s="484">
        <f t="shared" si="51"/>
        <v>0.122498993455809</v>
      </c>
      <c r="R90" s="484">
        <f t="shared" si="51"/>
        <v>0.12123242550880942</v>
      </c>
      <c r="S90" s="484">
        <f t="shared" si="51"/>
        <v>0.11557898519979547</v>
      </c>
      <c r="T90" s="484">
        <f t="shared" si="51"/>
        <v>0.11203011529935251</v>
      </c>
      <c r="U90" s="484">
        <f t="shared" si="51"/>
        <v>0.11337719556101032</v>
      </c>
      <c r="V90" s="484">
        <f t="shared" si="51"/>
        <v>0.11545391542981467</v>
      </c>
      <c r="W90" s="484">
        <f t="shared" si="51"/>
        <v>0.11535306430164201</v>
      </c>
      <c r="X90" s="484">
        <f t="shared" si="51"/>
        <v>0.11536528126814824</v>
      </c>
      <c r="Y90" s="484">
        <f t="shared" si="51"/>
        <v>0.11553162938831738</v>
      </c>
      <c r="Z90" s="484">
        <f t="shared" si="51"/>
        <v>0.11561292632223158</v>
      </c>
      <c r="AA90" s="484">
        <f t="shared" si="51"/>
        <v>0.11488699870273629</v>
      </c>
      <c r="AB90" s="484">
        <f t="shared" si="51"/>
        <v>0.1141516372384892</v>
      </c>
      <c r="AC90" s="484">
        <f t="shared" si="51"/>
        <v>0.11356615289249099</v>
      </c>
      <c r="AD90" s="484">
        <f t="shared" si="51"/>
        <v>0.11305322854738019</v>
      </c>
      <c r="AE90" s="484">
        <f t="shared" si="51"/>
        <v>0.11256214071958465</v>
      </c>
      <c r="AF90" s="484">
        <f t="shared" si="51"/>
        <v>0.11215323241290044</v>
      </c>
      <c r="AG90" s="484">
        <f t="shared" si="51"/>
        <v>0.11192648475898978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</row>
    <row r="91" spans="12:53" x14ac:dyDescent="0.2">
      <c r="L91" s="338" t="str">
        <f>'Occ T3'!A47</f>
        <v xml:space="preserve"> 91 Elementary trades and related occupations</v>
      </c>
      <c r="M91" s="483">
        <f t="shared" ref="M91:AG91" si="52">M45/M$48</f>
        <v>2.2467467677864696E-2</v>
      </c>
      <c r="N91" s="483">
        <f t="shared" si="52"/>
        <v>2.1114601571353211E-2</v>
      </c>
      <c r="O91" s="483">
        <f t="shared" si="52"/>
        <v>2.2068431888993593E-2</v>
      </c>
      <c r="P91" s="483">
        <f t="shared" si="52"/>
        <v>2.0869913878262838E-2</v>
      </c>
      <c r="Q91" s="483">
        <f t="shared" si="52"/>
        <v>2.0676412748525368E-2</v>
      </c>
      <c r="R91" s="483">
        <f t="shared" si="52"/>
        <v>2.0677488049348668E-2</v>
      </c>
      <c r="S91" s="483">
        <f t="shared" si="52"/>
        <v>1.9821154894850236E-2</v>
      </c>
      <c r="T91" s="483">
        <f t="shared" si="52"/>
        <v>2.0657171112838067E-2</v>
      </c>
      <c r="U91" s="483">
        <f t="shared" si="52"/>
        <v>2.1122222849398593E-2</v>
      </c>
      <c r="V91" s="483">
        <f t="shared" si="52"/>
        <v>2.0805963058731405E-2</v>
      </c>
      <c r="W91" s="483">
        <f t="shared" si="52"/>
        <v>1.9613258691927808E-2</v>
      </c>
      <c r="X91" s="483">
        <f t="shared" si="52"/>
        <v>1.9534211719394099E-2</v>
      </c>
      <c r="Y91" s="483">
        <f t="shared" si="52"/>
        <v>1.9468929935595087E-2</v>
      </c>
      <c r="Z91" s="483">
        <f t="shared" si="52"/>
        <v>1.9431837790429524E-2</v>
      </c>
      <c r="AA91" s="483">
        <f t="shared" si="52"/>
        <v>1.9354610804934391E-2</v>
      </c>
      <c r="AB91" s="483">
        <f t="shared" si="52"/>
        <v>1.9285283611019825E-2</v>
      </c>
      <c r="AC91" s="483">
        <f t="shared" si="52"/>
        <v>1.9256339611245541E-2</v>
      </c>
      <c r="AD91" s="483">
        <f t="shared" si="52"/>
        <v>1.9241920497916464E-2</v>
      </c>
      <c r="AE91" s="483">
        <f t="shared" si="52"/>
        <v>1.921306778964732E-2</v>
      </c>
      <c r="AF91" s="483">
        <f t="shared" si="52"/>
        <v>1.9179498924472779E-2</v>
      </c>
      <c r="AG91" s="483">
        <f t="shared" si="52"/>
        <v>1.9154176459887318E-2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</row>
    <row r="92" spans="12:53" x14ac:dyDescent="0.2">
      <c r="L92" s="338" t="str">
        <f>'Occ T3'!A48</f>
        <v xml:space="preserve"> 92 Elementary administration and service occupations</v>
      </c>
      <c r="M92" s="483">
        <f t="shared" ref="M92:AG92" si="53">M46/M$48</f>
        <v>0.11734756234734846</v>
      </c>
      <c r="N92" s="483">
        <f t="shared" si="53"/>
        <v>0.11180134341120475</v>
      </c>
      <c r="O92" s="483">
        <f t="shared" si="53"/>
        <v>0.10642708364332307</v>
      </c>
      <c r="P92" s="483">
        <f t="shared" si="53"/>
        <v>0.10839913619287622</v>
      </c>
      <c r="Q92" s="483">
        <f t="shared" si="53"/>
        <v>0.10182258070728364</v>
      </c>
      <c r="R92" s="483">
        <f t="shared" si="53"/>
        <v>0.10055493745946074</v>
      </c>
      <c r="S92" s="483">
        <f t="shared" si="53"/>
        <v>9.5757830304945224E-2</v>
      </c>
      <c r="T92" s="483">
        <f t="shared" si="53"/>
        <v>9.137294418651444E-2</v>
      </c>
      <c r="U92" s="483">
        <f t="shared" si="53"/>
        <v>9.2254972711611719E-2</v>
      </c>
      <c r="V92" s="483">
        <f t="shared" si="53"/>
        <v>9.4647952371083269E-2</v>
      </c>
      <c r="W92" s="483">
        <f t="shared" si="53"/>
        <v>9.5739805609714207E-2</v>
      </c>
      <c r="X92" s="483">
        <f t="shared" si="53"/>
        <v>9.583106954875413E-2</v>
      </c>
      <c r="Y92" s="483">
        <f t="shared" si="53"/>
        <v>9.6062699452722292E-2</v>
      </c>
      <c r="Z92" s="483">
        <f t="shared" si="53"/>
        <v>9.6181088531802059E-2</v>
      </c>
      <c r="AA92" s="483">
        <f t="shared" si="53"/>
        <v>9.5532387897801899E-2</v>
      </c>
      <c r="AB92" s="483">
        <f t="shared" si="53"/>
        <v>9.4866353627469396E-2</v>
      </c>
      <c r="AC92" s="483">
        <f t="shared" si="53"/>
        <v>9.430981328124545E-2</v>
      </c>
      <c r="AD92" s="483">
        <f t="shared" si="53"/>
        <v>9.3811308049463735E-2</v>
      </c>
      <c r="AE92" s="483">
        <f t="shared" si="53"/>
        <v>9.3349072929937327E-2</v>
      </c>
      <c r="AF92" s="483">
        <f t="shared" si="53"/>
        <v>9.2973733488427662E-2</v>
      </c>
      <c r="AG92" s="483">
        <f t="shared" si="53"/>
        <v>9.2772308299102449E-2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</row>
    <row r="93" spans="12:53" x14ac:dyDescent="0.2">
      <c r="L93" s="338"/>
      <c r="M93" s="483"/>
      <c r="N93" s="483"/>
      <c r="O93" s="483"/>
      <c r="P93" s="483"/>
      <c r="Q93" s="483"/>
      <c r="R93" s="483"/>
      <c r="S93" s="483"/>
      <c r="T93" s="483"/>
      <c r="U93" s="483"/>
      <c r="V93" s="483"/>
      <c r="W93" s="483"/>
      <c r="X93" s="483"/>
      <c r="Y93" s="483"/>
      <c r="Z93" s="483"/>
      <c r="AA93" s="483"/>
      <c r="AB93" s="483"/>
      <c r="AC93" s="483"/>
      <c r="AD93" s="483"/>
      <c r="AE93" s="483"/>
      <c r="AF93" s="483"/>
      <c r="AG93" s="48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</row>
    <row r="94" spans="12:53" x14ac:dyDescent="0.2">
      <c r="L94" s="20" t="str">
        <f>'Occ T3'!A50</f>
        <v>All occupations</v>
      </c>
      <c r="M94" s="484">
        <f t="shared" ref="M94:AG94" si="54">M48/M$48</f>
        <v>1</v>
      </c>
      <c r="N94" s="484">
        <f t="shared" si="54"/>
        <v>1</v>
      </c>
      <c r="O94" s="484">
        <f t="shared" si="54"/>
        <v>1</v>
      </c>
      <c r="P94" s="484">
        <f t="shared" si="54"/>
        <v>1</v>
      </c>
      <c r="Q94" s="484">
        <f t="shared" si="54"/>
        <v>1</v>
      </c>
      <c r="R94" s="484">
        <f t="shared" si="54"/>
        <v>1</v>
      </c>
      <c r="S94" s="484">
        <f t="shared" si="54"/>
        <v>1</v>
      </c>
      <c r="T94" s="484">
        <f t="shared" si="54"/>
        <v>1</v>
      </c>
      <c r="U94" s="484">
        <f t="shared" si="54"/>
        <v>1</v>
      </c>
      <c r="V94" s="484">
        <f t="shared" si="54"/>
        <v>1</v>
      </c>
      <c r="W94" s="484">
        <f t="shared" si="54"/>
        <v>1</v>
      </c>
      <c r="X94" s="484">
        <f t="shared" si="54"/>
        <v>1</v>
      </c>
      <c r="Y94" s="484">
        <f t="shared" si="54"/>
        <v>1</v>
      </c>
      <c r="Z94" s="484">
        <f t="shared" si="54"/>
        <v>1</v>
      </c>
      <c r="AA94" s="484">
        <f t="shared" si="54"/>
        <v>1</v>
      </c>
      <c r="AB94" s="484">
        <f t="shared" si="54"/>
        <v>1</v>
      </c>
      <c r="AC94" s="484">
        <f t="shared" si="54"/>
        <v>1</v>
      </c>
      <c r="AD94" s="484">
        <f t="shared" si="54"/>
        <v>1</v>
      </c>
      <c r="AE94" s="484">
        <f t="shared" si="54"/>
        <v>1</v>
      </c>
      <c r="AF94" s="484">
        <f t="shared" si="54"/>
        <v>1</v>
      </c>
      <c r="AG94" s="484">
        <f t="shared" si="54"/>
        <v>1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</row>
    <row r="95" spans="12:53" x14ac:dyDescent="0.2">
      <c r="L95" s="60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</row>
    <row r="96" spans="12:53" x14ac:dyDescent="0.2">
      <c r="L96" s="60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</row>
    <row r="97" spans="1:53" x14ac:dyDescent="0.2">
      <c r="L97" s="60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</row>
    <row r="98" spans="1:53" x14ac:dyDescent="0.2">
      <c r="L98" s="60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</row>
    <row r="99" spans="1:53" x14ac:dyDescent="0.2">
      <c r="L99" s="60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</row>
    <row r="100" spans="1:53" x14ac:dyDescent="0.2">
      <c r="L100" s="60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</row>
    <row r="101" spans="1:53" x14ac:dyDescent="0.2">
      <c r="L101" s="60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</row>
    <row r="102" spans="1:53" x14ac:dyDescent="0.2">
      <c r="L102" s="60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</row>
    <row r="103" spans="1:53" x14ac:dyDescent="0.2">
      <c r="L103" s="60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</row>
    <row r="104" spans="1:53" x14ac:dyDescent="0.2">
      <c r="L104" s="60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</row>
    <row r="105" spans="1:53" x14ac:dyDescent="0.2">
      <c r="L105" s="60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</row>
    <row r="106" spans="1:53" x14ac:dyDescent="0.2">
      <c r="L106" s="60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</row>
    <row r="107" spans="1:53" x14ac:dyDescent="0.2">
      <c r="L107" s="60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</row>
    <row r="108" spans="1:53" x14ac:dyDescent="0.2">
      <c r="L108" s="60"/>
      <c r="M108" s="13"/>
      <c r="N108" s="13"/>
      <c r="O108" s="13"/>
      <c r="P108" s="13"/>
    </row>
    <row r="109" spans="1:53" x14ac:dyDescent="0.2">
      <c r="L109" s="60"/>
      <c r="M109" s="13"/>
      <c r="N109" s="13"/>
      <c r="O109" s="13"/>
      <c r="P109" s="13"/>
    </row>
    <row r="110" spans="1:53" x14ac:dyDescent="0.2">
      <c r="L110" s="60"/>
      <c r="M110" s="13"/>
      <c r="N110" s="13"/>
      <c r="O110" s="13"/>
      <c r="P110" s="13"/>
    </row>
    <row r="111" spans="1:53" s="286" customFormat="1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60"/>
      <c r="M111" s="13"/>
      <c r="N111" s="13"/>
      <c r="O111" s="13"/>
      <c r="P111" s="13"/>
    </row>
    <row r="112" spans="1:53" s="286" customFormat="1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60"/>
      <c r="M112" s="13"/>
      <c r="N112" s="13"/>
      <c r="O112" s="13"/>
      <c r="P112" s="13"/>
    </row>
    <row r="113" spans="1:16" x14ac:dyDescent="0.2">
      <c r="L113" s="60"/>
      <c r="M113" s="13"/>
      <c r="N113" s="13"/>
      <c r="O113" s="13"/>
      <c r="P113" s="13"/>
    </row>
    <row r="114" spans="1:16" x14ac:dyDescent="0.2">
      <c r="L114" s="60"/>
      <c r="M114" s="13"/>
      <c r="N114" s="13"/>
      <c r="O114" s="13"/>
      <c r="P114" s="13"/>
    </row>
    <row r="115" spans="1:16" x14ac:dyDescent="0.2">
      <c r="L115" s="60"/>
    </row>
    <row r="116" spans="1:16" ht="15.75" x14ac:dyDescent="0.25">
      <c r="A116" s="103" t="str">
        <f>CONCATENATE("Occupation Figure 2.2  Employment by Occupation, ",$M$2,"-",$O$2)</f>
        <v>Occupation Figure 2.2  Employment by Occupation, 2007-2027</v>
      </c>
    </row>
    <row r="143" spans="12:63" s="104" customFormat="1" x14ac:dyDescent="0.2"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</row>
    <row r="162" spans="1:1" ht="15.75" x14ac:dyDescent="0.25">
      <c r="A162" s="103" t="str">
        <f>CONCATENATE("Occupation Figure 2.3  Change in Employment in ",$L$5,", ",$M$2,"-",$O$2)</f>
        <v>Occupation Figure 2.3  Change in Employment in Managers, directors and senior officials, 2007-2027</v>
      </c>
    </row>
    <row r="178" spans="12:63" s="104" customFormat="1" x14ac:dyDescent="0.2"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</row>
    <row r="197" spans="1:1" ht="15.75" x14ac:dyDescent="0.25">
      <c r="A197" s="103" t="str">
        <f>CONCATENATE("Occupation Figure 2.4  Change in Employment in ",$L$9,", ",$M$2,"-",$O$2)</f>
        <v>Occupation Figure 2.4  Change in Employment in Professional occupations, 2007-2027</v>
      </c>
    </row>
    <row r="213" spans="12:63" s="104" customFormat="1" x14ac:dyDescent="0.2"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</row>
    <row r="232" spans="1:1" ht="15.75" x14ac:dyDescent="0.25">
      <c r="A232" s="103" t="str">
        <f>CONCATENATE("Occupation Figure 2.5  Change in Employment in ",$L$15,", ",$M$2,"-",$O$2)</f>
        <v>Occupation Figure 2.5  Change in Employment in Associate professional and technical, 2007-2027</v>
      </c>
    </row>
    <row r="248" spans="12:63" s="104" customFormat="1" x14ac:dyDescent="0.2"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</row>
    <row r="267" spans="1:1" ht="15.75" x14ac:dyDescent="0.25">
      <c r="A267" s="103" t="str">
        <f>CONCATENATE("Occupation Figure 2.6  Change in Employment in ",$L$22,", ",$M$2,"-",$O$2)</f>
        <v>Occupation Figure 2.6  Change in Employment in Administrative and secretarial, 2007-2027</v>
      </c>
    </row>
    <row r="283" spans="12:63" s="104" customFormat="1" x14ac:dyDescent="0.2"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  <c r="AA283" s="220"/>
      <c r="AB283" s="220"/>
      <c r="AC283" s="220"/>
      <c r="AD283" s="220"/>
      <c r="AE283" s="220"/>
      <c r="AF283" s="220"/>
      <c r="AG283" s="220"/>
      <c r="AH283" s="220"/>
      <c r="AI283" s="220"/>
      <c r="AJ283" s="220"/>
      <c r="AK283" s="220"/>
      <c r="AL283" s="220"/>
      <c r="AM283" s="220"/>
      <c r="AN283" s="220"/>
      <c r="AO283" s="220"/>
      <c r="AP283" s="220"/>
      <c r="AQ283" s="220"/>
      <c r="AR283" s="220"/>
      <c r="AS283" s="220"/>
      <c r="AT283" s="220"/>
      <c r="AU283" s="220"/>
      <c r="AV283" s="220"/>
      <c r="AW283" s="220"/>
      <c r="AX283" s="220"/>
      <c r="AY283" s="220"/>
      <c r="AZ283" s="220"/>
      <c r="BA283" s="220"/>
      <c r="BB283" s="220"/>
      <c r="BC283" s="220"/>
      <c r="BD283" s="220"/>
      <c r="BE283" s="220"/>
      <c r="BF283" s="220"/>
      <c r="BG283" s="220"/>
      <c r="BH283" s="220"/>
      <c r="BI283" s="220"/>
      <c r="BJ283" s="220"/>
      <c r="BK283" s="220"/>
    </row>
    <row r="302" spans="1:1" ht="15.75" x14ac:dyDescent="0.25">
      <c r="A302" s="103" t="str">
        <f>CONCATENATE("Occupation Figure 2.7  Change in Employment in ",$L$26,", ",$M$2,"- ",$O$2)</f>
        <v>Occupation Figure 2.7  Change in Employment in Skilled trades occupations, 2007- 2027</v>
      </c>
    </row>
    <row r="318" spans="12:63" s="104" customFormat="1" x14ac:dyDescent="0.2"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</row>
    <row r="337" spans="1:1" ht="15.75" x14ac:dyDescent="0.25">
      <c r="A337" s="103" t="str">
        <f>CONCATENATE("Occupation Figure 2.8  Change in Employment in ",$L$32,", ",$M$2,"-",$O$2)</f>
        <v>Occupation Figure 2.8  Change in Employment in Caring, leisure and other service, 2007-2027</v>
      </c>
    </row>
    <row r="353" spans="12:63" s="104" customFormat="1" x14ac:dyDescent="0.2"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  <c r="AP353" s="220"/>
      <c r="AQ353" s="220"/>
      <c r="AR353" s="220"/>
      <c r="AS353" s="220"/>
      <c r="AT353" s="220"/>
      <c r="AU353" s="220"/>
      <c r="AV353" s="220"/>
      <c r="AW353" s="220"/>
      <c r="AX353" s="220"/>
      <c r="AY353" s="220"/>
      <c r="AZ353" s="220"/>
      <c r="BA353" s="220"/>
      <c r="BB353" s="220"/>
      <c r="BC353" s="220"/>
      <c r="BD353" s="220"/>
      <c r="BE353" s="220"/>
      <c r="BF353" s="220"/>
      <c r="BG353" s="220"/>
      <c r="BH353" s="220"/>
      <c r="BI353" s="220"/>
      <c r="BJ353" s="220"/>
      <c r="BK353" s="220"/>
    </row>
    <row r="372" spans="1:1" ht="15.75" x14ac:dyDescent="0.25">
      <c r="A372" s="103" t="str">
        <f>CONCATENATE("Occupation Figure 2.9  Change in Employment in ",$L$36,", ",$M$2,"-",$O$2)</f>
        <v>Occupation Figure 2.9  Change in Employment in Sales and customer service, 2007-2027</v>
      </c>
    </row>
    <row r="388" spans="12:63" s="104" customFormat="1" x14ac:dyDescent="0.2"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</row>
    <row r="407" spans="1:1" ht="15.75" x14ac:dyDescent="0.25">
      <c r="A407" s="103" t="str">
        <f>CONCATENATE("Occupation Figure 2.10  Change in Employment in ",$L$40,", ",$M$2,"-",$O$2)</f>
        <v>Occupation Figure 2.10  Change in Employment in Process, plant and machine operatives, 2007-2027</v>
      </c>
    </row>
    <row r="442" spans="1:1" ht="15.75" x14ac:dyDescent="0.25">
      <c r="A442" s="103" t="str">
        <f>CONCATENATE("Occupation Figure 2.11  Change in Employment in ",$L$44,", ",$M$2,"-",$O$2)</f>
        <v>Occupation Figure 2.11  Change in Employment in Elementary occupations, 2007-2027</v>
      </c>
    </row>
    <row r="477" spans="1:12" ht="15.75" x14ac:dyDescent="0.25">
      <c r="A477" s="103" t="str">
        <f>CONCATENATE("Occupation Figure 2.12  Employment Level by Occupation (SOC 2010), ",'Occ T1'!D6," and ",'Occ T1'!F6," (000s)")</f>
        <v>Occupation Figure 2.12  Employment Level by Occupation (SOC 2010), 2017 and 2027 (000s)</v>
      </c>
      <c r="L477" s="56" t="s">
        <v>469</v>
      </c>
    </row>
    <row r="478" spans="1:12" x14ac:dyDescent="0.2">
      <c r="L478" s="34" t="s">
        <v>470</v>
      </c>
    </row>
    <row r="505" spans="1:12" ht="15.75" x14ac:dyDescent="0.25">
      <c r="A505" s="103" t="str">
        <f>CONCATENATE("Occupation Figure 2.13  Employment Share by Occupation (SOC 2010), ",'Occ T1'!B24,", ",'Occ T1'!D24," and ",'Occ T1'!F24," (%)")</f>
        <v>Occupation Figure 2.13  Employment Share by Occupation (SOC 2010), 2007, 2017 and 2027 (%)</v>
      </c>
      <c r="L505" s="56" t="s">
        <v>471</v>
      </c>
    </row>
    <row r="506" spans="1:12" x14ac:dyDescent="0.2">
      <c r="L506" s="34" t="s">
        <v>470</v>
      </c>
    </row>
  </sheetData>
  <conditionalFormatting sqref="L4:AP4">
    <cfRule type="cellIs" dxfId="6" priority="2" stopIfTrue="1" operator="equal">
      <formula>0</formula>
    </cfRule>
  </conditionalFormatting>
  <conditionalFormatting sqref="L50:AG50">
    <cfRule type="cellIs" dxfId="5" priority="1" stopIfTrue="1" operator="equal">
      <formula>0</formula>
    </cfRule>
  </conditionalFormatting>
  <pageMargins left="0.19685039370078741" right="0.19685039370078741" top="0.78740157480314965" bottom="0.78740157480314965" header="0.51181102362204722" footer="0.51181102362204722"/>
  <pageSetup paperSize="9" scale="80" orientation="portrait" r:id="rId1"/>
  <headerFooter alignWithMargins="0"/>
  <rowBreaks count="8" manualBreakCount="8">
    <brk id="57" max="9" man="1"/>
    <brk id="115" max="9" man="1"/>
    <brk id="161" max="9" man="1"/>
    <brk id="231" max="9" man="1"/>
    <brk id="301" max="9" man="1"/>
    <brk id="371" max="9" man="1"/>
    <brk id="441" max="9" man="1"/>
    <brk id="476" max="9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C32"/>
  <sheetViews>
    <sheetView showGridLines="0" zoomScale="75" zoomScaleNormal="75" workbookViewId="0"/>
  </sheetViews>
  <sheetFormatPr defaultRowHeight="12.75" x14ac:dyDescent="0.2"/>
  <cols>
    <col min="18" max="18" width="9" customWidth="1"/>
    <col min="19" max="22" width="16" customWidth="1"/>
    <col min="23" max="23" width="42.42578125" customWidth="1"/>
    <col min="24" max="29" width="11.42578125" customWidth="1"/>
  </cols>
  <sheetData>
    <row r="1" spans="1:29" ht="15.75" x14ac:dyDescent="0.25">
      <c r="A1" s="103" t="str">
        <f>CONCATENATE("Occupation Figure 3  Changes in Occupational Employment Structure (000s) (SOC 2010), ",$W$1,"-",$X$1)</f>
        <v>Occupation Figure 3  Changes in Occupational Employment Structure (000s) (SOC 2010), 2007-2027</v>
      </c>
      <c r="W1" t="str">
        <f>LEFT(X3,4)</f>
        <v>2007</v>
      </c>
      <c r="X1" t="str">
        <f>RIGHT(AC3,4)</f>
        <v>2027</v>
      </c>
    </row>
    <row r="2" spans="1:29" x14ac:dyDescent="0.2">
      <c r="A2" s="286"/>
      <c r="X2" t="s">
        <v>473</v>
      </c>
    </row>
    <row r="3" spans="1:29" x14ac:dyDescent="0.2">
      <c r="W3" s="1" t="s">
        <v>0</v>
      </c>
      <c r="X3" s="12" t="str">
        <f>'Occ T1'!B6&amp;"-"&amp;'Occ T1'!C6</f>
        <v>2007-2012</v>
      </c>
      <c r="Y3" s="12" t="str">
        <f>'Occ T1'!C6&amp;"-"&amp;'Occ T1'!D6</f>
        <v>2012-2017</v>
      </c>
      <c r="Z3" s="12" t="str">
        <f>'Occ T1'!D6&amp;"-"&amp;'Occ T1'!E6</f>
        <v>2017-2022</v>
      </c>
      <c r="AA3" s="12" t="str">
        <f>'Occ T1'!E6&amp;"-"&amp;'Occ T1'!F6</f>
        <v>2022-2027</v>
      </c>
      <c r="AB3" s="12" t="str">
        <f>'Occ T1'!B6&amp;"-"&amp;'Occ T1'!D6</f>
        <v>2007-2017</v>
      </c>
      <c r="AC3" s="12" t="str">
        <f>'Occ T1'!D6&amp;"-"&amp;'Occ T1'!F6</f>
        <v>2017-2027</v>
      </c>
    </row>
    <row r="4" spans="1:29" x14ac:dyDescent="0.2">
      <c r="W4" s="12" t="str">
        <f>name!E4</f>
        <v>Managers, directors and senior officials</v>
      </c>
      <c r="X4" s="13">
        <f>'Occ T1'!C8-'Occ T1'!B8</f>
        <v>5.7024182374732675</v>
      </c>
      <c r="Y4" s="13">
        <f>'Occ T1'!D8-'Occ T1'!C8</f>
        <v>19.321311541718472</v>
      </c>
      <c r="Z4" s="13">
        <f>'Occ T1'!E8-'Occ T1'!D8</f>
        <v>8.110688536849608</v>
      </c>
      <c r="AA4" s="13">
        <f>'Occ T1'!F8-'Occ T1'!E8</f>
        <v>7.2181464563306008</v>
      </c>
      <c r="AB4" s="13">
        <f>'Occ T1'!D8-'Occ T1'!B8</f>
        <v>25.02372977919174</v>
      </c>
      <c r="AC4" s="13">
        <f>'Occ T1'!F8-'Occ T1'!D8</f>
        <v>15.328834993180209</v>
      </c>
    </row>
    <row r="5" spans="1:29" x14ac:dyDescent="0.2">
      <c r="W5" s="12" t="str">
        <f>name!E5</f>
        <v>Professional occupations</v>
      </c>
      <c r="X5" s="13">
        <f>'Occ T1'!C9-'Occ T1'!B9</f>
        <v>17.036164616110028</v>
      </c>
      <c r="Y5" s="13">
        <f>'Occ T1'!D9-'Occ T1'!C9</f>
        <v>48.814626588892565</v>
      </c>
      <c r="Z5" s="13">
        <f>'Occ T1'!E9-'Occ T1'!D9</f>
        <v>17.428426027184969</v>
      </c>
      <c r="AA5" s="13">
        <f>'Occ T1'!F9-'Occ T1'!E9</f>
        <v>20.404377636045524</v>
      </c>
      <c r="AB5" s="13">
        <f>'Occ T1'!D9-'Occ T1'!B9</f>
        <v>65.850791205002594</v>
      </c>
      <c r="AC5" s="13">
        <f>'Occ T1'!F9-'Occ T1'!D9</f>
        <v>37.832803663230493</v>
      </c>
    </row>
    <row r="6" spans="1:29" x14ac:dyDescent="0.2">
      <c r="W6" s="12" t="str">
        <f>name!E6</f>
        <v>Associate professional and technical</v>
      </c>
      <c r="X6" s="13">
        <f>'Occ T1'!C10-'Occ T1'!B10</f>
        <v>-0.12732670417048553</v>
      </c>
      <c r="Y6" s="13">
        <f>'Occ T1'!D10-'Occ T1'!C10</f>
        <v>26.646651888700802</v>
      </c>
      <c r="Z6" s="13">
        <f>'Occ T1'!E10-'Occ T1'!D10</f>
        <v>9.4401244551384593</v>
      </c>
      <c r="AA6" s="13">
        <f>'Occ T1'!F10-'Occ T1'!E10</f>
        <v>7.4971679103977635</v>
      </c>
      <c r="AB6" s="13">
        <f>'Occ T1'!D10-'Occ T1'!B10</f>
        <v>26.519325184530317</v>
      </c>
      <c r="AC6" s="13">
        <f>'Occ T1'!F10-'Occ T1'!D10</f>
        <v>16.937292365536223</v>
      </c>
    </row>
    <row r="7" spans="1:29" x14ac:dyDescent="0.2">
      <c r="W7" s="12" t="str">
        <f>name!E7</f>
        <v>Administrative and secretarial</v>
      </c>
      <c r="X7" s="13">
        <f>'Occ T1'!C11-'Occ T1'!B11</f>
        <v>-13.260288720514666</v>
      </c>
      <c r="Y7" s="13">
        <f>'Occ T1'!D11-'Occ T1'!C11</f>
        <v>6.0720589516895132</v>
      </c>
      <c r="Z7" s="13">
        <f>'Occ T1'!E11-'Occ T1'!D11</f>
        <v>-11.712749104541189</v>
      </c>
      <c r="AA7" s="13">
        <f>'Occ T1'!F11-'Occ T1'!E11</f>
        <v>-10.187449762970942</v>
      </c>
      <c r="AB7" s="13">
        <f>'Occ T1'!D11-'Occ T1'!B11</f>
        <v>-7.1882297688251526</v>
      </c>
      <c r="AC7" s="13">
        <f>'Occ T1'!F11-'Occ T1'!D11</f>
        <v>-21.900198867512131</v>
      </c>
    </row>
    <row r="8" spans="1:29" x14ac:dyDescent="0.2">
      <c r="W8" s="12" t="str">
        <f>name!E8</f>
        <v>Skilled trades occupations</v>
      </c>
      <c r="X8" s="13">
        <f>'Occ T1'!C12-'Occ T1'!B12</f>
        <v>-18.987987872710562</v>
      </c>
      <c r="Y8" s="13">
        <f>'Occ T1'!D12-'Occ T1'!C12</f>
        <v>31.030321675035708</v>
      </c>
      <c r="Z8" s="13">
        <f>'Occ T1'!E12-'Occ T1'!D12</f>
        <v>-6.9462388948938667</v>
      </c>
      <c r="AA8" s="13">
        <f>'Occ T1'!F12-'Occ T1'!E12</f>
        <v>-7.3283933086638058</v>
      </c>
      <c r="AB8" s="13">
        <f>'Occ T1'!D12-'Occ T1'!B12</f>
        <v>12.042333802325146</v>
      </c>
      <c r="AC8" s="13">
        <f>'Occ T1'!F12-'Occ T1'!D12</f>
        <v>-14.274632203557672</v>
      </c>
    </row>
    <row r="9" spans="1:29" x14ac:dyDescent="0.2">
      <c r="W9" s="12" t="str">
        <f>name!E9</f>
        <v>Caring, leisure and other service</v>
      </c>
      <c r="X9" s="13">
        <f>'Occ T1'!C13-'Occ T1'!B13</f>
        <v>10.869362383332444</v>
      </c>
      <c r="Y9" s="13">
        <f>'Occ T1'!D13-'Occ T1'!C13</f>
        <v>31.097678258588303</v>
      </c>
      <c r="Z9" s="13">
        <f>'Occ T1'!E13-'Occ T1'!D13</f>
        <v>9.2109294976647789</v>
      </c>
      <c r="AA9" s="13">
        <f>'Occ T1'!F13-'Occ T1'!E13</f>
        <v>11.468153499501483</v>
      </c>
      <c r="AB9" s="13">
        <f>'Occ T1'!D13-'Occ T1'!B13</f>
        <v>41.967040641920747</v>
      </c>
      <c r="AC9" s="13">
        <f>'Occ T1'!F13-'Occ T1'!D13</f>
        <v>20.679082997166262</v>
      </c>
    </row>
    <row r="10" spans="1:29" x14ac:dyDescent="0.2">
      <c r="W10" s="12" t="str">
        <f>name!E10</f>
        <v>Sales and customer service</v>
      </c>
      <c r="X10" s="13">
        <f>'Occ T1'!C14-'Occ T1'!B14</f>
        <v>-5.5830176586419213</v>
      </c>
      <c r="Y10" s="13">
        <f>'Occ T1'!D14-'Occ T1'!C14</f>
        <v>-0.1503804364091792</v>
      </c>
      <c r="Z10" s="13">
        <f>'Occ T1'!E14-'Occ T1'!D14</f>
        <v>-2.0357519425971446</v>
      </c>
      <c r="AA10" s="13">
        <f>'Occ T1'!F14-'Occ T1'!E14</f>
        <v>-1.4850893510019318</v>
      </c>
      <c r="AB10" s="13">
        <f>'Occ T1'!D14-'Occ T1'!B14</f>
        <v>-5.7333980950511005</v>
      </c>
      <c r="AC10" s="13">
        <f>'Occ T1'!F14-'Occ T1'!D14</f>
        <v>-3.5208412935990765</v>
      </c>
    </row>
    <row r="11" spans="1:29" x14ac:dyDescent="0.2">
      <c r="W11" s="12" t="str">
        <f>name!E11</f>
        <v>Process, plant and machine operatives</v>
      </c>
      <c r="X11" s="13">
        <f>'Occ T1'!C15-'Occ T1'!B15</f>
        <v>-14.362404357201342</v>
      </c>
      <c r="Y11" s="13">
        <f>'Occ T1'!D15-'Occ T1'!C15</f>
        <v>-2.793928629364359</v>
      </c>
      <c r="Z11" s="13">
        <f>'Occ T1'!E15-'Occ T1'!D15</f>
        <v>-7.0171176181444821</v>
      </c>
      <c r="AA11" s="13">
        <f>'Occ T1'!F15-'Occ T1'!E15</f>
        <v>-3.8217382580104413</v>
      </c>
      <c r="AB11" s="13">
        <f>'Occ T1'!D15-'Occ T1'!B15</f>
        <v>-17.156332986565701</v>
      </c>
      <c r="AC11" s="13">
        <f>'Occ T1'!F15-'Occ T1'!D15</f>
        <v>-10.838855876154923</v>
      </c>
    </row>
    <row r="12" spans="1:29" x14ac:dyDescent="0.2">
      <c r="W12" s="12" t="str">
        <f>name!E12</f>
        <v>Elementary occupations</v>
      </c>
      <c r="X12" s="13">
        <f>'Occ T1'!C16-'Occ T1'!B16</f>
        <v>-32.375919924635809</v>
      </c>
      <c r="Y12" s="13">
        <f>'Occ T1'!D16-'Occ T1'!C16</f>
        <v>11.843660161006653</v>
      </c>
      <c r="Z12" s="13">
        <f>'Occ T1'!E16-'Occ T1'!D16</f>
        <v>4.8689044661870184E-2</v>
      </c>
      <c r="AA12" s="13">
        <f>'Occ T1'!F16-'Occ T1'!E16</f>
        <v>-0.8791748219098281</v>
      </c>
      <c r="AB12" s="13">
        <f>'Occ T1'!D16-'Occ T1'!B16</f>
        <v>-20.532259763629156</v>
      </c>
      <c r="AC12" s="13">
        <f>'Occ T1'!F16-'Occ T1'!D16</f>
        <v>-0.83048577724795791</v>
      </c>
    </row>
    <row r="14" spans="1:29" x14ac:dyDescent="0.2">
      <c r="W14" s="12" t="str">
        <f>name!E3</f>
        <v>All occupations</v>
      </c>
      <c r="X14" s="13">
        <f>'Occ T1'!C18-'Occ T1'!B18</f>
        <v>-51.089000000959231</v>
      </c>
      <c r="Y14" s="13">
        <f>'Occ T1'!D18-'Occ T1'!C18</f>
        <v>171.88199999985841</v>
      </c>
      <c r="Z14" s="13">
        <f>'Occ T1'!E18-'Occ T1'!D18</f>
        <v>16.527000001322904</v>
      </c>
      <c r="AA14" s="13">
        <f>'Occ T1'!F18-'Occ T1'!E18</f>
        <v>22.885999999718479</v>
      </c>
      <c r="AB14" s="13">
        <f>'Occ T1'!D18-'Occ T1'!B18</f>
        <v>120.79299999889918</v>
      </c>
      <c r="AC14" s="13">
        <f>'Occ T1'!F18-'Occ T1'!D18</f>
        <v>39.413000001041382</v>
      </c>
    </row>
    <row r="17" spans="4:26" x14ac:dyDescent="0.2">
      <c r="W17" s="286"/>
      <c r="X17" s="286"/>
      <c r="Y17" s="106" t="s">
        <v>489</v>
      </c>
      <c r="Z17" s="106" t="s">
        <v>490</v>
      </c>
    </row>
    <row r="18" spans="4:26" x14ac:dyDescent="0.2">
      <c r="W18" s="106" t="s">
        <v>491</v>
      </c>
      <c r="X18" s="286">
        <f>CEILING(MAX(X4:AA12),IF(MAX(X4:AA12)&lt;100,10,IF(MAX(X4:AA12)&lt;1000,100,1000)))</f>
        <v>50</v>
      </c>
      <c r="Y18" s="286">
        <f>MAX(X18,(X19*-1))</f>
        <v>50</v>
      </c>
      <c r="Z18" s="286">
        <f>IF(Y18&gt;1000,1000,IF(Y18&gt;100,100,10))</f>
        <v>10</v>
      </c>
    </row>
    <row r="19" spans="4:26" x14ac:dyDescent="0.2">
      <c r="W19" s="106" t="s">
        <v>492</v>
      </c>
      <c r="X19" s="286">
        <f>FLOOR(MIN(X4:AA12),IF(MIN(X4:AA12)&gt;-100,10,IF(MIN(X4:AA12)&gt;-1000,100,1000)))</f>
        <v>-40</v>
      </c>
      <c r="Y19" s="286">
        <f>Y18*-1</f>
        <v>-50</v>
      </c>
      <c r="Z19" s="286"/>
    </row>
    <row r="32" spans="4:26" x14ac:dyDescent="0.2"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</sheetData>
  <pageMargins left="0.7" right="0.7" top="0.75" bottom="0.75" header="0.3" footer="0.3"/>
  <pageSetup paperSize="9" scale="74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P13"/>
  <sheetViews>
    <sheetView showGridLines="0" zoomScale="75" zoomScaleNormal="75" workbookViewId="0"/>
  </sheetViews>
  <sheetFormatPr defaultRowHeight="12.75" x14ac:dyDescent="0.2"/>
  <cols>
    <col min="13" max="13" width="36" customWidth="1"/>
  </cols>
  <sheetData>
    <row r="1" spans="1:16" ht="15.75" x14ac:dyDescent="0.25">
      <c r="A1" s="103" t="str">
        <f>CONCATENATE("Occupation Figure 4  Occupational Change by Gender (000s) (SOC 2010), ",N1)</f>
        <v>Occupation Figure 4  Occupational Change by Gender (000s) (SOC 2010), 2017-2027</v>
      </c>
      <c r="M1" s="106" t="s">
        <v>18</v>
      </c>
      <c r="N1" t="str">
        <f>'Occ T1'!F62</f>
        <v>2017-2027</v>
      </c>
    </row>
    <row r="2" spans="1:16" x14ac:dyDescent="0.2">
      <c r="M2" s="1" t="s">
        <v>0</v>
      </c>
      <c r="N2" s="106" t="s">
        <v>32</v>
      </c>
      <c r="O2" s="106" t="s">
        <v>99</v>
      </c>
      <c r="P2" s="106" t="s">
        <v>98</v>
      </c>
    </row>
    <row r="3" spans="1:16" x14ac:dyDescent="0.2">
      <c r="M3" s="12" t="str">
        <f>name!E4</f>
        <v>Managers, directors and senior officials</v>
      </c>
      <c r="N3" s="13">
        <f>'Occ T1'!F64</f>
        <v>15.328834993180209</v>
      </c>
      <c r="O3" s="13">
        <f>'Occ T1'!AB64</f>
        <v>10.29370605489104</v>
      </c>
      <c r="P3" s="13">
        <f>'Occ T1'!Q64</f>
        <v>5.0351289382896169</v>
      </c>
    </row>
    <row r="4" spans="1:16" x14ac:dyDescent="0.2">
      <c r="M4" s="12" t="str">
        <f>name!E5</f>
        <v>Professional occupations</v>
      </c>
      <c r="N4" s="13">
        <f>'Occ T1'!F65</f>
        <v>37.832803663230493</v>
      </c>
      <c r="O4" s="13">
        <f>'Occ T1'!AB65</f>
        <v>32.188286680994423</v>
      </c>
      <c r="P4" s="13">
        <f>'Occ T1'!Q65</f>
        <v>5.6445169822361407</v>
      </c>
    </row>
    <row r="5" spans="1:16" x14ac:dyDescent="0.2">
      <c r="M5" s="12" t="str">
        <f>name!E6</f>
        <v>Associate professional and technical</v>
      </c>
      <c r="N5" s="13">
        <f>'Occ T1'!F66</f>
        <v>16.937292365536223</v>
      </c>
      <c r="O5" s="13">
        <f>'Occ T1'!AB66</f>
        <v>15.796285266945816</v>
      </c>
      <c r="P5" s="13">
        <f>'Occ T1'!Q66</f>
        <v>1.1410070985902223</v>
      </c>
    </row>
    <row r="6" spans="1:16" x14ac:dyDescent="0.2">
      <c r="M6" s="12" t="str">
        <f>name!E7</f>
        <v>Administrative and secretarial</v>
      </c>
      <c r="N6" s="13">
        <f>'Occ T1'!F67</f>
        <v>-21.900198867512131</v>
      </c>
      <c r="O6" s="13">
        <f>'Occ T1'!AB67</f>
        <v>-23.277556935536296</v>
      </c>
      <c r="P6" s="13">
        <f>'Occ T1'!Q67</f>
        <v>1.3773580680241224</v>
      </c>
    </row>
    <row r="7" spans="1:16" x14ac:dyDescent="0.2">
      <c r="M7" s="12" t="str">
        <f>name!E8</f>
        <v>Skilled trades occupations</v>
      </c>
      <c r="N7" s="13">
        <f>'Occ T1'!F68</f>
        <v>-14.274632203557672</v>
      </c>
      <c r="O7" s="13">
        <f>'Occ T1'!AB68</f>
        <v>-0.20638907663845885</v>
      </c>
      <c r="P7" s="13">
        <f>'Occ T1'!Q68</f>
        <v>-14.068243126919185</v>
      </c>
    </row>
    <row r="8" spans="1:16" x14ac:dyDescent="0.2">
      <c r="M8" s="12" t="str">
        <f>name!E9</f>
        <v>Caring, leisure and other service</v>
      </c>
      <c r="N8" s="13">
        <f>'Occ T1'!F69</f>
        <v>20.679082997166262</v>
      </c>
      <c r="O8" s="13">
        <f>'Occ T1'!AB69</f>
        <v>16.285944157739692</v>
      </c>
      <c r="P8" s="13">
        <f>'Occ T1'!Q69</f>
        <v>4.393138839426598</v>
      </c>
    </row>
    <row r="9" spans="1:16" x14ac:dyDescent="0.2">
      <c r="M9" s="12" t="str">
        <f>name!E10</f>
        <v>Sales and customer service</v>
      </c>
      <c r="N9" s="13">
        <f>'Occ T1'!F70</f>
        <v>-3.5208412935990765</v>
      </c>
      <c r="O9" s="13">
        <f>'Occ T1'!AB70</f>
        <v>-3.464014606058214</v>
      </c>
      <c r="P9" s="13">
        <f>'Occ T1'!Q70</f>
        <v>-5.6826687540954879E-2</v>
      </c>
    </row>
    <row r="10" spans="1:16" x14ac:dyDescent="0.2">
      <c r="M10" s="12" t="str">
        <f>name!E11</f>
        <v>Process, plant and machine operatives</v>
      </c>
      <c r="N10" s="13">
        <f>'Occ T1'!F71</f>
        <v>-10.838855876154923</v>
      </c>
      <c r="O10" s="13">
        <f>'Occ T1'!AB71</f>
        <v>-4.2872084334319123</v>
      </c>
      <c r="P10" s="13">
        <f>'Occ T1'!Q71</f>
        <v>-6.5516474427228957</v>
      </c>
    </row>
    <row r="11" spans="1:16" x14ac:dyDescent="0.2">
      <c r="M11" s="12" t="str">
        <f>name!E12</f>
        <v>Elementary occupations</v>
      </c>
      <c r="N11" s="13">
        <f>'Occ T1'!F72</f>
        <v>-0.83048577724795791</v>
      </c>
      <c r="O11" s="13">
        <f>'Occ T1'!AB72</f>
        <v>-5.8570531088073352</v>
      </c>
      <c r="P11" s="13">
        <f>'Occ T1'!Q72</f>
        <v>5.0265673315599599</v>
      </c>
    </row>
    <row r="12" spans="1:16" x14ac:dyDescent="0.2">
      <c r="M12" s="12"/>
      <c r="N12" s="13"/>
      <c r="O12" s="13"/>
      <c r="P12" s="13"/>
    </row>
    <row r="13" spans="1:16" x14ac:dyDescent="0.2">
      <c r="M13" s="12" t="str">
        <f>name!E3</f>
        <v>All occupations</v>
      </c>
      <c r="N13" s="13">
        <f>'Occ T1'!F74</f>
        <v>39.413000001041382</v>
      </c>
      <c r="O13" s="13">
        <f>'Occ T1'!AB74</f>
        <v>37.472000000098774</v>
      </c>
      <c r="P13" s="13">
        <f>'Occ T1'!Q74</f>
        <v>1.9410000009436317</v>
      </c>
    </row>
  </sheetData>
  <pageMargins left="0.7" right="0.7" top="0.75" bottom="0.75" header="0.3" footer="0.3"/>
  <pageSetup paperSize="9" scale="97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P79"/>
  <sheetViews>
    <sheetView showGridLines="0" zoomScale="75" zoomScaleNormal="75" workbookViewId="0"/>
  </sheetViews>
  <sheetFormatPr defaultColWidth="9.140625" defaultRowHeight="12.75" x14ac:dyDescent="0.2"/>
  <cols>
    <col min="1" max="12" width="9.140625" style="286"/>
    <col min="13" max="13" width="36" style="286" customWidth="1"/>
    <col min="14" max="14" width="19.5703125" style="286" customWidth="1"/>
    <col min="15" max="16384" width="9.140625" style="286"/>
  </cols>
  <sheetData>
    <row r="1" spans="1:16" ht="15.75" x14ac:dyDescent="0.25">
      <c r="A1" s="103" t="str">
        <f>CONCATENATE("Occupation Figure 5  Occupational Change by Status (000s) (SOC 2010), ",N1)</f>
        <v>Occupation Figure 5  Occupational Change by Status (000s) (SOC 2010), 2017-2027</v>
      </c>
      <c r="M1" s="106" t="s">
        <v>18</v>
      </c>
      <c r="N1" s="286" t="str">
        <f>'Ind Occ T2'!G6&amp;"-"&amp;'Ind Occ T2'!L6</f>
        <v>2017-2027</v>
      </c>
    </row>
    <row r="2" spans="1:16" x14ac:dyDescent="0.2">
      <c r="M2" s="1" t="s">
        <v>363</v>
      </c>
      <c r="N2" s="106" t="s">
        <v>370</v>
      </c>
      <c r="O2" s="106" t="s">
        <v>478</v>
      </c>
      <c r="P2" s="106" t="s">
        <v>479</v>
      </c>
    </row>
    <row r="3" spans="1:16" x14ac:dyDescent="0.2">
      <c r="M3" s="12" t="str">
        <f>name!E4</f>
        <v>Managers, directors and senior officials</v>
      </c>
      <c r="N3" s="13">
        <f>'Occ T5'!I44</f>
        <v>-0.80936465376036182</v>
      </c>
      <c r="O3" s="13">
        <f>'Occ T5'!H44</f>
        <v>4.2480350636353386</v>
      </c>
      <c r="P3" s="13">
        <f>'Occ T5'!G44</f>
        <v>11.890164583305662</v>
      </c>
    </row>
    <row r="4" spans="1:16" x14ac:dyDescent="0.2">
      <c r="M4" s="12" t="str">
        <f>name!E5</f>
        <v>Professional occupations</v>
      </c>
      <c r="N4" s="13">
        <f>'Occ T5'!I45</f>
        <v>1.6348221335861908</v>
      </c>
      <c r="O4" s="13">
        <f>'Occ T5'!H45</f>
        <v>18.598167710213616</v>
      </c>
      <c r="P4" s="13">
        <f>'Occ T5'!G45</f>
        <v>17.599813819430977</v>
      </c>
    </row>
    <row r="5" spans="1:16" x14ac:dyDescent="0.2">
      <c r="M5" s="12" t="str">
        <f>name!E6</f>
        <v>Associate professional and technical</v>
      </c>
      <c r="N5" s="13">
        <f>'Occ T5'!I46</f>
        <v>1.7012582484820769</v>
      </c>
      <c r="O5" s="13">
        <f>'Occ T5'!H46</f>
        <v>7.3479271803315669</v>
      </c>
      <c r="P5" s="13">
        <f>'Occ T5'!G46</f>
        <v>7.888106936722437</v>
      </c>
    </row>
    <row r="6" spans="1:16" x14ac:dyDescent="0.2">
      <c r="M6" s="12" t="str">
        <f>name!E7</f>
        <v>Administrative and secretarial</v>
      </c>
      <c r="N6" s="13">
        <f>'Occ T5'!I47</f>
        <v>-1.2745555787101357</v>
      </c>
      <c r="O6" s="13">
        <f>'Occ T5'!H47</f>
        <v>-8.9454937490293318</v>
      </c>
      <c r="P6" s="13">
        <f>'Occ T5'!G47</f>
        <v>-11.680149539772771</v>
      </c>
    </row>
    <row r="7" spans="1:16" x14ac:dyDescent="0.2">
      <c r="M7" s="12" t="str">
        <f>name!E8</f>
        <v>Skilled trades occupations</v>
      </c>
      <c r="N7" s="13">
        <f>'Occ T5'!I48</f>
        <v>-4.6644607431693146</v>
      </c>
      <c r="O7" s="13">
        <f>'Occ T5'!H48</f>
        <v>-0.83085730103252153</v>
      </c>
      <c r="P7" s="13">
        <f>'Occ T5'!G48</f>
        <v>-8.7793141593558488</v>
      </c>
    </row>
    <row r="8" spans="1:16" x14ac:dyDescent="0.2">
      <c r="M8" s="12" t="str">
        <f>name!E9</f>
        <v>Caring, leisure and other service</v>
      </c>
      <c r="N8" s="13">
        <f>'Occ T5'!I49</f>
        <v>-1.2798333240399185</v>
      </c>
      <c r="O8" s="13">
        <f>'Occ T5'!H49</f>
        <v>17.059531938126227</v>
      </c>
      <c r="P8" s="13">
        <f>'Occ T5'!G49</f>
        <v>4.8993843830800614</v>
      </c>
    </row>
    <row r="9" spans="1:16" x14ac:dyDescent="0.2">
      <c r="M9" s="12" t="str">
        <f>name!E10</f>
        <v>Sales and customer service</v>
      </c>
      <c r="N9" s="13">
        <f>'Occ T5'!I50</f>
        <v>-1.0000642160943602</v>
      </c>
      <c r="O9" s="13">
        <f>'Occ T5'!H50</f>
        <v>-0.58468978249595693</v>
      </c>
      <c r="P9" s="13">
        <f>'Occ T5'!G50</f>
        <v>-1.9360872950089529</v>
      </c>
    </row>
    <row r="10" spans="1:16" x14ac:dyDescent="0.2">
      <c r="M10" s="12" t="str">
        <f>name!E11</f>
        <v>Process, plant and machine operatives</v>
      </c>
      <c r="N10" s="13">
        <f>'Occ T5'!I51</f>
        <v>-1.154535210141395</v>
      </c>
      <c r="O10" s="13">
        <f>'Occ T5'!H51</f>
        <v>1.101099482827383</v>
      </c>
      <c r="P10" s="13">
        <f>'Occ T5'!G51</f>
        <v>-10.785420148840814</v>
      </c>
    </row>
    <row r="11" spans="1:16" x14ac:dyDescent="0.2">
      <c r="M11" s="12" t="str">
        <f>name!E12</f>
        <v>Elementary occupations</v>
      </c>
      <c r="N11" s="13">
        <f>'Occ T5'!I52</f>
        <v>-1.5462666557861446</v>
      </c>
      <c r="O11" s="13">
        <f>'Occ T5'!H52</f>
        <v>1.7152794569296219</v>
      </c>
      <c r="P11" s="13">
        <f>'Occ T5'!G52</f>
        <v>-0.99949857839078504</v>
      </c>
    </row>
    <row r="12" spans="1:16" x14ac:dyDescent="0.2">
      <c r="M12" s="12"/>
      <c r="N12" s="13"/>
      <c r="O12" s="13"/>
      <c r="P12" s="13"/>
    </row>
    <row r="13" spans="1:16" x14ac:dyDescent="0.2">
      <c r="M13" s="12" t="str">
        <f>name!E3</f>
        <v>All occupations</v>
      </c>
      <c r="N13" s="13">
        <f>'Occ T5'!I54</f>
        <v>-8.3929999996333891</v>
      </c>
      <c r="O13" s="13">
        <f>'Occ T5'!H54</f>
        <v>39.70899999950592</v>
      </c>
      <c r="P13" s="13">
        <f>'Occ T5'!G54</f>
        <v>8.0970000011698176</v>
      </c>
    </row>
    <row r="16" spans="1:16" x14ac:dyDescent="0.2">
      <c r="M16" s="106" t="s">
        <v>18</v>
      </c>
      <c r="N16" s="286" t="str">
        <f>N1</f>
        <v>2017-2027</v>
      </c>
    </row>
    <row r="17" spans="13:16" x14ac:dyDescent="0.2">
      <c r="M17" s="1" t="s">
        <v>99</v>
      </c>
      <c r="N17" s="106" t="s">
        <v>370</v>
      </c>
      <c r="O17" s="106" t="s">
        <v>478</v>
      </c>
      <c r="P17" s="106" t="s">
        <v>479</v>
      </c>
    </row>
    <row r="18" spans="13:16" x14ac:dyDescent="0.2">
      <c r="M18" s="12" t="str">
        <f>M3</f>
        <v>Managers, directors and senior officials</v>
      </c>
      <c r="N18" s="13">
        <f>'Occ T5'!AO44</f>
        <v>0.23062280582296246</v>
      </c>
      <c r="O18" s="13">
        <f>'Occ T5'!AN44</f>
        <v>3.2092785473999363</v>
      </c>
      <c r="P18" s="13">
        <f>'Occ T5'!AM44</f>
        <v>6.8538047016681496</v>
      </c>
    </row>
    <row r="19" spans="13:16" x14ac:dyDescent="0.2">
      <c r="M19" s="12" t="str">
        <f t="shared" ref="M19:M28" si="0">M4</f>
        <v>Professional occupations</v>
      </c>
      <c r="N19" s="13">
        <f>'Occ T5'!AO45</f>
        <v>1.8383748456714955</v>
      </c>
      <c r="O19" s="13">
        <f>'Occ T5'!AN45</f>
        <v>14.28652374311983</v>
      </c>
      <c r="P19" s="13">
        <f>'Occ T5'!AM45</f>
        <v>16.06338809220324</v>
      </c>
    </row>
    <row r="20" spans="13:16" x14ac:dyDescent="0.2">
      <c r="M20" s="12" t="str">
        <f t="shared" si="0"/>
        <v>Associate professional and technical</v>
      </c>
      <c r="N20" s="13">
        <f>'Occ T5'!AO46</f>
        <v>1.7561188990045231</v>
      </c>
      <c r="O20" s="13">
        <f>'Occ T5'!AN46</f>
        <v>5.4379455726424588</v>
      </c>
      <c r="P20" s="13">
        <f>'Occ T5'!AM46</f>
        <v>8.6022207952988765</v>
      </c>
    </row>
    <row r="21" spans="13:16" x14ac:dyDescent="0.2">
      <c r="M21" s="12" t="str">
        <f t="shared" si="0"/>
        <v>Administrative and secretarial</v>
      </c>
      <c r="N21" s="13">
        <f>'Occ T5'!AO47</f>
        <v>-1.1799577719420031</v>
      </c>
      <c r="O21" s="13">
        <f>'Occ T5'!AN47</f>
        <v>-10.079903005634286</v>
      </c>
      <c r="P21" s="13">
        <f>'Occ T5'!AM47</f>
        <v>-12.017696157959904</v>
      </c>
    </row>
    <row r="22" spans="13:16" x14ac:dyDescent="0.2">
      <c r="M22" s="12" t="str">
        <f t="shared" si="0"/>
        <v>Skilled trades occupations</v>
      </c>
      <c r="N22" s="13">
        <f>'Occ T5'!AO48</f>
        <v>-0.19327482452579936</v>
      </c>
      <c r="O22" s="13">
        <f>'Occ T5'!AN48</f>
        <v>5.8424649949203378E-2</v>
      </c>
      <c r="P22" s="13">
        <f>'Occ T5'!AM48</f>
        <v>-7.1538902061861975E-2</v>
      </c>
    </row>
    <row r="23" spans="13:16" x14ac:dyDescent="0.2">
      <c r="M23" s="12" t="str">
        <f t="shared" si="0"/>
        <v>Caring, leisure and other service</v>
      </c>
      <c r="N23" s="13">
        <f>'Occ T5'!AO49</f>
        <v>-1.1184026819928725</v>
      </c>
      <c r="O23" s="13">
        <f>'Occ T5'!AN49</f>
        <v>14.352675790808831</v>
      </c>
      <c r="P23" s="13">
        <f>'Occ T5'!AM49</f>
        <v>3.0516710489238221</v>
      </c>
    </row>
    <row r="24" spans="13:16" x14ac:dyDescent="0.2">
      <c r="M24" s="12" t="str">
        <f t="shared" si="0"/>
        <v>Sales and customer service</v>
      </c>
      <c r="N24" s="13">
        <f>'Occ T5'!AO50</f>
        <v>-0.69327305438027764</v>
      </c>
      <c r="O24" s="13">
        <f>'Occ T5'!AN50</f>
        <v>-0.62492481343043238</v>
      </c>
      <c r="P24" s="13">
        <f>'Occ T5'!AM50</f>
        <v>-2.1458167382475573</v>
      </c>
    </row>
    <row r="25" spans="13:16" x14ac:dyDescent="0.2">
      <c r="M25" s="12" t="str">
        <f t="shared" si="0"/>
        <v>Process, plant and machine operatives</v>
      </c>
      <c r="N25" s="13">
        <f>'Occ T5'!AO51</f>
        <v>-0.42018735146239128</v>
      </c>
      <c r="O25" s="13">
        <f>'Occ T5'!AN51</f>
        <v>-0.76950318549637275</v>
      </c>
      <c r="P25" s="13">
        <f>'Occ T5'!AM51</f>
        <v>-3.097517896473148</v>
      </c>
    </row>
    <row r="26" spans="13:16" x14ac:dyDescent="0.2">
      <c r="M26" s="12" t="str">
        <f t="shared" si="0"/>
        <v>Elementary occupations</v>
      </c>
      <c r="N26" s="13">
        <f>'Occ T5'!AO52</f>
        <v>-0.84302086624454553</v>
      </c>
      <c r="O26" s="13">
        <f>'Occ T5'!AN52</f>
        <v>-4.0965172999118451</v>
      </c>
      <c r="P26" s="13">
        <f>'Occ T5'!AM52</f>
        <v>-0.91751494265111688</v>
      </c>
    </row>
    <row r="27" spans="13:16" x14ac:dyDescent="0.2">
      <c r="M27" s="12"/>
      <c r="N27" s="13"/>
      <c r="O27" s="13"/>
      <c r="P27" s="13"/>
    </row>
    <row r="28" spans="13:16" x14ac:dyDescent="0.2">
      <c r="M28" s="12" t="str">
        <f t="shared" si="0"/>
        <v>All occupations</v>
      </c>
      <c r="N28" s="13">
        <f>'Occ T5'!AO54</f>
        <v>-0.62300000004890421</v>
      </c>
      <c r="O28" s="13">
        <f>'Occ T5'!AN54</f>
        <v>21.773999999447312</v>
      </c>
      <c r="P28" s="13">
        <f>'Occ T5'!AM54</f>
        <v>16.321000000700508</v>
      </c>
    </row>
    <row r="31" spans="13:16" x14ac:dyDescent="0.2">
      <c r="M31" s="106" t="s">
        <v>18</v>
      </c>
      <c r="N31" s="286" t="str">
        <f>N1</f>
        <v>2017-2027</v>
      </c>
    </row>
    <row r="32" spans="13:16" x14ac:dyDescent="0.2">
      <c r="M32" s="1" t="s">
        <v>98</v>
      </c>
      <c r="N32" s="106" t="s">
        <v>370</v>
      </c>
      <c r="O32" s="106" t="s">
        <v>478</v>
      </c>
      <c r="P32" s="106" t="s">
        <v>479</v>
      </c>
    </row>
    <row r="33" spans="1:16" x14ac:dyDescent="0.2">
      <c r="M33" s="12" t="str">
        <f>M3</f>
        <v>Managers, directors and senior officials</v>
      </c>
      <c r="N33" s="13">
        <f>'Occ T5'!Y44</f>
        <v>-1.039987459583255</v>
      </c>
      <c r="O33" s="13">
        <f>'Occ T5'!X44</f>
        <v>1.0387565162353933</v>
      </c>
      <c r="P33" s="13">
        <f>'Occ T5'!W44</f>
        <v>5.0363598816374733</v>
      </c>
    </row>
    <row r="34" spans="1:16" x14ac:dyDescent="0.2">
      <c r="M34" s="12" t="str">
        <f t="shared" ref="M34:M43" si="1">M4</f>
        <v>Professional occupations</v>
      </c>
      <c r="N34" s="13">
        <f>'Occ T5'!Y45</f>
        <v>-0.20355271208530112</v>
      </c>
      <c r="O34" s="13">
        <f>'Occ T5'!X45</f>
        <v>4.3116439670937865</v>
      </c>
      <c r="P34" s="13">
        <f>'Occ T5'!W45</f>
        <v>1.5364257272277939</v>
      </c>
    </row>
    <row r="35" spans="1:16" x14ac:dyDescent="0.2">
      <c r="M35" s="12" t="str">
        <f t="shared" si="1"/>
        <v>Associate professional and technical</v>
      </c>
      <c r="N35" s="13">
        <f>'Occ T5'!Y46</f>
        <v>-5.4860650522435606E-2</v>
      </c>
      <c r="O35" s="13">
        <f>'Occ T5'!X46</f>
        <v>1.9099816076890992</v>
      </c>
      <c r="P35" s="13">
        <f>'Occ T5'!W46</f>
        <v>-0.71411385857641108</v>
      </c>
    </row>
    <row r="36" spans="1:16" x14ac:dyDescent="0.2">
      <c r="M36" s="12" t="str">
        <f t="shared" si="1"/>
        <v>Administrative and secretarial</v>
      </c>
      <c r="N36" s="13">
        <f>'Occ T5'!Y47</f>
        <v>-9.4597806768139225E-2</v>
      </c>
      <c r="O36" s="13">
        <f>'Occ T5'!X47</f>
        <v>1.1344092566049975</v>
      </c>
      <c r="P36" s="13">
        <f>'Occ T5'!W47</f>
        <v>0.3375466181871829</v>
      </c>
    </row>
    <row r="37" spans="1:16" x14ac:dyDescent="0.2">
      <c r="M37" s="12" t="str">
        <f t="shared" si="1"/>
        <v>Skilled trades occupations</v>
      </c>
      <c r="N37" s="13">
        <f>'Occ T5'!Y48</f>
        <v>-4.471185918643485</v>
      </c>
      <c r="O37" s="13">
        <f>'Occ T5'!X48</f>
        <v>-0.88928195098170981</v>
      </c>
      <c r="P37" s="13">
        <f>'Occ T5'!W48</f>
        <v>-8.7077752572939602</v>
      </c>
    </row>
    <row r="38" spans="1:16" x14ac:dyDescent="0.2">
      <c r="M38" s="12" t="str">
        <f t="shared" si="1"/>
        <v>Caring, leisure and other service</v>
      </c>
      <c r="N38" s="13">
        <f>'Occ T5'!Y49</f>
        <v>-0.16143064204704238</v>
      </c>
      <c r="O38" s="13">
        <f>'Occ T5'!X49</f>
        <v>2.7068561473173736</v>
      </c>
      <c r="P38" s="13">
        <f>'Occ T5'!W49</f>
        <v>1.847713334156257</v>
      </c>
    </row>
    <row r="39" spans="1:16" x14ac:dyDescent="0.2">
      <c r="M39" s="12" t="str">
        <f t="shared" si="1"/>
        <v>Sales and customer service</v>
      </c>
      <c r="N39" s="13">
        <f>'Occ T5'!Y50</f>
        <v>-0.30679116171408416</v>
      </c>
      <c r="O39" s="13">
        <f>'Occ T5'!X50</f>
        <v>4.0235030934500315E-2</v>
      </c>
      <c r="P39" s="13">
        <f>'Occ T5'!W50</f>
        <v>0.2097294432386434</v>
      </c>
    </row>
    <row r="40" spans="1:16" ht="15.75" x14ac:dyDescent="0.25">
      <c r="A40" s="103" t="str">
        <f>CONCATENATE("Occupation Figure 5.1 Females:  Occupational Change by Status (000s) (SOC 2010), ",N1)</f>
        <v>Occupation Figure 5.1 Females:  Occupational Change by Status (000s) (SOC 2010), 2017-2027</v>
      </c>
      <c r="M40" s="12" t="str">
        <f t="shared" si="1"/>
        <v>Process, plant and machine operatives</v>
      </c>
      <c r="N40" s="13">
        <f>'Occ T5'!Y51</f>
        <v>-0.73434785867899421</v>
      </c>
      <c r="O40" s="13">
        <f>'Occ T5'!X51</f>
        <v>1.8706026683237607</v>
      </c>
      <c r="P40" s="13">
        <f>'Occ T5'!W51</f>
        <v>-7.6879022523675786</v>
      </c>
    </row>
    <row r="41" spans="1:16" x14ac:dyDescent="0.2">
      <c r="M41" s="12" t="str">
        <f t="shared" si="1"/>
        <v>Elementary occupations</v>
      </c>
      <c r="N41" s="13">
        <f>'Occ T5'!Y52</f>
        <v>-0.7032457895416071</v>
      </c>
      <c r="O41" s="13">
        <f>'Occ T5'!X52</f>
        <v>5.811796756841467</v>
      </c>
      <c r="P41" s="13">
        <f>'Occ T5'!W52</f>
        <v>-8.1983635739696581E-2</v>
      </c>
    </row>
    <row r="42" spans="1:16" x14ac:dyDescent="0.2">
      <c r="M42" s="12"/>
      <c r="N42" s="13"/>
      <c r="O42" s="13"/>
      <c r="P42" s="13"/>
    </row>
    <row r="43" spans="1:16" x14ac:dyDescent="0.2">
      <c r="M43" s="12" t="str">
        <f t="shared" si="1"/>
        <v>All occupations</v>
      </c>
      <c r="N43" s="13">
        <f>'Occ T5'!Y54</f>
        <v>-7.7699999995843427</v>
      </c>
      <c r="O43" s="13">
        <f>'Occ T5'!X54</f>
        <v>17.935000000058693</v>
      </c>
      <c r="P43" s="13">
        <f>'Occ T5'!W54</f>
        <v>-8.2239999995302355</v>
      </c>
    </row>
    <row r="79" spans="1:1" ht="15.75" x14ac:dyDescent="0.25">
      <c r="A79" s="103" t="str">
        <f>CONCATENATE("Occupation Figure 5.2 Males:  Occupational Change by Status (000s) (SOC 2010), ",N1)</f>
        <v>Occupation Figure 5.2 Males:  Occupational Change by Status (000s) (SOC 2010), 2017-2027</v>
      </c>
    </row>
  </sheetData>
  <pageMargins left="0.7" right="0.7" top="0.75" bottom="0.75" header="0.3" footer="0.3"/>
  <pageSetup paperSize="9" scale="76" orientation="portrait" r:id="rId1"/>
  <rowBreaks count="1" manualBreakCount="1">
    <brk id="39" max="9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G57"/>
  <sheetViews>
    <sheetView showGridLines="0" zoomScale="85" zoomScaleNormal="85" workbookViewId="0"/>
  </sheetViews>
  <sheetFormatPr defaultRowHeight="12.75" x14ac:dyDescent="0.2"/>
  <cols>
    <col min="1" max="1" width="36.7109375" customWidth="1"/>
    <col min="2" max="6" width="11.7109375" customWidth="1"/>
  </cols>
  <sheetData>
    <row r="1" spans="1:7" ht="15.75" x14ac:dyDescent="0.25">
      <c r="A1" s="23" t="str">
        <f>CONCATENATE("Qualification Table 1  Employment by Qualification, ",B$3,"-",F$3,", ",Info!B5)</f>
        <v>Qualification Table 1  Employment by Qualification, 2007-2027, Wales</v>
      </c>
    </row>
    <row r="3" spans="1:7" x14ac:dyDescent="0.2">
      <c r="A3" s="26"/>
      <c r="B3" s="27">
        <f>'Occ T3'!B5</f>
        <v>2007</v>
      </c>
      <c r="C3" s="27">
        <f>'Occ T3'!C5</f>
        <v>2012</v>
      </c>
      <c r="D3" s="27">
        <f>'Occ T3'!D5</f>
        <v>2017</v>
      </c>
      <c r="E3" s="27">
        <f>'Occ T3'!E5</f>
        <v>2022</v>
      </c>
      <c r="F3" s="27">
        <f>'Occ T3'!F5</f>
        <v>2027</v>
      </c>
      <c r="G3" s="12"/>
    </row>
    <row r="4" spans="1:7" x14ac:dyDescent="0.2">
      <c r="A4" s="21" t="s">
        <v>13</v>
      </c>
      <c r="B4" s="18"/>
      <c r="C4" s="12"/>
      <c r="D4" s="12"/>
      <c r="E4" s="12"/>
      <c r="F4" s="12"/>
    </row>
    <row r="5" spans="1:7" x14ac:dyDescent="0.2">
      <c r="A5" s="18" t="str">
        <f>name!F4</f>
        <v>RQF8 Doctorate</v>
      </c>
      <c r="B5" s="13">
        <f>HLOOKUP(B$3,'Qual F1'!$M$4:$AD$14,11,FALSE)</f>
        <v>13.451431779919853</v>
      </c>
      <c r="C5" s="13">
        <f>HLOOKUP(C$3,'Qual F1'!$M$4:$AD$14,11,FALSE)</f>
        <v>14.577538609213944</v>
      </c>
      <c r="D5" s="13">
        <f>HLOOKUP(D$3,'Qual F1'!$M$4:$AD$14,11,FALSE)</f>
        <v>24.298598186309171</v>
      </c>
      <c r="E5" s="13">
        <f>HLOOKUP(E$3,'Qual F1'!$M$4:$AD$14,11,FALSE)</f>
        <v>29.757672156902121</v>
      </c>
      <c r="F5" s="13">
        <f>HLOOKUP(F$3,'Qual F1'!$M$4:$BZ$14,11,FALSE)</f>
        <v>34.635899854243135</v>
      </c>
      <c r="G5" s="13"/>
    </row>
    <row r="6" spans="1:7" x14ac:dyDescent="0.2">
      <c r="A6" s="18" t="str">
        <f>name!F5</f>
        <v>RQF7 Other higher degree</v>
      </c>
      <c r="B6" s="13">
        <f>HLOOKUP(B$3,'Qual F1'!$M$4:$AD$14,10,FALSE)</f>
        <v>91.772170629246375</v>
      </c>
      <c r="C6" s="13">
        <f>HLOOKUP(C$3,'Qual F1'!$M$4:$AD$14,10,FALSE)</f>
        <v>89.417565249186794</v>
      </c>
      <c r="D6" s="13">
        <f>HLOOKUP(D$3,'Qual F1'!$M$4:$AD$14,10,FALSE)</f>
        <v>146.68740984979132</v>
      </c>
      <c r="E6" s="13">
        <f>HLOOKUP(E$3,'Qual F1'!$M$4:$AD$14,10,FALSE)</f>
        <v>177.87229890985031</v>
      </c>
      <c r="F6" s="13">
        <f>HLOOKUP(F$3,'Qual F1'!$M$4:$BZ$14,10,FALSE)</f>
        <v>203.28927580091022</v>
      </c>
      <c r="G6" s="13"/>
    </row>
    <row r="7" spans="1:7" x14ac:dyDescent="0.2">
      <c r="A7" s="18" t="str">
        <f>name!F6</f>
        <v>RQF6 First degree</v>
      </c>
      <c r="B7" s="13">
        <f>HLOOKUP(B$3,'Qual F1'!$M$4:$AD$14,9,FALSE)</f>
        <v>166.70057077338143</v>
      </c>
      <c r="C7" s="13">
        <f>HLOOKUP(C$3,'Qual F1'!$M$4:$AD$14,9,FALSE)</f>
        <v>219.96956839171375</v>
      </c>
      <c r="D7" s="13">
        <f>HLOOKUP(D$3,'Qual F1'!$M$4:$AD$14,9,FALSE)</f>
        <v>261.04599758722259</v>
      </c>
      <c r="E7" s="13">
        <f>HLOOKUP(E$3,'Qual F1'!$M$4:$AD$14,9,FALSE)</f>
        <v>317.08390786844461</v>
      </c>
      <c r="F7" s="13">
        <f>HLOOKUP(F$3,'Qual F1'!$M$4:$BZ$14,9,FALSE)</f>
        <v>344.08254430579285</v>
      </c>
      <c r="G7" s="13"/>
    </row>
    <row r="8" spans="1:7" s="286" customFormat="1" x14ac:dyDescent="0.2">
      <c r="A8" s="18" t="str">
        <f>name!F7</f>
        <v>RQF5 Foundation degree;Nursing;Teaching</v>
      </c>
      <c r="B8" s="13">
        <f>HLOOKUP(B$3,'Qual F1'!$M$4:$AD$14,8,FALSE)</f>
        <v>79.946376098743087</v>
      </c>
      <c r="C8" s="13">
        <f>HLOOKUP(C$3,'Qual F1'!$M$4:$AD$14,8,FALSE)</f>
        <v>86.036931415223975</v>
      </c>
      <c r="D8" s="13">
        <f>HLOOKUP(D$3,'Qual F1'!$M$4:$AD$14,8,FALSE)</f>
        <v>86.386211363684026</v>
      </c>
      <c r="E8" s="13">
        <f>HLOOKUP(E$3,'Qual F1'!$M$4:$AD$14,8,FALSE)</f>
        <v>90.964478940561662</v>
      </c>
      <c r="F8" s="13">
        <f>HLOOKUP(F$3,'Qual F1'!$M$4:$BZ$14,8,FALSE)</f>
        <v>90.032005748939611</v>
      </c>
      <c r="G8" s="13"/>
    </row>
    <row r="9" spans="1:7" s="286" customFormat="1" x14ac:dyDescent="0.2">
      <c r="A9" s="18" t="str">
        <f>name!F8</f>
        <v>RQF4 HE below degree level</v>
      </c>
      <c r="B9" s="13">
        <f>HLOOKUP(B$3,'Qual F1'!$M$4:$AD$14,7,FALSE)</f>
        <v>60.8660423341571</v>
      </c>
      <c r="C9" s="13">
        <f>HLOOKUP(C$3,'Qual F1'!$M$4:$AD$14,7,FALSE)</f>
        <v>67.372845244269087</v>
      </c>
      <c r="D9" s="13">
        <f>HLOOKUP(D$3,'Qual F1'!$M$4:$AD$14,7,FALSE)</f>
        <v>75.342003447666045</v>
      </c>
      <c r="E9" s="13">
        <f>HLOOKUP(E$3,'Qual F1'!$M$4:$AD$14,7,FALSE)</f>
        <v>89.595818707039754</v>
      </c>
      <c r="F9" s="13">
        <f>HLOOKUP(F$3,'Qual F1'!$M$4:$BZ$14,7,FALSE)</f>
        <v>95.82988828778835</v>
      </c>
      <c r="G9" s="13"/>
    </row>
    <row r="10" spans="1:7" s="286" customFormat="1" x14ac:dyDescent="0.2">
      <c r="A10" s="18" t="str">
        <f>name!F9</f>
        <v>RQF3 A level &amp; equivalent</v>
      </c>
      <c r="B10" s="13">
        <f>HLOOKUP(B$3,'Qual F1'!$M$4:$AD$14,6,FALSE)</f>
        <v>283.75583025438806</v>
      </c>
      <c r="C10" s="13">
        <f>HLOOKUP(C$3,'Qual F1'!$M$4:$AD$14,6,FALSE)</f>
        <v>283.56276072857861</v>
      </c>
      <c r="D10" s="13">
        <f>HLOOKUP(D$3,'Qual F1'!$M$4:$AD$14,6,FALSE)</f>
        <v>326.7981784948139</v>
      </c>
      <c r="E10" s="13">
        <f>HLOOKUP(E$3,'Qual F1'!$M$4:$AD$14,6,FALSE)</f>
        <v>314.76157062546645</v>
      </c>
      <c r="F10" s="13">
        <f>HLOOKUP(F$3,'Qual F1'!$M$4:$BZ$14,6,FALSE)</f>
        <v>323.65189471574394</v>
      </c>
      <c r="G10" s="13"/>
    </row>
    <row r="11" spans="1:7" x14ac:dyDescent="0.2">
      <c r="A11" s="18" t="str">
        <f>name!F10</f>
        <v>RQF2 GCSE(A-C) &amp; equivalent</v>
      </c>
      <c r="B11" s="13">
        <f>HLOOKUP(B$3,'Qual F1'!$M$4:$AD$14,5,FALSE)</f>
        <v>339.99824750291674</v>
      </c>
      <c r="C11" s="13">
        <f>HLOOKUP(C$3,'Qual F1'!$M$4:$AD$14,5,FALSE)</f>
        <v>312.71059561039328</v>
      </c>
      <c r="D11" s="13">
        <f>HLOOKUP(D$3,'Qual F1'!$M$4:$AD$14,5,FALSE)</f>
        <v>318.87394294512256</v>
      </c>
      <c r="E11" s="13">
        <f>HLOOKUP(E$3,'Qual F1'!$M$4:$AD$14,5,FALSE)</f>
        <v>297.95830680034157</v>
      </c>
      <c r="F11" s="13">
        <f>HLOOKUP(F$3,'Qual F1'!$M$4:$BZ$14,5,FALSE)</f>
        <v>279.77576838287058</v>
      </c>
      <c r="G11" s="13"/>
    </row>
    <row r="12" spans="1:7" s="286" customFormat="1" x14ac:dyDescent="0.2">
      <c r="A12" s="18" t="str">
        <f>name!F11</f>
        <v>RQF1 GCSE(below grade C) &amp; equivalent</v>
      </c>
      <c r="B12" s="13">
        <f>HLOOKUP(B$3,'Qual F1'!$M$4:$AD$14,4,FALSE)</f>
        <v>229.84121718691915</v>
      </c>
      <c r="C12" s="13">
        <f>HLOOKUP(C$3,'Qual F1'!$M$4:$AD$14,4,FALSE)</f>
        <v>195.6746880734693</v>
      </c>
      <c r="D12" s="13">
        <f>HLOOKUP(D$3,'Qual F1'!$M$4:$AD$14,4,FALSE)</f>
        <v>205.30516822725582</v>
      </c>
      <c r="E12" s="13">
        <f>HLOOKUP(E$3,'Qual F1'!$M$4:$AD$14,4,FALSE)</f>
        <v>170.59307541962079</v>
      </c>
      <c r="F12" s="13">
        <f>HLOOKUP(F$3,'Qual F1'!$M$4:$BZ$14,4,FALSE)</f>
        <v>151.48202926082135</v>
      </c>
      <c r="G12" s="13"/>
    </row>
    <row r="13" spans="1:7" s="286" customFormat="1" x14ac:dyDescent="0.2">
      <c r="A13" s="18" t="str">
        <f>name!F12</f>
        <v>No Qualification</v>
      </c>
      <c r="B13" s="13">
        <f>HLOOKUP(B$3,'Qual F1'!$M$4:$AD$14,3,FALSE)</f>
        <v>142.6351134422703</v>
      </c>
      <c r="C13" s="13">
        <f>HLOOKUP(C$3,'Qual F1'!$M$4:$AD$14,3,FALSE)</f>
        <v>88.555506678938272</v>
      </c>
      <c r="D13" s="13">
        <f>HLOOKUP(D$3,'Qual F1'!$M$4:$AD$14,3,FALSE)</f>
        <v>85.022489898973674</v>
      </c>
      <c r="E13" s="13">
        <f>HLOOKUP(E$3,'Qual F1'!$M$4:$AD$14,3,FALSE)</f>
        <v>57.699870573937609</v>
      </c>
      <c r="F13" s="13">
        <f>HLOOKUP(F$3,'Qual F1'!$M$4:$BZ$14,3,FALSE)</f>
        <v>46.393693644773109</v>
      </c>
      <c r="G13" s="13"/>
    </row>
    <row r="14" spans="1:7" s="286" customFormat="1" x14ac:dyDescent="0.2">
      <c r="A14" s="18"/>
      <c r="B14" s="13"/>
      <c r="C14" s="13"/>
      <c r="D14" s="13"/>
      <c r="E14" s="13"/>
      <c r="F14" s="13"/>
      <c r="G14" s="13"/>
    </row>
    <row r="15" spans="1:7" x14ac:dyDescent="0.2">
      <c r="A15" s="18" t="str">
        <f>name!F3</f>
        <v>All qualifications</v>
      </c>
      <c r="B15" s="13">
        <f>SUM(B5:B13)</f>
        <v>1408.9670000019419</v>
      </c>
      <c r="C15" s="13">
        <f t="shared" ref="C15:F15" si="0">SUM(C5:C13)</f>
        <v>1357.878000000987</v>
      </c>
      <c r="D15" s="13">
        <f t="shared" si="0"/>
        <v>1529.760000000839</v>
      </c>
      <c r="E15" s="13">
        <f t="shared" si="0"/>
        <v>1546.2870000021649</v>
      </c>
      <c r="F15" s="13">
        <f t="shared" si="0"/>
        <v>1569.1730000018829</v>
      </c>
      <c r="G15" s="13"/>
    </row>
    <row r="16" spans="1:7" x14ac:dyDescent="0.2">
      <c r="A16" s="18"/>
      <c r="B16" s="13"/>
      <c r="C16" s="13"/>
      <c r="D16" s="13"/>
      <c r="E16" s="13"/>
      <c r="F16" s="13"/>
      <c r="G16" s="13"/>
    </row>
    <row r="17" spans="1:7" x14ac:dyDescent="0.2">
      <c r="A17" s="18"/>
      <c r="B17" s="13"/>
      <c r="C17" s="13"/>
      <c r="D17" s="13"/>
      <c r="E17" s="13"/>
      <c r="F17" s="13"/>
      <c r="G17" s="13"/>
    </row>
    <row r="18" spans="1:7" x14ac:dyDescent="0.2">
      <c r="A18" s="21" t="s">
        <v>511</v>
      </c>
      <c r="B18" s="20">
        <f>B$3</f>
        <v>2007</v>
      </c>
      <c r="C18" s="20">
        <f>C$3</f>
        <v>2012</v>
      </c>
      <c r="D18" s="20">
        <f>D$3</f>
        <v>2017</v>
      </c>
      <c r="E18" s="20">
        <f>E$3</f>
        <v>2022</v>
      </c>
      <c r="F18" s="20">
        <f>F$3</f>
        <v>2027</v>
      </c>
      <c r="G18" s="13"/>
    </row>
    <row r="19" spans="1:7" x14ac:dyDescent="0.2">
      <c r="A19" s="18" t="str">
        <f>$A5</f>
        <v>RQF8 Doctorate</v>
      </c>
      <c r="B19" s="22">
        <f t="shared" ref="B19:F21" si="1">B5/B$15*100</f>
        <v>0.95470169137398631</v>
      </c>
      <c r="C19" s="22">
        <f t="shared" si="1"/>
        <v>1.0735528971824677</v>
      </c>
      <c r="D19" s="22">
        <f t="shared" si="1"/>
        <v>1.5883928319668343</v>
      </c>
      <c r="E19" s="22">
        <f t="shared" si="1"/>
        <v>1.924459829052463</v>
      </c>
      <c r="F19" s="22">
        <f t="shared" si="1"/>
        <v>2.2072709544582767</v>
      </c>
      <c r="G19" s="13"/>
    </row>
    <row r="20" spans="1:7" x14ac:dyDescent="0.2">
      <c r="A20" s="18" t="str">
        <f>$A6</f>
        <v>RQF7 Other higher degree</v>
      </c>
      <c r="B20" s="22">
        <f t="shared" si="1"/>
        <v>6.5134364842554788</v>
      </c>
      <c r="C20" s="22">
        <f t="shared" si="1"/>
        <v>6.5850956602229216</v>
      </c>
      <c r="D20" s="22">
        <f t="shared" si="1"/>
        <v>9.5889165522507369</v>
      </c>
      <c r="E20" s="22">
        <f t="shared" si="1"/>
        <v>11.503187888768467</v>
      </c>
      <c r="F20" s="22">
        <f t="shared" si="1"/>
        <v>12.955185680652564</v>
      </c>
      <c r="G20" s="13"/>
    </row>
    <row r="21" spans="1:7" x14ac:dyDescent="0.2">
      <c r="A21" s="18" t="str">
        <f>$A7</f>
        <v>RQF6 First degree</v>
      </c>
      <c r="B21" s="22">
        <f t="shared" si="1"/>
        <v>11.831403487317422</v>
      </c>
      <c r="C21" s="22">
        <f t="shared" si="1"/>
        <v>16.199508968519549</v>
      </c>
      <c r="D21" s="22">
        <f t="shared" si="1"/>
        <v>17.064506693015861</v>
      </c>
      <c r="E21" s="22">
        <f t="shared" si="1"/>
        <v>20.506148461960858</v>
      </c>
      <c r="F21" s="22">
        <f t="shared" si="1"/>
        <v>21.927636041748105</v>
      </c>
      <c r="G21" s="13"/>
    </row>
    <row r="22" spans="1:7" s="286" customFormat="1" x14ac:dyDescent="0.2">
      <c r="A22" s="18" t="str">
        <f t="shared" ref="A22:A27" si="2">$A8</f>
        <v>RQF5 Foundation degree;Nursing;Teaching</v>
      </c>
      <c r="B22" s="22">
        <f t="shared" ref="B22:F22" si="3">B8/B$15*100</f>
        <v>5.6741127434945531</v>
      </c>
      <c r="C22" s="22">
        <f t="shared" si="3"/>
        <v>6.3361311852140947</v>
      </c>
      <c r="D22" s="22">
        <f t="shared" si="3"/>
        <v>5.6470434161984002</v>
      </c>
      <c r="E22" s="22">
        <f t="shared" si="3"/>
        <v>5.8827681368616762</v>
      </c>
      <c r="F22" s="22">
        <f t="shared" si="3"/>
        <v>5.7375449200841189</v>
      </c>
      <c r="G22" s="13"/>
    </row>
    <row r="23" spans="1:7" s="286" customFormat="1" x14ac:dyDescent="0.2">
      <c r="A23" s="18" t="str">
        <f t="shared" si="2"/>
        <v>RQF4 HE below degree level</v>
      </c>
      <c r="B23" s="22">
        <f t="shared" ref="B23:F23" si="4">B9/B$15*100</f>
        <v>4.3199054579754685</v>
      </c>
      <c r="C23" s="22">
        <f t="shared" si="4"/>
        <v>4.9616272775772279</v>
      </c>
      <c r="D23" s="22">
        <f t="shared" si="4"/>
        <v>4.9250865134154855</v>
      </c>
      <c r="E23" s="22">
        <f t="shared" si="4"/>
        <v>5.7942554459110323</v>
      </c>
      <c r="F23" s="22">
        <f t="shared" si="4"/>
        <v>6.107031429146013</v>
      </c>
      <c r="G23" s="13"/>
    </row>
    <row r="24" spans="1:7" s="286" customFormat="1" x14ac:dyDescent="0.2">
      <c r="A24" s="18" t="str">
        <f t="shared" si="2"/>
        <v>RQF3 A level &amp; equivalent</v>
      </c>
      <c r="B24" s="22">
        <f t="shared" ref="B24:F24" si="5">B10/B$15*100</f>
        <v>20.139281491617403</v>
      </c>
      <c r="C24" s="22">
        <f t="shared" si="5"/>
        <v>20.882786283331235</v>
      </c>
      <c r="D24" s="22">
        <f t="shared" si="5"/>
        <v>21.362709084734512</v>
      </c>
      <c r="E24" s="22">
        <f t="shared" si="5"/>
        <v>20.355960479847905</v>
      </c>
      <c r="F24" s="22">
        <f t="shared" si="5"/>
        <v>20.625634950088713</v>
      </c>
      <c r="G24" s="13"/>
    </row>
    <row r="25" spans="1:7" s="286" customFormat="1" x14ac:dyDescent="0.2">
      <c r="A25" s="18" t="str">
        <f t="shared" si="2"/>
        <v>RQF2 GCSE(A-C) &amp; equivalent</v>
      </c>
      <c r="B25" s="22">
        <f t="shared" ref="B25:F25" si="6">B11/B$15*100</f>
        <v>24.131029861057652</v>
      </c>
      <c r="C25" s="22">
        <f t="shared" si="6"/>
        <v>23.029358720751496</v>
      </c>
      <c r="D25" s="22">
        <f t="shared" si="6"/>
        <v>20.844703936888642</v>
      </c>
      <c r="E25" s="22">
        <f t="shared" si="6"/>
        <v>19.269275807138289</v>
      </c>
      <c r="F25" s="22">
        <f t="shared" si="6"/>
        <v>17.829504355640509</v>
      </c>
      <c r="G25" s="13"/>
    </row>
    <row r="26" spans="1:7" s="286" customFormat="1" x14ac:dyDescent="0.2">
      <c r="A26" s="18" t="str">
        <f t="shared" si="2"/>
        <v>RQF1 GCSE(below grade C) &amp; equivalent</v>
      </c>
      <c r="B26" s="22">
        <f t="shared" ref="B26:F26" si="7">B12/B$15*100</f>
        <v>16.312746656706821</v>
      </c>
      <c r="C26" s="22">
        <f>C12/C$15*100</f>
        <v>14.410329062944319</v>
      </c>
      <c r="D26" s="22">
        <f t="shared" si="7"/>
        <v>13.42074366091042</v>
      </c>
      <c r="E26" s="22">
        <f t="shared" si="7"/>
        <v>11.032432880790044</v>
      </c>
      <c r="F26" s="22">
        <f t="shared" si="7"/>
        <v>9.6536219563196397</v>
      </c>
      <c r="G26" s="13"/>
    </row>
    <row r="27" spans="1:7" s="286" customFormat="1" x14ac:dyDescent="0.2">
      <c r="A27" s="18" t="str">
        <f t="shared" si="2"/>
        <v>No Qualification</v>
      </c>
      <c r="B27" s="22">
        <f t="shared" ref="B27:F27" si="8">B13/B$15*100</f>
        <v>10.123382126201232</v>
      </c>
      <c r="C27" s="22">
        <f>C13/C$15*100</f>
        <v>6.5216099442566939</v>
      </c>
      <c r="D27" s="22">
        <f t="shared" si="8"/>
        <v>5.5578973106191203</v>
      </c>
      <c r="E27" s="22">
        <f t="shared" si="8"/>
        <v>3.7315110696692675</v>
      </c>
      <c r="F27" s="22">
        <f t="shared" si="8"/>
        <v>2.9565697118620724</v>
      </c>
      <c r="G27" s="13"/>
    </row>
    <row r="28" spans="1:7" s="286" customFormat="1" x14ac:dyDescent="0.2">
      <c r="A28" s="18"/>
      <c r="B28" s="22"/>
      <c r="C28" s="22"/>
      <c r="D28" s="22"/>
      <c r="E28" s="22"/>
      <c r="F28" s="22"/>
      <c r="G28" s="13"/>
    </row>
    <row r="29" spans="1:7" x14ac:dyDescent="0.2">
      <c r="A29" s="18" t="str">
        <f>$A15</f>
        <v>All qualifications</v>
      </c>
      <c r="B29" s="22">
        <f>B15/B$15*100</f>
        <v>100</v>
      </c>
      <c r="C29" s="22">
        <f>C15/C$15*100</f>
        <v>100</v>
      </c>
      <c r="D29" s="22">
        <f>D15/D$15*100</f>
        <v>100</v>
      </c>
      <c r="E29" s="22">
        <f>E15/E$15*100</f>
        <v>100</v>
      </c>
      <c r="F29" s="22">
        <f>F15/F$15*100</f>
        <v>100</v>
      </c>
      <c r="G29" s="13"/>
    </row>
    <row r="30" spans="1:7" x14ac:dyDescent="0.2">
      <c r="A30" s="18"/>
      <c r="B30" s="22"/>
      <c r="C30" s="22"/>
      <c r="D30" s="22"/>
      <c r="E30" s="22"/>
      <c r="F30" s="22"/>
      <c r="G30" s="13"/>
    </row>
    <row r="32" spans="1:7" x14ac:dyDescent="0.2">
      <c r="A32" s="1" t="s">
        <v>14</v>
      </c>
      <c r="B32" s="24" t="str">
        <f>CONCATENATE(B$3,"-",C$3)</f>
        <v>2007-2012</v>
      </c>
      <c r="C32" s="24" t="str">
        <f>CONCATENATE(C$3,"-",D$3)</f>
        <v>2012-2017</v>
      </c>
      <c r="D32" s="24" t="str">
        <f>CONCATENATE(D$3,"-",E$3)</f>
        <v>2017-2022</v>
      </c>
      <c r="E32" s="24" t="str">
        <f>CONCATENATE(E$3,"-",F$3)</f>
        <v>2022-2027</v>
      </c>
      <c r="F32" s="24" t="str">
        <f>CONCATENATE(D$3,"-",F$3)</f>
        <v>2017-2027</v>
      </c>
    </row>
    <row r="33" spans="1:6" x14ac:dyDescent="0.2">
      <c r="A33" s="18" t="str">
        <f>$A19</f>
        <v>RQF8 Doctorate</v>
      </c>
      <c r="B33" s="22">
        <f t="shared" ref="B33:E35" si="9">IF(C$3-B$3 &lt;&gt; 0,(EXP(LN(C5/B5)/(C$3-B$3))-1)*100,0)</f>
        <v>1.6209235135597355</v>
      </c>
      <c r="C33" s="22">
        <f t="shared" si="9"/>
        <v>10.759096349261954</v>
      </c>
      <c r="D33" s="22">
        <f t="shared" si="9"/>
        <v>4.1366366814250322</v>
      </c>
      <c r="E33" s="22">
        <f t="shared" si="9"/>
        <v>3.082633250415201</v>
      </c>
      <c r="F33" s="22">
        <f>IF(F$3-D$3 &lt;&gt; 0,(EXP(LN(F5/D5)/(F$3-D$3))-1)*100,0)</f>
        <v>3.6082946822457496</v>
      </c>
    </row>
    <row r="34" spans="1:6" x14ac:dyDescent="0.2">
      <c r="A34" s="18" t="str">
        <f>$A20</f>
        <v>RQF7 Other higher degree</v>
      </c>
      <c r="B34" s="22">
        <f t="shared" si="9"/>
        <v>-0.5184903206110536</v>
      </c>
      <c r="C34" s="22">
        <f t="shared" si="9"/>
        <v>10.406336646944458</v>
      </c>
      <c r="D34" s="22">
        <f t="shared" si="9"/>
        <v>3.9305189002570851</v>
      </c>
      <c r="E34" s="22">
        <f t="shared" si="9"/>
        <v>2.7072805159007673</v>
      </c>
      <c r="F34" s="22">
        <f t="shared" ref="F34:F43" si="10">IF(F$3-D$3 &lt;&gt; 0,(EXP(LN(F6/D6)/(F$3-D$3))-1)*100,0)</f>
        <v>3.3170893843406324</v>
      </c>
    </row>
    <row r="35" spans="1:6" x14ac:dyDescent="0.2">
      <c r="A35" s="18" t="str">
        <f>$A21</f>
        <v>RQF6 First degree</v>
      </c>
      <c r="B35" s="22">
        <f t="shared" si="9"/>
        <v>5.7024620595677922</v>
      </c>
      <c r="C35" s="22">
        <f t="shared" si="9"/>
        <v>3.4834471794577437</v>
      </c>
      <c r="D35" s="22">
        <f t="shared" si="9"/>
        <v>3.966023320726153</v>
      </c>
      <c r="E35" s="22">
        <f t="shared" si="9"/>
        <v>1.6477307925894413</v>
      </c>
      <c r="F35" s="22">
        <f t="shared" si="10"/>
        <v>2.8003421690864228</v>
      </c>
    </row>
    <row r="36" spans="1:6" s="286" customFormat="1" x14ac:dyDescent="0.2">
      <c r="A36" s="18" t="str">
        <f t="shared" ref="A36:A41" si="11">$A22</f>
        <v>RQF5 Foundation degree;Nursing;Teaching</v>
      </c>
      <c r="B36" s="22">
        <f>IF(C$3-B$3 &lt;&gt; 0,(EXP(LN(C8/B8)/(C$3-B$3))-1)*100,0)</f>
        <v>1.4792446721711094</v>
      </c>
      <c r="C36" s="22">
        <f t="shared" ref="C36:E36" si="12">IF(D$3-C$3 &lt;&gt; 0,(EXP(LN(D8/C8)/(D$3-C$3))-1)*100,0)</f>
        <v>8.1061501942247816E-2</v>
      </c>
      <c r="D36" s="22">
        <f t="shared" si="12"/>
        <v>1.038172331345133</v>
      </c>
      <c r="E36" s="22">
        <f t="shared" si="12"/>
        <v>-0.20586505574308189</v>
      </c>
      <c r="F36" s="22">
        <f t="shared" si="10"/>
        <v>0.4142271003235054</v>
      </c>
    </row>
    <row r="37" spans="1:6" s="286" customFormat="1" x14ac:dyDescent="0.2">
      <c r="A37" s="18" t="str">
        <f t="shared" si="11"/>
        <v>RQF4 HE below degree level</v>
      </c>
      <c r="B37" s="22">
        <f t="shared" ref="B37:E37" si="13">IF(C$3-B$3 &lt;&gt; 0,(EXP(LN(C9/B9)/(C$3-B$3))-1)*100,0)</f>
        <v>2.0521044720266168</v>
      </c>
      <c r="C37" s="22">
        <f t="shared" si="13"/>
        <v>2.2610988609963911</v>
      </c>
      <c r="D37" s="22">
        <f t="shared" si="13"/>
        <v>3.5261624155197735</v>
      </c>
      <c r="E37" s="22">
        <f t="shared" si="13"/>
        <v>1.3544095384054433</v>
      </c>
      <c r="F37" s="22">
        <f t="shared" si="10"/>
        <v>2.4345306203043426</v>
      </c>
    </row>
    <row r="38" spans="1:6" s="286" customFormat="1" x14ac:dyDescent="0.2">
      <c r="A38" s="18" t="str">
        <f t="shared" si="11"/>
        <v>RQF3 A level &amp; equivalent</v>
      </c>
      <c r="B38" s="22">
        <f t="shared" ref="B38:E38" si="14">IF(C$3-B$3 &lt;&gt; 0,(EXP(LN(C10/B10)/(C$3-B$3))-1)*100,0)</f>
        <v>-1.3611850263006708E-2</v>
      </c>
      <c r="C38" s="22">
        <f t="shared" si="14"/>
        <v>2.8788465118811279</v>
      </c>
      <c r="D38" s="22">
        <f t="shared" si="14"/>
        <v>-0.74773754140919912</v>
      </c>
      <c r="E38" s="22">
        <f t="shared" si="14"/>
        <v>0.55861658846472206</v>
      </c>
      <c r="F38" s="22">
        <f t="shared" si="10"/>
        <v>-9.6695719755579557E-2</v>
      </c>
    </row>
    <row r="39" spans="1:6" s="286" customFormat="1" x14ac:dyDescent="0.2">
      <c r="A39" s="18" t="str">
        <f t="shared" si="11"/>
        <v>RQF2 GCSE(A-C) &amp; equivalent</v>
      </c>
      <c r="B39" s="22">
        <f t="shared" ref="B39:E39" si="15">IF(C$3-B$3 &lt;&gt; 0,(EXP(LN(C11/B11)/(C$3-B$3))-1)*100,0)</f>
        <v>-1.6593252872440067</v>
      </c>
      <c r="C39" s="22">
        <f t="shared" si="15"/>
        <v>0.39111714155961597</v>
      </c>
      <c r="D39" s="22">
        <f t="shared" si="15"/>
        <v>-1.3476822355615981</v>
      </c>
      <c r="E39" s="22">
        <f t="shared" si="15"/>
        <v>-1.2514061995664849</v>
      </c>
      <c r="F39" s="22">
        <f t="shared" si="10"/>
        <v>-1.2995559564607739</v>
      </c>
    </row>
    <row r="40" spans="1:6" s="286" customFormat="1" x14ac:dyDescent="0.2">
      <c r="A40" s="18" t="str">
        <f t="shared" si="11"/>
        <v>RQF1 GCSE(below grade C) &amp; equivalent</v>
      </c>
      <c r="B40" s="22">
        <f t="shared" ref="B40:E40" si="16">IF(C$3-B$3 &lt;&gt; 0,(EXP(LN(C12/B12)/(C$3-B$3))-1)*100,0)</f>
        <v>-3.1674547522423047</v>
      </c>
      <c r="C40" s="22">
        <f t="shared" si="16"/>
        <v>0.9655107112330974</v>
      </c>
      <c r="D40" s="22">
        <f t="shared" si="16"/>
        <v>-3.636558187903649</v>
      </c>
      <c r="E40" s="22">
        <f t="shared" si="16"/>
        <v>-2.348269668954317</v>
      </c>
      <c r="F40" s="22">
        <f t="shared" si="10"/>
        <v>-2.9945525570535536</v>
      </c>
    </row>
    <row r="41" spans="1:6" s="286" customFormat="1" x14ac:dyDescent="0.2">
      <c r="A41" s="18" t="str">
        <f t="shared" si="11"/>
        <v>No Qualification</v>
      </c>
      <c r="B41" s="22">
        <f t="shared" ref="B41:E41" si="17">IF(C$3-B$3 &lt;&gt; 0,(EXP(LN(C13/B13)/(C$3-B$3))-1)*100,0)</f>
        <v>-9.0928957318936128</v>
      </c>
      <c r="C41" s="22">
        <f t="shared" si="17"/>
        <v>-0.81096858227074353</v>
      </c>
      <c r="D41" s="22">
        <f t="shared" si="17"/>
        <v>-7.4602751315302474</v>
      </c>
      <c r="E41" s="22">
        <f t="shared" si="17"/>
        <v>-4.2680683043720302</v>
      </c>
      <c r="F41" s="22">
        <f t="shared" si="10"/>
        <v>-5.877703915381705</v>
      </c>
    </row>
    <row r="42" spans="1:6" x14ac:dyDescent="0.2">
      <c r="A42" s="18"/>
      <c r="B42" s="22"/>
      <c r="C42" s="22"/>
      <c r="D42" s="22"/>
      <c r="E42" s="22"/>
      <c r="F42" s="22"/>
    </row>
    <row r="43" spans="1:6" x14ac:dyDescent="0.2">
      <c r="A43" s="18" t="str">
        <f>$A29</f>
        <v>All qualifications</v>
      </c>
      <c r="B43" s="22">
        <f>IF(C$3-B$3 &lt;&gt; 0,(EXP(LN(C15/B15)/(C$3-B$3))-1)*100,0)</f>
        <v>-0.73595101326735524</v>
      </c>
      <c r="C43" s="22">
        <f t="shared" ref="C43" si="18">IF(D$3-C$3 &lt;&gt; 0,(EXP(LN(D15/C15)/(D$3-C$3))-1)*100,0)</f>
        <v>2.4123919723172182</v>
      </c>
      <c r="D43" s="22">
        <f>IF(E$3-D$3 &lt;&gt; 0,(EXP(LN(E15/D15)/(E$3-D$3))-1)*100,0)</f>
        <v>0.21514536510913729</v>
      </c>
      <c r="E43" s="22">
        <f>IF(F$3-E$3 &lt;&gt; 0,(EXP(LN(F15/E15)/(F$3-E$3))-1)*100,0)</f>
        <v>0.29427525578473723</v>
      </c>
      <c r="F43" s="22">
        <f t="shared" si="10"/>
        <v>0.25470250340746681</v>
      </c>
    </row>
    <row r="44" spans="1:6" x14ac:dyDescent="0.2">
      <c r="A44" s="18"/>
      <c r="B44" s="22"/>
      <c r="C44" s="22"/>
      <c r="D44" s="22"/>
      <c r="E44" s="22"/>
      <c r="F44" s="22"/>
    </row>
    <row r="46" spans="1:6" x14ac:dyDescent="0.2">
      <c r="A46" s="1" t="s">
        <v>15</v>
      </c>
      <c r="B46" s="24" t="str">
        <f>CONCATENATE(B$3,"-",C$3)</f>
        <v>2007-2012</v>
      </c>
      <c r="C46" s="24" t="str">
        <f>CONCATENATE(C$3,"-",D$3)</f>
        <v>2012-2017</v>
      </c>
      <c r="D46" s="24" t="str">
        <f>CONCATENATE(D$3,"-",E$3)</f>
        <v>2017-2022</v>
      </c>
      <c r="E46" s="24" t="str">
        <f>CONCATENATE(E$3,"-",F$3)</f>
        <v>2022-2027</v>
      </c>
      <c r="F46" s="24" t="str">
        <f>CONCATENATE(D$3,"-",F$3)</f>
        <v>2017-2027</v>
      </c>
    </row>
    <row r="47" spans="1:6" x14ac:dyDescent="0.2">
      <c r="A47" s="18" t="str">
        <f>$A33</f>
        <v>RQF8 Doctorate</v>
      </c>
      <c r="B47" s="31">
        <f>C5-B5</f>
        <v>1.1261068292940912</v>
      </c>
      <c r="C47" s="31">
        <f>D5-C5</f>
        <v>9.7210595770952271</v>
      </c>
      <c r="D47" s="31">
        <f>E5-D5</f>
        <v>5.4590739705929501</v>
      </c>
      <c r="E47" s="31">
        <f>F5-E5</f>
        <v>4.8782276973410141</v>
      </c>
      <c r="F47" s="31">
        <f>F5-D5</f>
        <v>10.337301667933964</v>
      </c>
    </row>
    <row r="48" spans="1:6" s="286" customFormat="1" x14ac:dyDescent="0.2">
      <c r="A48" s="18" t="str">
        <f t="shared" ref="A48:A55" si="19">$A34</f>
        <v>RQF7 Other higher degree</v>
      </c>
      <c r="B48" s="31">
        <f t="shared" ref="B48:E48" si="20">C6-B6</f>
        <v>-2.3546053800595814</v>
      </c>
      <c r="C48" s="31">
        <f t="shared" si="20"/>
        <v>57.269844600604529</v>
      </c>
      <c r="D48" s="31">
        <f t="shared" si="20"/>
        <v>31.184889060058993</v>
      </c>
      <c r="E48" s="31">
        <f t="shared" si="20"/>
        <v>25.416976891059903</v>
      </c>
      <c r="F48" s="31">
        <f t="shared" ref="F48:F57" si="21">F6-D6</f>
        <v>56.601865951118896</v>
      </c>
    </row>
    <row r="49" spans="1:6" s="286" customFormat="1" x14ac:dyDescent="0.2">
      <c r="A49" s="18" t="str">
        <f t="shared" si="19"/>
        <v>RQF6 First degree</v>
      </c>
      <c r="B49" s="31">
        <f t="shared" ref="B49:E49" si="22">C7-B7</f>
        <v>53.268997618332321</v>
      </c>
      <c r="C49" s="31">
        <f t="shared" si="22"/>
        <v>41.076429195508837</v>
      </c>
      <c r="D49" s="31">
        <f t="shared" si="22"/>
        <v>56.037910281222025</v>
      </c>
      <c r="E49" s="31">
        <f t="shared" si="22"/>
        <v>26.998636437348239</v>
      </c>
      <c r="F49" s="31">
        <f t="shared" si="21"/>
        <v>83.036546718570264</v>
      </c>
    </row>
    <row r="50" spans="1:6" s="286" customFormat="1" x14ac:dyDescent="0.2">
      <c r="A50" s="18" t="str">
        <f t="shared" si="19"/>
        <v>RQF5 Foundation degree;Nursing;Teaching</v>
      </c>
      <c r="B50" s="31">
        <f t="shared" ref="B50:E50" si="23">C8-B8</f>
        <v>6.0905553164808879</v>
      </c>
      <c r="C50" s="31">
        <f t="shared" si="23"/>
        <v>0.34927994846005106</v>
      </c>
      <c r="D50" s="31">
        <f t="shared" si="23"/>
        <v>4.5782675768776357</v>
      </c>
      <c r="E50" s="31">
        <f t="shared" si="23"/>
        <v>-0.93247319162205144</v>
      </c>
      <c r="F50" s="31">
        <f t="shared" si="21"/>
        <v>3.6457943852555843</v>
      </c>
    </row>
    <row r="51" spans="1:6" s="286" customFormat="1" x14ac:dyDescent="0.2">
      <c r="A51" s="18" t="str">
        <f t="shared" si="19"/>
        <v>RQF4 HE below degree level</v>
      </c>
      <c r="B51" s="31">
        <f t="shared" ref="B51:E51" si="24">C9-B9</f>
        <v>6.5068029101119862</v>
      </c>
      <c r="C51" s="31">
        <f t="shared" si="24"/>
        <v>7.9691582033969581</v>
      </c>
      <c r="D51" s="31">
        <f t="shared" si="24"/>
        <v>14.25381525937371</v>
      </c>
      <c r="E51" s="31">
        <f t="shared" si="24"/>
        <v>6.2340695807485957</v>
      </c>
      <c r="F51" s="31">
        <f t="shared" si="21"/>
        <v>20.487884840122305</v>
      </c>
    </row>
    <row r="52" spans="1:6" s="286" customFormat="1" x14ac:dyDescent="0.2">
      <c r="A52" s="18" t="str">
        <f t="shared" si="19"/>
        <v>RQF3 A level &amp; equivalent</v>
      </c>
      <c r="B52" s="31">
        <f t="shared" ref="B52:E52" si="25">C10-B10</f>
        <v>-0.19306952580944881</v>
      </c>
      <c r="C52" s="31">
        <f t="shared" si="25"/>
        <v>43.235417766235287</v>
      </c>
      <c r="D52" s="31">
        <f t="shared" si="25"/>
        <v>-12.036607869347449</v>
      </c>
      <c r="E52" s="31">
        <f t="shared" si="25"/>
        <v>8.8903240902774883</v>
      </c>
      <c r="F52" s="31">
        <f t="shared" si="21"/>
        <v>-3.1462837790699609</v>
      </c>
    </row>
    <row r="53" spans="1:6" s="286" customFormat="1" x14ac:dyDescent="0.2">
      <c r="A53" s="18" t="str">
        <f t="shared" si="19"/>
        <v>RQF2 GCSE(A-C) &amp; equivalent</v>
      </c>
      <c r="B53" s="31">
        <f t="shared" ref="B53:E53" si="26">C11-B11</f>
        <v>-27.287651892523456</v>
      </c>
      <c r="C53" s="31">
        <f>D11-C11</f>
        <v>6.1633473347292806</v>
      </c>
      <c r="D53" s="31">
        <f t="shared" si="26"/>
        <v>-20.91563614478099</v>
      </c>
      <c r="E53" s="31">
        <f t="shared" si="26"/>
        <v>-18.182538417470994</v>
      </c>
      <c r="F53" s="31">
        <f t="shared" si="21"/>
        <v>-39.098174562251984</v>
      </c>
    </row>
    <row r="54" spans="1:6" x14ac:dyDescent="0.2">
      <c r="A54" s="18" t="str">
        <f t="shared" si="19"/>
        <v>RQF1 GCSE(below grade C) &amp; equivalent</v>
      </c>
      <c r="B54" s="31">
        <f t="shared" ref="B54:E54" si="27">C12-B12</f>
        <v>-34.166529113449855</v>
      </c>
      <c r="C54" s="31">
        <f t="shared" si="27"/>
        <v>9.6304801537865217</v>
      </c>
      <c r="D54" s="31">
        <f t="shared" si="27"/>
        <v>-34.712092807635031</v>
      </c>
      <c r="E54" s="31">
        <f t="shared" si="27"/>
        <v>-19.111046158799439</v>
      </c>
      <c r="F54" s="31">
        <f t="shared" si="21"/>
        <v>-53.82313896643447</v>
      </c>
    </row>
    <row r="55" spans="1:6" x14ac:dyDescent="0.2">
      <c r="A55" s="18" t="str">
        <f t="shared" si="19"/>
        <v>No Qualification</v>
      </c>
      <c r="B55" s="31">
        <f t="shared" ref="B55:E55" si="28">C13-B13</f>
        <v>-54.079606763332023</v>
      </c>
      <c r="C55" s="31">
        <f t="shared" si="28"/>
        <v>-3.5330167799645977</v>
      </c>
      <c r="D55" s="31">
        <f t="shared" si="28"/>
        <v>-27.322619325036065</v>
      </c>
      <c r="E55" s="31">
        <f t="shared" si="28"/>
        <v>-11.306176929164501</v>
      </c>
      <c r="F55" s="31">
        <f t="shared" si="21"/>
        <v>-38.628796254200566</v>
      </c>
    </row>
    <row r="56" spans="1:6" x14ac:dyDescent="0.2">
      <c r="A56" s="18"/>
      <c r="B56" s="25"/>
      <c r="C56" s="31"/>
      <c r="D56" s="25"/>
      <c r="E56" s="25"/>
      <c r="F56" s="31"/>
    </row>
    <row r="57" spans="1:6" x14ac:dyDescent="0.2">
      <c r="A57" s="28" t="str">
        <f>$A43</f>
        <v>All qualifications</v>
      </c>
      <c r="B57" s="33">
        <f>C15-B15</f>
        <v>-51.089000000954911</v>
      </c>
      <c r="C57" s="33">
        <f t="shared" ref="C57" si="29">D15-C15</f>
        <v>171.88199999985204</v>
      </c>
      <c r="D57" s="33">
        <f>E15-D15</f>
        <v>16.52700000132586</v>
      </c>
      <c r="E57" s="33">
        <f>F15-E15</f>
        <v>22.885999999718024</v>
      </c>
      <c r="F57" s="33">
        <f t="shared" si="21"/>
        <v>39.413000001043883</v>
      </c>
    </row>
  </sheetData>
  <phoneticPr fontId="5" type="noConversion"/>
  <pageMargins left="0.74803149606299213" right="0.74803149606299213" top="0.78740157480314965" bottom="0.78740157480314965" header="0.51181102362204722" footer="0.51181102362204722"/>
  <pageSetup paperSize="9" scale="92" orientation="portrait" r:id="rId1"/>
  <headerFooter alignWithMargins="0"/>
  <ignoredErrors>
    <ignoredError sqref="C44:C45" 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P52"/>
  <sheetViews>
    <sheetView zoomScale="75" zoomScaleNormal="75" workbookViewId="0"/>
  </sheetViews>
  <sheetFormatPr defaultRowHeight="12.75" x14ac:dyDescent="0.2"/>
  <cols>
    <col min="1" max="1" width="17" style="104" customWidth="1"/>
    <col min="2" max="8" width="9.140625" style="104"/>
    <col min="9" max="9" width="31.85546875" style="104" customWidth="1"/>
    <col min="10" max="10" width="11.28515625" style="104" customWidth="1"/>
    <col min="11" max="11" width="6.140625" style="104" customWidth="1"/>
    <col min="12" max="12" width="27.140625" customWidth="1"/>
    <col min="13" max="33" width="4.140625" customWidth="1"/>
    <col min="34" max="37" width="6.42578125" customWidth="1"/>
    <col min="38" max="38" width="7.140625" customWidth="1"/>
    <col min="39" max="68" width="6.28515625" customWidth="1"/>
  </cols>
  <sheetData>
    <row r="1" spans="1:68" ht="15.75" x14ac:dyDescent="0.25">
      <c r="A1" s="103" t="str">
        <f>CONCATENATE("Qualification Figure 1  Employment by Qualification, ",$M$2,"-",$O$2,", ",Info!B5)</f>
        <v>Qualification Figure 1  Employment by Qualification, 2007-2027, Wales</v>
      </c>
      <c r="H1" s="286"/>
      <c r="L1" s="56"/>
    </row>
    <row r="2" spans="1:68" x14ac:dyDescent="0.2">
      <c r="A2" s="286"/>
      <c r="L2" s="19" t="s">
        <v>28</v>
      </c>
      <c r="M2" s="19">
        <f>M4</f>
        <v>2007</v>
      </c>
      <c r="N2" s="58" t="s">
        <v>27</v>
      </c>
      <c r="O2" s="59">
        <f>MAX(M4:BP4)</f>
        <v>2027</v>
      </c>
    </row>
    <row r="3" spans="1:68" x14ac:dyDescent="0.2">
      <c r="L3" s="19"/>
      <c r="M3" s="19"/>
      <c r="N3" s="58"/>
      <c r="O3" s="19"/>
    </row>
    <row r="4" spans="1:68" x14ac:dyDescent="0.2">
      <c r="L4" s="15"/>
      <c r="M4" s="59">
        <v>2007</v>
      </c>
      <c r="N4" s="59">
        <v>2008</v>
      </c>
      <c r="O4" s="59">
        <v>2009</v>
      </c>
      <c r="P4" s="59">
        <v>2010</v>
      </c>
      <c r="Q4" s="59">
        <v>2011</v>
      </c>
      <c r="R4" s="59">
        <v>2012</v>
      </c>
      <c r="S4" s="59">
        <v>2013</v>
      </c>
      <c r="T4" s="59">
        <v>2014</v>
      </c>
      <c r="U4" s="59">
        <v>2015</v>
      </c>
      <c r="V4" s="59">
        <v>2016</v>
      </c>
      <c r="W4" s="59">
        <v>2017</v>
      </c>
      <c r="X4" s="59">
        <v>2018</v>
      </c>
      <c r="Y4" s="59">
        <v>2019</v>
      </c>
      <c r="Z4" s="59">
        <v>2020</v>
      </c>
      <c r="AA4" s="59">
        <v>2021</v>
      </c>
      <c r="AB4" s="59">
        <v>2022</v>
      </c>
      <c r="AC4" s="59">
        <v>2023</v>
      </c>
      <c r="AD4" s="59">
        <v>2024</v>
      </c>
      <c r="AE4" s="59">
        <v>2025</v>
      </c>
      <c r="AF4" s="59">
        <v>2026</v>
      </c>
      <c r="AG4" s="59">
        <v>2027</v>
      </c>
      <c r="AH4" s="59"/>
      <c r="AI4" s="59"/>
      <c r="AJ4" s="59"/>
      <c r="AK4" s="59"/>
      <c r="AL4" s="59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</row>
    <row r="5" spans="1:68" x14ac:dyDescent="0.2">
      <c r="L5" s="21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</row>
    <row r="6" spans="1:68" x14ac:dyDescent="0.2">
      <c r="L6" s="338" t="str">
        <f>name!F12</f>
        <v>No Qualification</v>
      </c>
      <c r="M6" s="13">
        <v>142.6351134422703</v>
      </c>
      <c r="N6" s="13">
        <v>132.23530246759049</v>
      </c>
      <c r="O6" s="13">
        <v>114.82257771914942</v>
      </c>
      <c r="P6" s="13">
        <v>105.32604926831235</v>
      </c>
      <c r="Q6" s="13">
        <v>100.54864853474689</v>
      </c>
      <c r="R6" s="13">
        <v>88.555506678938272</v>
      </c>
      <c r="S6" s="13">
        <v>77.579309401582861</v>
      </c>
      <c r="T6" s="13">
        <v>95.329747546321229</v>
      </c>
      <c r="U6" s="13">
        <v>87.417511074259096</v>
      </c>
      <c r="V6" s="13">
        <v>86.327092157993391</v>
      </c>
      <c r="W6" s="13">
        <v>85.022489898973674</v>
      </c>
      <c r="X6" s="13">
        <v>76.766545714782609</v>
      </c>
      <c r="Y6" s="13">
        <v>68.323791849379433</v>
      </c>
      <c r="Z6" s="13">
        <v>66.635709121650592</v>
      </c>
      <c r="AA6" s="13">
        <v>61.077171206038891</v>
      </c>
      <c r="AB6" s="13">
        <v>57.699870573937609</v>
      </c>
      <c r="AC6" s="13">
        <v>54.640805434035912</v>
      </c>
      <c r="AD6" s="13">
        <v>52.028592535675187</v>
      </c>
      <c r="AE6" s="13">
        <v>49.605252736418485</v>
      </c>
      <c r="AF6" s="13">
        <v>47.632207285923954</v>
      </c>
      <c r="AG6" s="13">
        <v>46.393693644773109</v>
      </c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</row>
    <row r="7" spans="1:68" x14ac:dyDescent="0.2">
      <c r="L7" s="338" t="str">
        <f>name!F11</f>
        <v>RQF1 GCSE(below grade C) &amp; equivalent</v>
      </c>
      <c r="M7" s="13">
        <v>229.84121718691915</v>
      </c>
      <c r="N7" s="13">
        <v>207.01925016275197</v>
      </c>
      <c r="O7" s="13">
        <v>212.6269723242182</v>
      </c>
      <c r="P7" s="13">
        <v>187.39717169068138</v>
      </c>
      <c r="Q7" s="13">
        <v>199.63985983065942</v>
      </c>
      <c r="R7" s="13">
        <v>195.6746880734693</v>
      </c>
      <c r="S7" s="13">
        <v>190.33206546168435</v>
      </c>
      <c r="T7" s="13">
        <v>182.33005548154802</v>
      </c>
      <c r="U7" s="13">
        <v>191.54674778883415</v>
      </c>
      <c r="V7" s="13">
        <v>187.43144032911474</v>
      </c>
      <c r="W7" s="13">
        <v>205.30516822725582</v>
      </c>
      <c r="X7" s="13">
        <v>184.84246995775405</v>
      </c>
      <c r="Y7" s="13">
        <v>175.09710225612631</v>
      </c>
      <c r="Z7" s="13">
        <v>179.23542289962148</v>
      </c>
      <c r="AA7" s="13">
        <v>175.18890239164173</v>
      </c>
      <c r="AB7" s="13">
        <v>170.59307541962079</v>
      </c>
      <c r="AC7" s="13">
        <v>166.22585843866733</v>
      </c>
      <c r="AD7" s="13">
        <v>162.22807900239386</v>
      </c>
      <c r="AE7" s="13">
        <v>158.43000982631273</v>
      </c>
      <c r="AF7" s="13">
        <v>154.82229582509862</v>
      </c>
      <c r="AG7" s="13">
        <v>151.48202926082135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</row>
    <row r="8" spans="1:68" x14ac:dyDescent="0.2">
      <c r="L8" s="338" t="str">
        <f>name!F10</f>
        <v>RQF2 GCSE(A-C) &amp; equivalent</v>
      </c>
      <c r="M8" s="13">
        <v>339.99824750291674</v>
      </c>
      <c r="N8" s="13">
        <v>336.40109263438859</v>
      </c>
      <c r="O8" s="13">
        <v>310.11426921412698</v>
      </c>
      <c r="P8" s="13">
        <v>311.36782478164446</v>
      </c>
      <c r="Q8" s="13">
        <v>330.23491276921965</v>
      </c>
      <c r="R8" s="13">
        <v>312.71059561039328</v>
      </c>
      <c r="S8" s="13">
        <v>310.90937400270445</v>
      </c>
      <c r="T8" s="13">
        <v>291.28158852364447</v>
      </c>
      <c r="U8" s="13">
        <v>292.48012971789188</v>
      </c>
      <c r="V8" s="13">
        <v>329.42130495888318</v>
      </c>
      <c r="W8" s="13">
        <v>318.87394294512256</v>
      </c>
      <c r="X8" s="13">
        <v>305.14123949928739</v>
      </c>
      <c r="Y8" s="13">
        <v>325.98304259944422</v>
      </c>
      <c r="Z8" s="13">
        <v>296.63387421480491</v>
      </c>
      <c r="AA8" s="13">
        <v>301.59610012514486</v>
      </c>
      <c r="AB8" s="13">
        <v>297.95830680034157</v>
      </c>
      <c r="AC8" s="13">
        <v>294.72016650126199</v>
      </c>
      <c r="AD8" s="13">
        <v>291.57376675205637</v>
      </c>
      <c r="AE8" s="13">
        <v>287.976310886948</v>
      </c>
      <c r="AF8" s="13">
        <v>283.97989512234642</v>
      </c>
      <c r="AG8" s="13">
        <v>279.77576838287058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</row>
    <row r="9" spans="1:68" x14ac:dyDescent="0.2">
      <c r="L9" s="338" t="str">
        <f>name!F9</f>
        <v>RQF3 A level &amp; equivalent</v>
      </c>
      <c r="M9" s="13">
        <v>283.75583025438806</v>
      </c>
      <c r="N9" s="13">
        <v>292.98490060675124</v>
      </c>
      <c r="O9" s="13">
        <v>255.6177327743211</v>
      </c>
      <c r="P9" s="13">
        <v>281.3750970539096</v>
      </c>
      <c r="Q9" s="13">
        <v>263.90139842710909</v>
      </c>
      <c r="R9" s="13">
        <v>283.56276072857861</v>
      </c>
      <c r="S9" s="13">
        <v>300.11323642724864</v>
      </c>
      <c r="T9" s="13">
        <v>299.30311879841622</v>
      </c>
      <c r="U9" s="13">
        <v>292.69650618066635</v>
      </c>
      <c r="V9" s="13">
        <v>296.18927935946289</v>
      </c>
      <c r="W9" s="13">
        <v>326.7981784948139</v>
      </c>
      <c r="X9" s="13">
        <v>310.47755021992191</v>
      </c>
      <c r="Y9" s="13">
        <v>310.28318081999174</v>
      </c>
      <c r="Z9" s="13">
        <v>324.54644787118048</v>
      </c>
      <c r="AA9" s="13">
        <v>314.54695583155166</v>
      </c>
      <c r="AB9" s="13">
        <v>314.76157062546645</v>
      </c>
      <c r="AC9" s="13">
        <v>315.81124145637995</v>
      </c>
      <c r="AD9" s="13">
        <v>317.42394736272263</v>
      </c>
      <c r="AE9" s="13">
        <v>319.51491360922853</v>
      </c>
      <c r="AF9" s="13">
        <v>321.82767360696027</v>
      </c>
      <c r="AG9" s="13">
        <v>323.65189471574394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</row>
    <row r="10" spans="1:68" x14ac:dyDescent="0.2">
      <c r="L10" s="338" t="str">
        <f>name!F8</f>
        <v>RQF4 HE below degree level</v>
      </c>
      <c r="M10" s="13">
        <v>60.8660423341571</v>
      </c>
      <c r="N10" s="13">
        <v>59.583821804279026</v>
      </c>
      <c r="O10" s="13">
        <v>72.712934295273328</v>
      </c>
      <c r="P10" s="13">
        <v>68.208639968710145</v>
      </c>
      <c r="Q10" s="13">
        <v>67.831475537291382</v>
      </c>
      <c r="R10" s="13">
        <v>67.372845244269087</v>
      </c>
      <c r="S10" s="13">
        <v>65.26741244681871</v>
      </c>
      <c r="T10" s="13">
        <v>76.085838054033488</v>
      </c>
      <c r="U10" s="13">
        <v>78.412374123732462</v>
      </c>
      <c r="V10" s="13">
        <v>74.92495309458765</v>
      </c>
      <c r="W10" s="13">
        <v>75.342003447666045</v>
      </c>
      <c r="X10" s="13">
        <v>86.484848987981152</v>
      </c>
      <c r="Y10" s="13">
        <v>84.719472752724698</v>
      </c>
      <c r="Z10" s="13">
        <v>88.427863211445668</v>
      </c>
      <c r="AA10" s="13">
        <v>88.207972865710047</v>
      </c>
      <c r="AB10" s="13">
        <v>89.595818707039754</v>
      </c>
      <c r="AC10" s="13">
        <v>90.971551848641226</v>
      </c>
      <c r="AD10" s="13">
        <v>92.197465332288786</v>
      </c>
      <c r="AE10" s="13">
        <v>93.407336751685733</v>
      </c>
      <c r="AF10" s="13">
        <v>94.648407170035341</v>
      </c>
      <c r="AG10" s="13">
        <v>95.82988828778835</v>
      </c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</row>
    <row r="11" spans="1:68" x14ac:dyDescent="0.2">
      <c r="L11" s="338" t="str">
        <f>name!F7</f>
        <v>RQF5 Foundation degree;Nursing;Teaching</v>
      </c>
      <c r="M11" s="13">
        <v>79.946376098743087</v>
      </c>
      <c r="N11" s="13">
        <v>85.379426007975056</v>
      </c>
      <c r="O11" s="13">
        <v>92.11962236483491</v>
      </c>
      <c r="P11" s="13">
        <v>90.110135761995636</v>
      </c>
      <c r="Q11" s="13">
        <v>85.855390665229478</v>
      </c>
      <c r="R11" s="13">
        <v>86.036931415223975</v>
      </c>
      <c r="S11" s="13">
        <v>82.865690701873376</v>
      </c>
      <c r="T11" s="13">
        <v>90.216709099773439</v>
      </c>
      <c r="U11" s="13">
        <v>91.79524350815457</v>
      </c>
      <c r="V11" s="13">
        <v>85.079152339858254</v>
      </c>
      <c r="W11" s="13">
        <v>86.386211363684026</v>
      </c>
      <c r="X11" s="13">
        <v>97.145105342946451</v>
      </c>
      <c r="Y11" s="13">
        <v>92.604401175627501</v>
      </c>
      <c r="Z11" s="13">
        <v>93.712275777659926</v>
      </c>
      <c r="AA11" s="13">
        <v>91.672708244135933</v>
      </c>
      <c r="AB11" s="13">
        <v>90.964478940561662</v>
      </c>
      <c r="AC11" s="13">
        <v>90.759795618615343</v>
      </c>
      <c r="AD11" s="13">
        <v>90.499391086014853</v>
      </c>
      <c r="AE11" s="13">
        <v>90.30953780678422</v>
      </c>
      <c r="AF11" s="13">
        <v>90.15225523823662</v>
      </c>
      <c r="AG11" s="13">
        <v>90.032005748939611</v>
      </c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</row>
    <row r="12" spans="1:68" x14ac:dyDescent="0.2">
      <c r="L12" s="338" t="str">
        <f>name!F6</f>
        <v>RQF6 First degree</v>
      </c>
      <c r="M12" s="13">
        <v>166.70057077338143</v>
      </c>
      <c r="N12" s="13">
        <v>179.81371409445907</v>
      </c>
      <c r="O12" s="13">
        <v>211.72906855480403</v>
      </c>
      <c r="P12" s="13">
        <v>209.70736470046205</v>
      </c>
      <c r="Q12" s="13">
        <v>211.03924726251634</v>
      </c>
      <c r="R12" s="13">
        <v>219.96956839171375</v>
      </c>
      <c r="S12" s="13">
        <v>216.81686024085795</v>
      </c>
      <c r="T12" s="13">
        <v>240.65443254015986</v>
      </c>
      <c r="U12" s="13">
        <v>255.56542795253966</v>
      </c>
      <c r="V12" s="13">
        <v>248.90379932161275</v>
      </c>
      <c r="W12" s="13">
        <v>261.04599758722259</v>
      </c>
      <c r="X12" s="13">
        <v>299.01202876995643</v>
      </c>
      <c r="Y12" s="13">
        <v>295.34305735628305</v>
      </c>
      <c r="Z12" s="13">
        <v>309.24027779289736</v>
      </c>
      <c r="AA12" s="13">
        <v>310.17086408856397</v>
      </c>
      <c r="AB12" s="13">
        <v>317.08390786844461</v>
      </c>
      <c r="AC12" s="13">
        <v>323.16948834163628</v>
      </c>
      <c r="AD12" s="13">
        <v>328.76526674050808</v>
      </c>
      <c r="AE12" s="13">
        <v>334.18411295535049</v>
      </c>
      <c r="AF12" s="13">
        <v>339.34846887345208</v>
      </c>
      <c r="AG12" s="13">
        <v>344.08254430579285</v>
      </c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</row>
    <row r="13" spans="1:68" x14ac:dyDescent="0.2">
      <c r="L13" s="338" t="str">
        <f>name!F5</f>
        <v>RQF7 Other higher degree</v>
      </c>
      <c r="M13" s="13">
        <v>91.772170629246375</v>
      </c>
      <c r="N13" s="13">
        <v>93.871045769631124</v>
      </c>
      <c r="O13" s="13">
        <v>100.00468913159625</v>
      </c>
      <c r="P13" s="13">
        <v>92.787678416614767</v>
      </c>
      <c r="Q13" s="13">
        <v>91.755040865408986</v>
      </c>
      <c r="R13" s="13">
        <v>89.417565249186794</v>
      </c>
      <c r="S13" s="13">
        <v>108.89146057866176</v>
      </c>
      <c r="T13" s="13">
        <v>131.42182271112071</v>
      </c>
      <c r="U13" s="13">
        <v>129.20036139980928</v>
      </c>
      <c r="V13" s="13">
        <v>140.39944899283074</v>
      </c>
      <c r="W13" s="13">
        <v>146.68740984979132</v>
      </c>
      <c r="X13" s="13">
        <v>148.09805134708753</v>
      </c>
      <c r="Y13" s="13">
        <v>157.3455561588969</v>
      </c>
      <c r="Z13" s="13">
        <v>156.83585617841217</v>
      </c>
      <c r="AA13" s="13">
        <v>172.04974911128647</v>
      </c>
      <c r="AB13" s="13">
        <v>177.87229890985031</v>
      </c>
      <c r="AC13" s="13">
        <v>183.51795724174679</v>
      </c>
      <c r="AD13" s="13">
        <v>188.75436144810416</v>
      </c>
      <c r="AE13" s="13">
        <v>193.82567281880426</v>
      </c>
      <c r="AF13" s="13">
        <v>198.63621850593114</v>
      </c>
      <c r="AG13" s="13">
        <v>203.28927580091022</v>
      </c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</row>
    <row r="14" spans="1:68" x14ac:dyDescent="0.2">
      <c r="L14" s="338" t="str">
        <f>name!F4</f>
        <v>RQF8 Doctorate</v>
      </c>
      <c r="M14" s="13">
        <v>13.451431779919853</v>
      </c>
      <c r="N14" s="13">
        <v>14.899446453882732</v>
      </c>
      <c r="O14" s="13">
        <v>16.881133623087749</v>
      </c>
      <c r="P14" s="13">
        <v>14.62703835875609</v>
      </c>
      <c r="Q14" s="13">
        <v>14.656026108823255</v>
      </c>
      <c r="R14" s="13">
        <v>14.577538609213944</v>
      </c>
      <c r="S14" s="13">
        <v>17.081590738596507</v>
      </c>
      <c r="T14" s="13">
        <v>20.812687244989785</v>
      </c>
      <c r="U14" s="13">
        <v>21.554698254350569</v>
      </c>
      <c r="V14" s="13">
        <v>23.55652944595073</v>
      </c>
      <c r="W14" s="13">
        <v>24.298598186309171</v>
      </c>
      <c r="X14" s="13">
        <v>24.757160161808716</v>
      </c>
      <c r="Y14" s="13">
        <v>26.274395032904195</v>
      </c>
      <c r="Z14" s="13">
        <v>26.104272933764776</v>
      </c>
      <c r="AA14" s="13">
        <v>28.662576137618011</v>
      </c>
      <c r="AB14" s="13">
        <v>29.757672156902121</v>
      </c>
      <c r="AC14" s="13">
        <v>30.809135120978773</v>
      </c>
      <c r="AD14" s="13">
        <v>31.793129742543712</v>
      </c>
      <c r="AE14" s="13">
        <v>32.770852610334863</v>
      </c>
      <c r="AF14" s="13">
        <v>33.712578374215028</v>
      </c>
      <c r="AG14" s="13">
        <v>34.635899854243135</v>
      </c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</row>
    <row r="15" spans="1:68" x14ac:dyDescent="0.2">
      <c r="L15" s="338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</row>
    <row r="16" spans="1:68" x14ac:dyDescent="0.2">
      <c r="L16" s="338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</row>
    <row r="17" spans="48:68" x14ac:dyDescent="0.2"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</row>
    <row r="18" spans="48:68" x14ac:dyDescent="0.2"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</row>
    <row r="19" spans="48:68" x14ac:dyDescent="0.2"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</row>
    <row r="20" spans="48:68" x14ac:dyDescent="0.2"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</row>
    <row r="21" spans="48:68" x14ac:dyDescent="0.2"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</row>
    <row r="22" spans="48:68" x14ac:dyDescent="0.2"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48:68" x14ac:dyDescent="0.2"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48:68" x14ac:dyDescent="0.2"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48:68" x14ac:dyDescent="0.2"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48:68" x14ac:dyDescent="0.2"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</row>
    <row r="27" spans="48:68" x14ac:dyDescent="0.2"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48:68" x14ac:dyDescent="0.2"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48:68" x14ac:dyDescent="0.2"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48:68" x14ac:dyDescent="0.2"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2" spans="48:68" x14ac:dyDescent="0.2"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</row>
    <row r="34" spans="1:58" x14ac:dyDescent="0.2"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</row>
    <row r="35" spans="1:58" x14ac:dyDescent="0.2"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</row>
    <row r="36" spans="1:58" x14ac:dyDescent="0.2"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</row>
    <row r="37" spans="1:58" x14ac:dyDescent="0.2"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</row>
    <row r="38" spans="1:58" x14ac:dyDescent="0.2"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</row>
    <row r="40" spans="1:58" x14ac:dyDescent="0.2"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</row>
    <row r="41" spans="1:58" x14ac:dyDescent="0.2"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</row>
    <row r="42" spans="1:58" x14ac:dyDescent="0.2"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</row>
    <row r="43" spans="1:58" x14ac:dyDescent="0.2"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</row>
    <row r="45" spans="1:58" x14ac:dyDescent="0.2"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</row>
    <row r="46" spans="1:58" x14ac:dyDescent="0.2"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</row>
    <row r="47" spans="1:58" x14ac:dyDescent="0.2"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</row>
    <row r="48" spans="1:58" ht="12.75" customHeight="1" x14ac:dyDescent="0.25">
      <c r="A48" s="10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</row>
    <row r="51" spans="1:1" ht="15.75" x14ac:dyDescent="0.25">
      <c r="A51" s="103" t="str">
        <f>CONCATENATE("Qualification Figure 1.1  Employment by Qualification, ",$M$2,"-",$O$2," ",Info!B6)</f>
        <v xml:space="preserve">Qualification Figure 1.1  Employment by Qualification, 2007-2027 </v>
      </c>
    </row>
    <row r="52" spans="1:1" x14ac:dyDescent="0.2">
      <c r="A52" s="286"/>
    </row>
  </sheetData>
  <phoneticPr fontId="5" type="noConversion"/>
  <conditionalFormatting sqref="L4:AL4">
    <cfRule type="cellIs" dxfId="4" priority="1" stopIfTrue="1" operator="equal">
      <formula>0</formula>
    </cfRule>
  </conditionalFormatting>
  <pageMargins left="0.19685039370078741" right="0.19685039370078741" top="0.78740157480314965" bottom="0.78740157480314965" header="0.51181102362204722" footer="0.51181102362204722"/>
  <pageSetup paperSize="9" scale="80" orientation="portrait" r:id="rId1"/>
  <headerFooter alignWithMargins="0"/>
  <rowBreaks count="1" manualBreakCount="1">
    <brk id="50" max="9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23"/>
  <sheetViews>
    <sheetView zoomScale="85" zoomScaleNormal="85" workbookViewId="0">
      <selection activeCell="A8" sqref="A8"/>
    </sheetView>
  </sheetViews>
  <sheetFormatPr defaultColWidth="9.140625" defaultRowHeight="12.75" x14ac:dyDescent="0.2"/>
  <cols>
    <col min="1" max="1" width="57.85546875" style="123" customWidth="1"/>
    <col min="2" max="6" width="11.7109375" style="123" customWidth="1"/>
    <col min="7" max="7" width="5.7109375" style="123" customWidth="1"/>
    <col min="8" max="12" width="11.7109375" style="123" customWidth="1"/>
    <col min="13" max="16384" width="9.140625" style="123"/>
  </cols>
  <sheetData>
    <row r="1" spans="1:12" ht="15.75" x14ac:dyDescent="0.25">
      <c r="A1" s="23" t="str">
        <f>CONCATENATE("Summary Table 12  Employment Change by ISCED Qualifications in Broad Qualifications, ",B$5,"-",F$5)</f>
        <v>Summary Table 12  Employment Change by ISCED Qualifications in Broad Qualifications, 2008-2020</v>
      </c>
    </row>
    <row r="3" spans="1:12" x14ac:dyDescent="0.2">
      <c r="A3" s="129"/>
      <c r="F3" s="159"/>
      <c r="L3" s="159" t="s">
        <v>19</v>
      </c>
    </row>
    <row r="4" spans="1:12" x14ac:dyDescent="0.2">
      <c r="A4" s="132"/>
      <c r="B4" s="160" t="s">
        <v>17</v>
      </c>
      <c r="C4" s="132"/>
      <c r="D4" s="132"/>
      <c r="E4" s="132"/>
      <c r="F4" s="161"/>
      <c r="H4" s="160" t="s">
        <v>18</v>
      </c>
      <c r="I4" s="132"/>
      <c r="J4" s="132"/>
      <c r="K4" s="132"/>
      <c r="L4" s="132"/>
    </row>
    <row r="5" spans="1:12" x14ac:dyDescent="0.2">
      <c r="A5" s="124"/>
      <c r="B5" s="162">
        <v>2008</v>
      </c>
      <c r="C5" s="162">
        <v>2010</v>
      </c>
      <c r="D5" s="162">
        <v>2012</v>
      </c>
      <c r="E5" s="162">
        <v>2015</v>
      </c>
      <c r="F5" s="162">
        <v>2020</v>
      </c>
      <c r="H5" s="163" t="str">
        <f>CONCATENATE(B$5,"-",C$5)</f>
        <v>2008-2010</v>
      </c>
      <c r="I5" s="163" t="str">
        <f>CONCATENATE(B$5,"-",D$5)</f>
        <v>2008-2012</v>
      </c>
      <c r="J5" s="163" t="str">
        <f>CONCATENATE(D$5,"-",E$5)</f>
        <v>2012-2015</v>
      </c>
      <c r="K5" s="163" t="str">
        <f>CONCATENATE(E$5,"-",F$5)</f>
        <v>2015-2020</v>
      </c>
      <c r="L5" s="163" t="str">
        <f>CONCATENATE(D$5,"-",F$5)</f>
        <v>2012-2020</v>
      </c>
    </row>
    <row r="7" spans="1:12" s="164" customFormat="1" x14ac:dyDescent="0.2">
      <c r="A7" s="164" t="str">
        <f>name!F4</f>
        <v>RQF8 Doctorate</v>
      </c>
      <c r="B7" s="165">
        <v>71325.851049592791</v>
      </c>
      <c r="C7" s="165">
        <v>67875.205285452204</v>
      </c>
      <c r="D7" s="165">
        <v>65953.088065984106</v>
      </c>
      <c r="E7" s="165">
        <v>63161.5699830265</v>
      </c>
      <c r="F7" s="165">
        <v>59517.030027737295</v>
      </c>
      <c r="H7" s="165">
        <f>C7-B7</f>
        <v>-3450.6457641405868</v>
      </c>
      <c r="I7" s="165">
        <f>D7-B7</f>
        <v>-5372.7629836086853</v>
      </c>
      <c r="J7" s="165">
        <f>E7-D7</f>
        <v>-2791.5180829576057</v>
      </c>
      <c r="K7" s="165">
        <f>F7-E7</f>
        <v>-3644.539955289205</v>
      </c>
      <c r="L7" s="165">
        <f>F7-D7</f>
        <v>-6436.0580382468106</v>
      </c>
    </row>
    <row r="8" spans="1:12" s="168" customFormat="1" x14ac:dyDescent="0.2">
      <c r="A8" s="168" t="str">
        <f>name!J4</f>
        <v>SE</v>
      </c>
      <c r="B8" s="169">
        <v>21828.171692536111</v>
      </c>
      <c r="C8" s="169">
        <v>20792.172573048945</v>
      </c>
      <c r="D8" s="169">
        <v>20234.216118009812</v>
      </c>
      <c r="E8" s="169">
        <v>19430.497541178578</v>
      </c>
      <c r="F8" s="169">
        <v>18413.968008235337</v>
      </c>
      <c r="H8" s="169">
        <f>C8-B8</f>
        <v>-1035.9991194871654</v>
      </c>
      <c r="I8" s="169">
        <f>D8-B8</f>
        <v>-1593.9555745262987</v>
      </c>
      <c r="J8" s="169">
        <f t="shared" ref="J8:K10" si="0">E8-D8</f>
        <v>-803.7185768312338</v>
      </c>
      <c r="K8" s="169">
        <f t="shared" si="0"/>
        <v>-1016.5295329432411</v>
      </c>
      <c r="L8" s="169">
        <f>F8-D8</f>
        <v>-1820.2481097744749</v>
      </c>
    </row>
    <row r="9" spans="1:12" s="168" customFormat="1" x14ac:dyDescent="0.2">
      <c r="A9" s="168" t="str">
        <f>name!J5</f>
        <v>FT</v>
      </c>
      <c r="B9" s="169">
        <v>49497.679357056688</v>
      </c>
      <c r="C9" s="169">
        <v>47083.032712403263</v>
      </c>
      <c r="D9" s="169">
        <v>45718.871947974287</v>
      </c>
      <c r="E9" s="169">
        <v>43731.072441847915</v>
      </c>
      <c r="F9" s="169">
        <v>41103.062019501958</v>
      </c>
      <c r="H9" s="169">
        <f>C9-B9</f>
        <v>-2414.646644653425</v>
      </c>
      <c r="I9" s="169">
        <f>D9-B9</f>
        <v>-3778.8074090824011</v>
      </c>
      <c r="J9" s="169">
        <f t="shared" si="0"/>
        <v>-1987.7995061263719</v>
      </c>
      <c r="K9" s="169">
        <f t="shared" si="0"/>
        <v>-2628.0104223459566</v>
      </c>
      <c r="L9" s="169">
        <f>F9-D9</f>
        <v>-4615.8099284723285</v>
      </c>
    </row>
    <row r="10" spans="1:12" s="168" customFormat="1" x14ac:dyDescent="0.2">
      <c r="A10" s="168" t="str">
        <f>name!J6</f>
        <v>PT</v>
      </c>
      <c r="B10" s="169">
        <v>0</v>
      </c>
      <c r="C10" s="169">
        <v>0</v>
      </c>
      <c r="D10" s="169">
        <v>0</v>
      </c>
      <c r="E10" s="169">
        <v>0</v>
      </c>
      <c r="F10" s="169">
        <v>0</v>
      </c>
      <c r="H10" s="169">
        <f>C10-B10</f>
        <v>0</v>
      </c>
      <c r="I10" s="169">
        <f>D10-B10</f>
        <v>0</v>
      </c>
      <c r="J10" s="169">
        <f t="shared" si="0"/>
        <v>0</v>
      </c>
      <c r="K10" s="169">
        <f t="shared" si="0"/>
        <v>0</v>
      </c>
      <c r="L10" s="169">
        <f>F10-D10</f>
        <v>0</v>
      </c>
    </row>
    <row r="11" spans="1:12" s="168" customFormat="1" x14ac:dyDescent="0.2">
      <c r="H11" s="169"/>
      <c r="I11" s="169"/>
      <c r="J11" s="169"/>
      <c r="K11" s="169"/>
      <c r="L11" s="169"/>
    </row>
    <row r="12" spans="1:12" s="164" customFormat="1" x14ac:dyDescent="0.2">
      <c r="A12" s="164" t="str">
        <f>name!F5</f>
        <v>RQF7 Other higher degree</v>
      </c>
      <c r="B12" s="165">
        <v>117603.36216609999</v>
      </c>
      <c r="C12" s="165">
        <v>115939.95604983499</v>
      </c>
      <c r="D12" s="165">
        <v>117782.27837055401</v>
      </c>
      <c r="E12" s="165">
        <v>118889.39584623399</v>
      </c>
      <c r="F12" s="165">
        <v>120707.41471465</v>
      </c>
      <c r="H12" s="165">
        <f>C12-B12</f>
        <v>-1663.4061162650032</v>
      </c>
      <c r="I12" s="165">
        <f>D12-B12</f>
        <v>178.9162044540135</v>
      </c>
      <c r="J12" s="165">
        <f t="shared" ref="J12:K14" si="1">E12-D12</f>
        <v>1107.1174756799883</v>
      </c>
      <c r="K12" s="165">
        <f t="shared" si="1"/>
        <v>1818.0188684160094</v>
      </c>
      <c r="L12" s="165">
        <f>F12-D12</f>
        <v>2925.1363440959976</v>
      </c>
    </row>
    <row r="13" spans="1:12" s="168" customFormat="1" x14ac:dyDescent="0.2">
      <c r="A13" s="168">
        <f>name!J7</f>
        <v>0</v>
      </c>
      <c r="B13" s="169">
        <v>85684.696366442135</v>
      </c>
      <c r="C13" s="169">
        <v>84496.661838978005</v>
      </c>
      <c r="D13" s="169">
        <v>85862.536135946357</v>
      </c>
      <c r="E13" s="169">
        <v>86649.544796460745</v>
      </c>
      <c r="F13" s="169">
        <v>87931.502704386687</v>
      </c>
      <c r="H13" s="169">
        <f>C13-B13</f>
        <v>-1188.0345274641295</v>
      </c>
      <c r="I13" s="169">
        <f>D13-B13</f>
        <v>177.8397695042222</v>
      </c>
      <c r="J13" s="169">
        <f t="shared" si="1"/>
        <v>787.00866051438788</v>
      </c>
      <c r="K13" s="169">
        <f t="shared" si="1"/>
        <v>1281.957907925942</v>
      </c>
      <c r="L13" s="169">
        <f>F13-D13</f>
        <v>2068.9665684403299</v>
      </c>
    </row>
    <row r="14" spans="1:12" s="168" customFormat="1" x14ac:dyDescent="0.2">
      <c r="A14" s="168">
        <f>name!J8</f>
        <v>0</v>
      </c>
      <c r="B14" s="169">
        <v>31918.665799657861</v>
      </c>
      <c r="C14" s="169">
        <v>31443.29421085698</v>
      </c>
      <c r="D14" s="169">
        <v>31919.742234607653</v>
      </c>
      <c r="E14" s="169">
        <v>32239.851049773246</v>
      </c>
      <c r="F14" s="169">
        <v>32775.912010263324</v>
      </c>
      <c r="H14" s="169">
        <f>C14-B14</f>
        <v>-475.371588800881</v>
      </c>
      <c r="I14" s="169">
        <f>D14-B14</f>
        <v>1.0764349497912917</v>
      </c>
      <c r="J14" s="169">
        <f t="shared" si="1"/>
        <v>320.10881516559311</v>
      </c>
      <c r="K14" s="169">
        <f t="shared" si="1"/>
        <v>536.06096049007829</v>
      </c>
      <c r="L14" s="169">
        <f>F14-D14</f>
        <v>856.1697756556714</v>
      </c>
    </row>
    <row r="15" spans="1:12" s="168" customFormat="1" x14ac:dyDescent="0.2">
      <c r="H15" s="169"/>
      <c r="I15" s="169"/>
      <c r="J15" s="169"/>
      <c r="K15" s="169"/>
      <c r="L15" s="169"/>
    </row>
    <row r="16" spans="1:12" s="164" customFormat="1" x14ac:dyDescent="0.2">
      <c r="A16" s="164" t="str">
        <f>name!F6</f>
        <v>RQF6 First degree</v>
      </c>
      <c r="B16" s="165">
        <v>10699.858351711669</v>
      </c>
      <c r="C16" s="165">
        <v>10970.73916072664</v>
      </c>
      <c r="D16" s="165">
        <v>11301.540359819686</v>
      </c>
      <c r="E16" s="165">
        <v>11603.888290360199</v>
      </c>
      <c r="F16" s="165">
        <v>11675.073262162417</v>
      </c>
      <c r="H16" s="165">
        <f>C16-B16</f>
        <v>270.88080901497051</v>
      </c>
      <c r="I16" s="165">
        <f>D16-B16</f>
        <v>601.68200810801682</v>
      </c>
      <c r="J16" s="165">
        <f t="shared" ref="J16:K18" si="2">E16-D16</f>
        <v>302.34793054051261</v>
      </c>
      <c r="K16" s="165">
        <f t="shared" si="2"/>
        <v>71.18497180221857</v>
      </c>
      <c r="L16" s="165">
        <f>F16-D16</f>
        <v>373.53290234273118</v>
      </c>
    </row>
    <row r="17" spans="1:12" s="168" customFormat="1" x14ac:dyDescent="0.2">
      <c r="A17" s="168">
        <f>name!J9</f>
        <v>0</v>
      </c>
      <c r="B17" s="169">
        <v>8525.1872183076739</v>
      </c>
      <c r="C17" s="169">
        <v>8709.9422108052859</v>
      </c>
      <c r="D17" s="169">
        <v>8966.579956519352</v>
      </c>
      <c r="E17" s="169">
        <v>9198.0093388787081</v>
      </c>
      <c r="F17" s="169">
        <v>9243.5195858644965</v>
      </c>
      <c r="H17" s="169">
        <f>C17-B17</f>
        <v>184.75499249761197</v>
      </c>
      <c r="I17" s="169">
        <f>D17-B17</f>
        <v>441.39273821167808</v>
      </c>
      <c r="J17" s="169">
        <f t="shared" si="2"/>
        <v>231.42938235935617</v>
      </c>
      <c r="K17" s="169">
        <f t="shared" si="2"/>
        <v>45.510246985788399</v>
      </c>
      <c r="L17" s="169">
        <f>F17-D17</f>
        <v>276.93962934514457</v>
      </c>
    </row>
    <row r="18" spans="1:12" s="168" customFormat="1" x14ac:dyDescent="0.2">
      <c r="A18" s="168">
        <f>name!J10</f>
        <v>0</v>
      </c>
      <c r="B18" s="169">
        <v>2174.6711334039956</v>
      </c>
      <c r="C18" s="169">
        <v>2260.7969499213555</v>
      </c>
      <c r="D18" s="169">
        <v>2334.9604033003338</v>
      </c>
      <c r="E18" s="169">
        <v>2405.8789514814907</v>
      </c>
      <c r="F18" s="169">
        <v>2431.5536762979191</v>
      </c>
      <c r="H18" s="169">
        <f>C18-B18</f>
        <v>86.125816517359908</v>
      </c>
      <c r="I18" s="169">
        <f>D18-B18</f>
        <v>160.28926989633828</v>
      </c>
      <c r="J18" s="169">
        <f t="shared" si="2"/>
        <v>70.918548181156893</v>
      </c>
      <c r="K18" s="169">
        <f t="shared" si="2"/>
        <v>25.674724816428352</v>
      </c>
      <c r="L18" s="169">
        <f>F18-D18</f>
        <v>96.593272997585245</v>
      </c>
    </row>
    <row r="19" spans="1:12" s="168" customFormat="1" x14ac:dyDescent="0.2">
      <c r="H19" s="169"/>
      <c r="I19" s="169"/>
      <c r="J19" s="169"/>
      <c r="K19" s="169"/>
      <c r="L19" s="169"/>
    </row>
    <row r="20" spans="1:12" s="168" customFormat="1" x14ac:dyDescent="0.2">
      <c r="A20" s="126" t="str">
        <f>name!J3</f>
        <v>EE</v>
      </c>
      <c r="B20" s="166">
        <v>199629.07156740446</v>
      </c>
      <c r="C20" s="166">
        <v>194785.90049601384</v>
      </c>
      <c r="D20" s="166">
        <v>195036.90679635777</v>
      </c>
      <c r="E20" s="166">
        <v>193654.85411962072</v>
      </c>
      <c r="F20" s="166">
        <v>191899.51800454973</v>
      </c>
      <c r="H20" s="166">
        <f>C20-B20</f>
        <v>-4843.1710713906214</v>
      </c>
      <c r="I20" s="166">
        <f>D20-B20</f>
        <v>-4592.1647710466932</v>
      </c>
      <c r="J20" s="166">
        <f>E20-D20</f>
        <v>-1382.0526767370466</v>
      </c>
      <c r="K20" s="166">
        <f>F20-E20</f>
        <v>-1755.336115070997</v>
      </c>
      <c r="L20" s="166">
        <f>F20-D20</f>
        <v>-3137.3887918080436</v>
      </c>
    </row>
    <row r="23" spans="1:12" x14ac:dyDescent="0.2">
      <c r="A23" s="123" t="str">
        <f>CONCATENATE("Note: For ",Info!$A$1," there is no European LFS data for some of the ISCED Qualifications.")</f>
        <v>Note: For Region/Nation there is no European LFS data for some of the ISCED Qualifications.</v>
      </c>
    </row>
  </sheetData>
  <pageMargins left="0.51181102362204722" right="0.31496062992125984" top="0.74803149606299213" bottom="0.74803149606299213" header="0.31496062992125984" footer="0.31496062992125984"/>
  <pageSetup paperSize="9" scale="75" orientation="landscape" r:id="rId1"/>
  <ignoredErrors>
    <ignoredError sqref="I5:I20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CS100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50.7109375" style="191" customWidth="1"/>
    <col min="2" max="2" width="13" style="191" customWidth="1"/>
    <col min="3" max="3" width="10.140625" style="191" customWidth="1"/>
    <col min="4" max="4" width="3.7109375" style="191" customWidth="1"/>
    <col min="5" max="6" width="10.140625" style="191" customWidth="1"/>
    <col min="7" max="7" width="3.7109375" style="191" customWidth="1"/>
    <col min="8" max="9" width="10.140625" style="191" customWidth="1"/>
    <col min="10" max="10" width="3.7109375" style="191" customWidth="1"/>
    <col min="11" max="12" width="10.140625" style="191" customWidth="1"/>
    <col min="13" max="13" width="3.7109375" style="191" customWidth="1"/>
    <col min="14" max="15" width="10.140625" style="191" customWidth="1"/>
    <col min="16" max="16" width="3.7109375" style="191" customWidth="1"/>
    <col min="17" max="18" width="10.140625" style="191" customWidth="1"/>
    <col min="19" max="19" width="9.140625" style="178"/>
    <col min="20" max="20" width="16.7109375" style="178" customWidth="1"/>
    <col min="21" max="21" width="9.140625" style="178"/>
    <col min="22" max="22" width="8.85546875" style="178" customWidth="1"/>
    <col min="23" max="41" width="9.140625" style="178"/>
    <col min="42" max="46" width="9.140625" style="187" customWidth="1"/>
    <col min="47" max="49" width="9.140625" style="178"/>
    <col min="50" max="50" width="9.140625" style="178" customWidth="1"/>
    <col min="51" max="16384" width="9.140625" style="178"/>
  </cols>
  <sheetData>
    <row r="1" spans="1:97" ht="18.75" customHeight="1" x14ac:dyDescent="0.25">
      <c r="A1" s="398" t="str">
        <f>CONCATENATE("ShiftShare Table 1  Shift-share by occupation, ",I4)</f>
        <v>ShiftShare Table 1  Shift-share by occupation, 2007-2017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W1" s="301" t="str">
        <f>CONCATENATE("Shift-share Figure 1: Levels of Employment, ",C4," - ",F39)</f>
        <v>Shift-share Figure 1: Levels of Employment, 2007 - 2027</v>
      </c>
      <c r="AK1" s="301" t="str">
        <f>CONCATENATE("Shift-share Figure 1.1: Net Changes, ",C4,"-",F39)</f>
        <v>Shift-share Figure 1.1: Net Changes, 2007-2027</v>
      </c>
    </row>
    <row r="2" spans="1:97" ht="18.75" customHeight="1" x14ac:dyDescent="0.25">
      <c r="A2" s="398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W2" s="301"/>
      <c r="AK2" s="301"/>
    </row>
    <row r="3" spans="1:97" x14ac:dyDescent="0.2">
      <c r="A3" s="199"/>
      <c r="B3" s="397"/>
      <c r="C3" s="397"/>
      <c r="D3" s="397"/>
      <c r="E3" s="397"/>
      <c r="F3" s="397"/>
      <c r="G3" s="397"/>
      <c r="H3" s="397"/>
      <c r="I3" s="397"/>
      <c r="J3" s="397"/>
      <c r="K3" s="523" t="s">
        <v>53</v>
      </c>
      <c r="L3" s="523"/>
      <c r="M3" s="523"/>
      <c r="N3" s="523"/>
      <c r="O3" s="523"/>
      <c r="P3" s="523"/>
      <c r="Q3" s="523"/>
      <c r="R3" s="523"/>
      <c r="AT3" s="188"/>
      <c r="AU3" s="173"/>
      <c r="AW3" s="188"/>
      <c r="AX3" s="187"/>
      <c r="AY3" s="189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</row>
    <row r="4" spans="1:97" x14ac:dyDescent="0.2">
      <c r="A4" s="200"/>
      <c r="B4" s="390" t="s">
        <v>54</v>
      </c>
      <c r="C4" s="391">
        <v>2007</v>
      </c>
      <c r="D4" s="195"/>
      <c r="E4" s="390" t="s">
        <v>55</v>
      </c>
      <c r="F4" s="391">
        <v>2017</v>
      </c>
      <c r="G4" s="195"/>
      <c r="H4" s="390" t="s">
        <v>18</v>
      </c>
      <c r="I4" s="390" t="str">
        <f>CONCATENATE(C4,"-",F4)</f>
        <v>2007-2017</v>
      </c>
      <c r="J4" s="195"/>
      <c r="K4" s="524" t="s">
        <v>56</v>
      </c>
      <c r="L4" s="524"/>
      <c r="M4" s="195"/>
      <c r="N4" s="524" t="s">
        <v>57</v>
      </c>
      <c r="O4" s="524"/>
      <c r="P4" s="195"/>
      <c r="Q4" s="524" t="s">
        <v>58</v>
      </c>
      <c r="R4" s="524"/>
      <c r="AW4" s="187"/>
      <c r="AX4" s="187"/>
      <c r="AY4" s="189"/>
    </row>
    <row r="5" spans="1:97" x14ac:dyDescent="0.2">
      <c r="A5" s="196" t="s">
        <v>59</v>
      </c>
      <c r="B5" s="392" t="s">
        <v>60</v>
      </c>
      <c r="C5" s="392" t="s">
        <v>61</v>
      </c>
      <c r="D5" s="195"/>
      <c r="E5" s="392" t="str">
        <f>B5</f>
        <v>000s</v>
      </c>
      <c r="F5" s="392" t="str">
        <f>C5</f>
        <v>% share</v>
      </c>
      <c r="G5" s="195"/>
      <c r="H5" s="392" t="str">
        <f>E5</f>
        <v>000s</v>
      </c>
      <c r="I5" s="392" t="s">
        <v>62</v>
      </c>
      <c r="J5" s="195"/>
      <c r="K5" s="392" t="str">
        <f>H5</f>
        <v>000s</v>
      </c>
      <c r="L5" s="392" t="str">
        <f>I5</f>
        <v xml:space="preserve">%   </v>
      </c>
      <c r="M5" s="195"/>
      <c r="N5" s="392" t="str">
        <f>K5</f>
        <v>000s</v>
      </c>
      <c r="O5" s="392" t="str">
        <f>L5</f>
        <v xml:space="preserve">%   </v>
      </c>
      <c r="P5" s="195"/>
      <c r="Q5" s="392" t="str">
        <f>N5</f>
        <v>000s</v>
      </c>
      <c r="R5" s="392" t="str">
        <f>O5</f>
        <v xml:space="preserve">%   </v>
      </c>
      <c r="Z5" s="189" t="e">
        <f>"Levels of Employment, "&amp;#REF!&amp;"-"&amp;#REF!</f>
        <v>#REF!</v>
      </c>
      <c r="AM5" s="178" t="e">
        <f>"Net Changes, "&amp;#REF!&amp;"-"&amp;#REF!</f>
        <v>#REF!</v>
      </c>
      <c r="AV5" s="187"/>
      <c r="AW5" s="187"/>
      <c r="AX5" s="187"/>
    </row>
    <row r="6" spans="1:97" x14ac:dyDescent="0.2">
      <c r="A6" s="196"/>
      <c r="B6" s="390"/>
      <c r="C6" s="390"/>
      <c r="D6" s="195"/>
      <c r="E6" s="390"/>
      <c r="F6" s="390"/>
      <c r="G6" s="195"/>
      <c r="H6" s="390"/>
      <c r="I6" s="390"/>
      <c r="J6" s="195"/>
      <c r="K6" s="390"/>
      <c r="L6" s="390"/>
      <c r="M6" s="195"/>
      <c r="N6" s="390"/>
      <c r="O6" s="390"/>
      <c r="P6" s="195"/>
      <c r="Q6" s="390"/>
      <c r="R6" s="390"/>
      <c r="T6" s="186"/>
      <c r="AV6" s="187"/>
      <c r="AW6" s="187"/>
      <c r="AX6" s="187"/>
      <c r="AY6" s="189"/>
    </row>
    <row r="7" spans="1:97" x14ac:dyDescent="0.2">
      <c r="A7" s="400"/>
      <c r="B7" s="390"/>
      <c r="C7" s="390"/>
      <c r="D7" s="397"/>
      <c r="E7" s="390"/>
      <c r="F7" s="390"/>
      <c r="G7" s="397"/>
      <c r="H7" s="390"/>
      <c r="I7" s="390"/>
      <c r="J7" s="397"/>
      <c r="K7" s="390"/>
      <c r="L7" s="390"/>
      <c r="M7" s="397"/>
      <c r="N7" s="390"/>
      <c r="O7" s="390"/>
      <c r="P7" s="397"/>
      <c r="Q7" s="390"/>
      <c r="R7" s="390"/>
      <c r="T7" s="186"/>
      <c r="AV7" s="187"/>
      <c r="AW7" s="187"/>
      <c r="AX7" s="187"/>
      <c r="AY7" s="189"/>
    </row>
    <row r="8" spans="1:97" x14ac:dyDescent="0.2">
      <c r="A8" s="393" t="str">
        <f>name!$D4</f>
        <v xml:space="preserve"> 11 Corporate managers and directors</v>
      </c>
      <c r="B8" s="209">
        <v>62.791080673241183</v>
      </c>
      <c r="C8" s="192">
        <f>B8/B$34*100</f>
        <v>4.4565330964568055</v>
      </c>
      <c r="D8" s="200"/>
      <c r="E8" s="209">
        <v>75.827297635181665</v>
      </c>
      <c r="F8" s="192">
        <f t="shared" ref="F8:F32" si="0">E8/E$34*100</f>
        <v>4.9568100640061115</v>
      </c>
      <c r="G8" s="200"/>
      <c r="H8" s="209">
        <f>E8-B8</f>
        <v>13.036216961940482</v>
      </c>
      <c r="I8" s="192">
        <f>IF(B8&lt;&gt;0,((E8/B8)-1)*100,0)</f>
        <v>20.761255933433787</v>
      </c>
      <c r="J8" s="200"/>
      <c r="K8" s="399">
        <f>(($E$34/$B$34)-1)*B8</f>
        <v>5.3831800231540061</v>
      </c>
      <c r="L8" s="192">
        <f>IF(B8&lt;&gt;0,K8/B8*100,0)</f>
        <v>8.5731603365254436</v>
      </c>
      <c r="M8" s="200"/>
      <c r="N8" s="209">
        <f>H8-(K8+Q8)</f>
        <v>11.462420263627454</v>
      </c>
      <c r="O8" s="192">
        <f>IF(B8&lt;&gt;0,N8/B8*100,0)</f>
        <v>18.254854257528706</v>
      </c>
      <c r="P8" s="200"/>
      <c r="Q8" s="209">
        <v>-3.8093833248409767</v>
      </c>
      <c r="R8" s="192">
        <f>IF(B8&lt;&gt;0,Q8/B8*100,0)</f>
        <v>-6.0667586606203603</v>
      </c>
      <c r="AT8" s="187" t="e">
        <f ca="1">CONCATENATE("C:",INT(CELL("col",#REF!))," R:",INT(CELL("row",#REF!)))</f>
        <v>#REF!</v>
      </c>
    </row>
    <row r="9" spans="1:97" x14ac:dyDescent="0.2">
      <c r="A9" s="393" t="str">
        <f>name!$D5</f>
        <v xml:space="preserve"> 12 Other managers and proprietors</v>
      </c>
      <c r="B9" s="209">
        <v>33.574909986255072</v>
      </c>
      <c r="C9" s="192">
        <f t="shared" ref="C9:C34" si="1">B9/B$34*100</f>
        <v>2.3829450928381393</v>
      </c>
      <c r="D9" s="200"/>
      <c r="E9" s="209">
        <v>45.562422803506315</v>
      </c>
      <c r="F9" s="192">
        <f>E9/E$34*100</f>
        <v>2.9784033314690679</v>
      </c>
      <c r="G9" s="200"/>
      <c r="H9" s="211">
        <f t="shared" ref="H9:H34" si="2">E9-B9</f>
        <v>11.987512817251243</v>
      </c>
      <c r="I9" s="192">
        <f t="shared" ref="I9:I34" si="3">IF(B9&lt;&gt;0,((E9/B9)-1)*100,0)</f>
        <v>35.703782443969921</v>
      </c>
      <c r="J9" s="200"/>
      <c r="K9" s="305">
        <f t="shared" ref="K9:K32" si="4">(($E$34/$B$34)-1)*B9</f>
        <v>2.8784308659657398</v>
      </c>
      <c r="L9" s="192">
        <f t="shared" ref="L9:L32" si="5">IF(B9&lt;&gt;0,K9/B9*100,0)</f>
        <v>8.5731603365254436</v>
      </c>
      <c r="M9" s="200"/>
      <c r="N9" s="211">
        <f t="shared" ref="N9:N31" si="6">H9-(K9+Q9)</f>
        <v>5.1841481078335825</v>
      </c>
      <c r="O9" s="192">
        <f>IF(B9&lt;&gt;0,N9/B9*100,0)</f>
        <v>15.440542089184673</v>
      </c>
      <c r="P9" s="200"/>
      <c r="Q9" s="209">
        <v>3.9249338434519214</v>
      </c>
      <c r="R9" s="192">
        <f>IF(B9&lt;&gt;0,Q9/B9*100,0)</f>
        <v>11.69008001825981</v>
      </c>
      <c r="T9" s="186"/>
    </row>
    <row r="10" spans="1:97" x14ac:dyDescent="0.2">
      <c r="A10" s="393" t="str">
        <f>name!$D6</f>
        <v xml:space="preserve"> 21 Science, research, engineering and technology professionals</v>
      </c>
      <c r="B10" s="209">
        <v>39.404062516743629</v>
      </c>
      <c r="C10" s="192">
        <f t="shared" si="1"/>
        <v>2.7966632658315822</v>
      </c>
      <c r="D10" s="200"/>
      <c r="E10" s="209">
        <v>48.951367989588107</v>
      </c>
      <c r="F10" s="192">
        <f t="shared" si="0"/>
        <v>3.1999377673335121</v>
      </c>
      <c r="G10" s="200"/>
      <c r="H10" s="211">
        <f t="shared" si="2"/>
        <v>9.5473054728444779</v>
      </c>
      <c r="I10" s="192">
        <f t="shared" si="3"/>
        <v>24.229241512312647</v>
      </c>
      <c r="J10" s="200"/>
      <c r="K10" s="305">
        <f t="shared" si="4"/>
        <v>3.3781734586651537</v>
      </c>
      <c r="L10" s="192">
        <f t="shared" si="5"/>
        <v>8.5731603365254436</v>
      </c>
      <c r="M10" s="200"/>
      <c r="N10" s="211">
        <f t="shared" si="6"/>
        <v>6.2762227005471392</v>
      </c>
      <c r="O10" s="192">
        <f t="shared" ref="O10:O32" si="7">IF(B10&lt;&gt;0,N10/B10*100,0)</f>
        <v>15.927856925615824</v>
      </c>
      <c r="P10" s="200"/>
      <c r="Q10" s="209">
        <v>-0.10709068636781556</v>
      </c>
      <c r="R10" s="192">
        <f t="shared" ref="R10:R32" si="8">IF(B10&lt;&gt;0,Q10/B10*100,0)</f>
        <v>-0.2717757498286133</v>
      </c>
      <c r="AT10" s="187" t="e">
        <f ca="1">CONCATENATE("C:",INT(CELL("col",#REF!))," R:",INT(CELL("row",#REF!)))</f>
        <v>#REF!</v>
      </c>
    </row>
    <row r="11" spans="1:97" x14ac:dyDescent="0.2">
      <c r="A11" s="393" t="str">
        <f>name!$D7</f>
        <v xml:space="preserve"> 22 Health professionals</v>
      </c>
      <c r="B11" s="209">
        <v>65.918325380874236</v>
      </c>
      <c r="C11" s="192">
        <f t="shared" si="1"/>
        <v>4.6784861093824972</v>
      </c>
      <c r="D11" s="200"/>
      <c r="E11" s="209">
        <v>96.439442296228563</v>
      </c>
      <c r="F11" s="192">
        <f t="shared" si="0"/>
        <v>6.3042204199466214</v>
      </c>
      <c r="G11" s="200"/>
      <c r="H11" s="211">
        <f>E11-B11</f>
        <v>30.521116915354327</v>
      </c>
      <c r="I11" s="192">
        <f>IF(B11&lt;&gt;0,((E11/B11)-1)*100,0)</f>
        <v>46.301414271379258</v>
      </c>
      <c r="J11" s="200"/>
      <c r="K11" s="305">
        <f t="shared" si="4"/>
        <v>5.6512837260548938</v>
      </c>
      <c r="L11" s="192">
        <f t="shared" si="5"/>
        <v>8.5731603365254436</v>
      </c>
      <c r="M11" s="200"/>
      <c r="N11" s="211">
        <f t="shared" si="6"/>
        <v>13.902126581294045</v>
      </c>
      <c r="O11" s="192">
        <f t="shared" si="7"/>
        <v>21.08992681620467</v>
      </c>
      <c r="P11" s="200"/>
      <c r="Q11" s="209">
        <v>10.967706608005388</v>
      </c>
      <c r="R11" s="192">
        <f>IF(B11&lt;&gt;0,Q11/B11*100,0)</f>
        <v>16.638327118649158</v>
      </c>
      <c r="T11" s="186"/>
    </row>
    <row r="12" spans="1:97" x14ac:dyDescent="0.2">
      <c r="A12" s="393" t="str">
        <f>name!$D8</f>
        <v xml:space="preserve"> 23 Teaching and educational professionals</v>
      </c>
      <c r="B12" s="209">
        <v>73.917574240407916</v>
      </c>
      <c r="C12" s="192">
        <f t="shared" si="1"/>
        <v>5.2462246624871938</v>
      </c>
      <c r="D12" s="200"/>
      <c r="E12" s="209">
        <v>93.711316882436563</v>
      </c>
      <c r="F12" s="192">
        <f t="shared" si="0"/>
        <v>6.12588359496816</v>
      </c>
      <c r="G12" s="200"/>
      <c r="H12" s="211">
        <f t="shared" si="2"/>
        <v>19.793742642028647</v>
      </c>
      <c r="I12" s="192">
        <f t="shared" si="3"/>
        <v>26.778127996532874</v>
      </c>
      <c r="J12" s="200"/>
      <c r="K12" s="305">
        <f t="shared" si="4"/>
        <v>6.3370721565003993</v>
      </c>
      <c r="L12" s="192">
        <f t="shared" si="5"/>
        <v>8.5731603365254436</v>
      </c>
      <c r="M12" s="200"/>
      <c r="N12" s="211">
        <f t="shared" si="6"/>
        <v>10.966760825413189</v>
      </c>
      <c r="O12" s="192">
        <f t="shared" si="7"/>
        <v>14.836472838982964</v>
      </c>
      <c r="P12" s="200"/>
      <c r="Q12" s="209">
        <v>2.4899096601150581</v>
      </c>
      <c r="R12" s="192">
        <f t="shared" si="8"/>
        <v>3.3684948210244694</v>
      </c>
      <c r="AT12" s="187" t="e">
        <f ca="1">CONCATENATE("C:",INT(CELL("col",#REF!))," R:",INT(CELL("row",#REF!)))</f>
        <v>#REF!</v>
      </c>
    </row>
    <row r="13" spans="1:97" x14ac:dyDescent="0.2">
      <c r="A13" s="393" t="str">
        <f>name!$D9</f>
        <v xml:space="preserve"> 24 Business, media and public service professionals</v>
      </c>
      <c r="B13" s="209">
        <v>41.841572819713782</v>
      </c>
      <c r="C13" s="192">
        <f t="shared" si="1"/>
        <v>2.9696630808000508</v>
      </c>
      <c r="D13" s="200"/>
      <c r="E13" s="209">
        <v>47.830198994488903</v>
      </c>
      <c r="F13" s="192">
        <f t="shared" si="0"/>
        <v>3.1266472514945187</v>
      </c>
      <c r="G13" s="200"/>
      <c r="H13" s="211">
        <f t="shared" si="2"/>
        <v>5.9886261747751206</v>
      </c>
      <c r="I13" s="192">
        <f t="shared" si="3"/>
        <v>14.312622043580458</v>
      </c>
      <c r="J13" s="200"/>
      <c r="K13" s="305">
        <f>(($E$34/$B$34)-1)*B13</f>
        <v>3.5871451251581123</v>
      </c>
      <c r="L13" s="192">
        <f t="shared" si="5"/>
        <v>8.5731603365254436</v>
      </c>
      <c r="M13" s="200"/>
      <c r="N13" s="211">
        <f>H13-(K13+Q13)</f>
        <v>3.3998846653491346</v>
      </c>
      <c r="O13" s="192">
        <f>IF(B13&lt;&gt;0,N13/B13*100,0)</f>
        <v>8.1256139199128494</v>
      </c>
      <c r="P13" s="200"/>
      <c r="Q13" s="209">
        <v>-0.99840361573212644</v>
      </c>
      <c r="R13" s="192">
        <f t="shared" si="8"/>
        <v>-2.3861522128578434</v>
      </c>
      <c r="T13" s="186"/>
    </row>
    <row r="14" spans="1:97" x14ac:dyDescent="0.2">
      <c r="A14" s="393" t="str">
        <f>name!$D10</f>
        <v xml:space="preserve"> 31 Science, engineering and technology associate professionals</v>
      </c>
      <c r="B14" s="209">
        <v>23.969208752827978</v>
      </c>
      <c r="C14" s="192">
        <f t="shared" si="1"/>
        <v>1.701190216150904</v>
      </c>
      <c r="D14" s="200"/>
      <c r="E14" s="209">
        <v>25.153076673906533</v>
      </c>
      <c r="F14" s="192">
        <f t="shared" si="0"/>
        <v>1.6442498610169356</v>
      </c>
      <c r="G14" s="200"/>
      <c r="H14" s="211">
        <f t="shared" si="2"/>
        <v>1.183867921078555</v>
      </c>
      <c r="I14" s="192">
        <f t="shared" si="3"/>
        <v>4.9391197401911668</v>
      </c>
      <c r="J14" s="200"/>
      <c r="K14" s="305">
        <f t="shared" si="4"/>
        <v>2.0549186977764329</v>
      </c>
      <c r="L14" s="192">
        <f>IF(B14&lt;&gt;0,K14/B14*100,0)</f>
        <v>8.5731603365254436</v>
      </c>
      <c r="M14" s="200"/>
      <c r="N14" s="211">
        <f t="shared" si="6"/>
        <v>0.1421670204413561</v>
      </c>
      <c r="O14" s="192">
        <f t="shared" si="7"/>
        <v>0.59312354407436452</v>
      </c>
      <c r="P14" s="200"/>
      <c r="Q14" s="209">
        <v>-1.013217797139234</v>
      </c>
      <c r="R14" s="192">
        <f t="shared" si="8"/>
        <v>-4.2271641404086431</v>
      </c>
      <c r="AT14" s="187" t="e">
        <f ca="1">CONCATENATE("C:",INT(CELL("col",#REF!))," R:",INT(CELL("row",#REF!)))</f>
        <v>#REF!</v>
      </c>
    </row>
    <row r="15" spans="1:97" x14ac:dyDescent="0.2">
      <c r="A15" s="393" t="str">
        <f>name!$D11</f>
        <v xml:space="preserve"> 32 Health and social care associate professionals</v>
      </c>
      <c r="B15" s="209">
        <v>22.021237095591832</v>
      </c>
      <c r="C15" s="192">
        <f t="shared" si="1"/>
        <v>1.5629349087353677</v>
      </c>
      <c r="D15" s="200"/>
      <c r="E15" s="209">
        <v>31.236630799272728</v>
      </c>
      <c r="F15" s="192">
        <f t="shared" si="0"/>
        <v>2.0419301589305197</v>
      </c>
      <c r="G15" s="200"/>
      <c r="H15" s="211">
        <f t="shared" si="2"/>
        <v>9.2153937036808955</v>
      </c>
      <c r="I15" s="192">
        <f t="shared" si="3"/>
        <v>41.847756616387443</v>
      </c>
      <c r="J15" s="200"/>
      <c r="K15" s="305">
        <f t="shared" si="4"/>
        <v>1.8879159642915064</v>
      </c>
      <c r="L15" s="192">
        <f t="shared" si="5"/>
        <v>8.5731603365254436</v>
      </c>
      <c r="M15" s="200"/>
      <c r="N15" s="211">
        <f t="shared" si="6"/>
        <v>3.8580568253710554</v>
      </c>
      <c r="O15" s="192">
        <f t="shared" si="7"/>
        <v>17.519709763005793</v>
      </c>
      <c r="P15" s="200"/>
      <c r="Q15" s="209">
        <v>3.4694209140183334</v>
      </c>
      <c r="R15" s="192">
        <f t="shared" si="8"/>
        <v>15.754886516856201</v>
      </c>
      <c r="T15" s="13"/>
    </row>
    <row r="16" spans="1:97" x14ac:dyDescent="0.2">
      <c r="A16" s="393" t="str">
        <f>name!$D12</f>
        <v xml:space="preserve"> 33 Protective service occupations</v>
      </c>
      <c r="B16" s="209">
        <v>18.193573896604018</v>
      </c>
      <c r="C16" s="192">
        <f t="shared" si="1"/>
        <v>1.2912704056644986</v>
      </c>
      <c r="D16" s="200"/>
      <c r="E16" s="209">
        <v>16.715828527620712</v>
      </c>
      <c r="F16" s="192">
        <f t="shared" si="0"/>
        <v>1.0927092176296611</v>
      </c>
      <c r="G16" s="200"/>
      <c r="H16" s="211">
        <f t="shared" si="2"/>
        <v>-1.4777453689833067</v>
      </c>
      <c r="I16" s="192">
        <f t="shared" si="3"/>
        <v>-8.1223479091105943</v>
      </c>
      <c r="J16" s="200"/>
      <c r="K16" s="305">
        <f t="shared" si="4"/>
        <v>1.5597642611001021</v>
      </c>
      <c r="L16" s="192">
        <f t="shared" si="5"/>
        <v>8.5731603365254436</v>
      </c>
      <c r="M16" s="200"/>
      <c r="N16" s="211">
        <f t="shared" si="6"/>
        <v>-0.66601925526151118</v>
      </c>
      <c r="O16" s="192">
        <f t="shared" si="7"/>
        <v>-3.6607390007404166</v>
      </c>
      <c r="P16" s="200"/>
      <c r="Q16" s="209">
        <v>-2.3714903748218976</v>
      </c>
      <c r="R16" s="192">
        <f t="shared" si="8"/>
        <v>-13.034769244895617</v>
      </c>
      <c r="T16" s="13"/>
    </row>
    <row r="17" spans="1:20" x14ac:dyDescent="0.2">
      <c r="A17" s="393" t="str">
        <f>name!$D13</f>
        <v xml:space="preserve"> 34 Culture, media and sports occupations</v>
      </c>
      <c r="B17" s="209">
        <v>17.306171623307954</v>
      </c>
      <c r="C17" s="192">
        <f t="shared" si="1"/>
        <v>1.2282879317460293</v>
      </c>
      <c r="D17" s="200"/>
      <c r="E17" s="209">
        <v>26.053726016084362</v>
      </c>
      <c r="F17" s="192">
        <f t="shared" si="0"/>
        <v>1.7031250664202233</v>
      </c>
      <c r="G17" s="200"/>
      <c r="H17" s="211">
        <f t="shared" si="2"/>
        <v>8.7475543927764079</v>
      </c>
      <c r="I17" s="192">
        <f t="shared" si="3"/>
        <v>50.545866429495014</v>
      </c>
      <c r="J17" s="200"/>
      <c r="K17" s="305">
        <f t="shared" si="4"/>
        <v>1.4836858413804588</v>
      </c>
      <c r="L17" s="192">
        <f t="shared" si="5"/>
        <v>8.5731603365254436</v>
      </c>
      <c r="M17" s="200"/>
      <c r="N17" s="211">
        <f t="shared" si="6"/>
        <v>7.443152540703097</v>
      </c>
      <c r="O17" s="192">
        <f t="shared" si="7"/>
        <v>43.008660163052227</v>
      </c>
      <c r="P17" s="200"/>
      <c r="Q17" s="209">
        <v>-0.17928398930714778</v>
      </c>
      <c r="R17" s="192">
        <f t="shared" si="8"/>
        <v>-1.0359540700826524</v>
      </c>
      <c r="T17" s="13"/>
    </row>
    <row r="18" spans="1:20" x14ac:dyDescent="0.2">
      <c r="A18" s="393" t="str">
        <f>name!$D14</f>
        <v xml:space="preserve"> 35 Business and public service associate professionals</v>
      </c>
      <c r="B18" s="209">
        <v>64.062602617111267</v>
      </c>
      <c r="C18" s="192">
        <f t="shared" si="1"/>
        <v>4.5467780733702696</v>
      </c>
      <c r="D18" s="200"/>
      <c r="E18" s="209">
        <v>72.912857153089021</v>
      </c>
      <c r="F18" s="192">
        <f t="shared" si="0"/>
        <v>4.7662938730943969</v>
      </c>
      <c r="G18" s="200"/>
      <c r="H18" s="211">
        <f t="shared" si="2"/>
        <v>8.8502545359777542</v>
      </c>
      <c r="I18" s="192">
        <f t="shared" si="3"/>
        <v>13.815009341524686</v>
      </c>
      <c r="J18" s="200"/>
      <c r="K18" s="305">
        <f t="shared" si="4"/>
        <v>5.4921896381160931</v>
      </c>
      <c r="L18" s="192">
        <f t="shared" si="5"/>
        <v>8.5731603365254436</v>
      </c>
      <c r="M18" s="200"/>
      <c r="N18" s="211">
        <f t="shared" si="6"/>
        <v>7.4932639416660374</v>
      </c>
      <c r="O18" s="192">
        <f t="shared" si="7"/>
        <v>11.696783514169262</v>
      </c>
      <c r="P18" s="200"/>
      <c r="Q18" s="209">
        <v>-4.1351990438043762</v>
      </c>
      <c r="R18" s="192">
        <f t="shared" si="8"/>
        <v>-6.4549345091700268</v>
      </c>
      <c r="T18" s="13"/>
    </row>
    <row r="19" spans="1:20" x14ac:dyDescent="0.2">
      <c r="A19" s="393" t="str">
        <f>name!$D15</f>
        <v xml:space="preserve"> 41 Administrative occupations</v>
      </c>
      <c r="B19" s="209">
        <v>128.76139674940373</v>
      </c>
      <c r="C19" s="192">
        <f t="shared" si="1"/>
        <v>9.1387091925663331</v>
      </c>
      <c r="D19" s="200"/>
      <c r="E19" s="209">
        <v>127.5213345098998</v>
      </c>
      <c r="F19" s="192">
        <f t="shared" si="0"/>
        <v>8.336035359130161</v>
      </c>
      <c r="G19" s="200"/>
      <c r="H19" s="211">
        <f t="shared" si="2"/>
        <v>-1.2400622395039278</v>
      </c>
      <c r="I19" s="192">
        <f t="shared" si="3"/>
        <v>-0.96306988803278593</v>
      </c>
      <c r="J19" s="200"/>
      <c r="K19" s="305">
        <f t="shared" si="4"/>
        <v>11.038920994876042</v>
      </c>
      <c r="L19" s="192">
        <f t="shared" si="5"/>
        <v>8.5731603365254436</v>
      </c>
      <c r="M19" s="200"/>
      <c r="N19" s="211">
        <f t="shared" si="6"/>
        <v>-4.7726389313735815</v>
      </c>
      <c r="O19" s="192">
        <f t="shared" si="7"/>
        <v>-3.7065759240419882</v>
      </c>
      <c r="P19" s="200"/>
      <c r="Q19" s="209">
        <v>-7.5063443030063883</v>
      </c>
      <c r="R19" s="192">
        <f t="shared" si="8"/>
        <v>-5.8296543005162373</v>
      </c>
      <c r="T19" s="13"/>
    </row>
    <row r="20" spans="1:20" x14ac:dyDescent="0.2">
      <c r="A20" s="393" t="str">
        <f>name!$D16</f>
        <v xml:space="preserve"> 42 Secretarial and related occupations</v>
      </c>
      <c r="B20" s="209">
        <v>39.05845849832626</v>
      </c>
      <c r="C20" s="192">
        <f t="shared" si="1"/>
        <v>2.7721343720805649</v>
      </c>
      <c r="D20" s="200"/>
      <c r="E20" s="209">
        <v>33.110290969005057</v>
      </c>
      <c r="F20" s="192">
        <f t="shared" si="0"/>
        <v>2.164410820585374</v>
      </c>
      <c r="G20" s="200"/>
      <c r="H20" s="211">
        <f t="shared" si="2"/>
        <v>-5.9481675293212035</v>
      </c>
      <c r="I20" s="192">
        <f t="shared" si="3"/>
        <v>-15.228884492653737</v>
      </c>
      <c r="J20" s="200"/>
      <c r="K20" s="305">
        <f t="shared" si="4"/>
        <v>3.348544272036758</v>
      </c>
      <c r="L20" s="192">
        <f t="shared" si="5"/>
        <v>8.5731603365254436</v>
      </c>
      <c r="M20" s="200"/>
      <c r="N20" s="211">
        <f t="shared" si="6"/>
        <v>-10.388875243670558</v>
      </c>
      <c r="O20" s="192">
        <f t="shared" si="7"/>
        <v>-26.598272546049774</v>
      </c>
      <c r="P20" s="200"/>
      <c r="Q20" s="209">
        <v>1.0921634423125961</v>
      </c>
      <c r="R20" s="192">
        <f t="shared" si="8"/>
        <v>2.7962277168705922</v>
      </c>
      <c r="T20" s="13"/>
    </row>
    <row r="21" spans="1:20" x14ac:dyDescent="0.2">
      <c r="A21" s="393" t="str">
        <f>name!$D17</f>
        <v xml:space="preserve"> 51 Skilled agricultural and related trades</v>
      </c>
      <c r="B21" s="209">
        <v>27.01228324618716</v>
      </c>
      <c r="C21" s="192">
        <f t="shared" si="1"/>
        <v>1.9171693337139826</v>
      </c>
      <c r="D21" s="200"/>
      <c r="E21" s="209">
        <v>44.641992580529916</v>
      </c>
      <c r="F21" s="192">
        <f t="shared" si="0"/>
        <v>2.9182350552050855</v>
      </c>
      <c r="G21" s="200"/>
      <c r="H21" s="211">
        <f t="shared" si="2"/>
        <v>17.629709334342756</v>
      </c>
      <c r="I21" s="192">
        <f t="shared" si="3"/>
        <v>65.265528180892403</v>
      </c>
      <c r="J21" s="200"/>
      <c r="K21" s="305">
        <f t="shared" si="4"/>
        <v>2.3158063532520248</v>
      </c>
      <c r="L21" s="192">
        <f t="shared" si="5"/>
        <v>8.5731603365254436</v>
      </c>
      <c r="M21" s="200"/>
      <c r="N21" s="211">
        <f t="shared" si="6"/>
        <v>5.2380093927666245</v>
      </c>
      <c r="O21" s="192">
        <f t="shared" si="7"/>
        <v>19.391213045664994</v>
      </c>
      <c r="P21" s="200"/>
      <c r="Q21" s="209">
        <v>10.075893588324107</v>
      </c>
      <c r="R21" s="192">
        <f t="shared" si="8"/>
        <v>37.301154798701958</v>
      </c>
      <c r="T21" s="13"/>
    </row>
    <row r="22" spans="1:20" x14ac:dyDescent="0.2">
      <c r="A22" s="393" t="str">
        <f>name!$D18</f>
        <v xml:space="preserve"> 52 Skilled metal, electrical and electronic trades</v>
      </c>
      <c r="B22" s="209">
        <v>64.57909849455713</v>
      </c>
      <c r="C22" s="192">
        <f t="shared" si="1"/>
        <v>4.5834358430302506</v>
      </c>
      <c r="D22" s="200"/>
      <c r="E22" s="209">
        <v>60.298327113758923</v>
      </c>
      <c r="F22" s="192">
        <f t="shared" si="0"/>
        <v>3.9416854352137398</v>
      </c>
      <c r="G22" s="200"/>
      <c r="H22" s="211">
        <f t="shared" si="2"/>
        <v>-4.2807713807982068</v>
      </c>
      <c r="I22" s="192">
        <f t="shared" si="3"/>
        <v>-6.6287258270708138</v>
      </c>
      <c r="J22" s="200"/>
      <c r="K22" s="305">
        <f t="shared" si="4"/>
        <v>5.5364696578210708</v>
      </c>
      <c r="L22" s="192">
        <f t="shared" si="5"/>
        <v>8.5731603365254436</v>
      </c>
      <c r="M22" s="200"/>
      <c r="N22" s="211">
        <f t="shared" si="6"/>
        <v>-2.6480266653177962</v>
      </c>
      <c r="O22" s="192">
        <f t="shared" si="7"/>
        <v>-4.100439193249156</v>
      </c>
      <c r="P22" s="200"/>
      <c r="Q22" s="209">
        <v>-7.1692143733014815</v>
      </c>
      <c r="R22" s="192">
        <f t="shared" si="8"/>
        <v>-11.1014469703471</v>
      </c>
      <c r="T22" s="13"/>
    </row>
    <row r="23" spans="1:20" x14ac:dyDescent="0.2">
      <c r="A23" s="393" t="str">
        <f>name!$D19</f>
        <v xml:space="preserve"> 53 Skilled construction and building trades</v>
      </c>
      <c r="B23" s="209">
        <v>62.17438600693751</v>
      </c>
      <c r="C23" s="192">
        <f t="shared" si="1"/>
        <v>4.4127638196531027</v>
      </c>
      <c r="D23" s="200"/>
      <c r="E23" s="209">
        <v>55.607063035219241</v>
      </c>
      <c r="F23" s="192">
        <f t="shared" si="0"/>
        <v>3.6350187634131239</v>
      </c>
      <c r="G23" s="200"/>
      <c r="H23" s="211">
        <f t="shared" si="2"/>
        <v>-6.5673229717182693</v>
      </c>
      <c r="I23" s="192">
        <f t="shared" si="3"/>
        <v>-10.5627468053894</v>
      </c>
      <c r="J23" s="200"/>
      <c r="K23" s="305">
        <f t="shared" si="4"/>
        <v>5.3303098006249918</v>
      </c>
      <c r="L23" s="192">
        <f t="shared" si="5"/>
        <v>8.5731603365254436</v>
      </c>
      <c r="M23" s="200"/>
      <c r="N23" s="211">
        <f t="shared" si="6"/>
        <v>-3.9488321914398332</v>
      </c>
      <c r="O23" s="192">
        <f t="shared" si="7"/>
        <v>-6.3512202452617972</v>
      </c>
      <c r="P23" s="200"/>
      <c r="Q23" s="209">
        <v>-7.9488005809034279</v>
      </c>
      <c r="R23" s="192">
        <f t="shared" si="8"/>
        <v>-12.784686896653049</v>
      </c>
      <c r="T23" s="13"/>
    </row>
    <row r="24" spans="1:20" x14ac:dyDescent="0.2">
      <c r="A24" s="393" t="str">
        <f>name!$D20</f>
        <v xml:space="preserve"> 54 Textiles, printing and other skilled trades</v>
      </c>
      <c r="B24" s="209">
        <v>38.851814595191357</v>
      </c>
      <c r="C24" s="192">
        <f t="shared" si="1"/>
        <v>2.757468031198584</v>
      </c>
      <c r="D24" s="200"/>
      <c r="E24" s="209">
        <v>44.112533415690251</v>
      </c>
      <c r="F24" s="192">
        <f t="shared" si="0"/>
        <v>2.8836244519183367</v>
      </c>
      <c r="G24" s="200"/>
      <c r="H24" s="211">
        <f t="shared" si="2"/>
        <v>5.2607188204988944</v>
      </c>
      <c r="I24" s="192">
        <f t="shared" si="3"/>
        <v>13.540471340430017</v>
      </c>
      <c r="J24" s="200"/>
      <c r="K24" s="305">
        <f t="shared" si="4"/>
        <v>3.3308283588953485</v>
      </c>
      <c r="L24" s="192">
        <f t="shared" si="5"/>
        <v>8.5731603365254436</v>
      </c>
      <c r="M24" s="200"/>
      <c r="N24" s="211">
        <f t="shared" si="6"/>
        <v>-1.1420016960361181</v>
      </c>
      <c r="O24" s="192">
        <f t="shared" si="7"/>
        <v>-2.9393780134466674</v>
      </c>
      <c r="P24" s="200"/>
      <c r="Q24" s="209">
        <v>3.0718921576396636</v>
      </c>
      <c r="R24" s="192">
        <f t="shared" si="8"/>
        <v>7.9066890173512467</v>
      </c>
      <c r="T24" s="13"/>
    </row>
    <row r="25" spans="1:20" x14ac:dyDescent="0.2">
      <c r="A25" s="393" t="str">
        <f>name!$D21</f>
        <v xml:space="preserve"> 61 Caring personal service occupations</v>
      </c>
      <c r="B25" s="209">
        <v>99.187958703714813</v>
      </c>
      <c r="C25" s="192">
        <f t="shared" si="1"/>
        <v>7.0397645014807271</v>
      </c>
      <c r="D25" s="200"/>
      <c r="E25" s="209">
        <v>134.03418747801385</v>
      </c>
      <c r="F25" s="192">
        <f t="shared" si="0"/>
        <v>8.7617788069984837</v>
      </c>
      <c r="G25" s="200"/>
      <c r="H25" s="211">
        <f t="shared" si="2"/>
        <v>34.846228774299036</v>
      </c>
      <c r="I25" s="192">
        <f t="shared" si="3"/>
        <v>35.131511152869365</v>
      </c>
      <c r="J25" s="200"/>
      <c r="K25" s="305">
        <f t="shared" si="4"/>
        <v>8.5035427341961132</v>
      </c>
      <c r="L25" s="192">
        <f t="shared" si="5"/>
        <v>8.5731603365254418</v>
      </c>
      <c r="M25" s="200"/>
      <c r="N25" s="211">
        <f t="shared" si="6"/>
        <v>9.8198769577977814</v>
      </c>
      <c r="O25" s="192">
        <f t="shared" si="7"/>
        <v>9.9002712487821416</v>
      </c>
      <c r="P25" s="200"/>
      <c r="Q25" s="209">
        <v>16.522809082305141</v>
      </c>
      <c r="R25" s="192">
        <f t="shared" si="8"/>
        <v>16.658079567561789</v>
      </c>
      <c r="T25" s="13"/>
    </row>
    <row r="26" spans="1:20" x14ac:dyDescent="0.2">
      <c r="A26" s="393" t="str">
        <f>name!$D22</f>
        <v xml:space="preserve"> 62 Leisure, travel and related personal service occupations</v>
      </c>
      <c r="B26" s="209">
        <v>26.961171532317142</v>
      </c>
      <c r="C26" s="192">
        <f t="shared" si="1"/>
        <v>1.9135417317992502</v>
      </c>
      <c r="D26" s="200"/>
      <c r="E26" s="209">
        <v>34.081983399938842</v>
      </c>
      <c r="F26" s="192">
        <f t="shared" si="0"/>
        <v>2.2279300936042299</v>
      </c>
      <c r="G26" s="200"/>
      <c r="H26" s="211">
        <f t="shared" si="2"/>
        <v>7.1208118676217005</v>
      </c>
      <c r="I26" s="192">
        <f t="shared" si="3"/>
        <v>26.411359235952723</v>
      </c>
      <c r="J26" s="200"/>
      <c r="K26" s="305">
        <f t="shared" si="4"/>
        <v>2.3114244640712021</v>
      </c>
      <c r="L26" s="192">
        <f t="shared" si="5"/>
        <v>8.5731603365254436</v>
      </c>
      <c r="M26" s="200"/>
      <c r="N26" s="211">
        <f t="shared" si="6"/>
        <v>0.9979862764579126</v>
      </c>
      <c r="O26" s="192">
        <f t="shared" si="7"/>
        <v>3.7015686624064958</v>
      </c>
      <c r="P26" s="200"/>
      <c r="Q26" s="209">
        <v>3.8114011270925858</v>
      </c>
      <c r="R26" s="192">
        <f t="shared" si="8"/>
        <v>14.136630237020785</v>
      </c>
      <c r="T26" s="13"/>
    </row>
    <row r="27" spans="1:20" x14ac:dyDescent="0.2">
      <c r="A27" s="393" t="str">
        <f>name!$D23</f>
        <v xml:space="preserve"> 71 Sales occupations</v>
      </c>
      <c r="B27" s="209">
        <v>109.72479758960813</v>
      </c>
      <c r="C27" s="192">
        <f t="shared" si="1"/>
        <v>7.7876059261470818</v>
      </c>
      <c r="D27" s="200"/>
      <c r="E27" s="209">
        <v>96.72865813780345</v>
      </c>
      <c r="F27" s="192">
        <f t="shared" si="0"/>
        <v>6.3231263817690451</v>
      </c>
      <c r="G27" s="200"/>
      <c r="H27" s="211">
        <f t="shared" si="2"/>
        <v>-12.99613945180468</v>
      </c>
      <c r="I27" s="192">
        <f t="shared" si="3"/>
        <v>-11.84430478551689</v>
      </c>
      <c r="J27" s="200"/>
      <c r="K27" s="305">
        <f t="shared" si="4"/>
        <v>9.4068828262851092</v>
      </c>
      <c r="L27" s="192">
        <f t="shared" si="5"/>
        <v>8.5731603365254436</v>
      </c>
      <c r="M27" s="200"/>
      <c r="N27" s="211">
        <f t="shared" si="6"/>
        <v>-10.914886569786898</v>
      </c>
      <c r="O27" s="192">
        <f t="shared" si="7"/>
        <v>-9.9475112368041678</v>
      </c>
      <c r="P27" s="200"/>
      <c r="Q27" s="209">
        <v>-11.488135708302892</v>
      </c>
      <c r="R27" s="192">
        <f t="shared" si="8"/>
        <v>-10.469953885238168</v>
      </c>
      <c r="T27" s="246"/>
    </row>
    <row r="28" spans="1:20" x14ac:dyDescent="0.2">
      <c r="A28" s="393" t="str">
        <f>name!$D24</f>
        <v xml:space="preserve"> 72 Customer service occupations</v>
      </c>
      <c r="B28" s="209">
        <v>21.678479524059966</v>
      </c>
      <c r="C28" s="192">
        <f t="shared" si="1"/>
        <v>1.5386080386574035</v>
      </c>
      <c r="D28" s="200"/>
      <c r="E28" s="209">
        <v>28.941220880813535</v>
      </c>
      <c r="F28" s="192">
        <f t="shared" si="0"/>
        <v>1.8918798295678791</v>
      </c>
      <c r="G28" s="200"/>
      <c r="H28" s="211">
        <f t="shared" si="2"/>
        <v>7.262741356753569</v>
      </c>
      <c r="I28" s="192">
        <f t="shared" si="3"/>
        <v>33.502079095044365</v>
      </c>
      <c r="J28" s="200"/>
      <c r="K28" s="305">
        <f t="shared" si="4"/>
        <v>1.8585308081184986</v>
      </c>
      <c r="L28" s="192">
        <f t="shared" si="5"/>
        <v>8.5731603365254436</v>
      </c>
      <c r="M28" s="200"/>
      <c r="N28" s="211">
        <f t="shared" si="6"/>
        <v>6.9215244644252136</v>
      </c>
      <c r="O28" s="192">
        <f t="shared" si="7"/>
        <v>31.928090052364261</v>
      </c>
      <c r="P28" s="200"/>
      <c r="Q28" s="209">
        <v>-1.5173139157901432</v>
      </c>
      <c r="R28" s="192">
        <f t="shared" si="8"/>
        <v>-6.9991712938453317</v>
      </c>
      <c r="T28" s="13"/>
    </row>
    <row r="29" spans="1:20" x14ac:dyDescent="0.2">
      <c r="A29" s="393" t="str">
        <f>name!$D25</f>
        <v xml:space="preserve"> 81 Process, plant and machine operatives</v>
      </c>
      <c r="B29" s="209">
        <v>85.70514998203177</v>
      </c>
      <c r="C29" s="192">
        <f t="shared" si="1"/>
        <v>6.0828358635733499</v>
      </c>
      <c r="D29" s="200"/>
      <c r="E29" s="209">
        <v>78.332378779529421</v>
      </c>
      <c r="F29" s="192">
        <f t="shared" si="0"/>
        <v>5.1205665450453841</v>
      </c>
      <c r="G29" s="200"/>
      <c r="H29" s="211">
        <f t="shared" si="2"/>
        <v>-7.3727712025023493</v>
      </c>
      <c r="I29" s="192">
        <f t="shared" si="3"/>
        <v>-8.6024832860663096</v>
      </c>
      <c r="J29" s="200"/>
      <c r="K29" s="305">
        <f t="shared" si="4"/>
        <v>7.3476399246191901</v>
      </c>
      <c r="L29" s="192">
        <f t="shared" si="5"/>
        <v>8.5731603365254436</v>
      </c>
      <c r="M29" s="200"/>
      <c r="N29" s="211">
        <f t="shared" si="6"/>
        <v>-0.56735099351398954</v>
      </c>
      <c r="O29" s="192">
        <f t="shared" si="7"/>
        <v>-0.66198004861193949</v>
      </c>
      <c r="P29" s="200"/>
      <c r="Q29" s="209">
        <v>-14.15306013360755</v>
      </c>
      <c r="R29" s="192">
        <f t="shared" si="8"/>
        <v>-16.513663573979816</v>
      </c>
      <c r="T29" s="13"/>
    </row>
    <row r="30" spans="1:20" x14ac:dyDescent="0.2">
      <c r="A30" s="393" t="str">
        <f>name!$D26</f>
        <v xml:space="preserve"> 82 Transport and mobile machine drivers and operatives</v>
      </c>
      <c r="B30" s="209">
        <v>45.276922067123785</v>
      </c>
      <c r="C30" s="192">
        <f t="shared" si="1"/>
        <v>3.2134835001147168</v>
      </c>
      <c r="D30" s="200"/>
      <c r="E30" s="209">
        <v>35.493360283060447</v>
      </c>
      <c r="F30" s="192">
        <f t="shared" si="0"/>
        <v>2.3201914210752594</v>
      </c>
      <c r="G30" s="200"/>
      <c r="H30" s="211">
        <f t="shared" si="2"/>
        <v>-9.7835617840633375</v>
      </c>
      <c r="I30" s="192">
        <f t="shared" si="3"/>
        <v>-21.608274894567803</v>
      </c>
      <c r="J30" s="200"/>
      <c r="K30" s="305">
        <f t="shared" si="4"/>
        <v>3.8816631242581918</v>
      </c>
      <c r="L30" s="192">
        <f t="shared" si="5"/>
        <v>8.5731603365254436</v>
      </c>
      <c r="M30" s="200"/>
      <c r="N30" s="211">
        <f t="shared" si="6"/>
        <v>-9.0855189033862178</v>
      </c>
      <c r="O30" s="192">
        <f t="shared" si="7"/>
        <v>-20.066555959605171</v>
      </c>
      <c r="P30" s="200"/>
      <c r="Q30" s="209">
        <v>-4.5797060049353115</v>
      </c>
      <c r="R30" s="192">
        <f t="shared" si="8"/>
        <v>-10.11487927148807</v>
      </c>
      <c r="T30" s="13"/>
    </row>
    <row r="31" spans="1:20" x14ac:dyDescent="0.2">
      <c r="A31" s="393" t="str">
        <f>name!$D27</f>
        <v xml:space="preserve"> 91 Elementary trades and related occupations</v>
      </c>
      <c r="B31" s="209">
        <v>31.655920531721669</v>
      </c>
      <c r="C31" s="192">
        <f t="shared" si="1"/>
        <v>2.2467467677864699</v>
      </c>
      <c r="D31" s="200"/>
      <c r="E31" s="209">
        <v>30.003578616580025</v>
      </c>
      <c r="F31" s="192">
        <f t="shared" si="0"/>
        <v>1.9613258691927815</v>
      </c>
      <c r="G31" s="200"/>
      <c r="H31" s="211">
        <f t="shared" si="2"/>
        <v>-1.6523419151416441</v>
      </c>
      <c r="I31" s="192">
        <f t="shared" si="3"/>
        <v>-5.219693148666682</v>
      </c>
      <c r="J31" s="200"/>
      <c r="K31" s="305">
        <f t="shared" si="4"/>
        <v>2.713912823187576</v>
      </c>
      <c r="L31" s="192">
        <f t="shared" si="5"/>
        <v>8.5731603365254436</v>
      </c>
      <c r="M31" s="200"/>
      <c r="N31" s="211">
        <f t="shared" si="6"/>
        <v>-3.3086263746880844</v>
      </c>
      <c r="O31" s="192">
        <f t="shared" si="7"/>
        <v>-10.451840663968644</v>
      </c>
      <c r="P31" s="200"/>
      <c r="Q31" s="209">
        <v>-1.0576283636411359</v>
      </c>
      <c r="R31" s="192">
        <f t="shared" si="8"/>
        <v>-3.341012821223476</v>
      </c>
      <c r="T31" s="13"/>
    </row>
    <row r="32" spans="1:20" x14ac:dyDescent="0.2">
      <c r="A32" s="393" t="str">
        <f>name!$D28</f>
        <v xml:space="preserve"> 92 Elementary administration and service occupations</v>
      </c>
      <c r="B32" s="209">
        <v>165.33884287808465</v>
      </c>
      <c r="C32" s="192">
        <f t="shared" si="1"/>
        <v>11.734756234734848</v>
      </c>
      <c r="D32" s="200"/>
      <c r="E32" s="209">
        <v>146.45892502959714</v>
      </c>
      <c r="F32" s="192">
        <f t="shared" si="0"/>
        <v>9.5739805609714228</v>
      </c>
      <c r="G32" s="200"/>
      <c r="H32" s="211">
        <f t="shared" si="2"/>
        <v>-18.879917848487509</v>
      </c>
      <c r="I32" s="192">
        <f t="shared" si="3"/>
        <v>-11.418924627656269</v>
      </c>
      <c r="J32" s="200"/>
      <c r="K32" s="305">
        <f t="shared" si="4"/>
        <v>14.174764098494075</v>
      </c>
      <c r="L32" s="192">
        <f t="shared" si="5"/>
        <v>8.5731603365254436</v>
      </c>
      <c r="M32" s="200"/>
      <c r="N32" s="211">
        <f>H32-(K32+Q32)</f>
        <v>-45.662823739221352</v>
      </c>
      <c r="O32" s="192">
        <f t="shared" si="7"/>
        <v>-27.617723061538296</v>
      </c>
      <c r="P32" s="200"/>
      <c r="Q32" s="209">
        <v>12.608141792239765</v>
      </c>
      <c r="R32" s="192">
        <f t="shared" si="8"/>
        <v>7.6256380973565836</v>
      </c>
      <c r="T32" s="13"/>
    </row>
    <row r="33" spans="1:20" x14ac:dyDescent="0.2">
      <c r="A33" s="393"/>
      <c r="B33" s="209"/>
      <c r="C33" s="192"/>
      <c r="D33" s="200"/>
      <c r="E33" s="209"/>
      <c r="F33" s="192"/>
      <c r="G33" s="200"/>
      <c r="H33" s="211"/>
      <c r="I33" s="192"/>
      <c r="J33" s="200"/>
      <c r="K33" s="305"/>
      <c r="L33" s="192"/>
      <c r="M33" s="200"/>
      <c r="N33" s="211"/>
      <c r="O33" s="192"/>
      <c r="P33" s="200"/>
      <c r="Q33" s="209"/>
      <c r="R33" s="192"/>
      <c r="T33" s="13"/>
    </row>
    <row r="34" spans="1:20" x14ac:dyDescent="0.2">
      <c r="A34" s="203" t="str">
        <f>name!$D$3</f>
        <v>All occupations</v>
      </c>
      <c r="B34" s="210">
        <f>SUM(B8:B32)</f>
        <v>1408.9670000019439</v>
      </c>
      <c r="C34" s="201">
        <f t="shared" si="1"/>
        <v>100</v>
      </c>
      <c r="D34" s="198"/>
      <c r="E34" s="210">
        <f>SUM(E8:E32)</f>
        <v>1529.7600000008429</v>
      </c>
      <c r="F34" s="201">
        <f t="shared" ref="F34" si="9">E34/E$34*100</f>
        <v>100</v>
      </c>
      <c r="G34" s="198"/>
      <c r="H34" s="210">
        <f t="shared" si="2"/>
        <v>120.79299999889895</v>
      </c>
      <c r="I34" s="201">
        <f t="shared" si="3"/>
        <v>8.5731603365254436</v>
      </c>
      <c r="J34" s="198"/>
      <c r="K34" s="210"/>
      <c r="L34" s="201"/>
      <c r="M34" s="198"/>
      <c r="N34" s="202"/>
      <c r="O34" s="201"/>
      <c r="P34" s="198"/>
      <c r="Q34" s="202"/>
      <c r="R34" s="201"/>
    </row>
    <row r="36" spans="1:20" ht="15.75" x14ac:dyDescent="0.25">
      <c r="A36" s="398" t="str">
        <f>CONCATENATE("ShiftShare Table 1.1  Shift-share by occupation, ",I39)</f>
        <v>ShiftShare Table 1.1  Shift-share by occupation, 2017-2027</v>
      </c>
      <c r="B36" s="200"/>
      <c r="C36" s="200"/>
      <c r="D36" s="200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</row>
    <row r="37" spans="1:20" ht="15.75" x14ac:dyDescent="0.25">
      <c r="A37" s="398"/>
      <c r="B37" s="200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</row>
    <row r="38" spans="1:20" x14ac:dyDescent="0.2">
      <c r="A38" s="199"/>
      <c r="B38" s="397"/>
      <c r="C38" s="397"/>
      <c r="D38" s="397"/>
      <c r="E38" s="397"/>
      <c r="F38" s="397"/>
      <c r="G38" s="397"/>
      <c r="H38" s="397"/>
      <c r="I38" s="397"/>
      <c r="J38" s="397"/>
      <c r="K38" s="523" t="str">
        <f>K3</f>
        <v>Components of change</v>
      </c>
      <c r="L38" s="523"/>
      <c r="M38" s="523"/>
      <c r="N38" s="523"/>
      <c r="O38" s="523"/>
      <c r="P38" s="523"/>
      <c r="Q38" s="523"/>
      <c r="R38" s="523"/>
    </row>
    <row r="39" spans="1:20" x14ac:dyDescent="0.2">
      <c r="B39" s="390" t="str">
        <f>B4</f>
        <v>Base year</v>
      </c>
      <c r="C39" s="391">
        <v>2017</v>
      </c>
      <c r="D39" s="194"/>
      <c r="E39" s="390" t="str">
        <f>E4</f>
        <v>Target year</v>
      </c>
      <c r="F39" s="391">
        <v>2027</v>
      </c>
      <c r="G39" s="194"/>
      <c r="H39" s="390" t="str">
        <f>H4</f>
        <v>Change</v>
      </c>
      <c r="I39" s="390" t="str">
        <f>CONCATENATE(C39,"-",F39)</f>
        <v>2017-2027</v>
      </c>
      <c r="J39" s="194"/>
      <c r="K39" s="522" t="str">
        <f>K4</f>
        <v>Scale effect</v>
      </c>
      <c r="L39" s="522"/>
      <c r="M39" s="194"/>
      <c r="N39" s="522" t="str">
        <f>N4</f>
        <v>Occupation effect</v>
      </c>
      <c r="O39" s="522"/>
      <c r="P39" s="194"/>
      <c r="Q39" s="522" t="str">
        <f>Q4</f>
        <v>Industry mix effect</v>
      </c>
      <c r="R39" s="522"/>
    </row>
    <row r="40" spans="1:20" x14ac:dyDescent="0.2">
      <c r="A40" s="196" t="str">
        <f>A5</f>
        <v>SOC2010 Sub-Major Groups</v>
      </c>
      <c r="B40" s="392" t="str">
        <f>B5</f>
        <v>000s</v>
      </c>
      <c r="C40" s="392" t="str">
        <f>C5</f>
        <v>% share</v>
      </c>
      <c r="D40" s="195"/>
      <c r="E40" s="392" t="str">
        <f>E5</f>
        <v>000s</v>
      </c>
      <c r="F40" s="392" t="str">
        <f>F5</f>
        <v>% share</v>
      </c>
      <c r="G40" s="195"/>
      <c r="H40" s="392" t="str">
        <f>H5</f>
        <v>000s</v>
      </c>
      <c r="I40" s="392" t="str">
        <f>I5</f>
        <v xml:space="preserve">%   </v>
      </c>
      <c r="J40" s="195"/>
      <c r="K40" s="392" t="str">
        <f>H40</f>
        <v>000s</v>
      </c>
      <c r="L40" s="392" t="str">
        <f>I40</f>
        <v xml:space="preserve">%   </v>
      </c>
      <c r="M40" s="195"/>
      <c r="N40" s="392" t="str">
        <f>K40</f>
        <v>000s</v>
      </c>
      <c r="O40" s="392" t="str">
        <f>L40</f>
        <v xml:space="preserve">%   </v>
      </c>
      <c r="P40" s="195"/>
      <c r="Q40" s="392" t="str">
        <f>Q5</f>
        <v>000s</v>
      </c>
      <c r="R40" s="392" t="str">
        <f>O40</f>
        <v xml:space="preserve">%   </v>
      </c>
      <c r="T40" s="185"/>
    </row>
    <row r="41" spans="1:20" x14ac:dyDescent="0.2">
      <c r="A41" s="394"/>
      <c r="B41" s="392"/>
      <c r="C41" s="392"/>
      <c r="D41" s="395"/>
      <c r="E41" s="392"/>
      <c r="F41" s="392"/>
      <c r="G41" s="395"/>
      <c r="H41" s="392"/>
      <c r="I41" s="392"/>
      <c r="J41" s="395"/>
      <c r="K41" s="392"/>
      <c r="L41" s="392"/>
      <c r="M41" s="395"/>
      <c r="N41" s="392"/>
      <c r="O41" s="392"/>
      <c r="P41" s="395"/>
      <c r="Q41" s="392"/>
      <c r="R41" s="392"/>
      <c r="T41" s="185"/>
    </row>
    <row r="42" spans="1:20" x14ac:dyDescent="0.2">
      <c r="A42" s="196"/>
      <c r="B42" s="390"/>
      <c r="C42" s="390"/>
      <c r="D42" s="397"/>
      <c r="E42" s="390"/>
      <c r="F42" s="390"/>
      <c r="G42" s="397"/>
      <c r="H42" s="390"/>
      <c r="I42" s="390"/>
      <c r="J42" s="397"/>
      <c r="K42" s="390"/>
      <c r="L42" s="390"/>
      <c r="M42" s="397"/>
      <c r="N42" s="390"/>
      <c r="O42" s="390"/>
      <c r="P42" s="397"/>
      <c r="Q42" s="390"/>
      <c r="R42" s="197"/>
      <c r="T42" s="185"/>
    </row>
    <row r="43" spans="1:20" x14ac:dyDescent="0.2">
      <c r="A43" s="248" t="str">
        <f t="shared" ref="A43:A67" si="10">A8</f>
        <v xml:space="preserve"> 11 Corporate managers and directors</v>
      </c>
      <c r="B43" s="209">
        <v>75.827297635181665</v>
      </c>
      <c r="C43" s="396">
        <f t="shared" ref="C43:C67" si="11">B43/B$69*100</f>
        <v>4.9568100640061115</v>
      </c>
      <c r="E43" s="209">
        <v>86.787628928781672</v>
      </c>
      <c r="F43" s="396">
        <f t="shared" ref="F43:F67" si="12">E43/E$69*100</f>
        <v>5.5307878053393367</v>
      </c>
      <c r="H43" s="211">
        <f>E43-B43</f>
        <v>10.960331293600007</v>
      </c>
      <c r="I43" s="396">
        <f>IF(B43&gt;0,((E43/B43)-1)*100,0)</f>
        <v>14.454334567390315</v>
      </c>
      <c r="K43" s="211">
        <f>(($E$69/$B$69)-1)*B43</f>
        <v>1.9536275505783749</v>
      </c>
      <c r="L43" s="396">
        <f>IF(B43&gt;0,K43/B43*100,0)</f>
        <v>2.5764172158390997</v>
      </c>
      <c r="N43" s="211">
        <f>H43-(K43+Q43)</f>
        <v>9.6203327143208437</v>
      </c>
      <c r="O43" s="396">
        <f>IF(B43&gt;0,N43/B43*100,0)</f>
        <v>12.687162821766298</v>
      </c>
      <c r="Q43" s="209">
        <v>-0.61362897129921223</v>
      </c>
      <c r="R43" s="396">
        <f>IF(B43&gt;0,Q43/B43*100,0)</f>
        <v>-0.80924547021507753</v>
      </c>
      <c r="T43" s="205"/>
    </row>
    <row r="44" spans="1:20" x14ac:dyDescent="0.2">
      <c r="A44" s="248" t="str">
        <f t="shared" si="10"/>
        <v xml:space="preserve"> 12 Other managers and proprietors</v>
      </c>
      <c r="B44" s="209">
        <v>45.562422803506315</v>
      </c>
      <c r="C44" s="396">
        <f t="shared" si="11"/>
        <v>2.9784033314690679</v>
      </c>
      <c r="E44" s="209">
        <v>49.930926503086525</v>
      </c>
      <c r="F44" s="396">
        <f t="shared" si="12"/>
        <v>3.1819899082527261</v>
      </c>
      <c r="H44" s="211">
        <f t="shared" ref="H44:H69" si="13">E44-B44</f>
        <v>4.3685036995802093</v>
      </c>
      <c r="I44" s="396">
        <f t="shared" ref="I44:I69" si="14">IF(B44&gt;0,((E44/B44)-1)*100,0)</f>
        <v>9.5879530340603925</v>
      </c>
      <c r="K44" s="211">
        <f t="shared" ref="K44:K67" si="15">(($E$69/$B$69)-1)*B44</f>
        <v>1.1738781050629365</v>
      </c>
      <c r="L44" s="396">
        <f t="shared" ref="L44:L67" si="16">IF(B44&gt;0,K44/B44*100,0)</f>
        <v>2.5764172158391001</v>
      </c>
      <c r="N44" s="211">
        <f t="shared" ref="N44:N67" si="17">H44-(K44+Q44)</f>
        <v>2.6484366959574848</v>
      </c>
      <c r="O44" s="396">
        <f t="shared" ref="O44:O67" si="18">IF(B44&gt;0,N44/B44*100,0)</f>
        <v>5.8127652855055612</v>
      </c>
      <c r="Q44" s="209">
        <v>0.54618889855978792</v>
      </c>
      <c r="R44" s="396">
        <f>IF(B44&gt;0,Q44/B44*100,0)</f>
        <v>1.1987705327157343</v>
      </c>
      <c r="T44" s="205"/>
    </row>
    <row r="45" spans="1:20" x14ac:dyDescent="0.2">
      <c r="A45" s="248" t="str">
        <f t="shared" si="10"/>
        <v xml:space="preserve"> 21 Science, research, engineering and technology professionals</v>
      </c>
      <c r="B45" s="209">
        <v>48.951367989588107</v>
      </c>
      <c r="C45" s="396">
        <f t="shared" si="11"/>
        <v>3.1999377673335121</v>
      </c>
      <c r="E45" s="209">
        <v>53.238061977314004</v>
      </c>
      <c r="F45" s="396">
        <f t="shared" si="12"/>
        <v>3.3927464962276348</v>
      </c>
      <c r="H45" s="211">
        <f t="shared" si="13"/>
        <v>4.2866939877258972</v>
      </c>
      <c r="I45" s="396">
        <f t="shared" si="14"/>
        <v>8.7570463580050948</v>
      </c>
      <c r="K45" s="211">
        <f t="shared" si="15"/>
        <v>1.2611914722724982</v>
      </c>
      <c r="L45" s="396">
        <f t="shared" si="16"/>
        <v>2.5764172158390997</v>
      </c>
      <c r="N45" s="211">
        <f t="shared" si="17"/>
        <v>3.1562620173605653</v>
      </c>
      <c r="O45" s="396">
        <f t="shared" si="18"/>
        <v>6.4477503836703765</v>
      </c>
      <c r="Q45" s="209">
        <v>-0.13075950190716648</v>
      </c>
      <c r="R45" s="396">
        <f t="shared" ref="R45:R67" si="19">IF(B45&gt;0,Q45/B45*100,0)</f>
        <v>-0.26712124150438221</v>
      </c>
      <c r="T45" s="205"/>
    </row>
    <row r="46" spans="1:20" x14ac:dyDescent="0.2">
      <c r="A46" s="248" t="str">
        <f t="shared" si="10"/>
        <v xml:space="preserve"> 22 Health professionals</v>
      </c>
      <c r="B46" s="209">
        <v>96.439442296228563</v>
      </c>
      <c r="C46" s="396">
        <f t="shared" si="11"/>
        <v>6.3042204199466214</v>
      </c>
      <c r="E46" s="209">
        <v>112.3717737309305</v>
      </c>
      <c r="F46" s="396">
        <f t="shared" si="12"/>
        <v>7.1612099960167246</v>
      </c>
      <c r="H46" s="211">
        <f t="shared" si="13"/>
        <v>15.932331434701936</v>
      </c>
      <c r="I46" s="396">
        <f t="shared" si="14"/>
        <v>16.52055534058703</v>
      </c>
      <c r="K46" s="211">
        <f t="shared" si="15"/>
        <v>2.4846823941792469</v>
      </c>
      <c r="L46" s="396">
        <f t="shared" si="16"/>
        <v>2.5764172158390992</v>
      </c>
      <c r="N46" s="211">
        <f t="shared" si="17"/>
        <v>8.315638727864302</v>
      </c>
      <c r="O46" s="396">
        <f t="shared" si="18"/>
        <v>8.6226532732546719</v>
      </c>
      <c r="Q46" s="209">
        <v>5.1320103126583874</v>
      </c>
      <c r="R46" s="396">
        <f t="shared" si="19"/>
        <v>5.3214848514932607</v>
      </c>
      <c r="T46" s="205"/>
    </row>
    <row r="47" spans="1:20" x14ac:dyDescent="0.2">
      <c r="A47" s="248" t="str">
        <f t="shared" si="10"/>
        <v xml:space="preserve"> 23 Teaching and educational professionals</v>
      </c>
      <c r="B47" s="209">
        <v>93.711316882436563</v>
      </c>
      <c r="C47" s="396">
        <f t="shared" si="11"/>
        <v>6.12588359496816</v>
      </c>
      <c r="E47" s="209">
        <v>104.26072423736112</v>
      </c>
      <c r="F47" s="396">
        <f t="shared" si="12"/>
        <v>6.6443103620337522</v>
      </c>
      <c r="H47" s="211">
        <f t="shared" si="13"/>
        <v>10.549407354924554</v>
      </c>
      <c r="I47" s="396">
        <f t="shared" si="14"/>
        <v>11.257346183875615</v>
      </c>
      <c r="K47" s="211">
        <f t="shared" si="15"/>
        <v>2.4143945013486281</v>
      </c>
      <c r="L47" s="396">
        <f t="shared" si="16"/>
        <v>2.5764172158390992</v>
      </c>
      <c r="N47" s="211">
        <f t="shared" si="17"/>
        <v>11.092825767649451</v>
      </c>
      <c r="O47" s="396">
        <f t="shared" si="18"/>
        <v>11.837231763123878</v>
      </c>
      <c r="Q47" s="209">
        <v>-2.9578129140735241</v>
      </c>
      <c r="R47" s="396">
        <f t="shared" si="19"/>
        <v>-3.1563027950873663</v>
      </c>
      <c r="T47" s="205"/>
    </row>
    <row r="48" spans="1:20" x14ac:dyDescent="0.2">
      <c r="A48" s="248" t="str">
        <f t="shared" si="10"/>
        <v xml:space="preserve"> 24 Business, media and public service professionals</v>
      </c>
      <c r="B48" s="209">
        <v>47.830198994488903</v>
      </c>
      <c r="C48" s="396">
        <f t="shared" si="11"/>
        <v>3.1266472514945187</v>
      </c>
      <c r="E48" s="209">
        <v>54.894569880366987</v>
      </c>
      <c r="F48" s="396">
        <f t="shared" si="12"/>
        <v>3.4983121606286276</v>
      </c>
      <c r="H48" s="211">
        <f t="shared" si="13"/>
        <v>7.064370885878084</v>
      </c>
      <c r="I48" s="396">
        <f t="shared" si="14"/>
        <v>14.769687424240185</v>
      </c>
      <c r="K48" s="211">
        <f t="shared" si="15"/>
        <v>1.2323054812641121</v>
      </c>
      <c r="L48" s="396">
        <f t="shared" si="16"/>
        <v>2.5764172158390997</v>
      </c>
      <c r="N48" s="211">
        <f t="shared" si="17"/>
        <v>5.2895389554195615</v>
      </c>
      <c r="O48" s="396">
        <f t="shared" si="18"/>
        <v>11.05899424760711</v>
      </c>
      <c r="Q48" s="209">
        <v>0.54252644919441062</v>
      </c>
      <c r="R48" s="396">
        <f t="shared" si="19"/>
        <v>1.1342759607939781</v>
      </c>
      <c r="T48" s="205"/>
    </row>
    <row r="49" spans="1:20" x14ac:dyDescent="0.2">
      <c r="A49" s="248" t="str">
        <f t="shared" si="10"/>
        <v xml:space="preserve"> 31 Science, engineering and technology associate professionals</v>
      </c>
      <c r="B49" s="209">
        <v>25.153076673906533</v>
      </c>
      <c r="C49" s="396">
        <f t="shared" si="11"/>
        <v>1.6442498610169356</v>
      </c>
      <c r="E49" s="209">
        <v>25.291027134911744</v>
      </c>
      <c r="F49" s="396">
        <f t="shared" si="12"/>
        <v>1.6117424359762351</v>
      </c>
      <c r="H49" s="211">
        <f t="shared" si="13"/>
        <v>0.13795046100521091</v>
      </c>
      <c r="I49" s="396">
        <f t="shared" si="14"/>
        <v>0.54844368660602605</v>
      </c>
      <c r="K49" s="211">
        <f t="shared" si="15"/>
        <v>0.64804819773973665</v>
      </c>
      <c r="L49" s="396">
        <f t="shared" si="16"/>
        <v>2.5764172158390992</v>
      </c>
      <c r="N49" s="211">
        <f t="shared" si="17"/>
        <v>-0.28072323417446271</v>
      </c>
      <c r="O49" s="396">
        <f t="shared" si="18"/>
        <v>-1.1160592312974629</v>
      </c>
      <c r="Q49" s="209">
        <v>-0.22937450256006303</v>
      </c>
      <c r="R49" s="396">
        <f t="shared" si="19"/>
        <v>-0.91191429793562018</v>
      </c>
      <c r="T49" s="205"/>
    </row>
    <row r="50" spans="1:20" x14ac:dyDescent="0.2">
      <c r="A50" s="248" t="str">
        <f t="shared" si="10"/>
        <v xml:space="preserve"> 32 Health and social care associate professionals</v>
      </c>
      <c r="B50" s="209">
        <v>31.236630799272728</v>
      </c>
      <c r="C50" s="396">
        <f t="shared" si="11"/>
        <v>2.0419301589305197</v>
      </c>
      <c r="E50" s="209">
        <v>36.336353610236586</v>
      </c>
      <c r="F50" s="396">
        <f t="shared" si="12"/>
        <v>2.3156371929795467</v>
      </c>
      <c r="H50" s="211">
        <f t="shared" si="13"/>
        <v>5.0997228109638577</v>
      </c>
      <c r="I50" s="396">
        <f t="shared" si="14"/>
        <v>16.326097535085605</v>
      </c>
      <c r="K50" s="211">
        <f t="shared" si="15"/>
        <v>0.80478593356056116</v>
      </c>
      <c r="L50" s="396">
        <f t="shared" si="16"/>
        <v>2.5764172158390997</v>
      </c>
      <c r="N50" s="211">
        <f t="shared" si="17"/>
        <v>2.6818493926137439</v>
      </c>
      <c r="O50" s="396">
        <f t="shared" si="18"/>
        <v>8.5855910960671995</v>
      </c>
      <c r="Q50" s="209">
        <v>1.6130874847895527</v>
      </c>
      <c r="R50" s="396">
        <f t="shared" si="19"/>
        <v>5.1640892231793121</v>
      </c>
      <c r="T50" s="205"/>
    </row>
    <row r="51" spans="1:20" x14ac:dyDescent="0.2">
      <c r="A51" s="248" t="str">
        <f t="shared" si="10"/>
        <v xml:space="preserve"> 33 Protective service occupations</v>
      </c>
      <c r="B51" s="209">
        <v>16.715828527620712</v>
      </c>
      <c r="C51" s="396">
        <f t="shared" si="11"/>
        <v>1.0927092176296611</v>
      </c>
      <c r="E51" s="209">
        <v>15.812025383532305</v>
      </c>
      <c r="F51" s="396">
        <f t="shared" si="12"/>
        <v>1.0076661645027867</v>
      </c>
      <c r="H51" s="211">
        <f t="shared" si="13"/>
        <v>-0.9038031440884069</v>
      </c>
      <c r="I51" s="396">
        <f t="shared" si="14"/>
        <v>-5.4068701566003181</v>
      </c>
      <c r="K51" s="211">
        <f t="shared" si="15"/>
        <v>0.43066948395576349</v>
      </c>
      <c r="L51" s="396">
        <f t="shared" si="16"/>
        <v>2.5764172158390997</v>
      </c>
      <c r="N51" s="211">
        <f t="shared" si="17"/>
        <v>-0.99232576534480677</v>
      </c>
      <c r="O51" s="396">
        <f t="shared" si="18"/>
        <v>-5.936443794605327</v>
      </c>
      <c r="Q51" s="209">
        <v>-0.34214686269936356</v>
      </c>
      <c r="R51" s="396">
        <f t="shared" si="19"/>
        <v>-2.0468435778340921</v>
      </c>
      <c r="T51" s="205"/>
    </row>
    <row r="52" spans="1:20" x14ac:dyDescent="0.2">
      <c r="A52" s="248" t="str">
        <f t="shared" si="10"/>
        <v xml:space="preserve"> 34 Culture, media and sports occupations</v>
      </c>
      <c r="B52" s="209">
        <v>26.053726016084362</v>
      </c>
      <c r="C52" s="396">
        <f t="shared" si="11"/>
        <v>1.7031250664202233</v>
      </c>
      <c r="E52" s="209">
        <v>28.887592472886212</v>
      </c>
      <c r="F52" s="396">
        <f t="shared" si="12"/>
        <v>1.8409437629153393</v>
      </c>
      <c r="H52" s="211">
        <f t="shared" si="13"/>
        <v>2.8338664568018501</v>
      </c>
      <c r="I52" s="396">
        <f t="shared" si="14"/>
        <v>10.877010278884303</v>
      </c>
      <c r="K52" s="211">
        <f t="shared" si="15"/>
        <v>0.67125268244594793</v>
      </c>
      <c r="L52" s="396">
        <f t="shared" si="16"/>
        <v>2.5764172158391001</v>
      </c>
      <c r="N52" s="211">
        <f t="shared" si="17"/>
        <v>1.4216251893485801</v>
      </c>
      <c r="O52" s="396">
        <f t="shared" si="18"/>
        <v>5.4565139299881125</v>
      </c>
      <c r="Q52" s="209">
        <v>0.74098858500732201</v>
      </c>
      <c r="R52" s="396">
        <f t="shared" si="19"/>
        <v>2.8440791330570914</v>
      </c>
      <c r="T52" s="205"/>
    </row>
    <row r="53" spans="1:20" x14ac:dyDescent="0.2">
      <c r="A53" s="248" t="str">
        <f t="shared" si="10"/>
        <v xml:space="preserve"> 35 Business and public service associate professionals</v>
      </c>
      <c r="B53" s="209">
        <v>72.912857153089021</v>
      </c>
      <c r="C53" s="396">
        <f t="shared" si="11"/>
        <v>4.7662938730943969</v>
      </c>
      <c r="E53" s="209">
        <v>82.682412933942729</v>
      </c>
      <c r="F53" s="396">
        <f t="shared" si="12"/>
        <v>5.2691712726285385</v>
      </c>
      <c r="H53" s="211">
        <f t="shared" si="13"/>
        <v>9.7695557808537075</v>
      </c>
      <c r="I53" s="396">
        <f t="shared" si="14"/>
        <v>13.398947952816309</v>
      </c>
      <c r="K53" s="211">
        <f t="shared" si="15"/>
        <v>1.878539404252356</v>
      </c>
      <c r="L53" s="396">
        <f t="shared" si="16"/>
        <v>2.5764172158390997</v>
      </c>
      <c r="N53" s="211">
        <f t="shared" si="17"/>
        <v>7.9948506486992006</v>
      </c>
      <c r="O53" s="396">
        <f t="shared" si="18"/>
        <v>10.964939464535153</v>
      </c>
      <c r="Q53" s="209">
        <v>-0.10383427209784928</v>
      </c>
      <c r="R53" s="396">
        <f t="shared" si="19"/>
        <v>-0.14240872755793557</v>
      </c>
      <c r="T53" s="205"/>
    </row>
    <row r="54" spans="1:20" x14ac:dyDescent="0.2">
      <c r="A54" s="248" t="str">
        <f t="shared" si="10"/>
        <v xml:space="preserve"> 41 Administrative occupations</v>
      </c>
      <c r="B54" s="209">
        <v>127.5213345098998</v>
      </c>
      <c r="C54" s="396">
        <f t="shared" si="11"/>
        <v>8.336035359130161</v>
      </c>
      <c r="E54" s="209">
        <v>120.00823804562896</v>
      </c>
      <c r="F54" s="396">
        <f t="shared" si="12"/>
        <v>7.6478653434315289</v>
      </c>
      <c r="H54" s="211">
        <f t="shared" si="13"/>
        <v>-7.5130964642708449</v>
      </c>
      <c r="I54" s="396">
        <f t="shared" si="14"/>
        <v>-5.8916388329417817</v>
      </c>
      <c r="K54" s="211">
        <f t="shared" si="15"/>
        <v>3.2854816161808253</v>
      </c>
      <c r="L54" s="396">
        <f t="shared" si="16"/>
        <v>2.5764172158390997</v>
      </c>
      <c r="N54" s="211">
        <f t="shared" si="17"/>
        <v>-11.686620322693047</v>
      </c>
      <c r="O54" s="396">
        <f t="shared" si="18"/>
        <v>-9.1644432420723962</v>
      </c>
      <c r="Q54" s="209">
        <v>0.88804224224137651</v>
      </c>
      <c r="R54" s="396">
        <f t="shared" si="19"/>
        <v>0.69638719329151588</v>
      </c>
      <c r="T54" s="205"/>
    </row>
    <row r="55" spans="1:20" x14ac:dyDescent="0.2">
      <c r="A55" s="248" t="str">
        <f t="shared" si="10"/>
        <v xml:space="preserve"> 42 Secretarial and related occupations</v>
      </c>
      <c r="B55" s="209">
        <v>33.110290969005057</v>
      </c>
      <c r="C55" s="396">
        <f t="shared" si="11"/>
        <v>2.164410820585374</v>
      </c>
      <c r="E55" s="209">
        <v>18.72318856576376</v>
      </c>
      <c r="F55" s="396">
        <f t="shared" si="12"/>
        <v>1.1931882950918269</v>
      </c>
      <c r="H55" s="211">
        <f t="shared" si="13"/>
        <v>-14.387102403241297</v>
      </c>
      <c r="I55" s="396">
        <f t="shared" si="14"/>
        <v>-43.45205669351936</v>
      </c>
      <c r="K55" s="211">
        <f t="shared" si="15"/>
        <v>0.85305923673986495</v>
      </c>
      <c r="L55" s="396">
        <f t="shared" si="16"/>
        <v>2.5764172158390997</v>
      </c>
      <c r="N55" s="211">
        <f t="shared" si="17"/>
        <v>-15.784396993945395</v>
      </c>
      <c r="O55" s="396">
        <f t="shared" si="18"/>
        <v>-47.672178443618506</v>
      </c>
      <c r="Q55" s="209">
        <v>0.54423535396423306</v>
      </c>
      <c r="R55" s="396">
        <f t="shared" si="19"/>
        <v>1.6437045342600531</v>
      </c>
      <c r="T55" s="205"/>
    </row>
    <row r="56" spans="1:20" x14ac:dyDescent="0.2">
      <c r="A56" s="248" t="str">
        <f t="shared" si="10"/>
        <v xml:space="preserve"> 51 Skilled agricultural and related trades</v>
      </c>
      <c r="B56" s="209">
        <v>44.641992580529916</v>
      </c>
      <c r="C56" s="396">
        <f t="shared" si="11"/>
        <v>2.9182350552050855</v>
      </c>
      <c r="E56" s="209">
        <v>43.56237546948261</v>
      </c>
      <c r="F56" s="396">
        <f t="shared" si="12"/>
        <v>2.7761359308011473</v>
      </c>
      <c r="H56" s="211">
        <f t="shared" si="13"/>
        <v>-1.0796171110473054</v>
      </c>
      <c r="I56" s="396">
        <f t="shared" si="14"/>
        <v>-2.4183891637448274</v>
      </c>
      <c r="K56" s="211">
        <f t="shared" si="15"/>
        <v>1.1501639823383862</v>
      </c>
      <c r="L56" s="396">
        <f t="shared" si="16"/>
        <v>2.5764172158390997</v>
      </c>
      <c r="N56" s="211">
        <f t="shared" si="17"/>
        <v>-1.3936685931531461</v>
      </c>
      <c r="O56" s="396">
        <f t="shared" si="18"/>
        <v>-3.1218781075667721</v>
      </c>
      <c r="Q56" s="209">
        <v>-0.83611250023254546</v>
      </c>
      <c r="R56" s="396">
        <f t="shared" si="19"/>
        <v>-1.8729282720171552</v>
      </c>
      <c r="T56" s="205"/>
    </row>
    <row r="57" spans="1:20" x14ac:dyDescent="0.2">
      <c r="A57" s="248" t="str">
        <f t="shared" si="10"/>
        <v xml:space="preserve"> 52 Skilled metal, electrical and electronic trades</v>
      </c>
      <c r="B57" s="209">
        <v>60.298327113758923</v>
      </c>
      <c r="C57" s="396">
        <f t="shared" si="11"/>
        <v>3.9416854352137398</v>
      </c>
      <c r="E57" s="209">
        <v>52.816651683092545</v>
      </c>
      <c r="F57" s="396">
        <f t="shared" si="12"/>
        <v>3.3658909300012878</v>
      </c>
      <c r="H57" s="211">
        <f t="shared" si="13"/>
        <v>-7.4816754306663782</v>
      </c>
      <c r="I57" s="396">
        <f t="shared" si="14"/>
        <v>-12.407766166632516</v>
      </c>
      <c r="K57" s="211">
        <f t="shared" si="15"/>
        <v>1.5535364806218606</v>
      </c>
      <c r="L57" s="396">
        <f t="shared" si="16"/>
        <v>2.5764172158390997</v>
      </c>
      <c r="N57" s="211">
        <f t="shared" si="17"/>
        <v>-6.3910444468972729</v>
      </c>
      <c r="O57" s="396">
        <f t="shared" si="18"/>
        <v>-10.599041056047739</v>
      </c>
      <c r="Q57" s="209">
        <v>-2.6441674643909661</v>
      </c>
      <c r="R57" s="396">
        <f t="shared" si="19"/>
        <v>-4.3851423264238747</v>
      </c>
      <c r="T57" s="205"/>
    </row>
    <row r="58" spans="1:20" x14ac:dyDescent="0.2">
      <c r="A58" s="248" t="str">
        <f t="shared" si="10"/>
        <v xml:space="preserve"> 53 Skilled construction and building trades</v>
      </c>
      <c r="B58" s="209">
        <v>55.607063035219241</v>
      </c>
      <c r="C58" s="396">
        <f t="shared" si="11"/>
        <v>3.6350187634131239</v>
      </c>
      <c r="E58" s="209">
        <v>55.864658178180079</v>
      </c>
      <c r="F58" s="396">
        <f t="shared" si="12"/>
        <v>3.5601337888246216</v>
      </c>
      <c r="H58" s="211">
        <f t="shared" si="13"/>
        <v>0.25759514296083807</v>
      </c>
      <c r="I58" s="396">
        <f t="shared" si="14"/>
        <v>0.46324176984080534</v>
      </c>
      <c r="K58" s="211">
        <f t="shared" si="15"/>
        <v>1.4326699452618887</v>
      </c>
      <c r="L58" s="396">
        <f t="shared" si="16"/>
        <v>2.5764172158390997</v>
      </c>
      <c r="N58" s="211">
        <f t="shared" si="17"/>
        <v>0.18230546916524637</v>
      </c>
      <c r="O58" s="396">
        <f t="shared" si="18"/>
        <v>0.32784588722080421</v>
      </c>
      <c r="Q58" s="209">
        <v>-1.357380271466297</v>
      </c>
      <c r="R58" s="396">
        <f t="shared" si="19"/>
        <v>-2.4410213332191053</v>
      </c>
      <c r="T58" s="205"/>
    </row>
    <row r="59" spans="1:20" x14ac:dyDescent="0.2">
      <c r="A59" s="248" t="str">
        <f t="shared" si="10"/>
        <v xml:space="preserve"> 54 Textiles, printing and other skilled trades</v>
      </c>
      <c r="B59" s="209">
        <v>44.112533415690251</v>
      </c>
      <c r="C59" s="396">
        <f t="shared" si="11"/>
        <v>2.8836244519183367</v>
      </c>
      <c r="E59" s="209">
        <v>38.141598610885424</v>
      </c>
      <c r="F59" s="396">
        <f t="shared" si="12"/>
        <v>2.4306815507811832</v>
      </c>
      <c r="H59" s="211">
        <f t="shared" si="13"/>
        <v>-5.970934804804827</v>
      </c>
      <c r="I59" s="396">
        <f t="shared" si="14"/>
        <v>-13.535687802235918</v>
      </c>
      <c r="K59" s="211">
        <f t="shared" si="15"/>
        <v>1.1365229052646193</v>
      </c>
      <c r="L59" s="396">
        <f t="shared" si="16"/>
        <v>2.5764172158390997</v>
      </c>
      <c r="N59" s="211">
        <f t="shared" si="17"/>
        <v>-6.9917737062490701</v>
      </c>
      <c r="O59" s="396">
        <f t="shared" si="18"/>
        <v>-15.849857545842488</v>
      </c>
      <c r="Q59" s="209">
        <v>-0.11568400382037616</v>
      </c>
      <c r="R59" s="396">
        <f t="shared" si="19"/>
        <v>-0.26224747223252626</v>
      </c>
      <c r="T59" s="205"/>
    </row>
    <row r="60" spans="1:20" x14ac:dyDescent="0.2">
      <c r="A60" s="248" t="str">
        <f t="shared" si="10"/>
        <v xml:space="preserve"> 61 Caring personal service occupations</v>
      </c>
      <c r="B60" s="209">
        <v>134.03418747801385</v>
      </c>
      <c r="C60" s="396">
        <f t="shared" si="11"/>
        <v>8.7617788069984837</v>
      </c>
      <c r="E60" s="209">
        <v>156.37297615871555</v>
      </c>
      <c r="F60" s="396">
        <f t="shared" si="12"/>
        <v>9.9653114193608818</v>
      </c>
      <c r="H60" s="211">
        <f t="shared" si="13"/>
        <v>22.338788680701697</v>
      </c>
      <c r="I60" s="396">
        <f t="shared" si="14"/>
        <v>16.666485693708566</v>
      </c>
      <c r="K60" s="211">
        <f t="shared" si="15"/>
        <v>3.4532798812936036</v>
      </c>
      <c r="L60" s="396">
        <f t="shared" si="16"/>
        <v>2.5764172158390997</v>
      </c>
      <c r="N60" s="211">
        <f t="shared" si="17"/>
        <v>14.265632881598719</v>
      </c>
      <c r="O60" s="396">
        <f t="shared" si="18"/>
        <v>10.643279263313897</v>
      </c>
      <c r="Q60" s="209">
        <v>4.6198759178093747</v>
      </c>
      <c r="R60" s="396">
        <f t="shared" si="19"/>
        <v>3.4467892145555705</v>
      </c>
      <c r="T60" s="205"/>
    </row>
    <row r="61" spans="1:20" x14ac:dyDescent="0.2">
      <c r="A61" s="248" t="str">
        <f t="shared" si="10"/>
        <v xml:space="preserve"> 62 Leisure, travel and related personal service occupations</v>
      </c>
      <c r="B61" s="209">
        <v>34.081983399938842</v>
      </c>
      <c r="C61" s="396">
        <f t="shared" si="11"/>
        <v>2.2279300936042299</v>
      </c>
      <c r="E61" s="209">
        <v>32.422277716403407</v>
      </c>
      <c r="F61" s="396">
        <f t="shared" si="12"/>
        <v>2.0662016053274219</v>
      </c>
      <c r="H61" s="211">
        <f t="shared" si="13"/>
        <v>-1.6597056835354351</v>
      </c>
      <c r="I61" s="396">
        <f t="shared" si="14"/>
        <v>-4.8697450029812961</v>
      </c>
      <c r="K61" s="211">
        <f t="shared" si="15"/>
        <v>0.8780940878154484</v>
      </c>
      <c r="L61" s="396">
        <f t="shared" si="16"/>
        <v>2.5764172158390997</v>
      </c>
      <c r="N61" s="211">
        <f t="shared" si="17"/>
        <v>-2.7654615029214895</v>
      </c>
      <c r="O61" s="396">
        <f t="shared" si="18"/>
        <v>-8.1141448561542688</v>
      </c>
      <c r="Q61" s="209">
        <v>0.22766173157060618</v>
      </c>
      <c r="R61" s="396">
        <f t="shared" si="19"/>
        <v>0.66798263733387864</v>
      </c>
      <c r="T61" s="205"/>
    </row>
    <row r="62" spans="1:20" x14ac:dyDescent="0.2">
      <c r="A62" s="248" t="str">
        <f t="shared" si="10"/>
        <v xml:space="preserve"> 71 Sales occupations</v>
      </c>
      <c r="B62" s="209">
        <v>96.72865813780345</v>
      </c>
      <c r="C62" s="396">
        <f t="shared" si="11"/>
        <v>6.3231263817690451</v>
      </c>
      <c r="E62" s="209">
        <v>88.415327050932888</v>
      </c>
      <c r="F62" s="396">
        <f t="shared" si="12"/>
        <v>5.6345174847404778</v>
      </c>
      <c r="H62" s="211">
        <f t="shared" si="13"/>
        <v>-8.3133310868705621</v>
      </c>
      <c r="I62" s="396">
        <f t="shared" si="14"/>
        <v>-8.5944861087880131</v>
      </c>
      <c r="K62" s="211">
        <f t="shared" si="15"/>
        <v>2.4921338009125162</v>
      </c>
      <c r="L62" s="396">
        <f t="shared" si="16"/>
        <v>2.5764172158390997</v>
      </c>
      <c r="N62" s="211">
        <f t="shared" si="17"/>
        <v>-11.473860397649347</v>
      </c>
      <c r="O62" s="396">
        <f t="shared" si="18"/>
        <v>-11.861903823066825</v>
      </c>
      <c r="Q62" s="209">
        <v>0.66839550986626861</v>
      </c>
      <c r="R62" s="396">
        <f t="shared" si="19"/>
        <v>0.69100049843971378</v>
      </c>
      <c r="T62" s="205"/>
    </row>
    <row r="63" spans="1:20" x14ac:dyDescent="0.2">
      <c r="A63" s="248" t="str">
        <f t="shared" si="10"/>
        <v xml:space="preserve"> 72 Customer service occupations</v>
      </c>
      <c r="B63" s="209">
        <v>28.941220880813535</v>
      </c>
      <c r="C63" s="396">
        <f t="shared" si="11"/>
        <v>1.8918798295678791</v>
      </c>
      <c r="E63" s="209">
        <v>33.733710674085017</v>
      </c>
      <c r="F63" s="396">
        <f t="shared" si="12"/>
        <v>2.1497763901140603</v>
      </c>
      <c r="H63" s="211">
        <f t="shared" si="13"/>
        <v>4.7924897932714821</v>
      </c>
      <c r="I63" s="396">
        <f t="shared" si="14"/>
        <v>16.559390541981745</v>
      </c>
      <c r="K63" s="211">
        <f t="shared" si="15"/>
        <v>0.7456465972473002</v>
      </c>
      <c r="L63" s="396">
        <f t="shared" si="16"/>
        <v>2.5764172158390997</v>
      </c>
      <c r="N63" s="211">
        <f t="shared" si="17"/>
        <v>3.6530615482403674</v>
      </c>
      <c r="O63" s="396">
        <f t="shared" si="18"/>
        <v>12.622347769240619</v>
      </c>
      <c r="Q63" s="209">
        <v>0.39378164778381447</v>
      </c>
      <c r="R63" s="396">
        <f t="shared" si="19"/>
        <v>1.3606255569020256</v>
      </c>
      <c r="T63" s="205"/>
    </row>
    <row r="64" spans="1:20" x14ac:dyDescent="0.2">
      <c r="A64" s="248" t="str">
        <f t="shared" si="10"/>
        <v xml:space="preserve"> 81 Process, plant and machine operatives</v>
      </c>
      <c r="B64" s="209">
        <v>78.332378779529421</v>
      </c>
      <c r="C64" s="396">
        <f t="shared" si="11"/>
        <v>5.1205665450453841</v>
      </c>
      <c r="E64" s="209">
        <v>66.345882238047054</v>
      </c>
      <c r="F64" s="396">
        <f t="shared" si="12"/>
        <v>4.2280795194645444</v>
      </c>
      <c r="H64" s="211">
        <f t="shared" si="13"/>
        <v>-11.986496541482367</v>
      </c>
      <c r="I64" s="396">
        <f t="shared" si="14"/>
        <v>-15.302096946677679</v>
      </c>
      <c r="K64" s="211">
        <f t="shared" si="15"/>
        <v>2.0181688924520897</v>
      </c>
      <c r="L64" s="396">
        <f t="shared" si="16"/>
        <v>2.5764172158390997</v>
      </c>
      <c r="N64" s="211">
        <f t="shared" si="17"/>
        <v>-8.5871940390571542</v>
      </c>
      <c r="O64" s="396">
        <f t="shared" si="18"/>
        <v>-10.962508955876677</v>
      </c>
      <c r="Q64" s="209">
        <v>-5.4174713948773023</v>
      </c>
      <c r="R64" s="396">
        <f t="shared" si="19"/>
        <v>-6.9160052066401034</v>
      </c>
      <c r="T64" s="205"/>
    </row>
    <row r="65" spans="1:21" x14ac:dyDescent="0.2">
      <c r="A65" s="248" t="str">
        <f t="shared" si="10"/>
        <v xml:space="preserve"> 82 Transport and mobile machine drivers and operatives</v>
      </c>
      <c r="B65" s="209">
        <v>35.493360283060447</v>
      </c>
      <c r="C65" s="396">
        <f t="shared" si="11"/>
        <v>2.3201914210752594</v>
      </c>
      <c r="E65" s="209">
        <v>36.641000948387891</v>
      </c>
      <c r="F65" s="396">
        <f t="shared" si="12"/>
        <v>2.3350517086607967</v>
      </c>
      <c r="H65" s="211">
        <f t="shared" si="13"/>
        <v>1.1476406653274438</v>
      </c>
      <c r="I65" s="396">
        <f t="shared" si="14"/>
        <v>3.233395362329694</v>
      </c>
      <c r="K65" s="211">
        <f t="shared" si="15"/>
        <v>0.91445704481256673</v>
      </c>
      <c r="L65" s="396">
        <f t="shared" si="16"/>
        <v>2.5764172158390997</v>
      </c>
      <c r="N65" s="211">
        <f t="shared" si="17"/>
        <v>1.1755246906608132</v>
      </c>
      <c r="O65" s="396">
        <f t="shared" si="18"/>
        <v>3.3119566062102153</v>
      </c>
      <c r="Q65" s="209">
        <v>-0.94234107014593627</v>
      </c>
      <c r="R65" s="396">
        <f t="shared" si="19"/>
        <v>-2.6549784597196275</v>
      </c>
      <c r="T65" s="205"/>
    </row>
    <row r="66" spans="1:21" x14ac:dyDescent="0.2">
      <c r="A66" s="248" t="str">
        <f t="shared" si="10"/>
        <v xml:space="preserve"> 91 Elementary trades and related occupations</v>
      </c>
      <c r="B66" s="209">
        <v>30.003578616580025</v>
      </c>
      <c r="C66" s="396">
        <f t="shared" si="11"/>
        <v>1.9613258691927815</v>
      </c>
      <c r="E66" s="209">
        <v>30.056216538126861</v>
      </c>
      <c r="F66" s="396">
        <f t="shared" si="12"/>
        <v>1.9154176459887318</v>
      </c>
      <c r="H66" s="211">
        <f t="shared" si="13"/>
        <v>5.2637921546835997E-2</v>
      </c>
      <c r="I66" s="396">
        <f t="shared" si="14"/>
        <v>0.17543881088153412</v>
      </c>
      <c r="K66" s="211">
        <f t="shared" si="15"/>
        <v>0.77301736484538652</v>
      </c>
      <c r="L66" s="396">
        <f t="shared" si="16"/>
        <v>2.5764172158390997</v>
      </c>
      <c r="N66" s="211">
        <f t="shared" si="17"/>
        <v>0.48266322463608613</v>
      </c>
      <c r="O66" s="396">
        <f t="shared" si="18"/>
        <v>1.6086855198311767</v>
      </c>
      <c r="Q66" s="209">
        <v>-1.2030426679346367</v>
      </c>
      <c r="R66" s="396">
        <f t="shared" si="19"/>
        <v>-4.009663924788736</v>
      </c>
      <c r="T66" s="205"/>
    </row>
    <row r="67" spans="1:21" x14ac:dyDescent="0.2">
      <c r="A67" s="248" t="str">
        <f t="shared" si="10"/>
        <v xml:space="preserve"> 92 Elementary administration and service occupations</v>
      </c>
      <c r="B67" s="209">
        <v>146.45892502959714</v>
      </c>
      <c r="C67" s="396">
        <f t="shared" si="11"/>
        <v>9.5739805609714228</v>
      </c>
      <c r="E67" s="209">
        <v>145.57580133080234</v>
      </c>
      <c r="F67" s="396">
        <f t="shared" si="12"/>
        <v>9.2772308299102448</v>
      </c>
      <c r="H67" s="211">
        <f t="shared" si="13"/>
        <v>-0.88312369879480457</v>
      </c>
      <c r="I67" s="396">
        <f t="shared" si="14"/>
        <v>-0.60298387320290026</v>
      </c>
      <c r="K67" s="211">
        <f t="shared" si="15"/>
        <v>3.7733929585954207</v>
      </c>
      <c r="L67" s="396">
        <f t="shared" si="16"/>
        <v>2.5764172158390997</v>
      </c>
      <c r="N67" s="211">
        <f t="shared" si="17"/>
        <v>-5.6334789214615286</v>
      </c>
      <c r="O67" s="396">
        <f t="shared" si="18"/>
        <v>-3.8464565545070655</v>
      </c>
      <c r="Q67" s="209">
        <v>0.9769622640713036</v>
      </c>
      <c r="R67" s="396">
        <f t="shared" si="19"/>
        <v>0.66705546546506078</v>
      </c>
      <c r="T67" s="205"/>
    </row>
    <row r="68" spans="1:21" x14ac:dyDescent="0.2">
      <c r="A68" s="248"/>
      <c r="B68" s="209"/>
      <c r="C68" s="396"/>
      <c r="E68" s="209"/>
      <c r="F68" s="396"/>
      <c r="H68" s="211"/>
      <c r="I68" s="396"/>
      <c r="K68" s="211"/>
      <c r="L68" s="396"/>
      <c r="N68" s="211"/>
      <c r="O68" s="396"/>
      <c r="Q68" s="209"/>
      <c r="R68" s="396"/>
      <c r="T68" s="205"/>
    </row>
    <row r="69" spans="1:21" x14ac:dyDescent="0.2">
      <c r="A69" s="203" t="str">
        <f>name!$D$3</f>
        <v>All occupations</v>
      </c>
      <c r="B69" s="210">
        <f>SUM(B43:B67)</f>
        <v>1529.7600000008429</v>
      </c>
      <c r="C69" s="201">
        <f>B69/B$69*100</f>
        <v>100</v>
      </c>
      <c r="D69" s="198"/>
      <c r="E69" s="210">
        <f>SUM(E43:E67)</f>
        <v>1569.1730000018847</v>
      </c>
      <c r="F69" s="201">
        <f>E69/E$69*100</f>
        <v>100</v>
      </c>
      <c r="G69" s="198"/>
      <c r="H69" s="210">
        <f t="shared" si="13"/>
        <v>39.413000001041837</v>
      </c>
      <c r="I69" s="201">
        <f t="shared" si="14"/>
        <v>2.5764172158390997</v>
      </c>
      <c r="J69" s="198"/>
      <c r="K69" s="198"/>
      <c r="L69" s="198"/>
      <c r="M69" s="198"/>
      <c r="N69" s="198"/>
      <c r="O69" s="198"/>
      <c r="P69" s="198"/>
      <c r="Q69" s="198"/>
      <c r="R69" s="198"/>
    </row>
    <row r="75" spans="1:21" x14ac:dyDescent="0.2">
      <c r="T75" s="185"/>
      <c r="U75" s="185"/>
    </row>
    <row r="76" spans="1:21" x14ac:dyDescent="0.2">
      <c r="T76" s="205"/>
      <c r="U76" s="185"/>
    </row>
    <row r="77" spans="1:21" x14ac:dyDescent="0.2">
      <c r="T77" s="205"/>
      <c r="U77" s="185"/>
    </row>
    <row r="78" spans="1:21" x14ac:dyDescent="0.2">
      <c r="T78" s="205"/>
      <c r="U78" s="185"/>
    </row>
    <row r="79" spans="1:21" x14ac:dyDescent="0.2">
      <c r="T79" s="205"/>
      <c r="U79" s="185"/>
    </row>
    <row r="80" spans="1:21" x14ac:dyDescent="0.2">
      <c r="T80" s="205"/>
      <c r="U80" s="185"/>
    </row>
    <row r="81" spans="20:21" x14ac:dyDescent="0.2">
      <c r="T81" s="205"/>
      <c r="U81" s="185"/>
    </row>
    <row r="82" spans="20:21" x14ac:dyDescent="0.2">
      <c r="T82" s="205"/>
      <c r="U82" s="185"/>
    </row>
    <row r="83" spans="20:21" x14ac:dyDescent="0.2">
      <c r="T83" s="205"/>
      <c r="U83" s="185"/>
    </row>
    <row r="84" spans="20:21" x14ac:dyDescent="0.2">
      <c r="T84" s="205"/>
      <c r="U84" s="185"/>
    </row>
    <row r="85" spans="20:21" x14ac:dyDescent="0.2">
      <c r="T85" s="205"/>
      <c r="U85" s="185"/>
    </row>
    <row r="86" spans="20:21" x14ac:dyDescent="0.2">
      <c r="T86" s="205"/>
      <c r="U86" s="185"/>
    </row>
    <row r="87" spans="20:21" x14ac:dyDescent="0.2">
      <c r="T87" s="205"/>
      <c r="U87" s="185"/>
    </row>
    <row r="88" spans="20:21" x14ac:dyDescent="0.2">
      <c r="T88" s="205"/>
      <c r="U88" s="185"/>
    </row>
    <row r="89" spans="20:21" x14ac:dyDescent="0.2">
      <c r="T89" s="205"/>
      <c r="U89" s="185"/>
    </row>
    <row r="90" spans="20:21" x14ac:dyDescent="0.2">
      <c r="T90" s="205"/>
      <c r="U90" s="185"/>
    </row>
    <row r="91" spans="20:21" x14ac:dyDescent="0.2">
      <c r="T91" s="205"/>
      <c r="U91" s="185"/>
    </row>
    <row r="92" spans="20:21" x14ac:dyDescent="0.2">
      <c r="T92" s="205"/>
      <c r="U92" s="185"/>
    </row>
    <row r="93" spans="20:21" x14ac:dyDescent="0.2">
      <c r="T93" s="205"/>
      <c r="U93" s="185"/>
    </row>
    <row r="94" spans="20:21" x14ac:dyDescent="0.2">
      <c r="T94" s="205"/>
      <c r="U94" s="185"/>
    </row>
    <row r="95" spans="20:21" x14ac:dyDescent="0.2">
      <c r="T95" s="205"/>
      <c r="U95" s="185"/>
    </row>
    <row r="96" spans="20:21" x14ac:dyDescent="0.2">
      <c r="T96" s="205"/>
      <c r="U96" s="185"/>
    </row>
    <row r="97" spans="20:21" x14ac:dyDescent="0.2">
      <c r="T97" s="205"/>
      <c r="U97" s="185"/>
    </row>
    <row r="98" spans="20:21" x14ac:dyDescent="0.2">
      <c r="T98" s="205"/>
      <c r="U98" s="185"/>
    </row>
    <row r="99" spans="20:21" x14ac:dyDescent="0.2">
      <c r="T99" s="205"/>
      <c r="U99" s="185"/>
    </row>
    <row r="100" spans="20:21" x14ac:dyDescent="0.2">
      <c r="T100" s="205"/>
      <c r="U100" s="185"/>
    </row>
  </sheetData>
  <mergeCells count="8">
    <mergeCell ref="K39:L39"/>
    <mergeCell ref="N39:O39"/>
    <mergeCell ref="Q39:R39"/>
    <mergeCell ref="K3:R3"/>
    <mergeCell ref="K4:L4"/>
    <mergeCell ref="N4:O4"/>
    <mergeCell ref="Q4:R4"/>
    <mergeCell ref="K38:R38"/>
  </mergeCells>
  <pageMargins left="0.39370078740157483" right="0.39370078740157483" top="0.51181102362204722" bottom="0.51181102362204722" header="0.31496062992125984" footer="0.31496062992125984"/>
  <pageSetup paperSize="9" scale="59" fitToHeight="0" orientation="landscape" r:id="rId1"/>
  <rowBreaks count="2" manualBreakCount="2">
    <brk id="69" max="16383" man="1"/>
    <brk id="142" max="16383" man="1"/>
  </rowBreaks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40"/>
  <sheetViews>
    <sheetView zoomScale="85" workbookViewId="0"/>
  </sheetViews>
  <sheetFormatPr defaultRowHeight="12.75" x14ac:dyDescent="0.2"/>
  <cols>
    <col min="1" max="1" width="18.140625" customWidth="1"/>
    <col min="2" max="2" width="25.7109375" customWidth="1"/>
  </cols>
  <sheetData>
    <row r="1" spans="1:5" x14ac:dyDescent="0.2">
      <c r="A1" t="s">
        <v>525</v>
      </c>
      <c r="B1" t="s">
        <v>526</v>
      </c>
      <c r="D1" s="286"/>
      <c r="E1" s="286"/>
    </row>
    <row r="2" spans="1:5" x14ac:dyDescent="0.2">
      <c r="A2" t="s">
        <v>493</v>
      </c>
      <c r="B2" t="s">
        <v>494</v>
      </c>
      <c r="D2" s="286"/>
      <c r="E2" s="286"/>
    </row>
    <row r="3" spans="1:5" x14ac:dyDescent="0.2">
      <c r="A3" t="s">
        <v>495</v>
      </c>
      <c r="B3" t="s">
        <v>496</v>
      </c>
      <c r="D3" s="286"/>
      <c r="E3" s="286"/>
    </row>
    <row r="4" spans="1:5" ht="15" x14ac:dyDescent="0.2">
      <c r="A4" t="s">
        <v>527</v>
      </c>
      <c r="B4" s="507">
        <v>43924</v>
      </c>
      <c r="C4" s="506"/>
      <c r="D4" s="286"/>
      <c r="E4" s="286"/>
    </row>
    <row r="5" spans="1:5" x14ac:dyDescent="0.2">
      <c r="A5" t="s">
        <v>528</v>
      </c>
      <c r="B5" t="s">
        <v>529</v>
      </c>
      <c r="D5" s="286"/>
      <c r="E5" s="286"/>
    </row>
    <row r="6" spans="1:5" x14ac:dyDescent="0.2">
      <c r="D6" s="286"/>
      <c r="E6" s="286"/>
    </row>
    <row r="7" spans="1:5" ht="15" x14ac:dyDescent="0.2">
      <c r="A7" t="s">
        <v>121</v>
      </c>
      <c r="B7" s="507">
        <v>43927</v>
      </c>
      <c r="C7" s="506"/>
    </row>
    <row r="40" spans="7:7" x14ac:dyDescent="0.2">
      <c r="G40" s="483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D284"/>
  <sheetViews>
    <sheetView showGridLines="0" zoomScale="85" zoomScaleNormal="85" workbookViewId="0"/>
  </sheetViews>
  <sheetFormatPr defaultColWidth="9.140625" defaultRowHeight="12.75" x14ac:dyDescent="0.2"/>
  <cols>
    <col min="1" max="1" width="40.85546875" style="86" customWidth="1"/>
    <col min="2" max="3" width="9.7109375" style="89" customWidth="1"/>
    <col min="4" max="7" width="11.7109375" style="89" customWidth="1"/>
    <col min="8" max="8" width="7.7109375" style="86" customWidth="1"/>
    <col min="9" max="9" width="47" style="86" customWidth="1"/>
    <col min="10" max="14" width="11.7109375" style="86" customWidth="1"/>
    <col min="15" max="15" width="7.7109375" style="250" customWidth="1"/>
    <col min="16" max="16" width="53.5703125" style="250" customWidth="1"/>
    <col min="17" max="21" width="11.7109375" style="250" customWidth="1"/>
    <col min="22" max="22" width="11.85546875" style="86" customWidth="1"/>
    <col min="23" max="23" width="5.42578125" style="251" customWidth="1"/>
    <col min="24" max="24" width="32.28515625" style="86" customWidth="1"/>
    <col min="25" max="29" width="11.7109375" style="86" customWidth="1"/>
    <col min="30" max="30" width="11.85546875" style="86" customWidth="1"/>
    <col min="31" max="16384" width="9.140625" style="86"/>
  </cols>
  <sheetData>
    <row r="1" spans="1:30" ht="15.75" x14ac:dyDescent="0.25">
      <c r="A1" s="406" t="str">
        <f>CONCATENATE("Replacement Demand Table 1  Replacement Demand by Occupation and Qualification, ",$B$6,"-",$C$6)</f>
        <v>Replacement Demand Table 1  Replacement Demand by Occupation and Qualification, 2017-2027</v>
      </c>
      <c r="B1"/>
      <c r="I1" s="406" t="str">
        <f>CONCATENATE("Replacement Demand Table 1.1  Replacement Demand by Occupation Group and Qualification, ",$B$6,"-",$C$6)</f>
        <v>Replacement Demand Table 1.1  Replacement Demand by Occupation Group and Qualification, 2017-2027</v>
      </c>
      <c r="P1" s="406" t="str">
        <f>CONCATENATE("Replacement Demand Table 1.2  Replacement Demand by Occupation and Gender, ",$B$6,"-",$C$6)</f>
        <v>Replacement Demand Table 1.2  Replacement Demand by Occupation and Gender, 2017-2027</v>
      </c>
      <c r="Q1" s="251"/>
      <c r="R1" s="251"/>
      <c r="S1" s="121"/>
      <c r="T1" s="121"/>
      <c r="U1" s="121"/>
      <c r="V1" s="121"/>
      <c r="W1" s="121"/>
      <c r="X1" s="406" t="str">
        <f>CONCATENATE("Replacement Demand Table 1.3  Replacement Demand by Industry, ",$B$6,"-",$C$6)</f>
        <v>Replacement Demand Table 1.3  Replacement Demand by Industry, 2017-2027</v>
      </c>
    </row>
    <row r="2" spans="1:30" x14ac:dyDescent="0.2">
      <c r="B2"/>
      <c r="C2" s="251"/>
      <c r="D2" s="286"/>
      <c r="E2" s="251"/>
      <c r="F2" s="286"/>
      <c r="G2" s="251"/>
      <c r="H2" s="286"/>
      <c r="I2" s="251"/>
      <c r="J2" s="286"/>
      <c r="K2" s="251"/>
      <c r="L2" s="286"/>
      <c r="M2" s="251"/>
      <c r="N2" s="286"/>
      <c r="O2" s="251"/>
      <c r="P2" s="286"/>
      <c r="Q2" s="251"/>
      <c r="R2" s="286"/>
      <c r="S2" s="251"/>
      <c r="T2" s="286"/>
      <c r="U2" s="251"/>
      <c r="V2" s="286"/>
      <c r="X2" s="286"/>
      <c r="Y2" s="251"/>
      <c r="Z2" s="286"/>
      <c r="AA2" s="251"/>
      <c r="AB2" s="286"/>
      <c r="AC2" s="251"/>
      <c r="AD2" s="286"/>
    </row>
    <row r="3" spans="1:30" ht="15.75" x14ac:dyDescent="0.25">
      <c r="B3" s="406"/>
      <c r="C3" s="406"/>
      <c r="D3" s="406"/>
      <c r="E3" s="406"/>
      <c r="F3" s="406"/>
      <c r="G3" s="406"/>
      <c r="P3" s="118"/>
      <c r="Q3" s="114"/>
      <c r="R3" s="114"/>
      <c r="S3" s="488"/>
      <c r="T3" s="488"/>
      <c r="U3" s="488"/>
      <c r="V3" s="121"/>
      <c r="W3" s="121"/>
    </row>
    <row r="4" spans="1:30" ht="12.75" customHeight="1" x14ac:dyDescent="0.25">
      <c r="A4" s="406"/>
      <c r="B4" s="406"/>
      <c r="C4" s="406"/>
      <c r="D4" s="406"/>
      <c r="E4" s="406"/>
      <c r="F4" s="406"/>
      <c r="G4" s="406"/>
      <c r="I4" s="110"/>
      <c r="P4" s="297"/>
      <c r="Q4" s="114"/>
      <c r="R4" s="114"/>
      <c r="S4" s="488"/>
      <c r="T4" s="488"/>
      <c r="U4" s="488"/>
      <c r="V4" s="121"/>
      <c r="W4" s="121"/>
    </row>
    <row r="5" spans="1:30" s="90" customFormat="1" x14ac:dyDescent="0.2">
      <c r="B5" s="19"/>
      <c r="C5" s="88"/>
      <c r="D5" s="88"/>
      <c r="E5" s="88"/>
      <c r="F5" s="19" t="s">
        <v>35</v>
      </c>
      <c r="G5" s="88"/>
      <c r="N5" s="19" t="s">
        <v>35</v>
      </c>
      <c r="Q5" s="19"/>
      <c r="R5" s="88"/>
      <c r="S5" s="489"/>
      <c r="T5" s="489"/>
      <c r="U5" s="107" t="s">
        <v>35</v>
      </c>
      <c r="V5" s="489"/>
      <c r="W5" s="489"/>
      <c r="Y5" s="19"/>
      <c r="Z5" s="88"/>
      <c r="AA5" s="489"/>
      <c r="AB5" s="489"/>
      <c r="AC5" s="107" t="s">
        <v>35</v>
      </c>
      <c r="AD5" s="489"/>
    </row>
    <row r="6" spans="1:30" ht="24.95" customHeight="1" x14ac:dyDescent="0.2">
      <c r="A6" s="299" t="str">
        <f>CONCATENATE(name!F3," (Constrained)")</f>
        <v>All qualifications (Constrained)</v>
      </c>
      <c r="B6" s="96">
        <v>2017</v>
      </c>
      <c r="C6" s="96">
        <v>2027</v>
      </c>
      <c r="D6" s="117" t="s">
        <v>40</v>
      </c>
      <c r="E6" s="117" t="s">
        <v>139</v>
      </c>
      <c r="F6" s="117" t="s">
        <v>39</v>
      </c>
      <c r="G6" s="117" t="s">
        <v>138</v>
      </c>
      <c r="I6" s="300"/>
      <c r="J6" s="96">
        <f>B6</f>
        <v>2017</v>
      </c>
      <c r="K6" s="96">
        <f>C6</f>
        <v>2027</v>
      </c>
      <c r="L6" s="117" t="str">
        <f>D6</f>
        <v>Net Change</v>
      </c>
      <c r="M6" s="117" t="str">
        <f>E6</f>
        <v>Replacement Demand level</v>
      </c>
      <c r="N6" s="117" t="str">
        <f>F6</f>
        <v>Total Requirement</v>
      </c>
      <c r="P6" s="299" t="s">
        <v>98</v>
      </c>
      <c r="Q6" s="96">
        <f>B6</f>
        <v>2017</v>
      </c>
      <c r="R6" s="96">
        <f>C6</f>
        <v>2027</v>
      </c>
      <c r="S6" s="490" t="str">
        <f t="shared" ref="S6:V6" si="0">D6</f>
        <v>Net Change</v>
      </c>
      <c r="T6" s="490" t="str">
        <f t="shared" si="0"/>
        <v>Replacement Demand level</v>
      </c>
      <c r="U6" s="490" t="str">
        <f t="shared" si="0"/>
        <v>Total Requirement</v>
      </c>
      <c r="V6" s="490" t="str">
        <f t="shared" si="0"/>
        <v>Replacement Demand rate</v>
      </c>
      <c r="W6" s="494"/>
      <c r="X6" s="299"/>
      <c r="Y6" s="96">
        <f>J6</f>
        <v>2017</v>
      </c>
      <c r="Z6" s="96">
        <f>K6</f>
        <v>2027</v>
      </c>
      <c r="AA6" s="490" t="str">
        <f t="shared" ref="AA6" si="1">L6</f>
        <v>Net Change</v>
      </c>
      <c r="AB6" s="490" t="str">
        <f t="shared" ref="AB6" si="2">M6</f>
        <v>Replacement Demand level</v>
      </c>
      <c r="AC6" s="490" t="str">
        <f t="shared" ref="AC6" si="3">N6</f>
        <v>Total Requirement</v>
      </c>
      <c r="AD6" s="490" t="str">
        <f>G6</f>
        <v>Replacement Demand rate</v>
      </c>
    </row>
    <row r="7" spans="1:30" x14ac:dyDescent="0.2">
      <c r="A7" s="340" t="str">
        <f>name!D4</f>
        <v xml:space="preserve"> 11 Corporate managers and directors</v>
      </c>
      <c r="B7" s="87">
        <f>SUM(B35,B63,B91,B119,B147,B175,B203,B231,B259)</f>
        <v>75.827297635181509</v>
      </c>
      <c r="C7" s="87">
        <f>SUM(C35,C63,C91,C119,C147,C175,C203,C231,C259)</f>
        <v>86.787628928781956</v>
      </c>
      <c r="D7" s="87">
        <f>SUM(D35,D63,D91,D119,D147,D175,D203,D231,D259)</f>
        <v>10.960331293600433</v>
      </c>
      <c r="E7" s="87">
        <f>SUM(E35,E63,E91,E119,E147,E175,E203,E231,E259)</f>
        <v>28.407078797813018</v>
      </c>
      <c r="F7" s="87">
        <f>SUM(F35,F63,F91,F119,F147,F175,F203,F231,F259)</f>
        <v>39.367410091413447</v>
      </c>
      <c r="G7" s="298">
        <f>IF(B7&gt;0,(1+(E7/B7))^(1/($C$6-$B$6))-1,0)</f>
        <v>3.2329978765088585E-2</v>
      </c>
      <c r="H7" s="87"/>
      <c r="I7" s="341" t="str">
        <f>name!F3</f>
        <v>All qualifications</v>
      </c>
      <c r="J7" s="113"/>
      <c r="K7" s="113"/>
      <c r="L7" s="113"/>
      <c r="M7" s="113"/>
      <c r="N7" s="113"/>
      <c r="O7" s="87"/>
      <c r="P7" s="340" t="str">
        <f>name!D4</f>
        <v xml:space="preserve"> 11 Corporate managers and directors</v>
      </c>
      <c r="Q7" s="87">
        <v>52.61977804715319</v>
      </c>
      <c r="R7" s="87">
        <v>56.284734339776804</v>
      </c>
      <c r="S7" s="491">
        <f>R7-Q7</f>
        <v>3.6649562926236143</v>
      </c>
      <c r="T7" s="491">
        <v>17.52346479315873</v>
      </c>
      <c r="U7" s="491">
        <f>SUM(S7:T7)</f>
        <v>21.188421085782345</v>
      </c>
      <c r="V7" s="492">
        <f>IF(Q7&gt;0,(1+(T7/Q7))^(1/($C$6-$B$6))-1,0)</f>
        <v>2.9161859135222068E-2</v>
      </c>
      <c r="W7" s="492"/>
      <c r="X7" s="340" t="str">
        <f>name!A4</f>
        <v>Agriculture, etc</v>
      </c>
      <c r="Y7" s="340">
        <v>59.821000000532997</v>
      </c>
      <c r="Z7" s="340">
        <v>60.006000000325777</v>
      </c>
      <c r="AA7" s="491">
        <f>Z7-Y7</f>
        <v>0.18499999979277959</v>
      </c>
      <c r="AB7" s="340">
        <v>20.34120576685347</v>
      </c>
      <c r="AC7" s="491">
        <f>SUM(AA7:AB7)</f>
        <v>20.52620576664625</v>
      </c>
      <c r="AD7" s="492">
        <f>IF(Y7&gt;0,(1+(AB7/Y7))^(1/($C$6-$B$6))-1,0)</f>
        <v>2.9702101344131204E-2</v>
      </c>
    </row>
    <row r="8" spans="1:30" x14ac:dyDescent="0.2">
      <c r="A8" s="340" t="str">
        <f>name!D5</f>
        <v xml:space="preserve"> 12 Other managers and proprietors</v>
      </c>
      <c r="B8" s="87">
        <f t="shared" ref="B8:F8" si="4">SUM(B36,B64,B92,B120,B148,B176,B204,B232,B260)</f>
        <v>45.562422803506351</v>
      </c>
      <c r="C8" s="87">
        <f t="shared" si="4"/>
        <v>49.930926503086518</v>
      </c>
      <c r="D8" s="87">
        <f t="shared" si="4"/>
        <v>4.3685036995801685</v>
      </c>
      <c r="E8" s="87">
        <f t="shared" si="4"/>
        <v>18.616004705656529</v>
      </c>
      <c r="F8" s="87">
        <f t="shared" si="4"/>
        <v>22.984508405236692</v>
      </c>
      <c r="G8" s="298">
        <f t="shared" ref="G8:G32" si="5">IF(B8&gt;0,(1+(E8/B8))^(1/($C$6-$B$6))-1,0)</f>
        <v>3.4851959166687152E-2</v>
      </c>
      <c r="H8" s="87"/>
      <c r="I8" s="342" t="str">
        <f>name!E4</f>
        <v>Managers, directors and senior officials</v>
      </c>
      <c r="J8" s="108">
        <f t="array" ref="J8:J16">MMULT(aggregation!$B$38:$Z$46,B7:B31)</f>
        <v>121.38972043868786</v>
      </c>
      <c r="K8" s="108">
        <f t="array" ref="K8:K16">MMULT(aggregation!$B$38:$Z$46,C7:C31)</f>
        <v>136.71855543186848</v>
      </c>
      <c r="L8" s="108">
        <f t="array" ref="L8:L16">MMULT(aggregation!$B$38:$Z$46,D7:D31)</f>
        <v>15.328834993180601</v>
      </c>
      <c r="M8" s="108">
        <f t="array" ref="M8:M16">MMULT(aggregation!$B$38:$Z$46,E7:E31)</f>
        <v>47.02308350346955</v>
      </c>
      <c r="N8" s="108">
        <f t="array" ref="N8:N16">MMULT(aggregation!$B$38:$Z$46,F7:F31)</f>
        <v>62.351918496650143</v>
      </c>
      <c r="O8" s="87"/>
      <c r="P8" s="340" t="str">
        <f>name!D5</f>
        <v xml:space="preserve"> 12 Other managers and proprietors</v>
      </c>
      <c r="Q8" s="87">
        <v>24.314430829333858</v>
      </c>
      <c r="R8" s="87">
        <v>25.684603474999857</v>
      </c>
      <c r="S8" s="491">
        <f t="shared" ref="S8:S32" si="6">R8-Q8</f>
        <v>1.3701726456659991</v>
      </c>
      <c r="T8" s="491">
        <v>8.526061825323179</v>
      </c>
      <c r="U8" s="491">
        <f t="shared" ref="U8:U32" si="7">SUM(S8:T8)</f>
        <v>9.8962344709891781</v>
      </c>
      <c r="V8" s="492">
        <f t="shared" ref="V8:V32" si="8">IF(Q8&gt;0,(1+(T8/Q8))^(1/($C$6-$B$6))-1,0)</f>
        <v>3.0515564509466575E-2</v>
      </c>
      <c r="W8" s="492"/>
      <c r="X8" s="340" t="str">
        <f>name!A5</f>
        <v>Coal, oil &amp; gas; Mining &amp; related</v>
      </c>
      <c r="Y8" s="340">
        <v>2.7239999999940552</v>
      </c>
      <c r="Z8" s="340">
        <v>2.2159999999892799</v>
      </c>
      <c r="AA8" s="491">
        <f t="shared" ref="AA8:AA71" si="9">Z8-Y8</f>
        <v>-0.5080000000047753</v>
      </c>
      <c r="AB8" s="340">
        <v>0.68262548048536043</v>
      </c>
      <c r="AC8" s="491">
        <f t="shared" ref="AC8:AC71" si="10">SUM(AA8:AB8)</f>
        <v>0.17462548048058513</v>
      </c>
      <c r="AD8" s="492">
        <f t="shared" ref="AD8:AD71" si="11">IF(Y8&gt;0,(1+(AB8/Y8))^(1/($C$6-$B$6))-1,0)</f>
        <v>2.2613987344528574E-2</v>
      </c>
    </row>
    <row r="9" spans="1:30" x14ac:dyDescent="0.2">
      <c r="A9" s="340" t="str">
        <f>name!D6</f>
        <v xml:space="preserve"> 21 Science, research, engineering and technology professionals</v>
      </c>
      <c r="B9" s="87">
        <f t="shared" ref="B9:F9" si="12">SUM(B37,B65,B93,B121,B149,B177,B205,B233,B261)</f>
        <v>48.951367989588036</v>
      </c>
      <c r="C9" s="87">
        <f t="shared" si="12"/>
        <v>53.238061977314082</v>
      </c>
      <c r="D9" s="87">
        <f t="shared" si="12"/>
        <v>4.2866939877260464</v>
      </c>
      <c r="E9" s="87">
        <f t="shared" si="12"/>
        <v>12.736222592761298</v>
      </c>
      <c r="F9" s="87">
        <f t="shared" si="12"/>
        <v>17.022916580487344</v>
      </c>
      <c r="G9" s="298">
        <f t="shared" si="5"/>
        <v>2.3395015691144661E-2</v>
      </c>
      <c r="H9" s="87"/>
      <c r="I9" s="342" t="str">
        <f>name!E5</f>
        <v>Professional occupations</v>
      </c>
      <c r="J9" s="108">
        <v>286.93232616274196</v>
      </c>
      <c r="K9" s="108">
        <v>324.76512982597291</v>
      </c>
      <c r="L9" s="108">
        <v>37.832803663230905</v>
      </c>
      <c r="M9" s="108">
        <v>100.35690833011955</v>
      </c>
      <c r="N9" s="108">
        <v>138.18971199335044</v>
      </c>
      <c r="O9" s="87"/>
      <c r="P9" s="340" t="str">
        <f>name!D6</f>
        <v xml:space="preserve"> 21 Science, research, engineering and technology professionals</v>
      </c>
      <c r="Q9" s="87">
        <v>38.566205916195614</v>
      </c>
      <c r="R9" s="87">
        <v>40.006152322875977</v>
      </c>
      <c r="S9" s="491">
        <f t="shared" si="6"/>
        <v>1.4399464066803631</v>
      </c>
      <c r="T9" s="491">
        <v>8.6565494643301104</v>
      </c>
      <c r="U9" s="491">
        <f t="shared" si="7"/>
        <v>10.096495871010474</v>
      </c>
      <c r="V9" s="492">
        <f t="shared" si="8"/>
        <v>2.0456369522090734E-2</v>
      </c>
      <c r="W9" s="492"/>
      <c r="X9" s="340" t="str">
        <f>name!A6</f>
        <v>Food products</v>
      </c>
      <c r="Y9" s="340">
        <v>18.271000000106142</v>
      </c>
      <c r="Z9" s="340">
        <v>16.370999999845807</v>
      </c>
      <c r="AA9" s="491">
        <f t="shared" si="9"/>
        <v>-1.9000000002603343</v>
      </c>
      <c r="AB9" s="340">
        <v>5.0751437699707411</v>
      </c>
      <c r="AC9" s="491">
        <f t="shared" si="10"/>
        <v>3.1751437697104068</v>
      </c>
      <c r="AD9" s="492">
        <f t="shared" si="11"/>
        <v>2.4814552468691797E-2</v>
      </c>
    </row>
    <row r="10" spans="1:30" x14ac:dyDescent="0.2">
      <c r="A10" s="340" t="str">
        <f>name!D7</f>
        <v xml:space="preserve"> 22 Health professionals</v>
      </c>
      <c r="B10" s="87">
        <f t="shared" ref="B10:F10" si="13">SUM(B38,B66,B94,B122,B150,B178,B206,B234,B262)</f>
        <v>96.439442296228577</v>
      </c>
      <c r="C10" s="87">
        <f t="shared" si="13"/>
        <v>112.37177373093058</v>
      </c>
      <c r="D10" s="87">
        <f t="shared" si="13"/>
        <v>15.932331434702022</v>
      </c>
      <c r="E10" s="87">
        <f t="shared" si="13"/>
        <v>37.061941360139045</v>
      </c>
      <c r="F10" s="87">
        <f t="shared" si="13"/>
        <v>52.994272794841066</v>
      </c>
      <c r="G10" s="298">
        <f t="shared" si="5"/>
        <v>3.3054199883643109E-2</v>
      </c>
      <c r="H10" s="87"/>
      <c r="I10" s="342" t="str">
        <f>name!E6</f>
        <v>Associate professional and technical</v>
      </c>
      <c r="J10" s="108">
        <v>172.07211916997352</v>
      </c>
      <c r="K10" s="108">
        <v>189.00941153550963</v>
      </c>
      <c r="L10" s="108">
        <v>16.937292365536152</v>
      </c>
      <c r="M10" s="108">
        <v>56.495468406012137</v>
      </c>
      <c r="N10" s="108">
        <v>73.432760771548288</v>
      </c>
      <c r="O10" s="87"/>
      <c r="P10" s="340" t="str">
        <f>name!D7</f>
        <v xml:space="preserve"> 22 Health professionals</v>
      </c>
      <c r="Q10" s="87">
        <v>28.336553949905682</v>
      </c>
      <c r="R10" s="87">
        <v>31.198246186391458</v>
      </c>
      <c r="S10" s="491">
        <f t="shared" si="6"/>
        <v>2.8616922364857764</v>
      </c>
      <c r="T10" s="491">
        <v>7.8474393533924989</v>
      </c>
      <c r="U10" s="491">
        <f t="shared" si="7"/>
        <v>10.709131589878275</v>
      </c>
      <c r="V10" s="492">
        <f t="shared" si="8"/>
        <v>2.4747685389158836E-2</v>
      </c>
      <c r="W10" s="492"/>
      <c r="X10" s="340" t="str">
        <f>name!A7</f>
        <v>Beverages and tobacco</v>
      </c>
      <c r="Y10" s="340">
        <v>1.9119999999986448</v>
      </c>
      <c r="Z10" s="340">
        <v>1.7129999999852827</v>
      </c>
      <c r="AA10" s="491">
        <f t="shared" si="9"/>
        <v>-0.19900000001336204</v>
      </c>
      <c r="AB10" s="340">
        <v>0.57650528223981401</v>
      </c>
      <c r="AC10" s="491">
        <f t="shared" si="10"/>
        <v>0.37750528222645197</v>
      </c>
      <c r="AD10" s="492">
        <f t="shared" si="11"/>
        <v>2.6703559997817372E-2</v>
      </c>
    </row>
    <row r="11" spans="1:30" x14ac:dyDescent="0.2">
      <c r="A11" s="340" t="str">
        <f>name!D8</f>
        <v xml:space="preserve"> 23 Teaching and educational professionals</v>
      </c>
      <c r="B11" s="87">
        <f t="shared" ref="B11:F11" si="14">SUM(B39,B67,B95,B123,B151,B179,B207,B235,B263)</f>
        <v>93.711316882436449</v>
      </c>
      <c r="C11" s="87">
        <f t="shared" si="14"/>
        <v>104.26072423736125</v>
      </c>
      <c r="D11" s="87">
        <f t="shared" si="14"/>
        <v>10.54940735492478</v>
      </c>
      <c r="E11" s="87">
        <f t="shared" si="14"/>
        <v>33.268221952342721</v>
      </c>
      <c r="F11" s="87">
        <f t="shared" si="14"/>
        <v>43.817629307267495</v>
      </c>
      <c r="G11" s="298">
        <f t="shared" si="5"/>
        <v>3.0846902900186324E-2</v>
      </c>
      <c r="H11" s="87"/>
      <c r="I11" s="342" t="str">
        <f>name!E7</f>
        <v>Administrative and secretarial</v>
      </c>
      <c r="J11" s="108">
        <v>160.63162547890491</v>
      </c>
      <c r="K11" s="108">
        <v>138.73142661139281</v>
      </c>
      <c r="L11" s="108">
        <v>-21.900198867512103</v>
      </c>
      <c r="M11" s="108">
        <v>50.12059430881736</v>
      </c>
      <c r="N11" s="108">
        <v>28.220395441305257</v>
      </c>
      <c r="O11" s="87"/>
      <c r="P11" s="340" t="str">
        <f>name!D8</f>
        <v xml:space="preserve"> 23 Teaching and educational professionals</v>
      </c>
      <c r="Q11" s="87">
        <v>32.32617902029677</v>
      </c>
      <c r="R11" s="87">
        <v>33.518277486137045</v>
      </c>
      <c r="S11" s="491">
        <f t="shared" si="6"/>
        <v>1.1920984658402745</v>
      </c>
      <c r="T11" s="491">
        <v>9.0718656792754135</v>
      </c>
      <c r="U11" s="491">
        <f t="shared" si="7"/>
        <v>10.263964145115688</v>
      </c>
      <c r="V11" s="492">
        <f t="shared" si="8"/>
        <v>2.5044088903644957E-2</v>
      </c>
      <c r="W11" s="492"/>
      <c r="X11" s="340" t="str">
        <f>name!A8</f>
        <v>Textiles</v>
      </c>
      <c r="Y11" s="340">
        <v>1.7500000000208531</v>
      </c>
      <c r="Z11" s="340">
        <v>1.3650000000022802</v>
      </c>
      <c r="AA11" s="491">
        <f t="shared" si="9"/>
        <v>-0.38500000001857293</v>
      </c>
      <c r="AB11" s="340">
        <v>0.47217758372656005</v>
      </c>
      <c r="AC11" s="491">
        <f t="shared" si="10"/>
        <v>8.7177583707987116E-2</v>
      </c>
      <c r="AD11" s="492">
        <f t="shared" si="11"/>
        <v>2.4174766101152434E-2</v>
      </c>
    </row>
    <row r="12" spans="1:30" x14ac:dyDescent="0.2">
      <c r="A12" s="340" t="str">
        <f>name!D9</f>
        <v xml:space="preserve"> 24 Business, media and public service professionals</v>
      </c>
      <c r="B12" s="87">
        <f t="shared" ref="B12:F12" si="15">SUM(B40,B68,B96,B124,B152,B180,B208,B236,B264)</f>
        <v>47.830198994488924</v>
      </c>
      <c r="C12" s="87">
        <f t="shared" si="15"/>
        <v>54.894569880366994</v>
      </c>
      <c r="D12" s="87">
        <f t="shared" si="15"/>
        <v>7.0643708858780583</v>
      </c>
      <c r="E12" s="87">
        <f t="shared" si="15"/>
        <v>17.290522424876478</v>
      </c>
      <c r="F12" s="87">
        <f t="shared" si="15"/>
        <v>24.354893310754527</v>
      </c>
      <c r="G12" s="298">
        <f t="shared" si="5"/>
        <v>3.133961901722504E-2</v>
      </c>
      <c r="H12" s="87"/>
      <c r="I12" s="342" t="str">
        <f>name!E8</f>
        <v>Skilled trades occupations</v>
      </c>
      <c r="J12" s="108">
        <v>204.65991614519817</v>
      </c>
      <c r="K12" s="108">
        <v>190.38528394164055</v>
      </c>
      <c r="L12" s="108">
        <v>-14.27463220355758</v>
      </c>
      <c r="M12" s="108">
        <v>56.884382408878864</v>
      </c>
      <c r="N12" s="108">
        <v>42.609750205321291</v>
      </c>
      <c r="O12" s="87"/>
      <c r="P12" s="340" t="str">
        <f>name!D9</f>
        <v xml:space="preserve"> 24 Business, media and public service professionals</v>
      </c>
      <c r="Q12" s="87">
        <v>21.859349683733893</v>
      </c>
      <c r="R12" s="87">
        <v>22.010129556963619</v>
      </c>
      <c r="S12" s="491">
        <f t="shared" si="6"/>
        <v>0.15077987322972675</v>
      </c>
      <c r="T12" s="491">
        <v>6.2425722087006639</v>
      </c>
      <c r="U12" s="491">
        <f t="shared" si="7"/>
        <v>6.3933520819303906</v>
      </c>
      <c r="V12" s="492">
        <f t="shared" si="8"/>
        <v>2.5439112774188866E-2</v>
      </c>
      <c r="W12" s="492"/>
      <c r="X12" s="340" t="str">
        <f>name!A9</f>
        <v>Wearing apparel; Leather, etc</v>
      </c>
      <c r="Y12" s="340">
        <v>1.2990000000068029</v>
      </c>
      <c r="Z12" s="340">
        <v>1.0179999999991838</v>
      </c>
      <c r="AA12" s="491">
        <f t="shared" si="9"/>
        <v>-0.28100000000761916</v>
      </c>
      <c r="AB12" s="340">
        <v>0.36462373837241557</v>
      </c>
      <c r="AC12" s="491">
        <f t="shared" si="10"/>
        <v>8.3623738364796418E-2</v>
      </c>
      <c r="AD12" s="492">
        <f t="shared" si="11"/>
        <v>2.5048927950957811E-2</v>
      </c>
    </row>
    <row r="13" spans="1:30" x14ac:dyDescent="0.2">
      <c r="A13" s="340" t="str">
        <f>name!D10</f>
        <v xml:space="preserve"> 31 Science, engineering and technology associate professionals</v>
      </c>
      <c r="B13" s="87">
        <f t="shared" ref="B13:F13" si="16">SUM(B41,B69,B97,B125,B153,B181,B209,B237,B265)</f>
        <v>25.153076673906487</v>
      </c>
      <c r="C13" s="87">
        <f t="shared" si="16"/>
        <v>25.291027134911726</v>
      </c>
      <c r="D13" s="87">
        <f t="shared" si="16"/>
        <v>0.13795046100524322</v>
      </c>
      <c r="E13" s="87">
        <f t="shared" si="16"/>
        <v>6.7151101066635102</v>
      </c>
      <c r="F13" s="87">
        <f t="shared" si="16"/>
        <v>6.8530605676687522</v>
      </c>
      <c r="G13" s="298">
        <f t="shared" si="5"/>
        <v>2.3944986501861276E-2</v>
      </c>
      <c r="H13" s="87"/>
      <c r="I13" s="342" t="str">
        <f>name!E9</f>
        <v>Caring, leisure and other service</v>
      </c>
      <c r="J13" s="108">
        <v>168.1161708779527</v>
      </c>
      <c r="K13" s="108">
        <v>188.79525387511907</v>
      </c>
      <c r="L13" s="108">
        <v>20.679082997166379</v>
      </c>
      <c r="M13" s="108">
        <v>65.008259504185446</v>
      </c>
      <c r="N13" s="108">
        <v>85.68734250135185</v>
      </c>
      <c r="O13" s="87"/>
      <c r="P13" s="340" t="str">
        <f>name!D10</f>
        <v xml:space="preserve"> 31 Science, engineering and technology associate professionals</v>
      </c>
      <c r="Q13" s="87">
        <v>19.101619639066506</v>
      </c>
      <c r="R13" s="87">
        <v>19.279374227958979</v>
      </c>
      <c r="S13" s="491">
        <f t="shared" si="6"/>
        <v>0.17775458889247275</v>
      </c>
      <c r="T13" s="491">
        <v>4.680529360856454</v>
      </c>
      <c r="U13" s="491">
        <f t="shared" si="7"/>
        <v>4.8582839497489267</v>
      </c>
      <c r="V13" s="492">
        <f t="shared" si="8"/>
        <v>2.2158137106051523E-2</v>
      </c>
      <c r="W13" s="492"/>
      <c r="X13" s="340" t="str">
        <f>name!A10</f>
        <v xml:space="preserve">Wood and cork </v>
      </c>
      <c r="Y13" s="340">
        <v>4.0510000000094317</v>
      </c>
      <c r="Z13" s="340">
        <v>3.5509999999401929</v>
      </c>
      <c r="AA13" s="491">
        <f t="shared" si="9"/>
        <v>-0.50000000006923884</v>
      </c>
      <c r="AB13" s="340">
        <v>1.0598132119218069</v>
      </c>
      <c r="AC13" s="491">
        <f t="shared" si="10"/>
        <v>0.55981321185256805</v>
      </c>
      <c r="AD13" s="492">
        <f t="shared" si="11"/>
        <v>2.3511617550080022E-2</v>
      </c>
    </row>
    <row r="14" spans="1:30" x14ac:dyDescent="0.2">
      <c r="A14" s="340" t="str">
        <f>name!D11</f>
        <v xml:space="preserve"> 32 Health and social care associate professionals</v>
      </c>
      <c r="B14" s="87">
        <f t="shared" ref="B14:F14" si="17">SUM(B42,B70,B98,B126,B154,B182,B210,B238,B266)</f>
        <v>31.23663079927276</v>
      </c>
      <c r="C14" s="87">
        <f t="shared" si="17"/>
        <v>36.336353610236607</v>
      </c>
      <c r="D14" s="87">
        <f t="shared" si="17"/>
        <v>5.0997228109638453</v>
      </c>
      <c r="E14" s="87">
        <f t="shared" si="17"/>
        <v>12.861763111419821</v>
      </c>
      <c r="F14" s="87">
        <f t="shared" si="17"/>
        <v>17.96148592238367</v>
      </c>
      <c r="G14" s="298">
        <f t="shared" si="5"/>
        <v>3.50846276613348E-2</v>
      </c>
      <c r="H14" s="87"/>
      <c r="I14" s="342" t="str">
        <f>name!E10</f>
        <v>Sales and customer service</v>
      </c>
      <c r="J14" s="108">
        <v>125.66987901861694</v>
      </c>
      <c r="K14" s="108">
        <v>122.14903772501788</v>
      </c>
      <c r="L14" s="108">
        <v>-3.5208412935990685</v>
      </c>
      <c r="M14" s="108">
        <v>39.941558001949872</v>
      </c>
      <c r="N14" s="108">
        <v>36.42071670835081</v>
      </c>
      <c r="O14" s="87"/>
      <c r="P14" s="340" t="str">
        <f>name!D11</f>
        <v xml:space="preserve"> 32 Health and social care associate professionals</v>
      </c>
      <c r="Q14" s="87">
        <v>10.113734440959385</v>
      </c>
      <c r="R14" s="87">
        <v>11.118969015117107</v>
      </c>
      <c r="S14" s="491">
        <f t="shared" si="6"/>
        <v>1.005234574157722</v>
      </c>
      <c r="T14" s="491">
        <v>3.4995781381560969</v>
      </c>
      <c r="U14" s="491">
        <f t="shared" si="7"/>
        <v>4.5048127123138189</v>
      </c>
      <c r="V14" s="492">
        <f t="shared" si="8"/>
        <v>3.0161291255735412E-2</v>
      </c>
      <c r="W14" s="492"/>
      <c r="X14" s="340" t="str">
        <f>name!A11</f>
        <v>Paper, etc</v>
      </c>
      <c r="Y14" s="340">
        <v>2.9050000000066611</v>
      </c>
      <c r="Z14" s="340">
        <v>2.5919999999667689</v>
      </c>
      <c r="AA14" s="491">
        <f t="shared" si="9"/>
        <v>-0.31300000003989226</v>
      </c>
      <c r="AB14" s="340">
        <v>0.76934403324741629</v>
      </c>
      <c r="AC14" s="491">
        <f t="shared" si="10"/>
        <v>0.45634403320752404</v>
      </c>
      <c r="AD14" s="492">
        <f t="shared" si="11"/>
        <v>2.3772284231565077E-2</v>
      </c>
    </row>
    <row r="15" spans="1:30" x14ac:dyDescent="0.2">
      <c r="A15" s="340" t="str">
        <f>name!D12</f>
        <v xml:space="preserve"> 33 Protective service occupations</v>
      </c>
      <c r="B15" s="87">
        <f t="shared" ref="B15:F15" si="18">SUM(B43,B71,B99,B127,B155,B183,B211,B239,B267)</f>
        <v>16.71582852762074</v>
      </c>
      <c r="C15" s="87">
        <f t="shared" si="18"/>
        <v>15.812025383532312</v>
      </c>
      <c r="D15" s="87">
        <f t="shared" si="18"/>
        <v>-0.9038031440884251</v>
      </c>
      <c r="E15" s="87">
        <f t="shared" si="18"/>
        <v>3.6209489892123918</v>
      </c>
      <c r="F15" s="87">
        <f t="shared" si="18"/>
        <v>2.7171458451239672</v>
      </c>
      <c r="G15" s="298">
        <f t="shared" si="5"/>
        <v>1.9800975366929929E-2</v>
      </c>
      <c r="H15" s="87"/>
      <c r="I15" s="342" t="str">
        <f>name!E11</f>
        <v>Process, plant and machine operatives</v>
      </c>
      <c r="J15" s="108">
        <v>113.82573906258955</v>
      </c>
      <c r="K15" s="108">
        <v>102.98688318643495</v>
      </c>
      <c r="L15" s="108">
        <v>-10.838855876154593</v>
      </c>
      <c r="M15" s="108">
        <v>31.898317125002247</v>
      </c>
      <c r="N15" s="108">
        <v>21.059461248847651</v>
      </c>
      <c r="O15" s="87"/>
      <c r="P15" s="340" t="str">
        <f>name!D12</f>
        <v xml:space="preserve"> 33 Protective service occupations</v>
      </c>
      <c r="Q15" s="87">
        <v>12.839479722247431</v>
      </c>
      <c r="R15" s="87">
        <v>10.978205915059863</v>
      </c>
      <c r="S15" s="491">
        <f t="shared" si="6"/>
        <v>-1.8612738071875672</v>
      </c>
      <c r="T15" s="491">
        <v>2.2204036003493548</v>
      </c>
      <c r="U15" s="491">
        <f t="shared" si="7"/>
        <v>0.35912979316178761</v>
      </c>
      <c r="V15" s="492">
        <f t="shared" si="8"/>
        <v>1.6078865581073964E-2</v>
      </c>
      <c r="W15" s="492"/>
      <c r="X15" s="340" t="str">
        <f>name!A12</f>
        <v>Printing and recording</v>
      </c>
      <c r="Y15" s="340">
        <v>5.6890000000003482</v>
      </c>
      <c r="Z15" s="340">
        <v>5.4799999999577711</v>
      </c>
      <c r="AA15" s="491">
        <f t="shared" si="9"/>
        <v>-0.20900000004257713</v>
      </c>
      <c r="AB15" s="340">
        <v>1.6239145761262013</v>
      </c>
      <c r="AC15" s="491">
        <f t="shared" si="10"/>
        <v>1.4149145760836241</v>
      </c>
      <c r="AD15" s="492">
        <f t="shared" si="11"/>
        <v>2.5428672192569168E-2</v>
      </c>
    </row>
    <row r="16" spans="1:30" x14ac:dyDescent="0.2">
      <c r="A16" s="340" t="str">
        <f>name!D13</f>
        <v xml:space="preserve"> 34 Culture, media and sports occupations</v>
      </c>
      <c r="B16" s="87">
        <f t="shared" ref="B16:F16" si="19">SUM(B44,B72,B100,B128,B156,B184,B212,B240,B268)</f>
        <v>26.053726016084351</v>
      </c>
      <c r="C16" s="87">
        <f t="shared" si="19"/>
        <v>28.887592472886222</v>
      </c>
      <c r="D16" s="87">
        <f t="shared" si="19"/>
        <v>2.8338664568018714</v>
      </c>
      <c r="E16" s="87">
        <f t="shared" si="19"/>
        <v>8.8884516086995369</v>
      </c>
      <c r="F16" s="87">
        <f t="shared" si="19"/>
        <v>11.722318065501408</v>
      </c>
      <c r="G16" s="298">
        <f t="shared" si="5"/>
        <v>2.9788440553695894E-2</v>
      </c>
      <c r="H16" s="87"/>
      <c r="I16" s="342" t="str">
        <f>name!E12</f>
        <v>Elementary occupations</v>
      </c>
      <c r="J16" s="108">
        <v>176.46250364617697</v>
      </c>
      <c r="K16" s="108">
        <v>175.63201786892947</v>
      </c>
      <c r="L16" s="108">
        <v>-0.83048577724751604</v>
      </c>
      <c r="M16" s="108">
        <v>55.739069221296432</v>
      </c>
      <c r="N16" s="108">
        <v>54.908583444048922</v>
      </c>
      <c r="O16" s="87"/>
      <c r="P16" s="340" t="str">
        <f>name!D13</f>
        <v xml:space="preserve"> 34 Culture, media and sports occupations</v>
      </c>
      <c r="Q16" s="87">
        <v>12.279237058956587</v>
      </c>
      <c r="R16" s="87">
        <v>12.982121304074246</v>
      </c>
      <c r="S16" s="491">
        <f t="shared" si="6"/>
        <v>0.70288424511765868</v>
      </c>
      <c r="T16" s="491">
        <v>3.4662507400524336</v>
      </c>
      <c r="U16" s="491">
        <f t="shared" si="7"/>
        <v>4.1691349851700927</v>
      </c>
      <c r="V16" s="492">
        <f t="shared" si="8"/>
        <v>2.5176101652383709E-2</v>
      </c>
      <c r="W16" s="492"/>
      <c r="X16" s="340" t="str">
        <f>name!A13</f>
        <v>Coke and petroleum; Chemicals, etc</v>
      </c>
      <c r="Y16" s="340">
        <v>4.941999999991654</v>
      </c>
      <c r="Z16" s="340">
        <v>4.5770000000000435</v>
      </c>
      <c r="AA16" s="491">
        <f t="shared" si="9"/>
        <v>-0.36499999999161048</v>
      </c>
      <c r="AB16" s="340">
        <v>1.3571935927855638</v>
      </c>
      <c r="AC16" s="491">
        <f t="shared" si="10"/>
        <v>0.99219359279395336</v>
      </c>
      <c r="AD16" s="492">
        <f t="shared" si="11"/>
        <v>2.4561946167568571E-2</v>
      </c>
    </row>
    <row r="17" spans="1:30" x14ac:dyDescent="0.2">
      <c r="A17" s="340" t="str">
        <f>name!D14</f>
        <v xml:space="preserve"> 35 Business and public service associate professionals</v>
      </c>
      <c r="B17" s="87">
        <f t="shared" ref="B17:F17" si="20">SUM(B45,B73,B101,B129,B157,B185,B213,B241,B269)</f>
        <v>72.912857153089163</v>
      </c>
      <c r="C17" s="87">
        <f t="shared" si="20"/>
        <v>82.682412933942771</v>
      </c>
      <c r="D17" s="87">
        <f t="shared" si="20"/>
        <v>9.7695557808536151</v>
      </c>
      <c r="E17" s="87">
        <f t="shared" si="20"/>
        <v>24.409194590016877</v>
      </c>
      <c r="F17" s="87">
        <f t="shared" si="20"/>
        <v>34.178750370870489</v>
      </c>
      <c r="G17" s="298">
        <f t="shared" si="5"/>
        <v>2.9297016494140404E-2</v>
      </c>
      <c r="H17" s="87"/>
      <c r="O17" s="87"/>
      <c r="P17" s="340" t="str">
        <f>name!D14</f>
        <v xml:space="preserve"> 35 Business and public service associate professionals</v>
      </c>
      <c r="Q17" s="87">
        <v>38.147463884032717</v>
      </c>
      <c r="R17" s="87">
        <v>39.263871381642652</v>
      </c>
      <c r="S17" s="491">
        <f t="shared" si="6"/>
        <v>1.1164074976099343</v>
      </c>
      <c r="T17" s="491">
        <v>10.064124888046234</v>
      </c>
      <c r="U17" s="491">
        <f t="shared" si="7"/>
        <v>11.180532385656168</v>
      </c>
      <c r="V17" s="492">
        <f t="shared" si="8"/>
        <v>2.3690274449844617E-2</v>
      </c>
      <c r="W17" s="492"/>
      <c r="X17" s="340" t="str">
        <f>name!A14</f>
        <v>Pharmaceuticals</v>
      </c>
      <c r="Y17" s="340">
        <v>3.308999999998854</v>
      </c>
      <c r="Z17" s="340">
        <v>3.224000000003223</v>
      </c>
      <c r="AA17" s="491">
        <f t="shared" si="9"/>
        <v>-8.4999999995631015E-2</v>
      </c>
      <c r="AB17" s="340">
        <v>1.0458233652210258</v>
      </c>
      <c r="AC17" s="491">
        <f t="shared" si="10"/>
        <v>0.9608233652253948</v>
      </c>
      <c r="AD17" s="492">
        <f t="shared" si="11"/>
        <v>2.7844408672621057E-2</v>
      </c>
    </row>
    <row r="18" spans="1:30" x14ac:dyDescent="0.2">
      <c r="A18" s="340" t="str">
        <f>name!D15</f>
        <v xml:space="preserve"> 41 Administrative occupations</v>
      </c>
      <c r="B18" s="87">
        <f t="shared" ref="B18:F18" si="21">SUM(B46,B74,B102,B130,B158,B186,B214,B242,B270)</f>
        <v>127.52133450989984</v>
      </c>
      <c r="C18" s="87">
        <f t="shared" si="21"/>
        <v>120.00823804562907</v>
      </c>
      <c r="D18" s="87">
        <f t="shared" si="21"/>
        <v>-7.5130964642707898</v>
      </c>
      <c r="E18" s="87">
        <f t="shared" si="21"/>
        <v>41.449780755109266</v>
      </c>
      <c r="F18" s="87">
        <f t="shared" si="21"/>
        <v>33.936684290838478</v>
      </c>
      <c r="G18" s="298">
        <f t="shared" si="5"/>
        <v>2.8544206242545167E-2</v>
      </c>
      <c r="H18" s="87"/>
      <c r="I18" s="115" t="str">
        <f>name!F4</f>
        <v>RQF8 Doctorate</v>
      </c>
      <c r="J18" s="108"/>
      <c r="K18" s="108"/>
      <c r="L18" s="108"/>
      <c r="M18" s="108"/>
      <c r="N18" s="108"/>
      <c r="O18" s="87"/>
      <c r="P18" s="340" t="str">
        <f>name!D15</f>
        <v xml:space="preserve"> 41 Administrative occupations</v>
      </c>
      <c r="Q18" s="87">
        <v>39.816274262878977</v>
      </c>
      <c r="R18" s="87">
        <v>41.035457469735661</v>
      </c>
      <c r="S18" s="491">
        <f t="shared" si="6"/>
        <v>1.2191832068566839</v>
      </c>
      <c r="T18" s="491">
        <v>10.362650389324752</v>
      </c>
      <c r="U18" s="491">
        <f t="shared" si="7"/>
        <v>11.581833596181436</v>
      </c>
      <c r="V18" s="492">
        <f t="shared" si="8"/>
        <v>2.3401556308181082E-2</v>
      </c>
      <c r="W18" s="492"/>
      <c r="X18" s="340" t="str">
        <f>name!A15</f>
        <v>Rubber and plastic</v>
      </c>
      <c r="Y18" s="340">
        <v>8.9430000000373209</v>
      </c>
      <c r="Z18" s="340">
        <v>7.1599999999467112</v>
      </c>
      <c r="AA18" s="491">
        <f t="shared" si="9"/>
        <v>-1.7830000000906097</v>
      </c>
      <c r="AB18" s="340">
        <v>2.2904726156325528</v>
      </c>
      <c r="AC18" s="491">
        <f t="shared" si="10"/>
        <v>0.50747261554194312</v>
      </c>
      <c r="AD18" s="492">
        <f t="shared" si="11"/>
        <v>2.306465304157479E-2</v>
      </c>
    </row>
    <row r="19" spans="1:30" x14ac:dyDescent="0.2">
      <c r="A19" s="340" t="str">
        <f>name!D16</f>
        <v xml:space="preserve"> 42 Secretarial and related occupations</v>
      </c>
      <c r="B19" s="87">
        <f t="shared" ref="B19:F19" si="22">SUM(B47,B75,B103,B131,B159,B187,B215,B243,B271)</f>
        <v>33.110290969005057</v>
      </c>
      <c r="C19" s="87">
        <f t="shared" si="22"/>
        <v>18.723188565763746</v>
      </c>
      <c r="D19" s="87">
        <f t="shared" si="22"/>
        <v>-14.387102403241313</v>
      </c>
      <c r="E19" s="87">
        <f t="shared" si="22"/>
        <v>8.6708135537080917</v>
      </c>
      <c r="F19" s="87">
        <f t="shared" si="22"/>
        <v>-5.716288849533222</v>
      </c>
      <c r="G19" s="298">
        <f t="shared" si="5"/>
        <v>2.3532628856152149E-2</v>
      </c>
      <c r="H19" s="87"/>
      <c r="I19" s="108" t="str">
        <f t="shared" ref="I19:I27" si="23">I8</f>
        <v>Managers, directors and senior officials</v>
      </c>
      <c r="J19" s="108">
        <f t="array" ref="J19:J27">MMULT(aggregation!$B$38:$Z$46,B35:B59)</f>
        <v>1.4965354733694229</v>
      </c>
      <c r="K19" s="108">
        <f t="array" ref="K19:K27">MMULT(aggregation!$B$38:$Z$46,C35:C59)</f>
        <v>2.3861501920715784</v>
      </c>
      <c r="L19" s="108">
        <f t="array" ref="L19:L27">MMULT(aggregation!$B$38:$Z$46,D35:D59)</f>
        <v>0.88961471870215547</v>
      </c>
      <c r="M19" s="108">
        <f t="array" ref="M19:M27">MMULT(aggregation!$B$38:$Z$46,E35:E59)</f>
        <v>0.62952821306147633</v>
      </c>
      <c r="N19" s="108">
        <f t="array" ref="N19:N27">MMULT(aggregation!$B$38:$Z$46,F35:F59)</f>
        <v>1.5191429317636318</v>
      </c>
      <c r="O19" s="87"/>
      <c r="P19" s="340" t="str">
        <f>name!D16</f>
        <v xml:space="preserve"> 42 Secretarial and related occupations</v>
      </c>
      <c r="Q19" s="87">
        <v>2.2326190561804076</v>
      </c>
      <c r="R19" s="87">
        <v>2.390793917347847</v>
      </c>
      <c r="S19" s="491">
        <f t="shared" si="6"/>
        <v>0.1581748611674394</v>
      </c>
      <c r="T19" s="491">
        <v>0.52543948516248062</v>
      </c>
      <c r="U19" s="491">
        <f t="shared" si="7"/>
        <v>0.68361434632992002</v>
      </c>
      <c r="V19" s="492">
        <f t="shared" si="8"/>
        <v>2.1360093850330664E-2</v>
      </c>
      <c r="W19" s="492"/>
      <c r="X19" s="340" t="str">
        <f>name!A16</f>
        <v>Other non-metallic</v>
      </c>
      <c r="Y19" s="340">
        <v>3.0830000000161841</v>
      </c>
      <c r="Z19" s="340">
        <v>2.4189999999779355</v>
      </c>
      <c r="AA19" s="491">
        <f t="shared" si="9"/>
        <v>-0.66400000003824866</v>
      </c>
      <c r="AB19" s="340">
        <v>0.77256127287192733</v>
      </c>
      <c r="AC19" s="491">
        <f t="shared" si="10"/>
        <v>0.10856127283367867</v>
      </c>
      <c r="AD19" s="492">
        <f t="shared" si="11"/>
        <v>2.26132332403568E-2</v>
      </c>
    </row>
    <row r="20" spans="1:30" x14ac:dyDescent="0.2">
      <c r="A20" s="340" t="str">
        <f>name!D17</f>
        <v xml:space="preserve"> 51 Skilled agricultural and related trades</v>
      </c>
      <c r="B20" s="87">
        <f t="shared" ref="B20:F20" si="24">SUM(B48,B76,B104,B132,B160,B188,B216,B244,B272)</f>
        <v>44.64199258052971</v>
      </c>
      <c r="C20" s="87">
        <f t="shared" si="24"/>
        <v>43.562375469482681</v>
      </c>
      <c r="D20" s="87">
        <f t="shared" si="24"/>
        <v>-1.0796171110470354</v>
      </c>
      <c r="E20" s="87">
        <f t="shared" si="24"/>
        <v>15.398997808756077</v>
      </c>
      <c r="F20" s="87">
        <f t="shared" si="24"/>
        <v>14.319380697709043</v>
      </c>
      <c r="G20" s="298">
        <f t="shared" si="5"/>
        <v>3.0078749184892617E-2</v>
      </c>
      <c r="H20" s="87"/>
      <c r="I20" s="108" t="str">
        <f t="shared" si="23"/>
        <v>Professional occupations</v>
      </c>
      <c r="J20" s="108">
        <v>18.710054256688146</v>
      </c>
      <c r="K20" s="108">
        <v>25.876439851826113</v>
      </c>
      <c r="L20" s="108">
        <v>7.16638559513797</v>
      </c>
      <c r="M20" s="108">
        <v>6.567336486457279</v>
      </c>
      <c r="N20" s="108">
        <v>13.733722081595248</v>
      </c>
      <c r="O20" s="87"/>
      <c r="P20" s="340" t="str">
        <f>name!D17</f>
        <v xml:space="preserve"> 51 Skilled agricultural and related trades</v>
      </c>
      <c r="Q20" s="87">
        <v>34.933712388819252</v>
      </c>
      <c r="R20" s="87">
        <v>33.484558147791688</v>
      </c>
      <c r="S20" s="491">
        <f t="shared" si="6"/>
        <v>-1.4491542410275642</v>
      </c>
      <c r="T20" s="491">
        <v>10.993949026211986</v>
      </c>
      <c r="U20" s="491">
        <f t="shared" si="7"/>
        <v>9.5447947851844219</v>
      </c>
      <c r="V20" s="492">
        <f t="shared" si="8"/>
        <v>2.7739288723323652E-2</v>
      </c>
      <c r="W20" s="492"/>
      <c r="X20" s="340" t="str">
        <f>name!A17</f>
        <v>Basic metals</v>
      </c>
      <c r="Y20" s="340">
        <v>12.277000000007014</v>
      </c>
      <c r="Z20" s="340">
        <v>9.9749999998433587</v>
      </c>
      <c r="AA20" s="491">
        <f t="shared" si="9"/>
        <v>-2.3020000001636554</v>
      </c>
      <c r="AB20" s="340">
        <v>2.8639091347161254</v>
      </c>
      <c r="AC20" s="491">
        <f t="shared" si="10"/>
        <v>0.56190913455247005</v>
      </c>
      <c r="AD20" s="492">
        <f t="shared" si="11"/>
        <v>2.1188627743599975E-2</v>
      </c>
    </row>
    <row r="21" spans="1:30" x14ac:dyDescent="0.2">
      <c r="A21" s="340" t="str">
        <f>name!D18</f>
        <v xml:space="preserve"> 52 Skilled metal, electrical and electronic trades</v>
      </c>
      <c r="B21" s="87">
        <f t="shared" ref="B21:F21" si="25">SUM(B49,B77,B105,B133,B161,B189,B217,B245,B273)</f>
        <v>60.29832711375871</v>
      </c>
      <c r="C21" s="87">
        <f t="shared" si="25"/>
        <v>52.816651683092473</v>
      </c>
      <c r="D21" s="87">
        <f t="shared" si="25"/>
        <v>-7.481675430666221</v>
      </c>
      <c r="E21" s="87">
        <f t="shared" si="25"/>
        <v>14.417831472063908</v>
      </c>
      <c r="F21" s="87">
        <f t="shared" si="25"/>
        <v>6.9361560413976884</v>
      </c>
      <c r="G21" s="298">
        <f t="shared" si="5"/>
        <v>2.167067303660275E-2</v>
      </c>
      <c r="H21" s="87"/>
      <c r="I21" s="108" t="str">
        <f t="shared" si="23"/>
        <v>Associate professional and technical</v>
      </c>
      <c r="J21" s="108">
        <v>2.0232206605497973</v>
      </c>
      <c r="K21" s="108">
        <v>3.1401361672269115</v>
      </c>
      <c r="L21" s="108">
        <v>1.1169155066771139</v>
      </c>
      <c r="M21" s="108">
        <v>0.75414522998645506</v>
      </c>
      <c r="N21" s="108">
        <v>1.8710607366635688</v>
      </c>
      <c r="O21" s="87"/>
      <c r="P21" s="340" t="str">
        <f>name!D18</f>
        <v xml:space="preserve"> 52 Skilled metal, electrical and electronic trades</v>
      </c>
      <c r="Q21" s="87">
        <v>59.210764333162246</v>
      </c>
      <c r="R21" s="87">
        <v>51.837402223886173</v>
      </c>
      <c r="S21" s="491">
        <f t="shared" si="6"/>
        <v>-7.3733621092760728</v>
      </c>
      <c r="T21" s="491">
        <v>14.02853757588367</v>
      </c>
      <c r="U21" s="491">
        <f t="shared" si="7"/>
        <v>6.6551754666075968</v>
      </c>
      <c r="V21" s="492">
        <f t="shared" si="8"/>
        <v>2.1490549139954851E-2</v>
      </c>
      <c r="W21" s="492"/>
      <c r="X21" s="340" t="str">
        <f>name!A18</f>
        <v>Metal products</v>
      </c>
      <c r="Y21" s="340">
        <v>19.45300000003375</v>
      </c>
      <c r="Z21" s="340">
        <v>16.382999999808042</v>
      </c>
      <c r="AA21" s="491">
        <f t="shared" si="9"/>
        <v>-3.0700000002257077</v>
      </c>
      <c r="AB21" s="340">
        <v>4.9231852243312177</v>
      </c>
      <c r="AC21" s="491">
        <f t="shared" si="10"/>
        <v>1.85318522410551</v>
      </c>
      <c r="AD21" s="492">
        <f t="shared" si="11"/>
        <v>2.2816947540045707E-2</v>
      </c>
    </row>
    <row r="22" spans="1:30" x14ac:dyDescent="0.2">
      <c r="A22" s="340" t="str">
        <f>name!D19</f>
        <v xml:space="preserve"> 53 Skilled construction and building trades</v>
      </c>
      <c r="B22" s="87">
        <f t="shared" ref="B22:F22" si="26">SUM(B50,B78,B106,B134,B162,B190,B218,B246,B274)</f>
        <v>55.607063035219291</v>
      </c>
      <c r="C22" s="87">
        <f t="shared" si="26"/>
        <v>55.864658178180044</v>
      </c>
      <c r="D22" s="87">
        <f t="shared" si="26"/>
        <v>0.25759514296075281</v>
      </c>
      <c r="E22" s="87">
        <f t="shared" si="26"/>
        <v>15.865782267656909</v>
      </c>
      <c r="F22" s="87">
        <f t="shared" si="26"/>
        <v>16.123377410617664</v>
      </c>
      <c r="G22" s="298">
        <f t="shared" si="5"/>
        <v>2.5418412423927395E-2</v>
      </c>
      <c r="H22" s="87"/>
      <c r="I22" s="108" t="str">
        <f t="shared" si="23"/>
        <v>Administrative and secretarial</v>
      </c>
      <c r="J22" s="108">
        <v>0.85727955150102142</v>
      </c>
      <c r="K22" s="108">
        <v>1.2759319594335501</v>
      </c>
      <c r="L22" s="108">
        <v>0.41865240793252878</v>
      </c>
      <c r="M22" s="108">
        <v>0.33062820099967066</v>
      </c>
      <c r="N22" s="108">
        <v>0.74928060893219939</v>
      </c>
      <c r="O22" s="87"/>
      <c r="P22" s="340" t="str">
        <f>name!D19</f>
        <v xml:space="preserve"> 53 Skilled construction and building trades</v>
      </c>
      <c r="Q22" s="87">
        <v>54.230288974199759</v>
      </c>
      <c r="R22" s="87">
        <v>54.072896462494526</v>
      </c>
      <c r="S22" s="491">
        <f t="shared" si="6"/>
        <v>-0.15739251170523261</v>
      </c>
      <c r="T22" s="491">
        <v>15.28502624713906</v>
      </c>
      <c r="U22" s="491">
        <f t="shared" si="7"/>
        <v>15.127633735433827</v>
      </c>
      <c r="V22" s="492">
        <f t="shared" si="8"/>
        <v>2.5141600796501296E-2</v>
      </c>
      <c r="W22" s="492"/>
      <c r="X22" s="340" t="str">
        <f>name!A19</f>
        <v>Computer, etc</v>
      </c>
      <c r="Y22" s="340">
        <v>7.3150000000252309</v>
      </c>
      <c r="Z22" s="340">
        <v>7.0939999999865044</v>
      </c>
      <c r="AA22" s="491">
        <f t="shared" si="9"/>
        <v>-0.22100000003872644</v>
      </c>
      <c r="AB22" s="340">
        <v>2.2627493892780328</v>
      </c>
      <c r="AC22" s="491">
        <f t="shared" si="10"/>
        <v>2.0417493892393064</v>
      </c>
      <c r="AD22" s="492">
        <f t="shared" si="11"/>
        <v>2.7318038463473471E-2</v>
      </c>
    </row>
    <row r="23" spans="1:30" x14ac:dyDescent="0.2">
      <c r="A23" s="340" t="str">
        <f>name!D20</f>
        <v xml:space="preserve"> 54 Textiles, printing and other skilled trades</v>
      </c>
      <c r="B23" s="87">
        <f t="shared" ref="B23:F23" si="27">SUM(B51,B79,B107,B135,B163,B191,B219,B247,B275)</f>
        <v>44.112533415690436</v>
      </c>
      <c r="C23" s="87">
        <f t="shared" si="27"/>
        <v>38.14159861088536</v>
      </c>
      <c r="D23" s="87">
        <f t="shared" si="27"/>
        <v>-5.9709348048050757</v>
      </c>
      <c r="E23" s="87">
        <f t="shared" si="27"/>
        <v>11.20177086040197</v>
      </c>
      <c r="F23" s="87">
        <f t="shared" si="27"/>
        <v>5.2308360555968951</v>
      </c>
      <c r="G23" s="298">
        <f t="shared" si="5"/>
        <v>2.2886732111201846E-2</v>
      </c>
      <c r="H23" s="87"/>
      <c r="I23" s="108" t="str">
        <f t="shared" si="23"/>
        <v>Skilled trades occupations</v>
      </c>
      <c r="J23" s="108">
        <v>0.43769863557217259</v>
      </c>
      <c r="K23" s="108">
        <v>0.71521813111383314</v>
      </c>
      <c r="L23" s="108">
        <v>0.2775194955416605</v>
      </c>
      <c r="M23" s="108">
        <v>0.19865342327940416</v>
      </c>
      <c r="N23" s="108">
        <v>0.47617291882106472</v>
      </c>
      <c r="O23" s="87"/>
      <c r="P23" s="340" t="str">
        <f>name!D20</f>
        <v xml:space="preserve"> 54 Textiles, printing and other skilled trades</v>
      </c>
      <c r="Q23" s="87">
        <v>30.895302705846561</v>
      </c>
      <c r="R23" s="87">
        <v>25.80696844093627</v>
      </c>
      <c r="S23" s="491">
        <f t="shared" si="6"/>
        <v>-5.0883342649102907</v>
      </c>
      <c r="T23" s="491">
        <v>6.295723242517842</v>
      </c>
      <c r="U23" s="491">
        <f t="shared" si="7"/>
        <v>1.2073889776075513</v>
      </c>
      <c r="V23" s="492">
        <f t="shared" si="8"/>
        <v>1.8719385203429084E-2</v>
      </c>
      <c r="W23" s="492"/>
      <c r="X23" s="340" t="str">
        <f>name!A20</f>
        <v>Electrical equipment</v>
      </c>
      <c r="Y23" s="340">
        <v>5.0290000000083994</v>
      </c>
      <c r="Z23" s="340">
        <v>4.7269999999687116</v>
      </c>
      <c r="AA23" s="491">
        <f t="shared" si="9"/>
        <v>-0.30200000003968785</v>
      </c>
      <c r="AB23" s="340">
        <v>1.4614519362735157</v>
      </c>
      <c r="AC23" s="491">
        <f t="shared" si="10"/>
        <v>1.1594519362338278</v>
      </c>
      <c r="AD23" s="492">
        <f t="shared" si="11"/>
        <v>2.5839293730284041E-2</v>
      </c>
    </row>
    <row r="24" spans="1:30" x14ac:dyDescent="0.2">
      <c r="A24" s="340" t="str">
        <f>name!D21</f>
        <v xml:space="preserve"> 61 Caring personal service occupations</v>
      </c>
      <c r="B24" s="87">
        <f t="shared" ref="B24:F24" si="28">SUM(B52,B80,B108,B136,B164,B192,B220,B248,B276)</f>
        <v>134.03418747801385</v>
      </c>
      <c r="C24" s="87">
        <f t="shared" si="28"/>
        <v>156.37297615871569</v>
      </c>
      <c r="D24" s="87">
        <f t="shared" si="28"/>
        <v>22.338788680701835</v>
      </c>
      <c r="E24" s="87">
        <f t="shared" si="28"/>
        <v>53.911126723434762</v>
      </c>
      <c r="F24" s="87">
        <f t="shared" si="28"/>
        <v>76.249915404136615</v>
      </c>
      <c r="G24" s="298">
        <f t="shared" si="5"/>
        <v>3.4383517588961299E-2</v>
      </c>
      <c r="H24" s="87"/>
      <c r="I24" s="108" t="str">
        <f t="shared" si="23"/>
        <v>Caring, leisure and other service</v>
      </c>
      <c r="J24" s="108">
        <v>0.1520474857901408</v>
      </c>
      <c r="K24" s="108">
        <v>0.22833276135435696</v>
      </c>
      <c r="L24" s="108">
        <v>7.628527556421616E-2</v>
      </c>
      <c r="M24" s="108">
        <v>6.3948950893788978E-2</v>
      </c>
      <c r="N24" s="108">
        <v>0.14023422645800512</v>
      </c>
      <c r="O24" s="87"/>
      <c r="P24" s="340" t="str">
        <f>name!D21</f>
        <v xml:space="preserve"> 61 Caring personal service occupations</v>
      </c>
      <c r="Q24" s="87">
        <v>16.633369389372817</v>
      </c>
      <c r="R24" s="87">
        <v>20.657142748310594</v>
      </c>
      <c r="S24" s="491">
        <f t="shared" si="6"/>
        <v>4.0237733589377775</v>
      </c>
      <c r="T24" s="491">
        <v>5.4747160238523804</v>
      </c>
      <c r="U24" s="491">
        <f t="shared" si="7"/>
        <v>9.498489382790158</v>
      </c>
      <c r="V24" s="492">
        <f t="shared" si="8"/>
        <v>2.8861912024196412E-2</v>
      </c>
      <c r="W24" s="492"/>
      <c r="X24" s="340" t="str">
        <f>name!A21</f>
        <v>Machinery n.e.c.</v>
      </c>
      <c r="Y24" s="340">
        <v>4.4780000000053484</v>
      </c>
      <c r="Z24" s="340">
        <v>4.1879999999759372</v>
      </c>
      <c r="AA24" s="491">
        <f t="shared" si="9"/>
        <v>-0.29000000002941118</v>
      </c>
      <c r="AB24" s="340">
        <v>1.2650417085876144</v>
      </c>
      <c r="AC24" s="491">
        <f t="shared" si="10"/>
        <v>0.97504170855820327</v>
      </c>
      <c r="AD24" s="492">
        <f t="shared" si="11"/>
        <v>2.5193368116437131E-2</v>
      </c>
    </row>
    <row r="25" spans="1:30" x14ac:dyDescent="0.2">
      <c r="A25" s="340" t="str">
        <f>name!D22</f>
        <v xml:space="preserve"> 62 Leisure, travel and related personal service occupations</v>
      </c>
      <c r="B25" s="87">
        <f t="shared" ref="B25:F25" si="29">SUM(B53,B81,B109,B137,B165,B193,B221,B249,B277)</f>
        <v>34.081983399938842</v>
      </c>
      <c r="C25" s="87">
        <f t="shared" si="29"/>
        <v>32.422277716403393</v>
      </c>
      <c r="D25" s="87">
        <f t="shared" si="29"/>
        <v>-1.6597056835354564</v>
      </c>
      <c r="E25" s="87">
        <f t="shared" si="29"/>
        <v>11.097132780750684</v>
      </c>
      <c r="F25" s="87">
        <f t="shared" si="29"/>
        <v>9.4374270972152274</v>
      </c>
      <c r="G25" s="298">
        <f t="shared" si="5"/>
        <v>2.8587606109006902E-2</v>
      </c>
      <c r="H25" s="87"/>
      <c r="I25" s="108" t="str">
        <f t="shared" si="23"/>
        <v>Sales and customer service</v>
      </c>
      <c r="J25" s="108">
        <v>0.27411518544552776</v>
      </c>
      <c r="K25" s="108">
        <v>0.39376185365016597</v>
      </c>
      <c r="L25" s="108">
        <v>0.11964666820463819</v>
      </c>
      <c r="M25" s="108">
        <v>9.6741222936324117E-2</v>
      </c>
      <c r="N25" s="108">
        <v>0.2163878911409623</v>
      </c>
      <c r="O25" s="87"/>
      <c r="P25" s="340" t="str">
        <f>name!D22</f>
        <v xml:space="preserve"> 62 Leisure, travel and related personal service occupations</v>
      </c>
      <c r="Q25" s="87">
        <v>10.617503001555884</v>
      </c>
      <c r="R25" s="87">
        <v>10.986868482044702</v>
      </c>
      <c r="S25" s="491">
        <f t="shared" si="6"/>
        <v>0.36936548048881868</v>
      </c>
      <c r="T25" s="491">
        <v>3.1703489503417654</v>
      </c>
      <c r="U25" s="491">
        <f t="shared" si="7"/>
        <v>3.5397144308305841</v>
      </c>
      <c r="V25" s="492">
        <f t="shared" si="8"/>
        <v>2.6472743754998085E-2</v>
      </c>
      <c r="W25" s="492"/>
      <c r="X25" s="340" t="str">
        <f>name!A22</f>
        <v>Motor vehicles, etc</v>
      </c>
      <c r="Y25" s="340">
        <v>9.3310000000174771</v>
      </c>
      <c r="Z25" s="340">
        <v>9.6459999998830011</v>
      </c>
      <c r="AA25" s="491">
        <f t="shared" si="9"/>
        <v>0.31499999986552396</v>
      </c>
      <c r="AB25" s="340">
        <v>2.6166990266326002</v>
      </c>
      <c r="AC25" s="491">
        <f t="shared" si="10"/>
        <v>2.9316990264981242</v>
      </c>
      <c r="AD25" s="492">
        <f t="shared" si="11"/>
        <v>2.5027715719605714E-2</v>
      </c>
    </row>
    <row r="26" spans="1:30" x14ac:dyDescent="0.2">
      <c r="A26" s="340" t="str">
        <f>name!D23</f>
        <v xml:space="preserve"> 71 Sales occupations</v>
      </c>
      <c r="B26" s="87">
        <f t="shared" ref="B26:F26" si="30">SUM(B54,B82,B110,B138,B166,B194,B222,B250,B278)</f>
        <v>96.728658137803478</v>
      </c>
      <c r="C26" s="87">
        <f t="shared" si="30"/>
        <v>88.415327050932731</v>
      </c>
      <c r="D26" s="87">
        <f t="shared" si="30"/>
        <v>-8.3133310868707539</v>
      </c>
      <c r="E26" s="87">
        <f t="shared" si="30"/>
        <v>30.22010082612551</v>
      </c>
      <c r="F26" s="87">
        <f t="shared" si="30"/>
        <v>21.906769739254756</v>
      </c>
      <c r="G26" s="298">
        <f t="shared" si="5"/>
        <v>2.7560330260208987E-2</v>
      </c>
      <c r="H26" s="87"/>
      <c r="I26" s="108" t="str">
        <f t="shared" si="23"/>
        <v>Process, plant and machine operatives</v>
      </c>
      <c r="J26" s="108">
        <v>0.2122371154856561</v>
      </c>
      <c r="K26" s="108">
        <v>0.38268067133792988</v>
      </c>
      <c r="L26" s="108">
        <v>0.17044355585227378</v>
      </c>
      <c r="M26" s="108">
        <v>9.5189784525918739E-2</v>
      </c>
      <c r="N26" s="108">
        <v>0.26563334037819253</v>
      </c>
      <c r="O26" s="87"/>
      <c r="P26" s="340" t="str">
        <f>name!D23</f>
        <v xml:space="preserve"> 71 Sales occupations</v>
      </c>
      <c r="Q26" s="87">
        <v>29.276767635043839</v>
      </c>
      <c r="R26" s="87">
        <v>26.815234263357201</v>
      </c>
      <c r="S26" s="491">
        <f t="shared" si="6"/>
        <v>-2.4615333716866381</v>
      </c>
      <c r="T26" s="491">
        <v>6.2134454086208279</v>
      </c>
      <c r="U26" s="491">
        <f t="shared" si="7"/>
        <v>3.7519120369341898</v>
      </c>
      <c r="V26" s="492">
        <f t="shared" si="8"/>
        <v>1.9432671508829102E-2</v>
      </c>
      <c r="W26" s="492"/>
      <c r="X26" s="340" t="str">
        <f>name!A23</f>
        <v>Other transport equipment</v>
      </c>
      <c r="Y26" s="340">
        <v>10.098999999998405</v>
      </c>
      <c r="Z26" s="340">
        <v>11.486999999879929</v>
      </c>
      <c r="AA26" s="491">
        <f t="shared" si="9"/>
        <v>1.387999999881524</v>
      </c>
      <c r="AB26" s="340">
        <v>2.9220040413939765</v>
      </c>
      <c r="AC26" s="491">
        <f t="shared" si="10"/>
        <v>4.3100040412755005</v>
      </c>
      <c r="AD26" s="492">
        <f t="shared" si="11"/>
        <v>2.5738390286207169E-2</v>
      </c>
    </row>
    <row r="27" spans="1:30" x14ac:dyDescent="0.2">
      <c r="A27" s="340" t="str">
        <f>name!D24</f>
        <v xml:space="preserve"> 72 Customer service occupations</v>
      </c>
      <c r="B27" s="87">
        <f t="shared" ref="B27:F27" si="31">SUM(B55,B83,B111,B139,B167,B195,B223,B251,B279)</f>
        <v>28.941220880813461</v>
      </c>
      <c r="C27" s="87">
        <f t="shared" si="31"/>
        <v>33.733710674085138</v>
      </c>
      <c r="D27" s="87">
        <f t="shared" si="31"/>
        <v>4.7924897932716854</v>
      </c>
      <c r="E27" s="87">
        <f t="shared" si="31"/>
        <v>9.7214571758243657</v>
      </c>
      <c r="F27" s="87">
        <f t="shared" si="31"/>
        <v>14.513946969096052</v>
      </c>
      <c r="G27" s="298">
        <f t="shared" si="5"/>
        <v>2.9384224988973529E-2</v>
      </c>
      <c r="H27" s="87"/>
      <c r="I27" s="108" t="str">
        <f t="shared" si="23"/>
        <v>Elementary occupations</v>
      </c>
      <c r="J27" s="108">
        <v>0.13540982190739292</v>
      </c>
      <c r="K27" s="108">
        <v>0.23724826622862863</v>
      </c>
      <c r="L27" s="108">
        <v>0.10183844432123572</v>
      </c>
      <c r="M27" s="108">
        <v>6.3467678625818494E-2</v>
      </c>
      <c r="N27" s="108">
        <v>0.16530612294705421</v>
      </c>
      <c r="O27" s="87"/>
      <c r="P27" s="340" t="str">
        <f>name!D24</f>
        <v xml:space="preserve"> 72 Customer service occupations</v>
      </c>
      <c r="Q27" s="87">
        <v>12.049582265890068</v>
      </c>
      <c r="R27" s="87">
        <v>14.454288950035748</v>
      </c>
      <c r="S27" s="491">
        <f t="shared" si="6"/>
        <v>2.4047066841456797</v>
      </c>
      <c r="T27" s="491">
        <v>3.1201377192470416</v>
      </c>
      <c r="U27" s="491">
        <f t="shared" si="7"/>
        <v>5.5248444033927218</v>
      </c>
      <c r="V27" s="492">
        <f t="shared" si="8"/>
        <v>2.3294305455525244E-2</v>
      </c>
      <c r="W27" s="492"/>
      <c r="X27" s="340" t="str">
        <f>name!A24</f>
        <v>Furniture</v>
      </c>
      <c r="Y27" s="340">
        <v>6.8550000000181548</v>
      </c>
      <c r="Z27" s="340">
        <v>6.4579999999301805</v>
      </c>
      <c r="AA27" s="491">
        <f t="shared" si="9"/>
        <v>-0.39700000008797431</v>
      </c>
      <c r="AB27" s="340">
        <v>1.9431248988314633</v>
      </c>
      <c r="AC27" s="491">
        <f t="shared" si="10"/>
        <v>1.546124898743489</v>
      </c>
      <c r="AD27" s="492">
        <f t="shared" si="11"/>
        <v>2.5270039033732816E-2</v>
      </c>
    </row>
    <row r="28" spans="1:30" x14ac:dyDescent="0.2">
      <c r="A28" s="340" t="str">
        <f>name!D25</f>
        <v xml:space="preserve"> 81 Process, plant and machine operatives</v>
      </c>
      <c r="B28" s="87">
        <f t="shared" ref="B28:F28" si="32">SUM(B56,B84,B112,B140,B168,B196,B224,B252,B280)</f>
        <v>78.332378779529222</v>
      </c>
      <c r="C28" s="87">
        <f t="shared" si="32"/>
        <v>66.345882238047054</v>
      </c>
      <c r="D28" s="87">
        <f t="shared" si="32"/>
        <v>-11.986496541482172</v>
      </c>
      <c r="E28" s="87">
        <f t="shared" si="32"/>
        <v>18.942177275746971</v>
      </c>
      <c r="F28" s="87">
        <f t="shared" si="32"/>
        <v>6.9556807342647966</v>
      </c>
      <c r="G28" s="298">
        <f t="shared" si="5"/>
        <v>2.1893870568197471E-2</v>
      </c>
      <c r="H28" s="87"/>
      <c r="O28" s="87"/>
      <c r="P28" s="340" t="str">
        <f>name!D25</f>
        <v xml:space="preserve"> 81 Process, plant and machine operatives</v>
      </c>
      <c r="Q28" s="87">
        <v>62.163698672874382</v>
      </c>
      <c r="R28" s="87">
        <v>54.779522015684179</v>
      </c>
      <c r="S28" s="491">
        <f t="shared" si="6"/>
        <v>-7.3841766571902028</v>
      </c>
      <c r="T28" s="491">
        <v>14.436339081023972</v>
      </c>
      <c r="U28" s="491">
        <f t="shared" si="7"/>
        <v>7.052162423833769</v>
      </c>
      <c r="V28" s="492">
        <f t="shared" si="8"/>
        <v>2.1102204258612201E-2</v>
      </c>
      <c r="W28" s="492"/>
      <c r="X28" s="340" t="str">
        <f>name!A25</f>
        <v>Other manufacturing</v>
      </c>
      <c r="Y28" s="340">
        <v>5.7310000000166568</v>
      </c>
      <c r="Z28" s="340">
        <v>5.3179999999408754</v>
      </c>
      <c r="AA28" s="491">
        <f t="shared" si="9"/>
        <v>-0.41300000007578141</v>
      </c>
      <c r="AB28" s="340">
        <v>1.5471225750050628</v>
      </c>
      <c r="AC28" s="491">
        <f t="shared" si="10"/>
        <v>1.1341225749292814</v>
      </c>
      <c r="AD28" s="492">
        <f t="shared" si="11"/>
        <v>2.4186143166283092E-2</v>
      </c>
    </row>
    <row r="29" spans="1:30" x14ac:dyDescent="0.2">
      <c r="A29" s="340" t="str">
        <f>name!D26</f>
        <v xml:space="preserve"> 82 Transport and mobile machine drivers and operatives</v>
      </c>
      <c r="B29" s="87">
        <f t="shared" ref="B29:F29" si="33">SUM(B57,B85,B113,B141,B169,B197,B225,B253,B281)</f>
        <v>35.493360283060319</v>
      </c>
      <c r="C29" s="87">
        <f t="shared" si="33"/>
        <v>36.641000948387898</v>
      </c>
      <c r="D29" s="87">
        <f t="shared" si="33"/>
        <v>1.1476406653275779</v>
      </c>
      <c r="E29" s="87">
        <f t="shared" si="33"/>
        <v>12.956139849255276</v>
      </c>
      <c r="F29" s="87">
        <f t="shared" si="33"/>
        <v>14.103780514582853</v>
      </c>
      <c r="G29" s="298">
        <f t="shared" si="5"/>
        <v>3.1606852543183406E-2</v>
      </c>
      <c r="H29" s="87"/>
      <c r="I29" s="115" t="str">
        <f>name!F5</f>
        <v>RQF7 Other higher degree</v>
      </c>
      <c r="J29" s="108"/>
      <c r="K29" s="108"/>
      <c r="L29" s="108"/>
      <c r="M29" s="108"/>
      <c r="N29" s="108"/>
      <c r="O29" s="87"/>
      <c r="P29" s="340" t="str">
        <f>name!D26</f>
        <v xml:space="preserve"> 82 Transport and mobile machine drivers and operatives</v>
      </c>
      <c r="Q29" s="87">
        <v>33.845865711338917</v>
      </c>
      <c r="R29" s="87">
        <v>34.678394925806217</v>
      </c>
      <c r="S29" s="491">
        <f t="shared" si="6"/>
        <v>0.83252921446729999</v>
      </c>
      <c r="T29" s="491">
        <v>12.191564113495359</v>
      </c>
      <c r="U29" s="491">
        <f t="shared" si="7"/>
        <v>13.024093327962659</v>
      </c>
      <c r="V29" s="492">
        <f t="shared" si="8"/>
        <v>3.1241885585363116E-2</v>
      </c>
      <c r="W29" s="492"/>
      <c r="X29" s="340" t="str">
        <f>name!A26</f>
        <v>Repair and installation</v>
      </c>
      <c r="Y29" s="340">
        <v>10.096000000045327</v>
      </c>
      <c r="Z29" s="340">
        <v>9.5609999999560777</v>
      </c>
      <c r="AA29" s="491">
        <f t="shared" si="9"/>
        <v>-0.53500000008924964</v>
      </c>
      <c r="AB29" s="340">
        <v>2.8962329570439529</v>
      </c>
      <c r="AC29" s="491">
        <f t="shared" si="10"/>
        <v>2.3612329569547033</v>
      </c>
      <c r="AD29" s="492">
        <f t="shared" si="11"/>
        <v>2.5541987184342974E-2</v>
      </c>
    </row>
    <row r="30" spans="1:30" x14ac:dyDescent="0.2">
      <c r="A30" s="340" t="str">
        <f>name!D27</f>
        <v xml:space="preserve"> 91 Elementary trades and related occupations</v>
      </c>
      <c r="B30" s="87">
        <f t="shared" ref="B30:F30" si="34">SUM(B58,B86,B114,B142,B170,B198,B226,B254,B282)</f>
        <v>30.003578616580022</v>
      </c>
      <c r="C30" s="87">
        <f t="shared" si="34"/>
        <v>30.056216538126886</v>
      </c>
      <c r="D30" s="87">
        <f t="shared" si="34"/>
        <v>5.2637921546860422E-2</v>
      </c>
      <c r="E30" s="87">
        <f t="shared" si="34"/>
        <v>8.4606130720032287</v>
      </c>
      <c r="F30" s="87">
        <f t="shared" si="34"/>
        <v>8.5132509935500895</v>
      </c>
      <c r="G30" s="298">
        <f t="shared" si="5"/>
        <v>2.5152217119728038E-2</v>
      </c>
      <c r="H30" s="87"/>
      <c r="I30" s="108" t="str">
        <f>I19</f>
        <v>Managers, directors and senior officials</v>
      </c>
      <c r="J30" s="108">
        <f t="array" ref="J30:J38">MMULT(aggregation!$B$38:$Z$46,B63:B87)</f>
        <v>12.807482407367228</v>
      </c>
      <c r="K30" s="108">
        <f t="array" ref="K30:K38">MMULT(aggregation!$B$38:$Z$46,C63:C87)</f>
        <v>19.551149463188054</v>
      </c>
      <c r="L30" s="108">
        <f t="array" ref="L30:L38">MMULT(aggregation!$B$38:$Z$46,D63:D87)</f>
        <v>6.7436670558208238</v>
      </c>
      <c r="M30" s="108">
        <f t="array" ref="M30:M38">MMULT(aggregation!$B$38:$Z$46,E63:E87)</f>
        <v>5.3564658286193385</v>
      </c>
      <c r="N30" s="108">
        <f t="array" ref="N30:N38">MMULT(aggregation!$B$38:$Z$46,F63:F87)</f>
        <v>12.100132884440162</v>
      </c>
      <c r="O30" s="87"/>
      <c r="P30" s="340" t="str">
        <f>name!D27</f>
        <v xml:space="preserve"> 91 Elementary trades and related occupations</v>
      </c>
      <c r="Q30" s="87">
        <v>23.217129742088186</v>
      </c>
      <c r="R30" s="87">
        <v>21.889988303979774</v>
      </c>
      <c r="S30" s="491">
        <f t="shared" si="6"/>
        <v>-1.3271414381084128</v>
      </c>
      <c r="T30" s="491">
        <v>5.1643388258542409</v>
      </c>
      <c r="U30" s="491">
        <f t="shared" si="7"/>
        <v>3.8371973877458281</v>
      </c>
      <c r="V30" s="492">
        <f t="shared" si="8"/>
        <v>2.028765881198713E-2</v>
      </c>
      <c r="W30" s="492"/>
      <c r="X30" s="340" t="str">
        <f>name!A27</f>
        <v>Electricity, gas, etc</v>
      </c>
      <c r="Y30" s="340">
        <v>7.7169999999830905</v>
      </c>
      <c r="Z30" s="340">
        <v>7.5420000000170146</v>
      </c>
      <c r="AA30" s="491">
        <f t="shared" si="9"/>
        <v>-0.17499999996607585</v>
      </c>
      <c r="AB30" s="340">
        <v>2.1591416438525153</v>
      </c>
      <c r="AC30" s="491">
        <f t="shared" si="10"/>
        <v>1.9841416438864394</v>
      </c>
      <c r="AD30" s="492">
        <f t="shared" si="11"/>
        <v>2.4976435544477038E-2</v>
      </c>
    </row>
    <row r="31" spans="1:30" x14ac:dyDescent="0.2">
      <c r="A31" s="340" t="str">
        <f>name!D28</f>
        <v xml:space="preserve"> 92 Elementary administration and service occupations</v>
      </c>
      <c r="B31" s="87">
        <f t="shared" ref="B31:F32" si="35">SUM(B59,B87,B115,B143,B171,B199,B227,B255,B283)</f>
        <v>146.45892502959694</v>
      </c>
      <c r="C31" s="87">
        <f t="shared" si="35"/>
        <v>145.57580133080259</v>
      </c>
      <c r="D31" s="87">
        <f t="shared" si="35"/>
        <v>-0.88312369879437647</v>
      </c>
      <c r="E31" s="87">
        <f t="shared" si="35"/>
        <v>47.278456149293206</v>
      </c>
      <c r="F31" s="87">
        <f t="shared" si="35"/>
        <v>46.395332450498834</v>
      </c>
      <c r="G31" s="298">
        <f t="shared" si="5"/>
        <v>2.8370851309513778E-2</v>
      </c>
      <c r="H31" s="87"/>
      <c r="I31" s="108" t="str">
        <f>I20</f>
        <v>Professional occupations</v>
      </c>
      <c r="J31" s="108">
        <v>85.120963641480529</v>
      </c>
      <c r="K31" s="108">
        <v>110.18436081952109</v>
      </c>
      <c r="L31" s="108">
        <v>25.063397178040553</v>
      </c>
      <c r="M31" s="108">
        <v>30.705455460727983</v>
      </c>
      <c r="N31" s="108">
        <v>55.768852638768536</v>
      </c>
      <c r="O31" s="87"/>
      <c r="P31" s="340" t="str">
        <f>name!D28</f>
        <v xml:space="preserve"> 92 Elementary administration and service occupations</v>
      </c>
      <c r="Q31" s="87">
        <v>71.879089668970892</v>
      </c>
      <c r="R31" s="87">
        <v>78.232798438639264</v>
      </c>
      <c r="S31" s="491">
        <f t="shared" si="6"/>
        <v>6.3537087696683727</v>
      </c>
      <c r="T31" s="491">
        <v>20.140514231584721</v>
      </c>
      <c r="U31" s="491">
        <f t="shared" si="7"/>
        <v>26.494223001253093</v>
      </c>
      <c r="V31" s="492">
        <f t="shared" si="8"/>
        <v>2.500923704235869E-2</v>
      </c>
      <c r="W31" s="492"/>
      <c r="X31" s="340" t="str">
        <f>name!A28</f>
        <v>Water</v>
      </c>
      <c r="Y31" s="340">
        <v>2.583999999985727</v>
      </c>
      <c r="Z31" s="340">
        <v>3.034999999985132</v>
      </c>
      <c r="AA31" s="491">
        <f t="shared" si="9"/>
        <v>0.45099999999940499</v>
      </c>
      <c r="AB31" s="340">
        <v>0.81687898599113895</v>
      </c>
      <c r="AC31" s="491">
        <f t="shared" si="10"/>
        <v>1.2678789859905439</v>
      </c>
      <c r="AD31" s="492">
        <f t="shared" si="11"/>
        <v>2.7850299894527142E-2</v>
      </c>
    </row>
    <row r="32" spans="1:30" x14ac:dyDescent="0.2">
      <c r="A32" s="86" t="str">
        <f>name!D3</f>
        <v>All occupations</v>
      </c>
      <c r="B32" s="87">
        <f t="shared" si="35"/>
        <v>1529.7600000008424</v>
      </c>
      <c r="C32" s="87">
        <f t="shared" si="35"/>
        <v>1569.1730000018858</v>
      </c>
      <c r="D32" s="87">
        <f t="shared" si="35"/>
        <v>39.413000001043173</v>
      </c>
      <c r="E32" s="87">
        <f t="shared" si="35"/>
        <v>503.46764080973151</v>
      </c>
      <c r="F32" s="87">
        <f t="shared" si="35"/>
        <v>542.88064081077459</v>
      </c>
      <c r="G32" s="298">
        <f t="shared" si="5"/>
        <v>2.8859970074204266E-2</v>
      </c>
      <c r="H32" s="87"/>
      <c r="I32" s="108" t="str">
        <f>I21</f>
        <v>Associate professional and technical</v>
      </c>
      <c r="J32" s="108">
        <v>22.76135362303916</v>
      </c>
      <c r="K32" s="108">
        <v>33.064188877605716</v>
      </c>
      <c r="L32" s="108">
        <v>10.30283525456656</v>
      </c>
      <c r="M32" s="108">
        <v>8.4316528748237936</v>
      </c>
      <c r="N32" s="108">
        <v>18.734488129390353</v>
      </c>
      <c r="O32" s="87"/>
      <c r="P32" s="340" t="str">
        <f>name!D3</f>
        <v>All occupations</v>
      </c>
      <c r="Q32" s="87">
        <f>SUM(Q7:Q31)</f>
        <v>771.50600000010377</v>
      </c>
      <c r="R32" s="87">
        <f>SUM(R7:R31)</f>
        <v>773.4470000010474</v>
      </c>
      <c r="S32" s="491">
        <f t="shared" si="6"/>
        <v>1.9410000009436317</v>
      </c>
      <c r="T32" s="87">
        <f>SUM(T7:T31)</f>
        <v>209.20157037190131</v>
      </c>
      <c r="U32" s="491">
        <f t="shared" si="7"/>
        <v>211.14257037284494</v>
      </c>
      <c r="V32" s="492">
        <f t="shared" si="8"/>
        <v>2.4283134864162115E-2</v>
      </c>
      <c r="W32" s="492"/>
      <c r="X32" s="340" t="str">
        <f>name!A29</f>
        <v>Sewerage</v>
      </c>
      <c r="Y32" s="340">
        <v>0.77999999999666014</v>
      </c>
      <c r="Z32" s="340">
        <v>0.79099999998916959</v>
      </c>
      <c r="AA32" s="491">
        <f t="shared" si="9"/>
        <v>1.0999999992509446E-2</v>
      </c>
      <c r="AB32" s="340">
        <v>0.25123251191835783</v>
      </c>
      <c r="AC32" s="491">
        <f t="shared" si="10"/>
        <v>0.26223251191086727</v>
      </c>
      <c r="AD32" s="492">
        <f t="shared" si="11"/>
        <v>2.8315067497496793E-2</v>
      </c>
    </row>
    <row r="33" spans="1:30" x14ac:dyDescent="0.2">
      <c r="A33" s="226"/>
      <c r="B33" s="87"/>
      <c r="C33" s="87"/>
      <c r="D33" s="87"/>
      <c r="E33" s="87"/>
      <c r="F33" s="87"/>
      <c r="G33" s="87"/>
      <c r="H33" s="87"/>
      <c r="I33" s="108" t="str">
        <f>I22</f>
        <v>Administrative and secretarial</v>
      </c>
      <c r="J33" s="108">
        <v>9.1557635249103484</v>
      </c>
      <c r="K33" s="108">
        <v>12.818829002188112</v>
      </c>
      <c r="L33" s="108">
        <v>3.6630654772777644</v>
      </c>
      <c r="M33" s="108">
        <v>3.4904194743350407</v>
      </c>
      <c r="N33" s="108">
        <v>7.1534849516128052</v>
      </c>
      <c r="O33" s="87"/>
      <c r="P33" s="343"/>
      <c r="Q33" s="116"/>
      <c r="R33" s="116"/>
      <c r="S33" s="116"/>
      <c r="T33" s="116"/>
      <c r="U33" s="116"/>
      <c r="V33" s="116"/>
      <c r="W33" s="108"/>
      <c r="X33" s="340" t="str">
        <f>name!A30</f>
        <v>Waste management</v>
      </c>
      <c r="Y33" s="340">
        <v>7.9429999998944778</v>
      </c>
      <c r="Z33" s="340">
        <v>9.1519999997949473</v>
      </c>
      <c r="AA33" s="491">
        <f t="shared" si="9"/>
        <v>1.2089999999004695</v>
      </c>
      <c r="AB33" s="340">
        <v>2.5602215363658289</v>
      </c>
      <c r="AC33" s="491">
        <f t="shared" si="10"/>
        <v>3.7692215362662984</v>
      </c>
      <c r="AD33" s="492">
        <f t="shared" si="11"/>
        <v>2.833305553457599E-2</v>
      </c>
    </row>
    <row r="34" spans="1:30" ht="30" customHeight="1" x14ac:dyDescent="0.2">
      <c r="A34" s="299" t="str">
        <f>CONCATENATE(name!F4," (Constrained)")</f>
        <v>RQF8 Doctorate (Constrained)</v>
      </c>
      <c r="B34" s="96">
        <f t="shared" ref="B34:G34" si="36">B6</f>
        <v>2017</v>
      </c>
      <c r="C34" s="96">
        <f t="shared" si="36"/>
        <v>2027</v>
      </c>
      <c r="D34" s="117" t="str">
        <f t="shared" si="36"/>
        <v>Net Change</v>
      </c>
      <c r="E34" s="117" t="str">
        <f t="shared" si="36"/>
        <v>Replacement Demand level</v>
      </c>
      <c r="F34" s="117" t="str">
        <f t="shared" si="36"/>
        <v>Total Requirement</v>
      </c>
      <c r="G34" s="117" t="str">
        <f t="shared" si="36"/>
        <v>Replacement Demand rate</v>
      </c>
      <c r="H34" s="87"/>
      <c r="I34" s="108" t="str">
        <f>I23</f>
        <v>Skilled trades occupations</v>
      </c>
      <c r="J34" s="108">
        <v>3.5226307634847456</v>
      </c>
      <c r="K34" s="108">
        <v>5.1986343934472075</v>
      </c>
      <c r="L34" s="108">
        <v>1.6760036299624617</v>
      </c>
      <c r="M34" s="108">
        <v>1.19306039159166</v>
      </c>
      <c r="N34" s="108">
        <v>2.8690640215541219</v>
      </c>
      <c r="O34" s="87"/>
      <c r="P34" s="299" t="s">
        <v>99</v>
      </c>
      <c r="Q34" s="96">
        <f>B34</f>
        <v>2017</v>
      </c>
      <c r="R34" s="96">
        <f>C34</f>
        <v>2027</v>
      </c>
      <c r="S34" s="490" t="str">
        <f t="shared" ref="S34:V34" si="37">D34</f>
        <v>Net Change</v>
      </c>
      <c r="T34" s="490" t="str">
        <f t="shared" si="37"/>
        <v>Replacement Demand level</v>
      </c>
      <c r="U34" s="490" t="str">
        <f t="shared" si="37"/>
        <v>Total Requirement</v>
      </c>
      <c r="V34" s="490" t="str">
        <f t="shared" si="37"/>
        <v>Replacement Demand rate</v>
      </c>
      <c r="W34" s="494"/>
      <c r="X34" s="340" t="str">
        <f>name!A31</f>
        <v>Construction</v>
      </c>
      <c r="Y34" s="340">
        <v>38.566000000226701</v>
      </c>
      <c r="Z34" s="340">
        <v>39.025000000123981</v>
      </c>
      <c r="AA34" s="491">
        <f t="shared" si="9"/>
        <v>0.45899999989728002</v>
      </c>
      <c r="AB34" s="340">
        <v>10.94954974557942</v>
      </c>
      <c r="AC34" s="491">
        <f t="shared" si="10"/>
        <v>11.4085497454767</v>
      </c>
      <c r="AD34" s="492">
        <f t="shared" si="11"/>
        <v>2.530647686933829E-2</v>
      </c>
    </row>
    <row r="35" spans="1:30" s="226" customFormat="1" x14ac:dyDescent="0.2">
      <c r="A35" s="86" t="str">
        <f t="shared" ref="A35:A60" si="38">A7</f>
        <v xml:space="preserve"> 11 Corporate managers and directors</v>
      </c>
      <c r="B35" s="87">
        <v>0.96060313506145878</v>
      </c>
      <c r="C35" s="87">
        <v>1.4990008087325957</v>
      </c>
      <c r="D35" s="87">
        <f>C35-B35</f>
        <v>0.53839767367113689</v>
      </c>
      <c r="E35" s="87">
        <v>0.36846586555088201</v>
      </c>
      <c r="F35" s="87">
        <f>SUM(D35:E35)</f>
        <v>0.9068635392220189</v>
      </c>
      <c r="G35" s="298">
        <f>IF(B35&gt;0,(1+(E35/B35))^(1/($C$6-$B$6))-1,0)</f>
        <v>3.3000074614882191E-2</v>
      </c>
      <c r="H35" s="87"/>
      <c r="I35" s="108" t="str">
        <f t="shared" ref="I35:I38" si="39">I24</f>
        <v>Caring, leisure and other service</v>
      </c>
      <c r="J35" s="108">
        <v>4.851816618362399</v>
      </c>
      <c r="K35" s="108">
        <v>7.8765353457807494</v>
      </c>
      <c r="L35" s="108">
        <v>3.02471872741835</v>
      </c>
      <c r="M35" s="108">
        <v>2.262719194522901</v>
      </c>
      <c r="N35" s="108">
        <v>5.2874379219412511</v>
      </c>
      <c r="O35" s="87"/>
      <c r="P35" s="340" t="str">
        <f>name!D4</f>
        <v xml:space="preserve"> 11 Corporate managers and directors</v>
      </c>
      <c r="Q35" s="87">
        <v>23.207519588028322</v>
      </c>
      <c r="R35" s="87">
        <v>30.502894589005177</v>
      </c>
      <c r="S35" s="491">
        <f>R35-Q35</f>
        <v>7.2953750009768541</v>
      </c>
      <c r="T35" s="491">
        <v>10.883614004654282</v>
      </c>
      <c r="U35" s="491">
        <f>SUM(S35:T35)</f>
        <v>18.178989005631138</v>
      </c>
      <c r="V35" s="492">
        <f>IF(Q35&gt;0,(1+(T35/Q35))^(1/($C$6-$B$6))-1,0)</f>
        <v>3.9205105442403854E-2</v>
      </c>
      <c r="W35" s="492"/>
      <c r="X35" s="340" t="str">
        <f>name!A32</f>
        <v>Civil engineering</v>
      </c>
      <c r="Y35" s="340">
        <v>18.483000000082917</v>
      </c>
      <c r="Z35" s="340">
        <v>18.622000000038462</v>
      </c>
      <c r="AA35" s="491">
        <f t="shared" si="9"/>
        <v>0.13899999995554424</v>
      </c>
      <c r="AB35" s="340">
        <v>5.1097156874056386</v>
      </c>
      <c r="AC35" s="491">
        <f t="shared" si="10"/>
        <v>5.2487156873611829</v>
      </c>
      <c r="AD35" s="492">
        <f t="shared" si="11"/>
        <v>2.4708991591038343E-2</v>
      </c>
    </row>
    <row r="36" spans="1:30" s="109" customFormat="1" ht="12.75" customHeight="1" x14ac:dyDescent="0.2">
      <c r="A36" s="244" t="str">
        <f t="shared" si="38"/>
        <v xml:space="preserve"> 12 Other managers and proprietors</v>
      </c>
      <c r="B36" s="87">
        <v>0.53593233830796416</v>
      </c>
      <c r="C36" s="87">
        <v>0.88714938333898274</v>
      </c>
      <c r="D36" s="87">
        <f t="shared" ref="D36:D59" si="40">C36-B36</f>
        <v>0.35121704503101858</v>
      </c>
      <c r="E36" s="87">
        <v>0.26106234751059432</v>
      </c>
      <c r="F36" s="87">
        <f t="shared" ref="F36:F59" si="41">SUM(D36:E36)</f>
        <v>0.6122793925416129</v>
      </c>
      <c r="G36" s="298">
        <f t="shared" ref="G36:G60" si="42">IF(B36&gt;0,(1+(E36/B36))^(1/($C$6-$B$6))-1,0)</f>
        <v>4.0481939565534475E-2</v>
      </c>
      <c r="I36" s="108" t="str">
        <f t="shared" si="39"/>
        <v>Sales and customer service</v>
      </c>
      <c r="J36" s="108">
        <v>3.6497164945656095</v>
      </c>
      <c r="K36" s="108">
        <v>5.5648041997365825</v>
      </c>
      <c r="L36" s="108">
        <v>1.9150877051709734</v>
      </c>
      <c r="M36" s="108">
        <v>1.372430886030795</v>
      </c>
      <c r="N36" s="108">
        <v>3.2875185912017688</v>
      </c>
      <c r="O36" s="250"/>
      <c r="P36" s="340" t="str">
        <f>name!D5</f>
        <v xml:space="preserve"> 12 Other managers and proprietors</v>
      </c>
      <c r="Q36" s="87">
        <v>21.2479919741725</v>
      </c>
      <c r="R36" s="87">
        <v>24.246323028086689</v>
      </c>
      <c r="S36" s="491">
        <f t="shared" ref="S36:S60" si="43">R36-Q36</f>
        <v>2.998331053914189</v>
      </c>
      <c r="T36" s="491">
        <v>10.089942880333348</v>
      </c>
      <c r="U36" s="491">
        <f t="shared" ref="U36:U60" si="44">SUM(S36:T36)</f>
        <v>13.088273934247537</v>
      </c>
      <c r="V36" s="492">
        <f t="shared" ref="V36:V60" si="45">IF(Q36&gt;0,(1+(T36/Q36))^(1/($C$6-$B$6))-1,0)</f>
        <v>3.9621489425032852E-2</v>
      </c>
      <c r="W36" s="492"/>
      <c r="X36" s="340" t="str">
        <f>name!A33</f>
        <v>Specialised construction</v>
      </c>
      <c r="Y36" s="340">
        <v>50.04500000024084</v>
      </c>
      <c r="Z36" s="340">
        <v>50.457000000125667</v>
      </c>
      <c r="AA36" s="491">
        <f t="shared" si="9"/>
        <v>0.41199999988482716</v>
      </c>
      <c r="AB36" s="340">
        <v>14.176613164122138</v>
      </c>
      <c r="AC36" s="491">
        <f t="shared" si="10"/>
        <v>14.588613164006965</v>
      </c>
      <c r="AD36" s="492">
        <f t="shared" si="11"/>
        <v>2.5255367619711144E-2</v>
      </c>
    </row>
    <row r="37" spans="1:30" x14ac:dyDescent="0.2">
      <c r="A37" s="244" t="str">
        <f t="shared" si="38"/>
        <v xml:space="preserve"> 21 Science, research, engineering and technology professionals</v>
      </c>
      <c r="B37" s="87">
        <v>2.5663956230162617</v>
      </c>
      <c r="C37" s="87">
        <v>3.4854857586533576</v>
      </c>
      <c r="D37" s="87">
        <f t="shared" si="40"/>
        <v>0.91909013563709596</v>
      </c>
      <c r="E37" s="87">
        <v>0.68716671514422012</v>
      </c>
      <c r="F37" s="87">
        <f t="shared" si="41"/>
        <v>1.6062568507813162</v>
      </c>
      <c r="G37" s="298">
        <f t="shared" si="42"/>
        <v>2.4008478831017976E-2</v>
      </c>
      <c r="I37" s="108" t="str">
        <f t="shared" si="39"/>
        <v>Process, plant and machine operatives</v>
      </c>
      <c r="J37" s="108">
        <v>1.4716088033396164</v>
      </c>
      <c r="K37" s="108">
        <v>2.4483595779333589</v>
      </c>
      <c r="L37" s="108">
        <v>0.97675077459374238</v>
      </c>
      <c r="M37" s="108">
        <v>0.62537651194700561</v>
      </c>
      <c r="N37" s="108">
        <v>1.6021272865407479</v>
      </c>
      <c r="P37" s="340" t="str">
        <f>name!D6</f>
        <v xml:space="preserve"> 21 Science, research, engineering and technology professionals</v>
      </c>
      <c r="Q37" s="87">
        <v>10.385162073392438</v>
      </c>
      <c r="R37" s="87">
        <v>13.231909654438017</v>
      </c>
      <c r="S37" s="491">
        <f t="shared" si="43"/>
        <v>2.8467475810455785</v>
      </c>
      <c r="T37" s="491">
        <v>4.0796731284311871</v>
      </c>
      <c r="U37" s="491">
        <f t="shared" si="44"/>
        <v>6.9264207094767656</v>
      </c>
      <c r="V37" s="492">
        <f t="shared" si="45"/>
        <v>3.3689300831687197E-2</v>
      </c>
      <c r="W37" s="492"/>
      <c r="X37" s="340" t="str">
        <f>name!A34</f>
        <v>Motor vehicle trade</v>
      </c>
      <c r="Y37" s="340">
        <v>26.342000000122503</v>
      </c>
      <c r="Z37" s="340">
        <v>26.301999999799683</v>
      </c>
      <c r="AA37" s="491">
        <f t="shared" si="9"/>
        <v>-4.0000000322820028E-2</v>
      </c>
      <c r="AB37" s="340">
        <v>7.3442257725342381</v>
      </c>
      <c r="AC37" s="491">
        <f t="shared" si="10"/>
        <v>7.3042257722114181</v>
      </c>
      <c r="AD37" s="492">
        <f t="shared" si="11"/>
        <v>2.4897328180205625E-2</v>
      </c>
    </row>
    <row r="38" spans="1:30" x14ac:dyDescent="0.2">
      <c r="A38" s="244" t="str">
        <f t="shared" si="38"/>
        <v xml:space="preserve"> 22 Health professionals</v>
      </c>
      <c r="B38" s="87">
        <v>7.0758120609665367</v>
      </c>
      <c r="C38" s="87">
        <v>10.789602224402024</v>
      </c>
      <c r="D38" s="87">
        <f t="shared" si="40"/>
        <v>3.7137901634354877</v>
      </c>
      <c r="E38" s="87">
        <v>2.6295775193628534</v>
      </c>
      <c r="F38" s="87">
        <f t="shared" si="41"/>
        <v>6.3433676827983412</v>
      </c>
      <c r="G38" s="298">
        <f t="shared" si="42"/>
        <v>3.2104492355956138E-2</v>
      </c>
      <c r="I38" s="108" t="str">
        <f t="shared" si="39"/>
        <v>Elementary occupations</v>
      </c>
      <c r="J38" s="108">
        <v>3.346073973241662</v>
      </c>
      <c r="K38" s="108">
        <v>6.5824141215100482</v>
      </c>
      <c r="L38" s="108">
        <v>3.2363401482683862</v>
      </c>
      <c r="M38" s="108">
        <v>1.6055279167841441</v>
      </c>
      <c r="N38" s="108">
        <v>4.8418680650525312</v>
      </c>
      <c r="P38" s="340" t="str">
        <f>name!D7</f>
        <v xml:space="preserve"> 22 Health professionals</v>
      </c>
      <c r="Q38" s="87">
        <v>68.102888346322899</v>
      </c>
      <c r="R38" s="87">
        <v>81.173527544539041</v>
      </c>
      <c r="S38" s="491">
        <f t="shared" si="43"/>
        <v>13.070639198216142</v>
      </c>
      <c r="T38" s="491">
        <v>29.214502006746553</v>
      </c>
      <c r="U38" s="491">
        <f t="shared" si="44"/>
        <v>42.285141204962699</v>
      </c>
      <c r="V38" s="492">
        <f t="shared" si="45"/>
        <v>3.6340551709441282E-2</v>
      </c>
      <c r="W38" s="492"/>
      <c r="X38" s="340" t="str">
        <f>name!A35</f>
        <v>Wholesale trade</v>
      </c>
      <c r="Y38" s="340">
        <v>39.269000000241626</v>
      </c>
      <c r="Z38" s="340">
        <v>36.425999999772792</v>
      </c>
      <c r="AA38" s="491">
        <f t="shared" si="9"/>
        <v>-2.8430000004688338</v>
      </c>
      <c r="AB38" s="340">
        <v>11.236053931633705</v>
      </c>
      <c r="AC38" s="491">
        <f t="shared" si="10"/>
        <v>8.3930539311648715</v>
      </c>
      <c r="AD38" s="492">
        <f t="shared" si="11"/>
        <v>2.548308147022893E-2</v>
      </c>
    </row>
    <row r="39" spans="1:30" x14ac:dyDescent="0.2">
      <c r="A39" s="244" t="str">
        <f t="shared" si="38"/>
        <v xml:space="preserve"> 23 Teaching and educational professionals</v>
      </c>
      <c r="B39" s="87">
        <v>8.1804071417823501</v>
      </c>
      <c r="C39" s="87">
        <v>10.260738252372306</v>
      </c>
      <c r="D39" s="87">
        <f>C39-B39</f>
        <v>2.080331110589956</v>
      </c>
      <c r="E39" s="87">
        <v>2.9102535008095138</v>
      </c>
      <c r="F39" s="87">
        <f>SUM(D39:E39)</f>
        <v>4.9905846113994698</v>
      </c>
      <c r="G39" s="298">
        <f>IF(B39&gt;0,(1+(E39/B39))^(1/($C$6-$B$6))-1,0)</f>
        <v>3.0904059402933948E-2</v>
      </c>
      <c r="I39" s="114"/>
      <c r="J39" s="108"/>
      <c r="K39" s="108"/>
      <c r="L39" s="108"/>
      <c r="M39" s="108"/>
      <c r="N39" s="108"/>
      <c r="P39" s="340" t="str">
        <f>name!D8</f>
        <v xml:space="preserve"> 23 Teaching and educational professionals</v>
      </c>
      <c r="Q39" s="87">
        <v>61.385137862139736</v>
      </c>
      <c r="R39" s="87">
        <v>70.742446751224151</v>
      </c>
      <c r="S39" s="491">
        <f t="shared" si="43"/>
        <v>9.3573088890844147</v>
      </c>
      <c r="T39" s="491">
        <v>24.196356273067313</v>
      </c>
      <c r="U39" s="491">
        <f t="shared" si="44"/>
        <v>33.553665162151731</v>
      </c>
      <c r="V39" s="492">
        <f t="shared" si="45"/>
        <v>3.3788419486607602E-2</v>
      </c>
      <c r="W39" s="492"/>
      <c r="X39" s="340" t="str">
        <f>name!A36</f>
        <v>Retail trade</v>
      </c>
      <c r="Y39" s="340">
        <v>136.36800000398128</v>
      </c>
      <c r="Z39" s="340">
        <v>141.16700000169629</v>
      </c>
      <c r="AA39" s="491">
        <f t="shared" si="9"/>
        <v>4.7989999977150148</v>
      </c>
      <c r="AB39" s="340">
        <v>45.38155361404668</v>
      </c>
      <c r="AC39" s="491">
        <f t="shared" si="10"/>
        <v>50.180553611761695</v>
      </c>
      <c r="AD39" s="492">
        <f t="shared" si="11"/>
        <v>2.9143861997986686E-2</v>
      </c>
    </row>
    <row r="40" spans="1:30" x14ac:dyDescent="0.2">
      <c r="A40" s="244" t="str">
        <f t="shared" si="38"/>
        <v xml:space="preserve"> 24 Business, media and public service professionals</v>
      </c>
      <c r="B40" s="87">
        <v>0.88743943092299471</v>
      </c>
      <c r="C40" s="87">
        <v>1.3406136163984248</v>
      </c>
      <c r="D40" s="87">
        <f t="shared" si="40"/>
        <v>0.45317418547543009</v>
      </c>
      <c r="E40" s="87">
        <v>0.34033875114069201</v>
      </c>
      <c r="F40" s="87">
        <f t="shared" si="41"/>
        <v>0.7935129366161221</v>
      </c>
      <c r="G40" s="298">
        <f t="shared" si="42"/>
        <v>3.2994761189312438E-2</v>
      </c>
      <c r="I40" s="115" t="str">
        <f>name!F6</f>
        <v>RQF6 First degree</v>
      </c>
      <c r="J40" s="108"/>
      <c r="K40" s="108"/>
      <c r="L40" s="108"/>
      <c r="M40" s="108"/>
      <c r="N40" s="108"/>
      <c r="P40" s="340" t="str">
        <f>name!D9</f>
        <v xml:space="preserve"> 24 Business, media and public service professionals</v>
      </c>
      <c r="Q40" s="87">
        <v>25.97084931075506</v>
      </c>
      <c r="R40" s="87">
        <v>32.884440323403325</v>
      </c>
      <c r="S40" s="491">
        <f t="shared" si="43"/>
        <v>6.9135910126482649</v>
      </c>
      <c r="T40" s="491">
        <v>11.047950216175806</v>
      </c>
      <c r="U40" s="491">
        <f t="shared" si="44"/>
        <v>17.961541228824071</v>
      </c>
      <c r="V40" s="492">
        <f t="shared" si="45"/>
        <v>3.6080781300450449E-2</v>
      </c>
      <c r="W40" s="492"/>
      <c r="X40" s="340" t="str">
        <f>name!A37</f>
        <v>Land transport, etc</v>
      </c>
      <c r="Y40" s="340">
        <v>20.550000000470707</v>
      </c>
      <c r="Z40" s="340">
        <v>20.594999999789213</v>
      </c>
      <c r="AA40" s="491">
        <f t="shared" si="9"/>
        <v>4.4999999318505957E-2</v>
      </c>
      <c r="AB40" s="340">
        <v>6.4712755695181627</v>
      </c>
      <c r="AC40" s="491">
        <f t="shared" si="10"/>
        <v>6.5162755688366687</v>
      </c>
      <c r="AD40" s="492">
        <f t="shared" si="11"/>
        <v>2.7754535558926374E-2</v>
      </c>
    </row>
    <row r="41" spans="1:30" x14ac:dyDescent="0.2">
      <c r="A41" s="244" t="str">
        <f t="shared" si="38"/>
        <v xml:space="preserve"> 31 Science, engineering and technology associate professionals</v>
      </c>
      <c r="B41" s="87">
        <v>0.44435822189549046</v>
      </c>
      <c r="C41" s="87">
        <v>0.64345730789831612</v>
      </c>
      <c r="D41" s="87">
        <f t="shared" si="40"/>
        <v>0.19909908600282566</v>
      </c>
      <c r="E41" s="87">
        <v>0.1422358001799725</v>
      </c>
      <c r="F41" s="87">
        <f t="shared" si="41"/>
        <v>0.34133488618279817</v>
      </c>
      <c r="G41" s="298">
        <f t="shared" si="42"/>
        <v>2.8159378274471125E-2</v>
      </c>
      <c r="I41" s="108" t="str">
        <f>I30</f>
        <v>Managers, directors and senior officials</v>
      </c>
      <c r="J41" s="108">
        <f t="array" ref="J41:J49">MMULT(aggregation!$B$38:$Z$46,B91:B115)</f>
        <v>29.290880071364221</v>
      </c>
      <c r="K41" s="108">
        <f t="array" ref="K41:K49">MMULT(aggregation!$B$38:$Z$46,C91:C115)</f>
        <v>40.231915632177298</v>
      </c>
      <c r="L41" s="108">
        <f t="array" ref="L41:L49">MMULT(aggregation!$B$38:$Z$46,D91:D115)</f>
        <v>10.941035560813075</v>
      </c>
      <c r="M41" s="108">
        <f t="array" ref="M41:M49">MMULT(aggregation!$B$38:$Z$46,E91:E115)</f>
        <v>15.30429211263303</v>
      </c>
      <c r="N41" s="108">
        <f t="array" ref="N41:N49">MMULT(aggregation!$B$38:$Z$46,F91:F115)</f>
        <v>26.245327673446106</v>
      </c>
      <c r="P41" s="340" t="str">
        <f>name!D10</f>
        <v xml:space="preserve"> 31 Science, engineering and technology associate professionals</v>
      </c>
      <c r="Q41" s="87">
        <v>6.0514570348399603</v>
      </c>
      <c r="R41" s="87">
        <v>6.0116529069527269</v>
      </c>
      <c r="S41" s="491">
        <f t="shared" si="43"/>
        <v>-3.980412788723342E-2</v>
      </c>
      <c r="T41" s="491">
        <v>2.0345807458070548</v>
      </c>
      <c r="U41" s="491">
        <f t="shared" si="44"/>
        <v>1.9947766179198214</v>
      </c>
      <c r="V41" s="492">
        <f t="shared" si="45"/>
        <v>2.9408099962870082E-2</v>
      </c>
      <c r="W41" s="492"/>
      <c r="X41" s="340" t="str">
        <f>name!A38</f>
        <v>Water transport</v>
      </c>
      <c r="Y41" s="340">
        <v>0.8910000000010716</v>
      </c>
      <c r="Z41" s="340">
        <v>0.66400000000034132</v>
      </c>
      <c r="AA41" s="491">
        <f t="shared" si="9"/>
        <v>-0.22700000000073028</v>
      </c>
      <c r="AB41" s="340">
        <v>0.22167900801839988</v>
      </c>
      <c r="AC41" s="491">
        <f t="shared" si="10"/>
        <v>-5.3209919823304086E-3</v>
      </c>
      <c r="AD41" s="492">
        <f t="shared" si="11"/>
        <v>2.2466809203128824E-2</v>
      </c>
    </row>
    <row r="42" spans="1:30" x14ac:dyDescent="0.2">
      <c r="A42" s="244" t="str">
        <f t="shared" si="38"/>
        <v xml:space="preserve"> 32 Health and social care associate professionals</v>
      </c>
      <c r="B42" s="87">
        <v>0.11846407209723968</v>
      </c>
      <c r="C42" s="87">
        <v>0.17937885645805293</v>
      </c>
      <c r="D42" s="87">
        <f t="shared" si="40"/>
        <v>6.0914784360813254E-2</v>
      </c>
      <c r="E42" s="87">
        <v>5.4374797236523241E-2</v>
      </c>
      <c r="F42" s="87">
        <f t="shared" si="41"/>
        <v>0.11528958159733649</v>
      </c>
      <c r="G42" s="298">
        <f t="shared" si="42"/>
        <v>3.8497549190420255E-2</v>
      </c>
      <c r="I42" s="108" t="str">
        <f>I31</f>
        <v>Professional occupations</v>
      </c>
      <c r="J42" s="108">
        <v>93.406728912651872</v>
      </c>
      <c r="K42" s="108">
        <v>110.28174988080303</v>
      </c>
      <c r="L42" s="108">
        <v>16.875020968151169</v>
      </c>
      <c r="M42" s="108">
        <v>39.075359124866978</v>
      </c>
      <c r="N42" s="108">
        <v>55.95038009301814</v>
      </c>
      <c r="P42" s="340" t="str">
        <f>name!D11</f>
        <v xml:space="preserve"> 32 Health and social care associate professionals</v>
      </c>
      <c r="Q42" s="87">
        <v>21.122896358313348</v>
      </c>
      <c r="R42" s="87">
        <v>25.217384595119452</v>
      </c>
      <c r="S42" s="491">
        <f t="shared" si="43"/>
        <v>4.0944882368061037</v>
      </c>
      <c r="T42" s="491">
        <v>9.3621849732637283</v>
      </c>
      <c r="U42" s="491">
        <f t="shared" si="44"/>
        <v>13.456673210069832</v>
      </c>
      <c r="V42" s="492">
        <f t="shared" si="45"/>
        <v>3.7369294484254523E-2</v>
      </c>
      <c r="W42" s="492"/>
      <c r="X42" s="340" t="str">
        <f>name!A39</f>
        <v>Air transport</v>
      </c>
      <c r="Y42" s="340">
        <v>0.31600000000123668</v>
      </c>
      <c r="Z42" s="340">
        <v>0.39299999999815527</v>
      </c>
      <c r="AA42" s="491">
        <f t="shared" si="9"/>
        <v>7.6999999996918589E-2</v>
      </c>
      <c r="AB42" s="340">
        <v>0.11111625070752917</v>
      </c>
      <c r="AC42" s="491">
        <f t="shared" si="10"/>
        <v>0.18811625070444776</v>
      </c>
      <c r="AD42" s="492">
        <f t="shared" si="11"/>
        <v>3.0589945862557144E-2</v>
      </c>
    </row>
    <row r="43" spans="1:30" x14ac:dyDescent="0.2">
      <c r="A43" s="244" t="str">
        <f t="shared" si="38"/>
        <v xml:space="preserve"> 33 Protective service occupations</v>
      </c>
      <c r="B43" s="87">
        <v>6.2270945974041578E-2</v>
      </c>
      <c r="C43" s="87">
        <v>0.10017725153008859</v>
      </c>
      <c r="D43" s="87">
        <f t="shared" si="40"/>
        <v>3.7906305556047015E-2</v>
      </c>
      <c r="E43" s="87">
        <v>1.8373107831337984E-2</v>
      </c>
      <c r="F43" s="87">
        <f t="shared" si="41"/>
        <v>5.6279413387384999E-2</v>
      </c>
      <c r="G43" s="298">
        <f t="shared" si="42"/>
        <v>2.6192151441833955E-2</v>
      </c>
      <c r="I43" s="108" t="str">
        <f>I32</f>
        <v>Associate professional and technical</v>
      </c>
      <c r="J43" s="108">
        <v>50.085192468355707</v>
      </c>
      <c r="K43" s="108">
        <v>65.446552989198537</v>
      </c>
      <c r="L43" s="108">
        <v>15.361360520842826</v>
      </c>
      <c r="M43" s="108">
        <v>21.54656733702668</v>
      </c>
      <c r="N43" s="108">
        <v>36.90792785786951</v>
      </c>
      <c r="P43" s="340" t="str">
        <f>name!D12</f>
        <v xml:space="preserve"> 33 Protective service occupations</v>
      </c>
      <c r="Q43" s="87">
        <v>3.8763488053733042</v>
      </c>
      <c r="R43" s="87">
        <v>4.8338194684724112</v>
      </c>
      <c r="S43" s="491">
        <f t="shared" si="43"/>
        <v>0.957470663099107</v>
      </c>
      <c r="T43" s="491">
        <v>1.4005453888630366</v>
      </c>
      <c r="U43" s="491">
        <f t="shared" si="44"/>
        <v>2.3580160519621436</v>
      </c>
      <c r="V43" s="492">
        <f t="shared" si="45"/>
        <v>3.1325019581161184E-2</v>
      </c>
      <c r="W43" s="492"/>
      <c r="X43" s="340" t="str">
        <f>name!A40</f>
        <v>Warehousing, etc</v>
      </c>
      <c r="Y43" s="340">
        <v>10.852000000041834</v>
      </c>
      <c r="Z43" s="340">
        <v>10.497999999889243</v>
      </c>
      <c r="AA43" s="491">
        <f t="shared" si="9"/>
        <v>-0.35400000015259003</v>
      </c>
      <c r="AB43" s="340">
        <v>3.0531689237615978</v>
      </c>
      <c r="AC43" s="491">
        <f t="shared" si="10"/>
        <v>2.6991689236090077</v>
      </c>
      <c r="AD43" s="492">
        <f t="shared" si="11"/>
        <v>2.5100979295010761E-2</v>
      </c>
    </row>
    <row r="44" spans="1:30" x14ac:dyDescent="0.2">
      <c r="A44" s="244" t="str">
        <f t="shared" si="38"/>
        <v xml:space="preserve"> 34 Culture, media and sports occupations</v>
      </c>
      <c r="B44" s="87">
        <v>0.40854061406460174</v>
      </c>
      <c r="C44" s="87">
        <v>0.61987810012853106</v>
      </c>
      <c r="D44" s="87">
        <f t="shared" ref="D44:D45" si="46">C44-B44</f>
        <v>0.21133748606392933</v>
      </c>
      <c r="E44" s="87">
        <v>0.18297053272963232</v>
      </c>
      <c r="F44" s="87">
        <f t="shared" ref="F44:F45" si="47">SUM(D44:E44)</f>
        <v>0.39430801879356164</v>
      </c>
      <c r="G44" s="298">
        <f t="shared" si="42"/>
        <v>3.770227672852644E-2</v>
      </c>
      <c r="I44" s="108" t="str">
        <f>I33</f>
        <v>Administrative and secretarial</v>
      </c>
      <c r="J44" s="108">
        <v>28.046844739481372</v>
      </c>
      <c r="K44" s="108">
        <v>37.056887431275911</v>
      </c>
      <c r="L44" s="108">
        <v>9.0100426917945384</v>
      </c>
      <c r="M44" s="108">
        <v>13.20268732826516</v>
      </c>
      <c r="N44" s="108">
        <v>22.212730020059698</v>
      </c>
      <c r="P44" s="340" t="str">
        <f>name!D13</f>
        <v xml:space="preserve"> 34 Culture, media and sports occupations</v>
      </c>
      <c r="Q44" s="87">
        <v>13.774488957127767</v>
      </c>
      <c r="R44" s="87">
        <v>15.905471168811967</v>
      </c>
      <c r="S44" s="491">
        <f t="shared" si="43"/>
        <v>2.1309822116842003</v>
      </c>
      <c r="T44" s="491">
        <v>5.4222008686471028</v>
      </c>
      <c r="U44" s="491">
        <f t="shared" si="44"/>
        <v>7.5531830803313031</v>
      </c>
      <c r="V44" s="492">
        <f t="shared" si="45"/>
        <v>3.3748959082025021E-2</v>
      </c>
      <c r="W44" s="492"/>
      <c r="X44" s="340" t="str">
        <f>name!A41</f>
        <v>Postal and courier</v>
      </c>
      <c r="Y44" s="340">
        <v>7.8330000000808342</v>
      </c>
      <c r="Z44" s="340">
        <v>7.8869999999599152</v>
      </c>
      <c r="AA44" s="491">
        <f t="shared" si="9"/>
        <v>5.3999999879080995E-2</v>
      </c>
      <c r="AB44" s="340">
        <v>2.4882778469194942</v>
      </c>
      <c r="AC44" s="491">
        <f t="shared" si="10"/>
        <v>2.5422778467985752</v>
      </c>
      <c r="AD44" s="492">
        <f t="shared" si="11"/>
        <v>2.7970221948894647E-2</v>
      </c>
    </row>
    <row r="45" spans="1:30" x14ac:dyDescent="0.2">
      <c r="A45" s="244" t="str">
        <f t="shared" si="38"/>
        <v xml:space="preserve"> 35 Business and public service associate professionals</v>
      </c>
      <c r="B45" s="87">
        <v>0.98958680651842412</v>
      </c>
      <c r="C45" s="87">
        <v>1.5972446512119227</v>
      </c>
      <c r="D45" s="87">
        <f t="shared" si="46"/>
        <v>0.60765784469349859</v>
      </c>
      <c r="E45" s="87">
        <v>0.35619099200898907</v>
      </c>
      <c r="F45" s="87">
        <f t="shared" si="47"/>
        <v>0.96384883670248767</v>
      </c>
      <c r="G45" s="298">
        <f t="shared" si="42"/>
        <v>3.1221469650476896E-2</v>
      </c>
      <c r="I45" s="108" t="str">
        <f t="shared" ref="I45:I49" si="48">I34</f>
        <v>Skilled trades occupations</v>
      </c>
      <c r="J45" s="108">
        <v>14.130840190552648</v>
      </c>
      <c r="K45" s="108">
        <v>20.295549918191451</v>
      </c>
      <c r="L45" s="108">
        <v>6.1647097276388036</v>
      </c>
      <c r="M45" s="108">
        <v>6.8292817311961169</v>
      </c>
      <c r="N45" s="108">
        <v>12.99399145883492</v>
      </c>
      <c r="P45" s="340" t="str">
        <f>name!D14</f>
        <v xml:space="preserve"> 35 Business and public service associate professionals</v>
      </c>
      <c r="Q45" s="87">
        <v>34.765393269056503</v>
      </c>
      <c r="R45" s="87">
        <v>43.418541552300141</v>
      </c>
      <c r="S45" s="491">
        <f t="shared" si="43"/>
        <v>8.6531482832436382</v>
      </c>
      <c r="T45" s="491">
        <v>14.345069701970651</v>
      </c>
      <c r="U45" s="491">
        <f t="shared" si="44"/>
        <v>22.998217985214289</v>
      </c>
      <c r="V45" s="492">
        <f t="shared" si="45"/>
        <v>3.5148573979051578E-2</v>
      </c>
      <c r="W45" s="492"/>
      <c r="X45" s="340" t="str">
        <f>name!A42</f>
        <v>Accommodation</v>
      </c>
      <c r="Y45" s="340">
        <v>42.580000000583091</v>
      </c>
      <c r="Z45" s="340">
        <v>47.133000000252594</v>
      </c>
      <c r="AA45" s="491">
        <f t="shared" si="9"/>
        <v>4.5529999996695025</v>
      </c>
      <c r="AB45" s="340">
        <v>15.024008502567074</v>
      </c>
      <c r="AC45" s="491">
        <f t="shared" si="10"/>
        <v>19.577008502236577</v>
      </c>
      <c r="AD45" s="492">
        <f t="shared" si="11"/>
        <v>3.0682031681511956E-2</v>
      </c>
    </row>
    <row r="46" spans="1:30" x14ac:dyDescent="0.2">
      <c r="A46" s="244" t="str">
        <f t="shared" si="38"/>
        <v xml:space="preserve"> 41 Administrative occupations</v>
      </c>
      <c r="B46" s="87">
        <v>0.77436558648912557</v>
      </c>
      <c r="C46" s="87">
        <v>1.167430997419785</v>
      </c>
      <c r="D46" s="87">
        <f t="shared" si="40"/>
        <v>0.39306541093065939</v>
      </c>
      <c r="E46" s="87">
        <v>0.29396626795371894</v>
      </c>
      <c r="F46" s="87">
        <f t="shared" si="41"/>
        <v>0.68703167888437833</v>
      </c>
      <c r="G46" s="298">
        <f t="shared" si="42"/>
        <v>3.2704366615556202E-2</v>
      </c>
      <c r="I46" s="108" t="str">
        <f t="shared" si="48"/>
        <v>Caring, leisure and other service</v>
      </c>
      <c r="J46" s="108">
        <v>15.595483671590983</v>
      </c>
      <c r="K46" s="108">
        <v>22.796115661472701</v>
      </c>
      <c r="L46" s="108">
        <v>7.2006319898817175</v>
      </c>
      <c r="M46" s="108">
        <v>9.2037480243534979</v>
      </c>
      <c r="N46" s="108">
        <v>16.404380014235215</v>
      </c>
      <c r="P46" s="340" t="str">
        <f>name!D15</f>
        <v xml:space="preserve"> 41 Administrative occupations</v>
      </c>
      <c r="Q46" s="87">
        <v>87.705060247020924</v>
      </c>
      <c r="R46" s="87">
        <v>78.972780575893367</v>
      </c>
      <c r="S46" s="491">
        <f t="shared" si="43"/>
        <v>-8.7322796711275572</v>
      </c>
      <c r="T46" s="491">
        <v>31.087130365784507</v>
      </c>
      <c r="U46" s="491">
        <f t="shared" si="44"/>
        <v>22.35485069465695</v>
      </c>
      <c r="V46" s="492">
        <f t="shared" si="45"/>
        <v>3.0804543158053033E-2</v>
      </c>
      <c r="W46" s="492"/>
      <c r="X46" s="340" t="str">
        <f>name!A43</f>
        <v>Food and beverage services</v>
      </c>
      <c r="Y46" s="340">
        <v>95.493000001497208</v>
      </c>
      <c r="Z46" s="340">
        <v>96.80400000066092</v>
      </c>
      <c r="AA46" s="491">
        <f t="shared" si="9"/>
        <v>1.3109999991637125</v>
      </c>
      <c r="AB46" s="340">
        <v>31.343799173270337</v>
      </c>
      <c r="AC46" s="491">
        <f t="shared" si="10"/>
        <v>32.654799172434053</v>
      </c>
      <c r="AD46" s="492">
        <f t="shared" si="11"/>
        <v>2.8791514781929983E-2</v>
      </c>
    </row>
    <row r="47" spans="1:30" x14ac:dyDescent="0.2">
      <c r="A47" s="244" t="str">
        <f t="shared" si="38"/>
        <v xml:space="preserve"> 42 Secretarial and related occupations</v>
      </c>
      <c r="B47" s="87">
        <v>8.2913965011895838E-2</v>
      </c>
      <c r="C47" s="87">
        <v>0.10850096201376523</v>
      </c>
      <c r="D47" s="87">
        <f t="shared" si="40"/>
        <v>2.5586997001869394E-2</v>
      </c>
      <c r="E47" s="87">
        <v>3.6661933045951701E-2</v>
      </c>
      <c r="F47" s="87">
        <f t="shared" si="41"/>
        <v>6.2248930047821095E-2</v>
      </c>
      <c r="G47" s="298">
        <f t="shared" si="42"/>
        <v>3.7293357289805318E-2</v>
      </c>
      <c r="I47" s="108" t="str">
        <f t="shared" si="48"/>
        <v>Sales and customer service</v>
      </c>
      <c r="J47" s="108">
        <v>14.487231571640262</v>
      </c>
      <c r="K47" s="108">
        <v>20.916434764974554</v>
      </c>
      <c r="L47" s="108">
        <v>6.4292031933342937</v>
      </c>
      <c r="M47" s="108">
        <v>7.1407387698009703</v>
      </c>
      <c r="N47" s="108">
        <v>13.569941963135264</v>
      </c>
      <c r="P47" s="340" t="str">
        <f>name!D16</f>
        <v xml:space="preserve"> 42 Secretarial and related occupations</v>
      </c>
      <c r="Q47" s="87">
        <v>30.877671912824646</v>
      </c>
      <c r="R47" s="87">
        <v>16.332394648415899</v>
      </c>
      <c r="S47" s="491">
        <f t="shared" si="43"/>
        <v>-14.545277264408746</v>
      </c>
      <c r="T47" s="491">
        <v>8.1453740685456122</v>
      </c>
      <c r="U47" s="491">
        <f t="shared" si="44"/>
        <v>-6.3999031958631338</v>
      </c>
      <c r="V47" s="492">
        <f t="shared" si="45"/>
        <v>2.3688116332520881E-2</v>
      </c>
      <c r="W47" s="492"/>
      <c r="X47" s="340" t="str">
        <f>name!A44</f>
        <v>Publishing activities</v>
      </c>
      <c r="Y47" s="340">
        <v>3.6849999999861462</v>
      </c>
      <c r="Z47" s="340">
        <v>3.666999999992373</v>
      </c>
      <c r="AA47" s="491">
        <f t="shared" si="9"/>
        <v>-1.7999999993773219E-2</v>
      </c>
      <c r="AB47" s="340">
        <v>1.1318553726449965</v>
      </c>
      <c r="AC47" s="491">
        <f t="shared" si="10"/>
        <v>1.1138553726512233</v>
      </c>
      <c r="AD47" s="492">
        <f t="shared" si="11"/>
        <v>2.7147022258505071E-2</v>
      </c>
    </row>
    <row r="48" spans="1:30" x14ac:dyDescent="0.2">
      <c r="A48" s="244" t="str">
        <f t="shared" si="38"/>
        <v xml:space="preserve"> 51 Skilled agricultural and related trades</v>
      </c>
      <c r="B48" s="87">
        <v>0.24883355599289622</v>
      </c>
      <c r="C48" s="87">
        <v>0.41365414298812375</v>
      </c>
      <c r="D48" s="87">
        <f t="shared" si="40"/>
        <v>0.16482058699522753</v>
      </c>
      <c r="E48" s="87">
        <v>0.1356964248168592</v>
      </c>
      <c r="F48" s="87">
        <f t="shared" si="41"/>
        <v>0.30051701181208673</v>
      </c>
      <c r="G48" s="298">
        <f t="shared" si="42"/>
        <v>4.4484804320703342E-2</v>
      </c>
      <c r="I48" s="108" t="str">
        <f t="shared" si="48"/>
        <v>Process, plant and machine operatives</v>
      </c>
      <c r="J48" s="108">
        <v>4.3141630880840189</v>
      </c>
      <c r="K48" s="108">
        <v>6.4196692410210634</v>
      </c>
      <c r="L48" s="108">
        <v>2.1055061529370449</v>
      </c>
      <c r="M48" s="108">
        <v>2.3112030650129594</v>
      </c>
      <c r="N48" s="108">
        <v>4.4167092179500038</v>
      </c>
      <c r="P48" s="340" t="str">
        <f>name!D17</f>
        <v xml:space="preserve"> 51 Skilled agricultural and related trades</v>
      </c>
      <c r="Q48" s="87">
        <v>9.7082801917104877</v>
      </c>
      <c r="R48" s="87">
        <v>10.077817321691011</v>
      </c>
      <c r="S48" s="491">
        <f t="shared" si="43"/>
        <v>0.36953712998052346</v>
      </c>
      <c r="T48" s="491">
        <v>4.4050487825440889</v>
      </c>
      <c r="U48" s="491">
        <f t="shared" si="44"/>
        <v>4.7745859125246124</v>
      </c>
      <c r="V48" s="492">
        <f t="shared" si="45"/>
        <v>3.812276854589447E-2</v>
      </c>
      <c r="W48" s="492"/>
      <c r="X48" s="340" t="str">
        <f>name!A45</f>
        <v>Film and music</v>
      </c>
      <c r="Y48" s="340">
        <v>3.4969999999898898</v>
      </c>
      <c r="Z48" s="340">
        <v>3.6869999999772252</v>
      </c>
      <c r="AA48" s="491">
        <f t="shared" si="9"/>
        <v>0.18999999998733541</v>
      </c>
      <c r="AB48" s="340">
        <v>1.1080696648041979</v>
      </c>
      <c r="AC48" s="491">
        <f t="shared" si="10"/>
        <v>1.2980696647915333</v>
      </c>
      <c r="AD48" s="492">
        <f t="shared" si="11"/>
        <v>2.7907552957183501E-2</v>
      </c>
    </row>
    <row r="49" spans="1:30" x14ac:dyDescent="0.2">
      <c r="A49" s="244" t="str">
        <f t="shared" si="38"/>
        <v xml:space="preserve"> 52 Skilled metal, electrical and electronic trades</v>
      </c>
      <c r="B49" s="87">
        <v>5.6259681172828563E-2</v>
      </c>
      <c r="C49" s="87">
        <v>0.10017556835177606</v>
      </c>
      <c r="D49" s="87">
        <f t="shared" si="40"/>
        <v>4.3915887178947496E-2</v>
      </c>
      <c r="E49" s="87">
        <v>1.831872755397395E-2</v>
      </c>
      <c r="F49" s="87">
        <f t="shared" si="41"/>
        <v>6.2234614732921446E-2</v>
      </c>
      <c r="G49" s="298">
        <f t="shared" si="42"/>
        <v>2.8588310897778246E-2</v>
      </c>
      <c r="I49" s="108" t="str">
        <f t="shared" si="48"/>
        <v>Elementary occupations</v>
      </c>
      <c r="J49" s="108">
        <v>11.688632873502058</v>
      </c>
      <c r="K49" s="108">
        <v>20.637668786678631</v>
      </c>
      <c r="L49" s="108">
        <v>8.9490359131765729</v>
      </c>
      <c r="M49" s="108">
        <v>7.2661394836169544</v>
      </c>
      <c r="N49" s="108">
        <v>16.215175396793526</v>
      </c>
      <c r="P49" s="340" t="str">
        <f>name!D18</f>
        <v xml:space="preserve"> 52 Skilled metal, electrical and electronic trades</v>
      </c>
      <c r="Q49" s="87">
        <v>1.0875627805966419</v>
      </c>
      <c r="R49" s="87">
        <v>0.97924945920635431</v>
      </c>
      <c r="S49" s="491">
        <f t="shared" si="43"/>
        <v>-0.1083133213902876</v>
      </c>
      <c r="T49" s="491">
        <v>0.38929389618024335</v>
      </c>
      <c r="U49" s="491">
        <f t="shared" si="44"/>
        <v>0.28098057478995575</v>
      </c>
      <c r="V49" s="492">
        <f t="shared" si="45"/>
        <v>3.1070595005587398E-2</v>
      </c>
      <c r="W49" s="492"/>
      <c r="X49" s="340" t="str">
        <f>name!A46</f>
        <v>Broadcasting</v>
      </c>
      <c r="Y49" s="340">
        <v>1.5419999999897644</v>
      </c>
      <c r="Z49" s="340">
        <v>1.5009999999931396</v>
      </c>
      <c r="AA49" s="491">
        <f t="shared" si="9"/>
        <v>-4.0999999996624847E-2</v>
      </c>
      <c r="AB49" s="340">
        <v>0.42352952862660337</v>
      </c>
      <c r="AC49" s="491">
        <f t="shared" si="10"/>
        <v>0.38252952862997852</v>
      </c>
      <c r="AD49" s="492">
        <f t="shared" si="11"/>
        <v>2.456500936666739E-2</v>
      </c>
    </row>
    <row r="50" spans="1:30" x14ac:dyDescent="0.2">
      <c r="A50" s="244" t="str">
        <f t="shared" si="38"/>
        <v xml:space="preserve"> 53 Skilled construction and building trades</v>
      </c>
      <c r="B50" s="87">
        <v>1.5227818009140279E-2</v>
      </c>
      <c r="C50" s="87">
        <v>2.2557589778028877E-2</v>
      </c>
      <c r="D50" s="87">
        <f t="shared" ref="D50" si="49">C50-B50</f>
        <v>7.3297717688885974E-3</v>
      </c>
      <c r="E50" s="87">
        <v>4.4274090706179414E-3</v>
      </c>
      <c r="F50" s="87">
        <f t="shared" ref="F50" si="50">SUM(D50:E50)</f>
        <v>1.175718083950654E-2</v>
      </c>
      <c r="G50" s="298">
        <f t="shared" si="42"/>
        <v>2.5850415716281994E-2</v>
      </c>
      <c r="O50" s="90"/>
      <c r="P50" s="340" t="str">
        <f>name!D19</f>
        <v xml:space="preserve"> 53 Skilled construction and building trades</v>
      </c>
      <c r="Q50" s="87">
        <v>1.3767740610194503</v>
      </c>
      <c r="R50" s="87">
        <v>1.7917617156855457</v>
      </c>
      <c r="S50" s="491">
        <f t="shared" si="43"/>
        <v>0.41498765466609533</v>
      </c>
      <c r="T50" s="491">
        <v>0.58075602051785336</v>
      </c>
      <c r="U50" s="491">
        <f t="shared" si="44"/>
        <v>0.99574367518394868</v>
      </c>
      <c r="V50" s="492">
        <f t="shared" si="45"/>
        <v>3.5820678951235863E-2</v>
      </c>
      <c r="W50" s="492"/>
      <c r="X50" s="340" t="str">
        <f>name!A47</f>
        <v>Telecommunications</v>
      </c>
      <c r="Y50" s="340">
        <v>4.5559999999520491</v>
      </c>
      <c r="Z50" s="340">
        <v>4.6020000000350452</v>
      </c>
      <c r="AA50" s="491">
        <f t="shared" si="9"/>
        <v>4.6000000082996095E-2</v>
      </c>
      <c r="AB50" s="340">
        <v>1.2889715449119543</v>
      </c>
      <c r="AC50" s="491">
        <f t="shared" si="10"/>
        <v>1.3349715449949504</v>
      </c>
      <c r="AD50" s="492">
        <f t="shared" si="11"/>
        <v>2.5226606948034913E-2</v>
      </c>
    </row>
    <row r="51" spans="1:30" x14ac:dyDescent="0.2">
      <c r="A51" s="244" t="str">
        <f t="shared" si="38"/>
        <v xml:space="preserve"> 54 Textiles, printing and other skilled trades</v>
      </c>
      <c r="B51" s="87">
        <v>0.11737758039730749</v>
      </c>
      <c r="C51" s="87">
        <v>0.17883082999590436</v>
      </c>
      <c r="D51" s="87">
        <f t="shared" si="40"/>
        <v>6.1453249598596868E-2</v>
      </c>
      <c r="E51" s="87">
        <v>4.0210861837953069E-2</v>
      </c>
      <c r="F51" s="87">
        <f t="shared" si="41"/>
        <v>0.10166411143654994</v>
      </c>
      <c r="G51" s="298">
        <f t="shared" si="42"/>
        <v>2.989730327889939E-2</v>
      </c>
      <c r="I51" s="115" t="str">
        <f>name!F7</f>
        <v>RQF5 Foundation degree;Nursing;Teaching</v>
      </c>
      <c r="J51" s="108"/>
      <c r="K51" s="108"/>
      <c r="L51" s="108"/>
      <c r="M51" s="108"/>
      <c r="N51" s="108"/>
      <c r="P51" s="340" t="str">
        <f>name!D20</f>
        <v xml:space="preserve"> 54 Textiles, printing and other skilled trades</v>
      </c>
      <c r="Q51" s="87">
        <v>13.217230709843877</v>
      </c>
      <c r="R51" s="87">
        <v>12.334630169949087</v>
      </c>
      <c r="S51" s="491">
        <f t="shared" si="43"/>
        <v>-0.88260053989479026</v>
      </c>
      <c r="T51" s="491">
        <v>4.9060476178841288</v>
      </c>
      <c r="U51" s="491">
        <f t="shared" si="44"/>
        <v>4.0234470779893385</v>
      </c>
      <c r="V51" s="492">
        <f t="shared" si="45"/>
        <v>3.2071128062271637E-2</v>
      </c>
      <c r="W51" s="492"/>
      <c r="X51" s="340" t="str">
        <f>name!A48</f>
        <v>Computing services</v>
      </c>
      <c r="Y51" s="340">
        <v>23.62199999970305</v>
      </c>
      <c r="Z51" s="340">
        <v>24.754000000212795</v>
      </c>
      <c r="AA51" s="491">
        <f t="shared" si="9"/>
        <v>1.1320000005097448</v>
      </c>
      <c r="AB51" s="340">
        <v>6.8981331806548027</v>
      </c>
      <c r="AC51" s="491">
        <f t="shared" si="10"/>
        <v>8.0301331811645476</v>
      </c>
      <c r="AD51" s="492">
        <f t="shared" si="11"/>
        <v>2.595184289113206E-2</v>
      </c>
    </row>
    <row r="52" spans="1:30" x14ac:dyDescent="0.2">
      <c r="A52" s="244" t="str">
        <f t="shared" si="38"/>
        <v xml:space="preserve"> 61 Caring personal service occupations</v>
      </c>
      <c r="B52" s="87">
        <v>9.35640805764026E-2</v>
      </c>
      <c r="C52" s="87">
        <v>0.1490833841881106</v>
      </c>
      <c r="D52" s="87">
        <f t="shared" si="40"/>
        <v>5.5519303611707996E-2</v>
      </c>
      <c r="E52" s="87">
        <v>4.0818927873211397E-2</v>
      </c>
      <c r="F52" s="87">
        <f t="shared" si="41"/>
        <v>9.6338231484919393E-2</v>
      </c>
      <c r="G52" s="298">
        <f t="shared" si="42"/>
        <v>3.6868117240329124E-2</v>
      </c>
      <c r="I52" s="108" t="str">
        <f>I41</f>
        <v>Managers, directors and senior officials</v>
      </c>
      <c r="J52" s="108">
        <f t="array" ref="J52:J60">MMULT(aggregation!$B$38:$Z$46,B119:B143)</f>
        <v>7.2947912001092465</v>
      </c>
      <c r="K52" s="108">
        <f t="array" ref="K52:K60">MMULT(aggregation!$B$38:$Z$46,C119:C143)</f>
        <v>8.9093538956145046</v>
      </c>
      <c r="L52" s="108">
        <f t="array" ref="L52:L60">MMULT(aggregation!$B$38:$Z$46,D119:D143)</f>
        <v>1.6145626955052585</v>
      </c>
      <c r="M52" s="108">
        <f t="array" ref="M52:M60">MMULT(aggregation!$B$38:$Z$46,E119:E143)</f>
        <v>3.3940020437750231</v>
      </c>
      <c r="N52" s="108">
        <f t="array" ref="N52:N60">MMULT(aggregation!$B$38:$Z$46,F119:F143)</f>
        <v>5.0085647392802812</v>
      </c>
      <c r="P52" s="340" t="str">
        <f>name!D21</f>
        <v xml:space="preserve"> 61 Caring personal service occupations</v>
      </c>
      <c r="Q52" s="87">
        <v>117.40081808864105</v>
      </c>
      <c r="R52" s="87">
        <v>135.71583341040497</v>
      </c>
      <c r="S52" s="491">
        <f t="shared" si="43"/>
        <v>18.315015321763923</v>
      </c>
      <c r="T52" s="491">
        <v>48.436410699582382</v>
      </c>
      <c r="U52" s="491">
        <f t="shared" si="44"/>
        <v>66.751426021346305</v>
      </c>
      <c r="V52" s="492">
        <f t="shared" si="45"/>
        <v>3.5144766766057378E-2</v>
      </c>
      <c r="W52" s="492"/>
      <c r="X52" s="340" t="str">
        <f>name!A49</f>
        <v>Information services</v>
      </c>
      <c r="Y52" s="340">
        <v>0.79699999999764215</v>
      </c>
      <c r="Z52" s="340">
        <v>0.81699999999833306</v>
      </c>
      <c r="AA52" s="491">
        <f t="shared" si="9"/>
        <v>2.000000000069091E-2</v>
      </c>
      <c r="AB52" s="340">
        <v>0.23465034354617728</v>
      </c>
      <c r="AC52" s="491">
        <f t="shared" si="10"/>
        <v>0.25465034354686822</v>
      </c>
      <c r="AD52" s="492">
        <f t="shared" si="11"/>
        <v>2.6141898220465309E-2</v>
      </c>
    </row>
    <row r="53" spans="1:30" x14ac:dyDescent="0.2">
      <c r="A53" s="244" t="str">
        <f t="shared" si="38"/>
        <v xml:space="preserve"> 62 Leisure, travel and related personal service occupations</v>
      </c>
      <c r="B53" s="87">
        <v>5.8483405213738203E-2</v>
      </c>
      <c r="C53" s="87">
        <v>7.924937716624636E-2</v>
      </c>
      <c r="D53" s="87">
        <f t="shared" ref="D53:D54" si="51">C53-B53</f>
        <v>2.0765971952508157E-2</v>
      </c>
      <c r="E53" s="87">
        <v>2.3130023020577577E-2</v>
      </c>
      <c r="F53" s="87">
        <f t="shared" ref="F53:F54" si="52">SUM(D53:E53)</f>
        <v>4.3895994973085731E-2</v>
      </c>
      <c r="G53" s="298">
        <f t="shared" si="42"/>
        <v>3.3886577127391737E-2</v>
      </c>
      <c r="I53" s="108" t="str">
        <f>I42</f>
        <v>Professional occupations</v>
      </c>
      <c r="J53" s="108">
        <v>22.641347220187804</v>
      </c>
      <c r="K53" s="108">
        <v>11.725304789033382</v>
      </c>
      <c r="L53" s="108">
        <v>-10.916042431154423</v>
      </c>
      <c r="M53" s="108">
        <v>4.6034943012757381</v>
      </c>
      <c r="N53" s="108">
        <v>-6.3125481298786852</v>
      </c>
      <c r="P53" s="340" t="str">
        <f>name!D22</f>
        <v xml:space="preserve"> 62 Leisure, travel and related personal service occupations</v>
      </c>
      <c r="Q53" s="87">
        <v>23.464480398382918</v>
      </c>
      <c r="R53" s="87">
        <v>21.435409234358666</v>
      </c>
      <c r="S53" s="491">
        <f t="shared" si="43"/>
        <v>-2.029071164024252</v>
      </c>
      <c r="T53" s="491">
        <v>7.9267838304089207</v>
      </c>
      <c r="U53" s="491">
        <f t="shared" si="44"/>
        <v>5.8977126663846686</v>
      </c>
      <c r="V53" s="492">
        <f t="shared" si="45"/>
        <v>2.9531849594848447E-2</v>
      </c>
      <c r="W53" s="492"/>
      <c r="X53" s="340" t="str">
        <f>name!A50</f>
        <v>Financial services</v>
      </c>
      <c r="Y53" s="340">
        <v>14.902999999921763</v>
      </c>
      <c r="Z53" s="340">
        <v>16.442999999983439</v>
      </c>
      <c r="AA53" s="491">
        <f t="shared" si="9"/>
        <v>1.540000000061676</v>
      </c>
      <c r="AB53" s="340">
        <v>5.31216621259244</v>
      </c>
      <c r="AC53" s="491">
        <f t="shared" si="10"/>
        <v>6.8521662126541161</v>
      </c>
      <c r="AD53" s="492">
        <f t="shared" si="11"/>
        <v>3.0956548388215044E-2</v>
      </c>
    </row>
    <row r="54" spans="1:30" x14ac:dyDescent="0.2">
      <c r="A54" s="244" t="str">
        <f t="shared" si="38"/>
        <v xml:space="preserve"> 71 Sales occupations</v>
      </c>
      <c r="B54" s="87">
        <v>0.16458373075121746</v>
      </c>
      <c r="C54" s="87">
        <v>0.2117693318454944</v>
      </c>
      <c r="D54" s="87">
        <f t="shared" si="51"/>
        <v>4.7185601094276941E-2</v>
      </c>
      <c r="E54" s="87">
        <v>5.7740792528951902E-2</v>
      </c>
      <c r="F54" s="87">
        <f t="shared" si="52"/>
        <v>0.10492639362322884</v>
      </c>
      <c r="G54" s="298">
        <f t="shared" si="42"/>
        <v>3.0528594228110828E-2</v>
      </c>
      <c r="I54" s="108" t="str">
        <f>I43</f>
        <v>Associate professional and technical</v>
      </c>
      <c r="J54" s="108">
        <v>15.468118260007582</v>
      </c>
      <c r="K54" s="108">
        <v>15.076387698013106</v>
      </c>
      <c r="L54" s="108">
        <v>-0.3917305619944782</v>
      </c>
      <c r="M54" s="108">
        <v>5.0018344094400042</v>
      </c>
      <c r="N54" s="108">
        <v>4.6101038474455276</v>
      </c>
      <c r="P54" s="340" t="str">
        <f>name!D23</f>
        <v xml:space="preserve"> 71 Sales occupations</v>
      </c>
      <c r="Q54" s="87">
        <v>67.451890502759596</v>
      </c>
      <c r="R54" s="87">
        <v>61.600092787575456</v>
      </c>
      <c r="S54" s="491">
        <f t="shared" si="43"/>
        <v>-5.8517977151841407</v>
      </c>
      <c r="T54" s="491">
        <v>24.006655417504671</v>
      </c>
      <c r="U54" s="491">
        <f t="shared" si="44"/>
        <v>18.15485770232053</v>
      </c>
      <c r="V54" s="492">
        <f t="shared" si="45"/>
        <v>3.0915374740615009E-2</v>
      </c>
      <c r="W54" s="492"/>
      <c r="X54" s="340" t="str">
        <f>name!A51</f>
        <v>Insurance and pensions</v>
      </c>
      <c r="Y54" s="340">
        <v>7.1559999999391248</v>
      </c>
      <c r="Z54" s="340">
        <v>7.699999999997666</v>
      </c>
      <c r="AA54" s="491">
        <f t="shared" si="9"/>
        <v>0.54400000005854121</v>
      </c>
      <c r="AB54" s="340">
        <v>2.2835775303673631</v>
      </c>
      <c r="AC54" s="491">
        <f t="shared" si="10"/>
        <v>2.8275775304259043</v>
      </c>
      <c r="AD54" s="492">
        <f t="shared" si="11"/>
        <v>2.8083105855447599E-2</v>
      </c>
    </row>
    <row r="55" spans="1:30" s="244" customFormat="1" x14ac:dyDescent="0.2">
      <c r="A55" s="244" t="str">
        <f t="shared" si="38"/>
        <v xml:space="preserve"> 72 Customer service occupations</v>
      </c>
      <c r="B55" s="87">
        <v>0.10953145469431032</v>
      </c>
      <c r="C55" s="87">
        <v>0.18199252180467157</v>
      </c>
      <c r="D55" s="87">
        <f t="shared" si="40"/>
        <v>7.2461067110361252E-2</v>
      </c>
      <c r="E55" s="87">
        <v>3.9000430407372222E-2</v>
      </c>
      <c r="F55" s="87">
        <f t="shared" si="41"/>
        <v>0.11146149751773347</v>
      </c>
      <c r="G55" s="298">
        <f t="shared" si="42"/>
        <v>3.092740302575514E-2</v>
      </c>
      <c r="I55" s="108" t="str">
        <f>I44</f>
        <v>Administrative and secretarial</v>
      </c>
      <c r="J55" s="108">
        <v>9.6644295971074694</v>
      </c>
      <c r="K55" s="108">
        <v>11.836063020906225</v>
      </c>
      <c r="L55" s="108">
        <v>2.1716334237987569</v>
      </c>
      <c r="M55" s="108">
        <v>4.5714018192099575</v>
      </c>
      <c r="N55" s="108">
        <v>6.7430352430087144</v>
      </c>
      <c r="O55" s="250"/>
      <c r="P55" s="340" t="str">
        <f>name!D24</f>
        <v xml:space="preserve"> 72 Customer service occupations</v>
      </c>
      <c r="Q55" s="87">
        <v>16.891638614923433</v>
      </c>
      <c r="R55" s="87">
        <v>19.279421724049367</v>
      </c>
      <c r="S55" s="491">
        <f t="shared" si="43"/>
        <v>2.3877831091259338</v>
      </c>
      <c r="T55" s="491">
        <v>6.6013194565773246</v>
      </c>
      <c r="U55" s="491">
        <f t="shared" si="44"/>
        <v>8.9891025657032593</v>
      </c>
      <c r="V55" s="492">
        <f t="shared" si="45"/>
        <v>3.3538341011751571E-2</v>
      </c>
      <c r="W55" s="492"/>
      <c r="X55" s="340" t="str">
        <f>name!A52</f>
        <v>Auxiliary financial services</v>
      </c>
      <c r="Y55" s="340">
        <v>10.160999999925643</v>
      </c>
      <c r="Z55" s="340">
        <v>11.242999999931085</v>
      </c>
      <c r="AA55" s="491">
        <f t="shared" si="9"/>
        <v>1.0820000000054417</v>
      </c>
      <c r="AB55" s="340">
        <v>3.6118257351763114</v>
      </c>
      <c r="AC55" s="491">
        <f t="shared" si="10"/>
        <v>4.6938257351817532</v>
      </c>
      <c r="AD55" s="492">
        <f t="shared" si="11"/>
        <v>3.0881296294316796E-2</v>
      </c>
    </row>
    <row r="56" spans="1:30" x14ac:dyDescent="0.2">
      <c r="A56" s="244" t="str">
        <f t="shared" si="38"/>
        <v xml:space="preserve"> 81 Process, plant and machine operatives</v>
      </c>
      <c r="B56" s="87">
        <v>0.11358071683964559</v>
      </c>
      <c r="C56" s="87">
        <v>0.19208959976324302</v>
      </c>
      <c r="D56" s="87">
        <f t="shared" si="40"/>
        <v>7.8508882923597437E-2</v>
      </c>
      <c r="E56" s="87">
        <v>4.4501590697221732E-2</v>
      </c>
      <c r="F56" s="87">
        <f t="shared" si="41"/>
        <v>0.12301047362081917</v>
      </c>
      <c r="G56" s="298">
        <f t="shared" si="42"/>
        <v>3.3612769685434474E-2</v>
      </c>
      <c r="I56" s="108" t="str">
        <f t="shared" ref="I56:I60" si="53">I45</f>
        <v>Skilled trades occupations</v>
      </c>
      <c r="J56" s="108">
        <v>6.0423174180426376</v>
      </c>
      <c r="K56" s="108">
        <v>8.4304796883432704</v>
      </c>
      <c r="L56" s="108">
        <v>2.3881622703006324</v>
      </c>
      <c r="M56" s="108">
        <v>2.9859044824275496</v>
      </c>
      <c r="N56" s="108">
        <v>5.374066752728182</v>
      </c>
      <c r="P56" s="340" t="str">
        <f>name!D25</f>
        <v xml:space="preserve"> 81 Process, plant and machine operatives</v>
      </c>
      <c r="Q56" s="87">
        <v>16.168680106654961</v>
      </c>
      <c r="R56" s="87">
        <v>11.566360222362864</v>
      </c>
      <c r="S56" s="491">
        <f t="shared" si="43"/>
        <v>-4.6023198842920969</v>
      </c>
      <c r="T56" s="491">
        <v>4.5058381947230037</v>
      </c>
      <c r="U56" s="491">
        <f t="shared" si="44"/>
        <v>-9.6481689569093199E-2</v>
      </c>
      <c r="V56" s="492">
        <f t="shared" si="45"/>
        <v>2.4887232826538153E-2</v>
      </c>
      <c r="W56" s="492"/>
      <c r="X56" s="340" t="str">
        <f>name!A53</f>
        <v>Real estate</v>
      </c>
      <c r="Y56" s="340">
        <v>22.313000000007275</v>
      </c>
      <c r="Z56" s="340">
        <v>24.245000000057065</v>
      </c>
      <c r="AA56" s="491">
        <f t="shared" si="9"/>
        <v>1.9320000000497899</v>
      </c>
      <c r="AB56" s="340">
        <v>7.8117027067899567</v>
      </c>
      <c r="AC56" s="491">
        <f t="shared" si="10"/>
        <v>9.7437027068397466</v>
      </c>
      <c r="AD56" s="492">
        <f t="shared" si="11"/>
        <v>3.0472675765611079E-2</v>
      </c>
    </row>
    <row r="57" spans="1:30" x14ac:dyDescent="0.2">
      <c r="A57" s="244" t="str">
        <f t="shared" si="38"/>
        <v xml:space="preserve"> 82 Transport and mobile machine drivers and operatives</v>
      </c>
      <c r="B57" s="87">
        <v>9.8656398646010529E-2</v>
      </c>
      <c r="C57" s="87">
        <v>0.19059107157468685</v>
      </c>
      <c r="D57" s="87">
        <f t="shared" ref="D57:D58" si="54">C57-B57</f>
        <v>9.1934672928676325E-2</v>
      </c>
      <c r="E57" s="87">
        <v>5.0688193828697006E-2</v>
      </c>
      <c r="F57" s="87">
        <f t="shared" ref="F57:F58" si="55">SUM(D57:E57)</f>
        <v>0.14262286675737335</v>
      </c>
      <c r="G57" s="298">
        <f t="shared" si="42"/>
        <v>4.2332848273328727E-2</v>
      </c>
      <c r="I57" s="108" t="str">
        <f t="shared" si="53"/>
        <v>Caring, leisure and other service</v>
      </c>
      <c r="J57" s="108">
        <v>13.062220784661267</v>
      </c>
      <c r="K57" s="108">
        <v>15.774520350869487</v>
      </c>
      <c r="L57" s="108">
        <v>2.7122995662082183</v>
      </c>
      <c r="M57" s="108">
        <v>6.190892270554075</v>
      </c>
      <c r="N57" s="108">
        <v>8.9031918367622929</v>
      </c>
      <c r="P57" s="340" t="str">
        <f>name!D26</f>
        <v xml:space="preserve"> 82 Transport and mobile machine drivers and operatives</v>
      </c>
      <c r="Q57" s="87">
        <v>1.6474945717215048</v>
      </c>
      <c r="R57" s="87">
        <v>1.9626060225816908</v>
      </c>
      <c r="S57" s="491">
        <f t="shared" si="43"/>
        <v>0.31511145086018599</v>
      </c>
      <c r="T57" s="491">
        <v>0.76457573575991689</v>
      </c>
      <c r="U57" s="491">
        <f t="shared" si="44"/>
        <v>1.0796871866201028</v>
      </c>
      <c r="V57" s="492">
        <f t="shared" si="45"/>
        <v>3.8858977142751217E-2</v>
      </c>
      <c r="W57" s="492"/>
      <c r="X57" s="340" t="str">
        <f>name!A54</f>
        <v>Legal and accounting</v>
      </c>
      <c r="Y57" s="340">
        <v>21.387999999698977</v>
      </c>
      <c r="Z57" s="340">
        <v>21.030999999883729</v>
      </c>
      <c r="AA57" s="491">
        <f t="shared" si="9"/>
        <v>-0.35699999981524755</v>
      </c>
      <c r="AB57" s="340">
        <v>7.2114687182765556</v>
      </c>
      <c r="AC57" s="491">
        <f t="shared" si="10"/>
        <v>6.854468718461308</v>
      </c>
      <c r="AD57" s="492">
        <f t="shared" si="11"/>
        <v>2.948205076521182E-2</v>
      </c>
    </row>
    <row r="58" spans="1:30" x14ac:dyDescent="0.2">
      <c r="A58" s="244" t="str">
        <f t="shared" si="38"/>
        <v xml:space="preserve"> 91 Elementary trades and related occupations</v>
      </c>
      <c r="B58" s="87">
        <v>1.8613293149428111E-3</v>
      </c>
      <c r="C58" s="87">
        <v>3.1307048427515766E-3</v>
      </c>
      <c r="D58" s="87">
        <f t="shared" si="54"/>
        <v>1.2693755278087655E-3</v>
      </c>
      <c r="E58" s="87">
        <v>8.945624211346816E-4</v>
      </c>
      <c r="F58" s="87">
        <f t="shared" si="55"/>
        <v>2.1639379489434472E-3</v>
      </c>
      <c r="G58" s="298">
        <f t="shared" si="42"/>
        <v>4.0025274381289E-2</v>
      </c>
      <c r="I58" s="108" t="str">
        <f t="shared" si="53"/>
        <v>Sales and customer service</v>
      </c>
      <c r="J58" s="108">
        <v>4.7674701597598705</v>
      </c>
      <c r="K58" s="108">
        <v>6.64006105494206</v>
      </c>
      <c r="L58" s="108">
        <v>1.8725908951821888</v>
      </c>
      <c r="M58" s="108">
        <v>2.4000595146403318</v>
      </c>
      <c r="N58" s="108">
        <v>4.2726504098225213</v>
      </c>
      <c r="P58" s="340" t="str">
        <f>name!D27</f>
        <v xml:space="preserve"> 91 Elementary trades and related occupations</v>
      </c>
      <c r="Q58" s="87">
        <v>6.7864488744918505</v>
      </c>
      <c r="R58" s="87">
        <v>8.1662282341471144</v>
      </c>
      <c r="S58" s="491">
        <f t="shared" si="43"/>
        <v>1.3797793596552639</v>
      </c>
      <c r="T58" s="491">
        <v>3.2962742461489878</v>
      </c>
      <c r="U58" s="491">
        <f t="shared" si="44"/>
        <v>4.6760536058042517</v>
      </c>
      <c r="V58" s="492">
        <f t="shared" si="45"/>
        <v>4.0383667905925069E-2</v>
      </c>
      <c r="W58" s="492"/>
      <c r="X58" s="340" t="str">
        <f>name!A55</f>
        <v>Head offices, etc</v>
      </c>
      <c r="Y58" s="340">
        <v>14.5259999997817</v>
      </c>
      <c r="Z58" s="340">
        <v>15.456999999946403</v>
      </c>
      <c r="AA58" s="491">
        <f t="shared" si="9"/>
        <v>0.93100000016470297</v>
      </c>
      <c r="AB58" s="340">
        <v>5.0575471921213273</v>
      </c>
      <c r="AC58" s="491">
        <f t="shared" si="10"/>
        <v>5.9885471922860303</v>
      </c>
      <c r="AD58" s="492">
        <f t="shared" si="11"/>
        <v>3.0325697844272081E-2</v>
      </c>
    </row>
    <row r="59" spans="1:30" x14ac:dyDescent="0.2">
      <c r="A59" s="244" t="str">
        <f t="shared" si="38"/>
        <v xml:space="preserve"> 92 Elementary administration and service occupations</v>
      </c>
      <c r="B59" s="87">
        <v>0.13354849259245011</v>
      </c>
      <c r="C59" s="87">
        <v>0.23411756138587705</v>
      </c>
      <c r="D59" s="87">
        <f t="shared" si="40"/>
        <v>0.10056906879342695</v>
      </c>
      <c r="E59" s="87">
        <v>6.257311620468381E-2</v>
      </c>
      <c r="F59" s="87">
        <f t="shared" si="41"/>
        <v>0.16314218499811076</v>
      </c>
      <c r="G59" s="298">
        <f t="shared" si="42"/>
        <v>3.9174893631977126E-2</v>
      </c>
      <c r="I59" s="108" t="str">
        <f t="shared" si="53"/>
        <v>Process, plant and machine operatives</v>
      </c>
      <c r="J59" s="108">
        <v>1.9498765264285409</v>
      </c>
      <c r="K59" s="108">
        <v>2.7760671476304606</v>
      </c>
      <c r="L59" s="108">
        <v>0.82619062120191966</v>
      </c>
      <c r="M59" s="108">
        <v>0.93727680933275836</v>
      </c>
      <c r="N59" s="108">
        <v>1.763467430534678</v>
      </c>
      <c r="P59" s="340" t="str">
        <f>name!D28</f>
        <v xml:space="preserve"> 92 Elementary administration and service occupations</v>
      </c>
      <c r="Q59" s="87">
        <v>74.579835360625921</v>
      </c>
      <c r="R59" s="87">
        <v>67.343002892163327</v>
      </c>
      <c r="S59" s="491">
        <f t="shared" si="43"/>
        <v>-7.2368324684625946</v>
      </c>
      <c r="T59" s="491">
        <v>27.137941917708492</v>
      </c>
      <c r="U59" s="491">
        <f t="shared" si="44"/>
        <v>19.901109449245897</v>
      </c>
      <c r="V59" s="492">
        <f t="shared" si="45"/>
        <v>3.1519741701866888E-2</v>
      </c>
      <c r="W59" s="492"/>
      <c r="X59" s="340" t="str">
        <f>name!A56</f>
        <v>Architectural and related</v>
      </c>
      <c r="Y59" s="340">
        <v>22.637999999651431</v>
      </c>
      <c r="Z59" s="340">
        <v>24.995000000111219</v>
      </c>
      <c r="AA59" s="491">
        <f t="shared" si="9"/>
        <v>2.357000000459788</v>
      </c>
      <c r="AB59" s="340">
        <v>7.3666107073874176</v>
      </c>
      <c r="AC59" s="491">
        <f t="shared" si="10"/>
        <v>9.7236107078472056</v>
      </c>
      <c r="AD59" s="492">
        <f t="shared" si="11"/>
        <v>2.8572701966876224E-2</v>
      </c>
    </row>
    <row r="60" spans="1:30" s="244" customFormat="1" x14ac:dyDescent="0.2">
      <c r="A60" s="109" t="str">
        <f t="shared" si="38"/>
        <v>All occupations</v>
      </c>
      <c r="B60" s="87">
        <f>SUM(B35:B59)</f>
        <v>24.298598186309277</v>
      </c>
      <c r="C60" s="87">
        <f>SUM(C35:C59)</f>
        <v>34.635899854243071</v>
      </c>
      <c r="D60" s="87">
        <f>SUM(D35:D59)</f>
        <v>10.337301667933794</v>
      </c>
      <c r="E60" s="87">
        <f>SUM(E35:E59)</f>
        <v>8.7996391907661291</v>
      </c>
      <c r="F60" s="87">
        <f>SUM(F35:F59)</f>
        <v>19.136940858699926</v>
      </c>
      <c r="G60" s="298">
        <f t="shared" si="42"/>
        <v>3.13886899661866E-2</v>
      </c>
      <c r="I60" s="108" t="str">
        <f t="shared" si="53"/>
        <v>Elementary occupations</v>
      </c>
      <c r="J60" s="108">
        <v>5.4956401973798119</v>
      </c>
      <c r="K60" s="108">
        <v>8.8637681035872369</v>
      </c>
      <c r="L60" s="108">
        <v>3.368127906207425</v>
      </c>
      <c r="M60" s="108">
        <v>3.1646036252616132</v>
      </c>
      <c r="N60" s="108">
        <v>6.5327315314690386</v>
      </c>
      <c r="O60" s="250"/>
      <c r="P60" s="340" t="str">
        <f>name!D3</f>
        <v>All occupations</v>
      </c>
      <c r="Q60" s="87">
        <f>SUM(Q35:Q59)</f>
        <v>758.2540000007391</v>
      </c>
      <c r="R60" s="87">
        <f>SUM(R35:R59)</f>
        <v>795.72600000083776</v>
      </c>
      <c r="S60" s="491">
        <f t="shared" si="43"/>
        <v>37.47200000009866</v>
      </c>
      <c r="T60" s="87">
        <f>SUM(T35:T59)</f>
        <v>294.26607043783019</v>
      </c>
      <c r="U60" s="491">
        <f t="shared" si="44"/>
        <v>331.73807043792885</v>
      </c>
      <c r="V60" s="492">
        <f t="shared" si="45"/>
        <v>3.3336018410541568E-2</v>
      </c>
      <c r="W60" s="492"/>
      <c r="X60" s="340" t="str">
        <f>name!A57</f>
        <v>Scientific research and development</v>
      </c>
      <c r="Y60" s="340">
        <v>4.1039999999692283</v>
      </c>
      <c r="Z60" s="340">
        <v>4.830000000038428</v>
      </c>
      <c r="AA60" s="491">
        <f t="shared" si="9"/>
        <v>0.72600000006919974</v>
      </c>
      <c r="AB60" s="340">
        <v>1.3869786276761311</v>
      </c>
      <c r="AC60" s="491">
        <f t="shared" si="10"/>
        <v>2.1129786277453309</v>
      </c>
      <c r="AD60" s="492">
        <f t="shared" si="11"/>
        <v>2.9542407349625321E-2</v>
      </c>
    </row>
    <row r="61" spans="1:30" s="244" customFormat="1" x14ac:dyDescent="0.2">
      <c r="A61" s="86"/>
      <c r="B61" s="89"/>
      <c r="C61" s="89"/>
      <c r="D61" s="89"/>
      <c r="E61" s="89"/>
      <c r="F61" s="89"/>
      <c r="G61" s="89"/>
      <c r="O61" s="250"/>
      <c r="P61" s="343"/>
      <c r="Q61" s="116"/>
      <c r="R61" s="116"/>
      <c r="S61" s="116"/>
      <c r="T61" s="116"/>
      <c r="U61" s="116"/>
      <c r="V61" s="116"/>
      <c r="W61" s="108"/>
      <c r="X61" s="340" t="str">
        <f>name!A58</f>
        <v>Advertising, etc</v>
      </c>
      <c r="Y61" s="340">
        <v>1.7449999999816519</v>
      </c>
      <c r="Z61" s="340">
        <v>2.0489999999923727</v>
      </c>
      <c r="AA61" s="491">
        <f t="shared" si="9"/>
        <v>0.30400000001072081</v>
      </c>
      <c r="AB61" s="340">
        <v>0.64741722554812076</v>
      </c>
      <c r="AC61" s="491">
        <f t="shared" si="10"/>
        <v>0.95141722555884156</v>
      </c>
      <c r="AD61" s="492">
        <f t="shared" si="11"/>
        <v>3.2058105302716466E-2</v>
      </c>
    </row>
    <row r="62" spans="1:30" ht="38.25" x14ac:dyDescent="0.2">
      <c r="A62" s="299" t="str">
        <f>CONCATENATE(name!F5," (Constrained)")</f>
        <v>RQF7 Other higher degree (Constrained)</v>
      </c>
      <c r="B62" s="96">
        <f t="shared" ref="B62:G62" si="56">B6</f>
        <v>2017</v>
      </c>
      <c r="C62" s="96">
        <f t="shared" si="56"/>
        <v>2027</v>
      </c>
      <c r="D62" s="117" t="str">
        <f t="shared" si="56"/>
        <v>Net Change</v>
      </c>
      <c r="E62" s="117" t="str">
        <f t="shared" si="56"/>
        <v>Replacement Demand level</v>
      </c>
      <c r="F62" s="117" t="str">
        <f t="shared" si="56"/>
        <v>Total Requirement</v>
      </c>
      <c r="G62" s="117" t="str">
        <f t="shared" si="56"/>
        <v>Replacement Demand rate</v>
      </c>
      <c r="I62" s="115" t="str">
        <f>name!F8</f>
        <v>RQF4 HE below degree level</v>
      </c>
      <c r="J62" s="108"/>
      <c r="K62" s="108"/>
      <c r="L62" s="108"/>
      <c r="M62" s="108"/>
      <c r="N62" s="108"/>
      <c r="P62" s="87"/>
      <c r="Q62" s="87"/>
      <c r="R62" s="87"/>
      <c r="S62" s="87"/>
      <c r="T62" s="87"/>
      <c r="U62" s="87"/>
      <c r="X62" s="340" t="str">
        <f>name!A59</f>
        <v>Other professional</v>
      </c>
      <c r="Y62" s="340">
        <v>5.1499999999488661</v>
      </c>
      <c r="Z62" s="340">
        <v>6.0619999999739402</v>
      </c>
      <c r="AA62" s="491">
        <f t="shared" si="9"/>
        <v>0.91200000002507409</v>
      </c>
      <c r="AB62" s="340">
        <v>1.8558328489943232</v>
      </c>
      <c r="AC62" s="491">
        <f t="shared" si="10"/>
        <v>2.7678328490193973</v>
      </c>
      <c r="AD62" s="492">
        <f t="shared" si="11"/>
        <v>3.1253069508331288E-2</v>
      </c>
    </row>
    <row r="63" spans="1:30" x14ac:dyDescent="0.2">
      <c r="A63" s="86" t="str">
        <f t="shared" ref="A63:A88" si="57">A7</f>
        <v xml:space="preserve"> 11 Corporate managers and directors</v>
      </c>
      <c r="B63" s="87">
        <v>9.0883648292283628</v>
      </c>
      <c r="C63" s="87">
        <v>13.654494347289804</v>
      </c>
      <c r="D63" s="87">
        <f>C63-B63</f>
        <v>4.566129518061441</v>
      </c>
      <c r="E63" s="87">
        <v>3.5729435065490356</v>
      </c>
      <c r="F63" s="87">
        <f>SUM(D63:E63)</f>
        <v>8.139073024610477</v>
      </c>
      <c r="G63" s="298">
        <f>IF(B63&gt;0,(1+(E63/B63))^(1/($C$6-$B$6))-1,0)</f>
        <v>3.3711346395622455E-2</v>
      </c>
      <c r="I63" s="108" t="str">
        <f>I52</f>
        <v>Managers, directors and senior officials</v>
      </c>
      <c r="J63" s="108">
        <f t="array" ref="J63:J71">MMULT(aggregation!$B$38:$Z$46,B147:B171)</f>
        <v>8.8066564312230255</v>
      </c>
      <c r="K63" s="108">
        <f t="array" ref="K63:K71">MMULT(aggregation!$B$38:$Z$46,C147:C171)</f>
        <v>10.718810364677571</v>
      </c>
      <c r="L63" s="108">
        <f t="array" ref="L63:L71">MMULT(aggregation!$B$38:$Z$46,D147:D171)</f>
        <v>1.9121539334545465</v>
      </c>
      <c r="M63" s="108">
        <f t="array" ref="M63:M71">MMULT(aggregation!$B$38:$Z$46,E147:E171)</f>
        <v>3.9643160532358155</v>
      </c>
      <c r="N63" s="108">
        <f t="array" ref="N63:N71">MMULT(aggregation!$B$38:$Z$46,F147:F171)</f>
        <v>5.8764699866903616</v>
      </c>
      <c r="P63" s="87"/>
      <c r="Q63" s="87"/>
      <c r="R63" s="87"/>
      <c r="S63" s="87"/>
      <c r="T63" s="87"/>
      <c r="U63" s="87"/>
      <c r="X63" s="340" t="str">
        <f>name!A60</f>
        <v>Veterinary</v>
      </c>
      <c r="Y63" s="340">
        <v>1.999999999947931</v>
      </c>
      <c r="Z63" s="340">
        <v>2.3459999999751311</v>
      </c>
      <c r="AA63" s="491">
        <f t="shared" si="9"/>
        <v>0.34600000002720011</v>
      </c>
      <c r="AB63" s="340">
        <v>0.77166601268079615</v>
      </c>
      <c r="AC63" s="491">
        <f t="shared" si="10"/>
        <v>1.1176660127079963</v>
      </c>
      <c r="AD63" s="492">
        <f t="shared" si="11"/>
        <v>3.3168341694934877E-2</v>
      </c>
    </row>
    <row r="64" spans="1:30" x14ac:dyDescent="0.2">
      <c r="A64" s="244" t="str">
        <f t="shared" si="57"/>
        <v xml:space="preserve"> 12 Other managers and proprietors</v>
      </c>
      <c r="B64" s="87">
        <v>3.7191175781388655</v>
      </c>
      <c r="C64" s="87">
        <v>5.8966551158982483</v>
      </c>
      <c r="D64" s="87">
        <f t="shared" ref="D64:D87" si="58">C64-B64</f>
        <v>2.1775375377593829</v>
      </c>
      <c r="E64" s="87">
        <v>1.7835223220703027</v>
      </c>
      <c r="F64" s="87">
        <f t="shared" ref="F64:F87" si="59">SUM(D64:E64)</f>
        <v>3.9610598598296853</v>
      </c>
      <c r="G64" s="298">
        <f t="shared" ref="G64:G88" si="60">IF(B64&gt;0,(1+(E64/B64))^(1/($C$6-$B$6))-1,0)</f>
        <v>3.9951578460907022E-2</v>
      </c>
      <c r="I64" s="108" t="str">
        <f>I53</f>
        <v>Professional occupations</v>
      </c>
      <c r="J64" s="108">
        <v>10.002579727564623</v>
      </c>
      <c r="K64" s="108">
        <v>10.718426668446407</v>
      </c>
      <c r="L64" s="108">
        <v>0.7158469408817838</v>
      </c>
      <c r="M64" s="108">
        <v>3.2287753023825991</v>
      </c>
      <c r="N64" s="108">
        <v>3.9446222432643832</v>
      </c>
      <c r="P64" s="87"/>
      <c r="Q64" s="87"/>
      <c r="R64" s="87"/>
      <c r="S64" s="87"/>
      <c r="T64" s="87"/>
      <c r="U64" s="87"/>
      <c r="X64" s="340" t="str">
        <f>name!A61</f>
        <v>Rental and leasing</v>
      </c>
      <c r="Y64" s="340">
        <v>9.5129999999987618</v>
      </c>
      <c r="Z64" s="340">
        <v>10.206999999973224</v>
      </c>
      <c r="AA64" s="491">
        <f t="shared" si="9"/>
        <v>0.69399999997446216</v>
      </c>
      <c r="AB64" s="340">
        <v>2.9898972259719652</v>
      </c>
      <c r="AC64" s="491">
        <f t="shared" si="10"/>
        <v>3.6838972259464273</v>
      </c>
      <c r="AD64" s="492">
        <f t="shared" si="11"/>
        <v>2.7707004294353466E-2</v>
      </c>
    </row>
    <row r="65" spans="1:30" s="244" customFormat="1" x14ac:dyDescent="0.2">
      <c r="A65" s="244" t="str">
        <f t="shared" si="57"/>
        <v xml:space="preserve"> 21 Science, research, engineering and technology professionals</v>
      </c>
      <c r="B65" s="87">
        <v>9.9387418202930888</v>
      </c>
      <c r="C65" s="87">
        <v>14.133852875930884</v>
      </c>
      <c r="D65" s="87">
        <f t="shared" si="58"/>
        <v>4.1951110556377955</v>
      </c>
      <c r="E65" s="87">
        <v>2.8158645475495825</v>
      </c>
      <c r="F65" s="87">
        <f t="shared" si="59"/>
        <v>7.0109756031873776</v>
      </c>
      <c r="G65" s="298">
        <f t="shared" si="60"/>
        <v>2.5258940422764331E-2</v>
      </c>
      <c r="I65" s="108" t="str">
        <f>I54</f>
        <v>Associate professional and technical</v>
      </c>
      <c r="J65" s="108">
        <v>10.942589397190179</v>
      </c>
      <c r="K65" s="108">
        <v>12.370832451059865</v>
      </c>
      <c r="L65" s="108">
        <v>1.4282430538696849</v>
      </c>
      <c r="M65" s="108">
        <v>3.7298047293040932</v>
      </c>
      <c r="N65" s="108">
        <v>5.1580477831737781</v>
      </c>
      <c r="O65" s="250"/>
      <c r="P65" s="87"/>
      <c r="Q65" s="87"/>
      <c r="R65" s="87"/>
      <c r="S65" s="87"/>
      <c r="T65" s="87"/>
      <c r="U65" s="87"/>
      <c r="W65" s="251"/>
      <c r="X65" s="340" t="str">
        <f>name!A62</f>
        <v>Employment activities</v>
      </c>
      <c r="Y65" s="340">
        <v>29.942000000052293</v>
      </c>
      <c r="Z65" s="340">
        <v>31.802999999876032</v>
      </c>
      <c r="AA65" s="491">
        <f t="shared" si="9"/>
        <v>1.8609999998237399</v>
      </c>
      <c r="AB65" s="340">
        <v>9.4684242560862213</v>
      </c>
      <c r="AC65" s="491">
        <f t="shared" si="10"/>
        <v>11.329424255909961</v>
      </c>
      <c r="AD65" s="492">
        <f t="shared" si="11"/>
        <v>2.7857786960879372E-2</v>
      </c>
    </row>
    <row r="66" spans="1:30" x14ac:dyDescent="0.2">
      <c r="A66" s="244" t="str">
        <f t="shared" si="57"/>
        <v xml:space="preserve"> 22 Health professionals</v>
      </c>
      <c r="B66" s="87">
        <v>17.218644175600517</v>
      </c>
      <c r="C66" s="87">
        <v>23.677405965257361</v>
      </c>
      <c r="D66" s="87">
        <f t="shared" si="58"/>
        <v>6.4587617896568439</v>
      </c>
      <c r="E66" s="87">
        <v>6.4774044123815386</v>
      </c>
      <c r="F66" s="87">
        <f t="shared" si="59"/>
        <v>12.936166202038383</v>
      </c>
      <c r="G66" s="298">
        <f t="shared" si="60"/>
        <v>3.2446836809223223E-2</v>
      </c>
      <c r="I66" s="108" t="str">
        <f>I55</f>
        <v>Administrative and secretarial</v>
      </c>
      <c r="J66" s="108">
        <v>9.0629239277722924</v>
      </c>
      <c r="K66" s="108">
        <v>11.007316439395415</v>
      </c>
      <c r="L66" s="108">
        <v>1.9443925116231238</v>
      </c>
      <c r="M66" s="108">
        <v>3.9745654848691885</v>
      </c>
      <c r="N66" s="108">
        <v>5.9189579964923134</v>
      </c>
      <c r="P66" s="87"/>
      <c r="Q66" s="87"/>
      <c r="R66" s="87"/>
      <c r="S66" s="87"/>
      <c r="T66" s="87"/>
      <c r="U66" s="87"/>
      <c r="X66" s="340" t="str">
        <f>name!A63</f>
        <v>Travel, etc</v>
      </c>
      <c r="Y66" s="340">
        <v>2.7650000000128512</v>
      </c>
      <c r="Z66" s="340">
        <v>2.9549999999868981</v>
      </c>
      <c r="AA66" s="491">
        <f t="shared" si="9"/>
        <v>0.18999999997404693</v>
      </c>
      <c r="AB66" s="340">
        <v>0.90135442389247133</v>
      </c>
      <c r="AC66" s="491">
        <f t="shared" si="10"/>
        <v>1.0913544238665183</v>
      </c>
      <c r="AD66" s="492">
        <f t="shared" si="11"/>
        <v>2.8617552676125868E-2</v>
      </c>
    </row>
    <row r="67" spans="1:30" x14ac:dyDescent="0.2">
      <c r="A67" s="244" t="str">
        <f t="shared" si="57"/>
        <v xml:space="preserve"> 23 Teaching and educational professionals</v>
      </c>
      <c r="B67" s="87">
        <v>46.290992750313578</v>
      </c>
      <c r="C67" s="87">
        <v>56.768126987124731</v>
      </c>
      <c r="D67" s="87">
        <f t="shared" ref="D67" si="61">C67-B67</f>
        <v>10.477134236811153</v>
      </c>
      <c r="E67" s="87">
        <v>17.11689784772544</v>
      </c>
      <c r="F67" s="87">
        <f t="shared" ref="F67" si="62">SUM(D67:E67)</f>
        <v>27.594032084536593</v>
      </c>
      <c r="G67" s="298">
        <f t="shared" si="60"/>
        <v>3.1964318117888801E-2</v>
      </c>
      <c r="I67" s="108" t="str">
        <f t="shared" ref="I67:I71" si="63">I56</f>
        <v>Skilled trades occupations</v>
      </c>
      <c r="J67" s="108">
        <v>12.343625651803682</v>
      </c>
      <c r="K67" s="108">
        <v>16.282081103218498</v>
      </c>
      <c r="L67" s="108">
        <v>3.9384554514148156</v>
      </c>
      <c r="M67" s="108">
        <v>5.1939828224273521</v>
      </c>
      <c r="N67" s="108">
        <v>9.1324382738421672</v>
      </c>
      <c r="P67" s="87"/>
      <c r="Q67" s="87"/>
      <c r="R67" s="87"/>
      <c r="S67" s="87"/>
      <c r="T67" s="87"/>
      <c r="U67" s="87"/>
      <c r="X67" s="340" t="str">
        <f>name!A64</f>
        <v>Security, etc</v>
      </c>
      <c r="Y67" s="340">
        <v>5.6090000000076996</v>
      </c>
      <c r="Z67" s="340">
        <v>5.9439999999766302</v>
      </c>
      <c r="AA67" s="491">
        <f t="shared" si="9"/>
        <v>0.3349999999689306</v>
      </c>
      <c r="AB67" s="340">
        <v>1.7602804856516852</v>
      </c>
      <c r="AC67" s="491">
        <f t="shared" si="10"/>
        <v>2.0952804856206155</v>
      </c>
      <c r="AD67" s="492">
        <f t="shared" si="11"/>
        <v>2.7670676742264755E-2</v>
      </c>
    </row>
    <row r="68" spans="1:30" x14ac:dyDescent="0.2">
      <c r="A68" s="244" t="str">
        <f t="shared" si="57"/>
        <v xml:space="preserve"> 24 Business, media and public service professionals</v>
      </c>
      <c r="B68" s="87">
        <v>11.672584895273346</v>
      </c>
      <c r="C68" s="87">
        <v>15.604974991208104</v>
      </c>
      <c r="D68" s="87">
        <f t="shared" si="58"/>
        <v>3.9323900959347586</v>
      </c>
      <c r="E68" s="87">
        <v>4.2952886530714229</v>
      </c>
      <c r="F68" s="87">
        <f t="shared" si="59"/>
        <v>8.2276787490061807</v>
      </c>
      <c r="G68" s="298">
        <f t="shared" si="60"/>
        <v>3.1829652423385646E-2</v>
      </c>
      <c r="I68" s="108" t="str">
        <f t="shared" si="63"/>
        <v>Caring, leisure and other service</v>
      </c>
      <c r="J68" s="108">
        <v>9.0375617271807265</v>
      </c>
      <c r="K68" s="108">
        <v>12.465947201615915</v>
      </c>
      <c r="L68" s="108">
        <v>3.428385474435188</v>
      </c>
      <c r="M68" s="108">
        <v>4.8652202202740877</v>
      </c>
      <c r="N68" s="108">
        <v>8.2936056947092744</v>
      </c>
      <c r="P68" s="87"/>
      <c r="Q68" s="87"/>
      <c r="R68" s="87"/>
      <c r="S68" s="87"/>
      <c r="T68" s="87"/>
      <c r="U68" s="87"/>
      <c r="X68" s="340" t="str">
        <f>name!A65</f>
        <v>Services to buildings</v>
      </c>
      <c r="Y68" s="340">
        <v>20.302000000071402</v>
      </c>
      <c r="Z68" s="340">
        <v>21.413000000006512</v>
      </c>
      <c r="AA68" s="491">
        <f t="shared" si="9"/>
        <v>1.1109999999351103</v>
      </c>
      <c r="AB68" s="340">
        <v>6.9882060142845264</v>
      </c>
      <c r="AC68" s="491">
        <f t="shared" si="10"/>
        <v>8.0992060142196358</v>
      </c>
      <c r="AD68" s="492">
        <f t="shared" si="11"/>
        <v>3.0022707423186912E-2</v>
      </c>
    </row>
    <row r="69" spans="1:30" x14ac:dyDescent="0.2">
      <c r="A69" s="244" t="str">
        <f t="shared" si="57"/>
        <v xml:space="preserve"> 31 Science, engineering and technology associate professionals</v>
      </c>
      <c r="B69" s="87">
        <v>2.9118450070734521</v>
      </c>
      <c r="C69" s="87">
        <v>4.1143741030423868</v>
      </c>
      <c r="D69" s="87">
        <f t="shared" si="58"/>
        <v>1.2025290959689348</v>
      </c>
      <c r="E69" s="87">
        <v>0.86676105680143822</v>
      </c>
      <c r="F69" s="87">
        <f t="shared" si="59"/>
        <v>2.0692901527703729</v>
      </c>
      <c r="G69" s="298">
        <f t="shared" si="60"/>
        <v>2.6399274225834102E-2</v>
      </c>
      <c r="I69" s="108" t="str">
        <f t="shared" si="63"/>
        <v>Sales and customer service</v>
      </c>
      <c r="J69" s="108">
        <v>4.5592474994324981</v>
      </c>
      <c r="K69" s="108">
        <v>5.7960230518339699</v>
      </c>
      <c r="L69" s="108">
        <v>1.2367755524014714</v>
      </c>
      <c r="M69" s="108">
        <v>1.8432625899663615</v>
      </c>
      <c r="N69" s="108">
        <v>3.0800381423678331</v>
      </c>
      <c r="P69" s="87"/>
      <c r="Q69" s="87"/>
      <c r="R69" s="87"/>
      <c r="S69" s="87"/>
      <c r="T69" s="87"/>
      <c r="U69" s="87"/>
      <c r="X69" s="340" t="str">
        <f>name!A66</f>
        <v>Office administrative</v>
      </c>
      <c r="Y69" s="340">
        <v>18.671000000058029</v>
      </c>
      <c r="Z69" s="340">
        <v>19.993999999928711</v>
      </c>
      <c r="AA69" s="491">
        <f t="shared" si="9"/>
        <v>1.3229999998706816</v>
      </c>
      <c r="AB69" s="340">
        <v>5.8369978057351446</v>
      </c>
      <c r="AC69" s="491">
        <f t="shared" si="10"/>
        <v>7.1599978056058262</v>
      </c>
      <c r="AD69" s="492">
        <f t="shared" si="11"/>
        <v>2.7576172781821784E-2</v>
      </c>
    </row>
    <row r="70" spans="1:30" x14ac:dyDescent="0.2">
      <c r="A70" s="244" t="str">
        <f t="shared" si="57"/>
        <v xml:space="preserve"> 32 Health and social care associate professionals</v>
      </c>
      <c r="B70" s="87">
        <v>3.8424483636691202</v>
      </c>
      <c r="C70" s="87">
        <v>5.8428233046972444</v>
      </c>
      <c r="D70" s="87">
        <f t="shared" si="58"/>
        <v>2.0003749410281242</v>
      </c>
      <c r="E70" s="87">
        <v>1.6822902126970816</v>
      </c>
      <c r="F70" s="87">
        <f t="shared" si="59"/>
        <v>3.682665153725206</v>
      </c>
      <c r="G70" s="298">
        <f t="shared" si="60"/>
        <v>3.6979973565136826E-2</v>
      </c>
      <c r="I70" s="108" t="str">
        <f t="shared" si="63"/>
        <v>Process, plant and machine operatives</v>
      </c>
      <c r="J70" s="108">
        <v>4.34752537098319</v>
      </c>
      <c r="K70" s="108">
        <v>6.5078724028912625</v>
      </c>
      <c r="L70" s="108">
        <v>2.1603470319080715</v>
      </c>
      <c r="M70" s="108">
        <v>2.0872121783467401</v>
      </c>
      <c r="N70" s="108">
        <v>4.2475592102548116</v>
      </c>
      <c r="P70" s="87"/>
      <c r="Q70" s="87"/>
      <c r="R70" s="87"/>
      <c r="S70" s="87"/>
      <c r="T70" s="87"/>
      <c r="U70" s="87"/>
      <c r="X70" s="340" t="str">
        <f>name!A67</f>
        <v>Public administration and defence</v>
      </c>
      <c r="Y70" s="340">
        <v>83.569999999351111</v>
      </c>
      <c r="Z70" s="340">
        <v>82.666000000152565</v>
      </c>
      <c r="AA70" s="491">
        <f t="shared" si="9"/>
        <v>-0.90399999919854679</v>
      </c>
      <c r="AB70" s="340">
        <v>27.096779267491833</v>
      </c>
      <c r="AC70" s="491">
        <f t="shared" si="10"/>
        <v>26.192779268293286</v>
      </c>
      <c r="AD70" s="492">
        <f t="shared" si="11"/>
        <v>2.8481980077286417E-2</v>
      </c>
    </row>
    <row r="71" spans="1:30" x14ac:dyDescent="0.2">
      <c r="A71" s="244" t="str">
        <f t="shared" si="57"/>
        <v xml:space="preserve"> 33 Protective service occupations</v>
      </c>
      <c r="B71" s="87">
        <v>1.0141317886015824</v>
      </c>
      <c r="C71" s="87">
        <v>1.4951451913491003</v>
      </c>
      <c r="D71" s="87">
        <f t="shared" si="58"/>
        <v>0.48101340274751792</v>
      </c>
      <c r="E71" s="87">
        <v>0.22922857671927072</v>
      </c>
      <c r="F71" s="87">
        <f t="shared" si="59"/>
        <v>0.71024197946678869</v>
      </c>
      <c r="G71" s="298">
        <f t="shared" si="60"/>
        <v>2.058754100561222E-2</v>
      </c>
      <c r="I71" s="108" t="str">
        <f t="shared" si="63"/>
        <v>Elementary occupations</v>
      </c>
      <c r="J71" s="108">
        <v>6.2392937145157514</v>
      </c>
      <c r="K71" s="108">
        <v>9.9625786046498916</v>
      </c>
      <c r="L71" s="108">
        <v>3.7232848901341402</v>
      </c>
      <c r="M71" s="108">
        <v>3.2797939961126605</v>
      </c>
      <c r="N71" s="108">
        <v>7.0030788862468007</v>
      </c>
      <c r="P71" s="87"/>
      <c r="Q71" s="87"/>
      <c r="R71" s="87"/>
      <c r="S71" s="87"/>
      <c r="T71" s="87"/>
      <c r="U71" s="87"/>
      <c r="X71" s="340" t="str">
        <f>name!A68</f>
        <v xml:space="preserve">Education </v>
      </c>
      <c r="Y71" s="340">
        <v>139.44299999864344</v>
      </c>
      <c r="Z71" s="340">
        <v>136.8230000014685</v>
      </c>
      <c r="AA71" s="491">
        <f t="shared" si="9"/>
        <v>-2.6199999971749435</v>
      </c>
      <c r="AB71" s="340">
        <v>47.109471290297201</v>
      </c>
      <c r="AC71" s="491">
        <f t="shared" si="10"/>
        <v>44.489471293122257</v>
      </c>
      <c r="AD71" s="492">
        <f t="shared" si="11"/>
        <v>2.9533372447344997E-2</v>
      </c>
    </row>
    <row r="72" spans="1:30" x14ac:dyDescent="0.2">
      <c r="A72" s="244" t="str">
        <f t="shared" si="57"/>
        <v xml:space="preserve"> 34 Culture, media and sports occupations</v>
      </c>
      <c r="B72" s="87">
        <v>5.0441260927945057</v>
      </c>
      <c r="C72" s="87">
        <v>6.6082481382225762</v>
      </c>
      <c r="D72" s="87">
        <f t="shared" ref="D72:D73" si="64">C72-B72</f>
        <v>1.5641220454280704</v>
      </c>
      <c r="E72" s="87">
        <v>1.8973217010342849</v>
      </c>
      <c r="F72" s="87">
        <f t="shared" ref="F72:F73" si="65">SUM(D72:E72)</f>
        <v>3.4614437464623551</v>
      </c>
      <c r="G72" s="298">
        <f t="shared" si="60"/>
        <v>3.2443781254568593E-2</v>
      </c>
      <c r="I72" s="87"/>
      <c r="J72" s="87"/>
      <c r="K72" s="87"/>
      <c r="L72" s="87"/>
      <c r="M72" s="87"/>
      <c r="N72" s="87"/>
      <c r="P72" s="87"/>
      <c r="Q72" s="87"/>
      <c r="R72" s="87"/>
      <c r="S72" s="87"/>
      <c r="T72" s="87"/>
      <c r="U72" s="87"/>
      <c r="X72" s="340" t="str">
        <f>name!A69</f>
        <v>Health</v>
      </c>
      <c r="Y72" s="340">
        <v>145.84599999771933</v>
      </c>
      <c r="Z72" s="340">
        <v>161.86899999992463</v>
      </c>
      <c r="AA72" s="491">
        <f t="shared" ref="AA72:AA82" si="66">Z72-Y72</f>
        <v>16.023000002205293</v>
      </c>
      <c r="AB72" s="340">
        <v>55.66905758319551</v>
      </c>
      <c r="AC72" s="491">
        <f t="shared" ref="AC72:AC82" si="67">SUM(AA72:AB72)</f>
        <v>71.692057585400804</v>
      </c>
      <c r="AD72" s="492">
        <f t="shared" ref="AD72:AD82" si="68">IF(Y72&gt;0,(1+(AB72/Y72))^(1/($C$6-$B$6))-1,0)</f>
        <v>3.2859618040793848E-2</v>
      </c>
    </row>
    <row r="73" spans="1:30" s="244" customFormat="1" x14ac:dyDescent="0.2">
      <c r="A73" s="244" t="str">
        <f t="shared" si="57"/>
        <v xml:space="preserve"> 35 Business and public service associate professionals</v>
      </c>
      <c r="B73" s="87">
        <v>9.9488023709004985</v>
      </c>
      <c r="C73" s="87">
        <v>15.003598140294411</v>
      </c>
      <c r="D73" s="87">
        <f t="shared" si="64"/>
        <v>5.0547957693939125</v>
      </c>
      <c r="E73" s="87">
        <v>3.7560513275717193</v>
      </c>
      <c r="F73" s="87">
        <f t="shared" si="65"/>
        <v>8.810847096965631</v>
      </c>
      <c r="G73" s="298">
        <f t="shared" si="60"/>
        <v>3.2548261925642974E-2</v>
      </c>
      <c r="I73" s="115" t="str">
        <f>name!F9</f>
        <v>RQF3 A level &amp; equivalent</v>
      </c>
      <c r="J73" s="108"/>
      <c r="K73" s="108"/>
      <c r="L73" s="108"/>
      <c r="M73" s="108"/>
      <c r="N73" s="108"/>
      <c r="O73" s="250"/>
      <c r="P73" s="87"/>
      <c r="Q73" s="87"/>
      <c r="R73" s="87"/>
      <c r="S73" s="87"/>
      <c r="T73" s="87"/>
      <c r="U73" s="87"/>
      <c r="W73" s="251"/>
      <c r="X73" s="340" t="str">
        <f>name!A70</f>
        <v>Residential care</v>
      </c>
      <c r="Y73" s="340">
        <v>47.32299999927249</v>
      </c>
      <c r="Z73" s="340">
        <v>50.45399999991804</v>
      </c>
      <c r="AA73" s="491">
        <f t="shared" si="66"/>
        <v>3.1310000006455496</v>
      </c>
      <c r="AB73" s="340">
        <v>17.874552659761935</v>
      </c>
      <c r="AC73" s="491">
        <f t="shared" si="67"/>
        <v>21.005552660407485</v>
      </c>
      <c r="AD73" s="492">
        <f t="shared" si="68"/>
        <v>3.256143956003954E-2</v>
      </c>
    </row>
    <row r="74" spans="1:30" s="244" customFormat="1" x14ac:dyDescent="0.2">
      <c r="A74" s="244" t="str">
        <f t="shared" si="57"/>
        <v xml:space="preserve"> 41 Administrative occupations</v>
      </c>
      <c r="B74" s="87">
        <v>7.827783463990369</v>
      </c>
      <c r="C74" s="87">
        <v>11.393874928585609</v>
      </c>
      <c r="D74" s="87">
        <f t="shared" si="58"/>
        <v>3.5660914645952397</v>
      </c>
      <c r="E74" s="87">
        <v>3.0119910102590604</v>
      </c>
      <c r="F74" s="87">
        <f t="shared" si="59"/>
        <v>6.5780824748543001</v>
      </c>
      <c r="G74" s="298">
        <f t="shared" si="60"/>
        <v>3.3089968098205302E-2</v>
      </c>
      <c r="I74" s="108" t="str">
        <f>I63</f>
        <v>Managers, directors and senior officials</v>
      </c>
      <c r="J74" s="108">
        <f t="array" ref="J74:J82">MMULT(aggregation!$B$38:$Z$46,B175:B199)</f>
        <v>22.033358913961845</v>
      </c>
      <c r="K74" s="108">
        <f t="array" ref="K74:K82">MMULT(aggregation!$B$38:$Z$46,C175:C199)</f>
        <v>19.734413647200356</v>
      </c>
      <c r="L74" s="108">
        <f t="array" ref="L74:L82">MMULT(aggregation!$B$38:$Z$46,D175:D199)</f>
        <v>-2.29894526676149</v>
      </c>
      <c r="M74" s="108">
        <f t="array" ref="M74:M82">MMULT(aggregation!$B$38:$Z$46,E175:E199)</f>
        <v>6.57916735660325</v>
      </c>
      <c r="N74" s="108">
        <f t="array" ref="N74:N82">MMULT(aggregation!$B$38:$Z$46,F175:F199)</f>
        <v>4.2802220898417591</v>
      </c>
      <c r="O74" s="250"/>
      <c r="P74" s="87"/>
      <c r="Q74" s="87"/>
      <c r="R74" s="87"/>
      <c r="S74" s="87"/>
      <c r="T74" s="87"/>
      <c r="U74" s="87"/>
      <c r="W74" s="251"/>
      <c r="X74" s="340" t="str">
        <f>name!A71</f>
        <v>Social work</v>
      </c>
      <c r="Y74" s="340">
        <v>61.450999999012787</v>
      </c>
      <c r="Z74" s="340">
        <v>66.016999999789874</v>
      </c>
      <c r="AA74" s="491">
        <f t="shared" si="66"/>
        <v>4.5660000007770876</v>
      </c>
      <c r="AB74" s="340">
        <v>23.686794264693457</v>
      </c>
      <c r="AC74" s="491">
        <f t="shared" si="67"/>
        <v>28.252794265470545</v>
      </c>
      <c r="AD74" s="492">
        <f t="shared" si="68"/>
        <v>3.3140398606109844E-2</v>
      </c>
    </row>
    <row r="75" spans="1:30" s="244" customFormat="1" x14ac:dyDescent="0.2">
      <c r="A75" s="244" t="str">
        <f t="shared" si="57"/>
        <v xml:space="preserve"> 42 Secretarial and related occupations</v>
      </c>
      <c r="B75" s="87">
        <v>1.327980060919979</v>
      </c>
      <c r="C75" s="87">
        <v>1.4249540736025037</v>
      </c>
      <c r="D75" s="87">
        <f t="shared" si="58"/>
        <v>9.6974012682524702E-2</v>
      </c>
      <c r="E75" s="87">
        <v>0.4784284640759805</v>
      </c>
      <c r="F75" s="87">
        <f t="shared" si="59"/>
        <v>0.5754024767585052</v>
      </c>
      <c r="G75" s="298">
        <f t="shared" si="60"/>
        <v>3.1246391713050325E-2</v>
      </c>
      <c r="I75" s="108" t="str">
        <f>I64</f>
        <v>Professional occupations</v>
      </c>
      <c r="J75" s="108">
        <v>25.546392899278796</v>
      </c>
      <c r="K75" s="108">
        <v>26.445904051028265</v>
      </c>
      <c r="L75" s="108">
        <v>0.89951115174946228</v>
      </c>
      <c r="M75" s="108">
        <v>7.8009980144574271</v>
      </c>
      <c r="N75" s="108">
        <v>8.7005091662068885</v>
      </c>
      <c r="O75" s="250"/>
      <c r="P75" s="87"/>
      <c r="Q75" s="87"/>
      <c r="R75" s="87"/>
      <c r="S75" s="87"/>
      <c r="T75" s="87"/>
      <c r="U75" s="87"/>
      <c r="W75" s="251"/>
      <c r="X75" s="340" t="str">
        <f>name!A72</f>
        <v>Arts and entertainment</v>
      </c>
      <c r="Y75" s="340">
        <v>6.1829999999488265</v>
      </c>
      <c r="Z75" s="340">
        <v>7.5029999999469146</v>
      </c>
      <c r="AA75" s="491">
        <f t="shared" si="66"/>
        <v>1.319999999998088</v>
      </c>
      <c r="AB75" s="340">
        <v>2.3908484601092943</v>
      </c>
      <c r="AC75" s="491">
        <f t="shared" si="67"/>
        <v>3.7108484601073823</v>
      </c>
      <c r="AD75" s="492">
        <f t="shared" si="68"/>
        <v>3.3231542083212995E-2</v>
      </c>
    </row>
    <row r="76" spans="1:30" x14ac:dyDescent="0.2">
      <c r="A76" s="244" t="str">
        <f t="shared" si="57"/>
        <v xml:space="preserve"> 51 Skilled agricultural and related trades</v>
      </c>
      <c r="B76" s="87">
        <v>0.7731277721592722</v>
      </c>
      <c r="C76" s="87">
        <v>0.88646649174853476</v>
      </c>
      <c r="D76" s="87">
        <f t="shared" si="58"/>
        <v>0.11333871958926256</v>
      </c>
      <c r="E76" s="87">
        <v>0.20352706394352779</v>
      </c>
      <c r="F76" s="87">
        <f t="shared" si="59"/>
        <v>0.31686578353279038</v>
      </c>
      <c r="G76" s="298">
        <f t="shared" si="60"/>
        <v>2.3644089267963464E-2</v>
      </c>
      <c r="I76" s="108" t="str">
        <f>I65</f>
        <v>Associate professional and technical</v>
      </c>
      <c r="J76" s="108">
        <v>29.835472955243375</v>
      </c>
      <c r="K76" s="108">
        <v>26.929155417595858</v>
      </c>
      <c r="L76" s="108">
        <v>-2.9063175376475185</v>
      </c>
      <c r="M76" s="108">
        <v>7.7346542559270715</v>
      </c>
      <c r="N76" s="108">
        <v>4.8283367182795525</v>
      </c>
      <c r="O76" s="251"/>
      <c r="P76" s="87"/>
      <c r="Q76" s="87"/>
      <c r="R76" s="87"/>
      <c r="S76" s="87"/>
      <c r="T76" s="87"/>
      <c r="U76" s="87"/>
      <c r="X76" s="340" t="str">
        <f>name!A73</f>
        <v>Libraries, etc</v>
      </c>
      <c r="Y76" s="340">
        <v>5.2649999999601258</v>
      </c>
      <c r="Z76" s="340">
        <v>6.3869999999607003</v>
      </c>
      <c r="AA76" s="491">
        <f t="shared" si="66"/>
        <v>1.1220000000005745</v>
      </c>
      <c r="AB76" s="340">
        <v>2.0456496888002764</v>
      </c>
      <c r="AC76" s="491">
        <f t="shared" si="67"/>
        <v>3.167649688800851</v>
      </c>
      <c r="AD76" s="492">
        <f t="shared" si="68"/>
        <v>3.3369787156929176E-2</v>
      </c>
    </row>
    <row r="77" spans="1:30" x14ac:dyDescent="0.2">
      <c r="A77" s="244" t="str">
        <f t="shared" si="57"/>
        <v xml:space="preserve"> 52 Skilled metal, electrical and electronic trades</v>
      </c>
      <c r="B77" s="87">
        <v>1.1146490093624413</v>
      </c>
      <c r="C77" s="87">
        <v>1.693602429338309</v>
      </c>
      <c r="D77" s="87">
        <f t="shared" si="58"/>
        <v>0.57895341997586769</v>
      </c>
      <c r="E77" s="87">
        <v>0.36493357672418769</v>
      </c>
      <c r="F77" s="87">
        <f t="shared" si="59"/>
        <v>0.94388699670005538</v>
      </c>
      <c r="G77" s="298">
        <f t="shared" si="60"/>
        <v>2.8726927035146677E-2</v>
      </c>
      <c r="I77" s="108" t="str">
        <f>I66</f>
        <v>Administrative and secretarial</v>
      </c>
      <c r="J77" s="108">
        <v>34.830020738614181</v>
      </c>
      <c r="K77" s="108">
        <v>28.324638225767053</v>
      </c>
      <c r="L77" s="108">
        <v>-6.5053825128471248</v>
      </c>
      <c r="M77" s="108">
        <v>9.8632996129665074</v>
      </c>
      <c r="N77" s="108">
        <v>3.3579171001193817</v>
      </c>
      <c r="X77" s="340" t="str">
        <f>name!A74</f>
        <v>Gambling and betting</v>
      </c>
      <c r="Y77" s="340">
        <v>4.388999999975014</v>
      </c>
      <c r="Z77" s="340">
        <v>4.6769999999766823</v>
      </c>
      <c r="AA77" s="491">
        <f t="shared" si="66"/>
        <v>0.28800000000166825</v>
      </c>
      <c r="AB77" s="340">
        <v>1.4708455124473054</v>
      </c>
      <c r="AC77" s="491">
        <f t="shared" si="67"/>
        <v>1.7588455124489737</v>
      </c>
      <c r="AD77" s="492">
        <f t="shared" si="68"/>
        <v>2.9323904120034161E-2</v>
      </c>
    </row>
    <row r="78" spans="1:30" x14ac:dyDescent="0.2">
      <c r="A78" s="244" t="str">
        <f t="shared" si="57"/>
        <v xml:space="preserve"> 53 Skilled construction and building trades</v>
      </c>
      <c r="B78" s="87">
        <v>0.53010915298153827</v>
      </c>
      <c r="C78" s="87">
        <v>1.0101839307412481</v>
      </c>
      <c r="D78" s="87">
        <f t="shared" ref="D78" si="69">C78-B78</f>
        <v>0.48007477775970986</v>
      </c>
      <c r="E78" s="87">
        <v>0.21291122575730567</v>
      </c>
      <c r="F78" s="87">
        <f t="shared" ref="F78" si="70">SUM(D78:E78)</f>
        <v>0.69298600351701556</v>
      </c>
      <c r="G78" s="298">
        <f t="shared" si="60"/>
        <v>3.4340529178135348E-2</v>
      </c>
      <c r="I78" s="108" t="str">
        <f t="shared" ref="I78:I82" si="71">I67</f>
        <v>Skilled trades occupations</v>
      </c>
      <c r="J78" s="108">
        <v>62.997208437148537</v>
      </c>
      <c r="K78" s="108">
        <v>58.457012716670391</v>
      </c>
      <c r="L78" s="108">
        <v>-4.5401957204781365</v>
      </c>
      <c r="M78" s="108">
        <v>15.543640433638974</v>
      </c>
      <c r="N78" s="108">
        <v>11.003444713160837</v>
      </c>
      <c r="O78" s="90"/>
      <c r="P78" s="111"/>
      <c r="Q78" s="93"/>
      <c r="R78" s="93"/>
      <c r="S78" s="91"/>
      <c r="T78" s="91"/>
      <c r="U78" s="91"/>
      <c r="X78" s="340" t="str">
        <f>name!A75</f>
        <v>Sport and recreation</v>
      </c>
      <c r="Y78" s="340">
        <v>25.780999999887463</v>
      </c>
      <c r="Z78" s="340">
        <v>27.02599999987973</v>
      </c>
      <c r="AA78" s="491">
        <f t="shared" si="66"/>
        <v>1.2449999999922667</v>
      </c>
      <c r="AB78" s="340">
        <v>8.6962563724954123</v>
      </c>
      <c r="AC78" s="491">
        <f t="shared" si="67"/>
        <v>9.941256372487679</v>
      </c>
      <c r="AD78" s="492">
        <f t="shared" si="68"/>
        <v>2.9492753343289824E-2</v>
      </c>
    </row>
    <row r="79" spans="1:30" x14ac:dyDescent="0.2">
      <c r="A79" s="244" t="str">
        <f t="shared" si="57"/>
        <v xml:space="preserve"> 54 Textiles, printing and other skilled trades</v>
      </c>
      <c r="B79" s="87">
        <v>1.1047448289814938</v>
      </c>
      <c r="C79" s="87">
        <v>1.6083815416191154</v>
      </c>
      <c r="D79" s="87">
        <f t="shared" si="58"/>
        <v>0.50363671263762155</v>
      </c>
      <c r="E79" s="87">
        <v>0.41168852516663873</v>
      </c>
      <c r="F79" s="87">
        <f t="shared" si="59"/>
        <v>0.91532523780426023</v>
      </c>
      <c r="G79" s="298">
        <f t="shared" si="60"/>
        <v>3.2181652643181735E-2</v>
      </c>
      <c r="I79" s="108" t="str">
        <f t="shared" si="71"/>
        <v>Caring, leisure and other service</v>
      </c>
      <c r="J79" s="108">
        <v>59.740494514351951</v>
      </c>
      <c r="K79" s="108">
        <v>70.366343362770237</v>
      </c>
      <c r="L79" s="108">
        <v>10.625848848418293</v>
      </c>
      <c r="M79" s="108">
        <v>23.187890633022953</v>
      </c>
      <c r="N79" s="108">
        <v>33.813739481441246</v>
      </c>
      <c r="P79" s="87"/>
      <c r="Q79" s="87"/>
      <c r="R79" s="87"/>
      <c r="S79" s="87"/>
      <c r="T79" s="87"/>
      <c r="U79" s="87"/>
      <c r="X79" s="340" t="str">
        <f>name!A76</f>
        <v>Membership organisations</v>
      </c>
      <c r="Y79" s="340">
        <v>16.198999999866661</v>
      </c>
      <c r="Z79" s="340">
        <v>16.431999999938817</v>
      </c>
      <c r="AA79" s="491">
        <f t="shared" si="66"/>
        <v>0.23300000007215615</v>
      </c>
      <c r="AB79" s="340">
        <v>5.7525636439542387</v>
      </c>
      <c r="AC79" s="491">
        <f t="shared" si="67"/>
        <v>5.9855636440263948</v>
      </c>
      <c r="AD79" s="492">
        <f t="shared" si="68"/>
        <v>3.0855341397166836E-2</v>
      </c>
    </row>
    <row r="80" spans="1:30" x14ac:dyDescent="0.2">
      <c r="A80" s="244" t="str">
        <f t="shared" si="57"/>
        <v xml:space="preserve"> 61 Caring personal service occupations</v>
      </c>
      <c r="B80" s="87">
        <v>4.1904593597581057</v>
      </c>
      <c r="C80" s="87">
        <v>6.9958627236510376</v>
      </c>
      <c r="D80" s="87">
        <f t="shared" si="58"/>
        <v>2.8054033638929319</v>
      </c>
      <c r="E80" s="87">
        <v>2.0002258470377172</v>
      </c>
      <c r="F80" s="87">
        <f t="shared" si="59"/>
        <v>4.8056292109306487</v>
      </c>
      <c r="G80" s="298">
        <f t="shared" si="60"/>
        <v>3.9794961800299511E-2</v>
      </c>
      <c r="I80" s="108" t="str">
        <f t="shared" si="71"/>
        <v>Sales and customer service</v>
      </c>
      <c r="J80" s="108">
        <v>33.044399008320468</v>
      </c>
      <c r="K80" s="108">
        <v>33.610149367348399</v>
      </c>
      <c r="L80" s="108">
        <v>0.56575035902793047</v>
      </c>
      <c r="M80" s="108">
        <v>10.694539955535737</v>
      </c>
      <c r="N80" s="108">
        <v>11.260290314563667</v>
      </c>
      <c r="P80" s="87"/>
      <c r="Q80" s="87"/>
      <c r="R80" s="87"/>
      <c r="S80" s="87"/>
      <c r="T80" s="87"/>
      <c r="U80" s="87"/>
      <c r="X80" s="340" t="str">
        <f>name!A77</f>
        <v>Repair of goods</v>
      </c>
      <c r="Y80" s="340">
        <v>1.8819999999875199</v>
      </c>
      <c r="Z80" s="340">
        <v>1.9239999999946482</v>
      </c>
      <c r="AA80" s="491">
        <f t="shared" si="66"/>
        <v>4.2000000007128335E-2</v>
      </c>
      <c r="AB80" s="340">
        <v>0.65042556616260916</v>
      </c>
      <c r="AC80" s="491">
        <f t="shared" si="67"/>
        <v>0.69242556616973749</v>
      </c>
      <c r="AD80" s="492">
        <f t="shared" si="68"/>
        <v>3.0129221778902426E-2</v>
      </c>
    </row>
    <row r="81" spans="1:30" x14ac:dyDescent="0.2">
      <c r="A81" s="244" t="str">
        <f t="shared" si="57"/>
        <v xml:space="preserve"> 62 Leisure, travel and related personal service occupations</v>
      </c>
      <c r="B81" s="87">
        <v>0.66135725860429329</v>
      </c>
      <c r="C81" s="87">
        <v>0.88067262212971154</v>
      </c>
      <c r="D81" s="87">
        <f t="shared" ref="D81:D82" si="72">C81-B81</f>
        <v>0.21931536352541825</v>
      </c>
      <c r="E81" s="87">
        <v>0.26249334748518377</v>
      </c>
      <c r="F81" s="87">
        <f t="shared" ref="F81:F82" si="73">SUM(D81:E81)</f>
        <v>0.48180871101060202</v>
      </c>
      <c r="G81" s="298">
        <f t="shared" si="60"/>
        <v>3.3990532753682912E-2</v>
      </c>
      <c r="I81" s="108" t="str">
        <f t="shared" si="71"/>
        <v>Process, plant and machine operatives</v>
      </c>
      <c r="J81" s="108">
        <v>25.990752411522696</v>
      </c>
      <c r="K81" s="108">
        <v>27.949370074438207</v>
      </c>
      <c r="L81" s="108">
        <v>1.9586176629155103</v>
      </c>
      <c r="M81" s="108">
        <v>7.5061886148436736</v>
      </c>
      <c r="N81" s="108">
        <v>9.4648062777591839</v>
      </c>
      <c r="P81" s="87"/>
      <c r="Q81" s="87"/>
      <c r="R81" s="87"/>
      <c r="S81" s="87"/>
      <c r="T81" s="87"/>
      <c r="U81" s="87"/>
      <c r="X81" s="340" t="str">
        <f>name!A78</f>
        <v>Other personal service</v>
      </c>
      <c r="Y81" s="340">
        <v>25.868000000297496</v>
      </c>
      <c r="Z81" s="340">
        <v>26.62800000008119</v>
      </c>
      <c r="AA81" s="491">
        <f t="shared" si="66"/>
        <v>0.75999999978369459</v>
      </c>
      <c r="AB81" s="340">
        <v>8.8457960861402292</v>
      </c>
      <c r="AC81" s="491">
        <f t="shared" si="67"/>
        <v>9.6057960859239238</v>
      </c>
      <c r="AD81" s="492">
        <f t="shared" si="68"/>
        <v>2.9849886757753019E-2</v>
      </c>
    </row>
    <row r="82" spans="1:30" x14ac:dyDescent="0.2">
      <c r="A82" s="244" t="str">
        <f t="shared" si="57"/>
        <v xml:space="preserve"> 71 Sales occupations</v>
      </c>
      <c r="B82" s="87">
        <v>2.5166898439515686</v>
      </c>
      <c r="C82" s="87">
        <v>3.7428592626518395</v>
      </c>
      <c r="D82" s="87">
        <f t="shared" si="72"/>
        <v>1.226169418700271</v>
      </c>
      <c r="E82" s="87">
        <v>0.9373065622658564</v>
      </c>
      <c r="F82" s="87">
        <f t="shared" si="73"/>
        <v>2.1634759809661275</v>
      </c>
      <c r="G82" s="298">
        <f t="shared" si="60"/>
        <v>3.216521419324847E-2</v>
      </c>
      <c r="I82" s="108" t="str">
        <f t="shared" si="71"/>
        <v>Elementary occupations</v>
      </c>
      <c r="J82" s="108">
        <v>32.78007861637326</v>
      </c>
      <c r="K82" s="108">
        <v>31.834907852925646</v>
      </c>
      <c r="L82" s="108">
        <v>-0.94517076344761541</v>
      </c>
      <c r="M82" s="108">
        <v>10.124757914045333</v>
      </c>
      <c r="N82" s="108">
        <v>9.1795871505977189</v>
      </c>
      <c r="P82" s="87"/>
      <c r="Q82" s="87"/>
      <c r="R82" s="87"/>
      <c r="S82" s="87"/>
      <c r="T82" s="87"/>
      <c r="U82" s="87"/>
      <c r="X82" s="495" t="str">
        <f>name!A3</f>
        <v>All industries</v>
      </c>
      <c r="Y82" s="495">
        <f>SUM(Y7:Y81)</f>
        <v>1529.7600000008431</v>
      </c>
      <c r="Z82" s="495">
        <f>SUM(Z7:Z81)</f>
        <v>1569.1730000018867</v>
      </c>
      <c r="AA82" s="496">
        <f t="shared" si="66"/>
        <v>39.413000001043656</v>
      </c>
      <c r="AB82" s="495">
        <f>SUM(AB7:AB81)</f>
        <v>503.46764080973151</v>
      </c>
      <c r="AC82" s="496">
        <f t="shared" si="67"/>
        <v>542.88064081077516</v>
      </c>
      <c r="AD82" s="497">
        <f t="shared" si="68"/>
        <v>2.8859970074204266E-2</v>
      </c>
    </row>
    <row r="83" spans="1:30" s="244" customFormat="1" x14ac:dyDescent="0.2">
      <c r="A83" s="244" t="str">
        <f t="shared" si="57"/>
        <v xml:space="preserve"> 72 Customer service occupations</v>
      </c>
      <c r="B83" s="87">
        <v>1.1330266506140407</v>
      </c>
      <c r="C83" s="87">
        <v>1.8219449370847431</v>
      </c>
      <c r="D83" s="87">
        <f t="shared" si="58"/>
        <v>0.68891828647070241</v>
      </c>
      <c r="E83" s="87">
        <v>0.43512432376493865</v>
      </c>
      <c r="F83" s="87">
        <f t="shared" si="59"/>
        <v>1.1240426102356411</v>
      </c>
      <c r="G83" s="298">
        <f t="shared" si="60"/>
        <v>3.3034378467378556E-2</v>
      </c>
      <c r="I83" s="87"/>
      <c r="J83" s="87"/>
      <c r="K83" s="87"/>
      <c r="L83" s="87"/>
      <c r="M83" s="87"/>
      <c r="N83" s="87"/>
      <c r="O83" s="250"/>
      <c r="P83" s="87"/>
      <c r="Q83" s="87"/>
      <c r="R83" s="87"/>
      <c r="S83" s="87"/>
      <c r="T83" s="87"/>
      <c r="U83" s="87"/>
      <c r="W83" s="251"/>
      <c r="X83" s="340"/>
    </row>
    <row r="84" spans="1:30" x14ac:dyDescent="0.2">
      <c r="A84" s="244" t="str">
        <f t="shared" si="57"/>
        <v xml:space="preserve"> 81 Process, plant and machine operatives</v>
      </c>
      <c r="B84" s="87">
        <v>0.90242062027175474</v>
      </c>
      <c r="C84" s="87">
        <v>1.4092560229138595</v>
      </c>
      <c r="D84" s="87">
        <f t="shared" si="58"/>
        <v>0.5068354026421048</v>
      </c>
      <c r="E84" s="87">
        <v>0.33616248385055825</v>
      </c>
      <c r="F84" s="87">
        <f t="shared" si="59"/>
        <v>0.84299788649266305</v>
      </c>
      <c r="G84" s="298">
        <f t="shared" si="60"/>
        <v>3.2170907751394751E-2</v>
      </c>
      <c r="I84" s="115" t="str">
        <f>name!F10</f>
        <v>RQF2 GCSE(A-C) &amp; equivalent</v>
      </c>
      <c r="J84" s="108"/>
      <c r="K84" s="108"/>
      <c r="L84" s="108"/>
      <c r="M84" s="108"/>
      <c r="N84" s="108"/>
      <c r="P84" s="87"/>
      <c r="Q84" s="87"/>
      <c r="R84" s="87"/>
      <c r="S84" s="87"/>
      <c r="T84" s="87"/>
      <c r="U84" s="87"/>
    </row>
    <row r="85" spans="1:30" x14ac:dyDescent="0.2">
      <c r="A85" s="244" t="str">
        <f t="shared" si="57"/>
        <v xml:space="preserve"> 82 Transport and mobile machine drivers and operatives</v>
      </c>
      <c r="B85" s="87">
        <v>0.56918818306786156</v>
      </c>
      <c r="C85" s="87">
        <v>1.0391035550194991</v>
      </c>
      <c r="D85" s="87">
        <f t="shared" ref="D85:D86" si="74">C85-B85</f>
        <v>0.46991537195163757</v>
      </c>
      <c r="E85" s="87">
        <v>0.28921402809644731</v>
      </c>
      <c r="F85" s="87">
        <f t="shared" ref="F85:F86" si="75">SUM(D85:E85)</f>
        <v>0.75912940004808482</v>
      </c>
      <c r="G85" s="298">
        <f t="shared" si="60"/>
        <v>4.1941881831848882E-2</v>
      </c>
      <c r="I85" s="108" t="str">
        <f>I74</f>
        <v>Managers, directors and senior officials</v>
      </c>
      <c r="J85" s="108">
        <f t="array" ref="J85:J93">MMULT(aggregation!$B$38:$Z$46,B203:B227)</f>
        <v>20.803015692186886</v>
      </c>
      <c r="K85" s="108">
        <f t="array" ref="K85:K93">MMULT(aggregation!$B$38:$Z$46,C203:C227)</f>
        <v>18.750019340387116</v>
      </c>
      <c r="L85" s="108">
        <f t="array" ref="L85:L93">MMULT(aggregation!$B$38:$Z$46,D203:D227)</f>
        <v>-2.05299635179977</v>
      </c>
      <c r="M85" s="108">
        <f t="array" ref="M85:M93">MMULT(aggregation!$B$38:$Z$46,E203:E227)</f>
        <v>7.0644174638485913</v>
      </c>
      <c r="N85" s="108">
        <f t="array" ref="N85:N93">MMULT(aggregation!$B$38:$Z$46,F203:F227)</f>
        <v>5.0114211120488212</v>
      </c>
      <c r="P85" s="87"/>
      <c r="Q85" s="87"/>
      <c r="R85" s="87"/>
      <c r="S85" s="87"/>
      <c r="T85" s="87"/>
      <c r="U85" s="87"/>
    </row>
    <row r="86" spans="1:30" x14ac:dyDescent="0.2">
      <c r="A86" s="244" t="str">
        <f t="shared" si="57"/>
        <v xml:space="preserve"> 91 Elementary trades and related occupations</v>
      </c>
      <c r="B86" s="87">
        <v>0.29808294106682903</v>
      </c>
      <c r="C86" s="87">
        <v>0.57267653206985913</v>
      </c>
      <c r="D86" s="87">
        <f t="shared" si="74"/>
        <v>0.2745935910030301</v>
      </c>
      <c r="E86" s="87">
        <v>0.13245688984008697</v>
      </c>
      <c r="F86" s="87">
        <f t="shared" si="75"/>
        <v>0.40705048084311707</v>
      </c>
      <c r="G86" s="298">
        <f t="shared" si="60"/>
        <v>3.7451066147336176E-2</v>
      </c>
      <c r="I86" s="108" t="str">
        <f>I75</f>
        <v>Professional occupations</v>
      </c>
      <c r="J86" s="108">
        <v>17.691693150384125</v>
      </c>
      <c r="K86" s="108">
        <v>16.533878907110825</v>
      </c>
      <c r="L86" s="108">
        <v>-1.1578142432732972</v>
      </c>
      <c r="M86" s="108">
        <v>5.2008449959611758</v>
      </c>
      <c r="N86" s="108">
        <v>4.0430307526878781</v>
      </c>
      <c r="P86" s="87"/>
      <c r="Q86" s="87"/>
      <c r="R86" s="87"/>
      <c r="S86" s="87"/>
      <c r="T86" s="87"/>
      <c r="U86" s="87"/>
    </row>
    <row r="87" spans="1:30" x14ac:dyDescent="0.2">
      <c r="A87" s="244" t="str">
        <f t="shared" si="57"/>
        <v xml:space="preserve"> 92 Elementary administration and service occupations</v>
      </c>
      <c r="B87" s="87">
        <v>3.0479910321748331</v>
      </c>
      <c r="C87" s="87">
        <v>6.0097375894401894</v>
      </c>
      <c r="D87" s="87">
        <f t="shared" si="58"/>
        <v>2.9617465572653563</v>
      </c>
      <c r="E87" s="87">
        <v>1.4730710269440572</v>
      </c>
      <c r="F87" s="87">
        <f t="shared" si="59"/>
        <v>4.434817584209414</v>
      </c>
      <c r="G87" s="298">
        <f t="shared" si="60"/>
        <v>4.02139612301875E-2</v>
      </c>
      <c r="I87" s="108" t="str">
        <f>I76</f>
        <v>Associate professional and technical</v>
      </c>
      <c r="J87" s="108">
        <v>22.943290782217257</v>
      </c>
      <c r="K87" s="108">
        <v>18.33006817779701</v>
      </c>
      <c r="L87" s="108">
        <v>-4.6132226044202502</v>
      </c>
      <c r="M87" s="108">
        <v>5.6660562409563031</v>
      </c>
      <c r="N87" s="108">
        <v>1.0528336365360536</v>
      </c>
      <c r="P87" s="87"/>
      <c r="Q87" s="87"/>
      <c r="R87" s="87"/>
      <c r="S87" s="87"/>
      <c r="T87" s="87"/>
      <c r="U87" s="87"/>
    </row>
    <row r="88" spans="1:30" s="244" customFormat="1" x14ac:dyDescent="0.2">
      <c r="A88" s="109" t="str">
        <f t="shared" si="57"/>
        <v>All occupations</v>
      </c>
      <c r="B88" s="87">
        <f>SUM(B63:B87)</f>
        <v>146.68740984979129</v>
      </c>
      <c r="C88" s="87">
        <f>SUM(C63:C87)</f>
        <v>203.2892758009109</v>
      </c>
      <c r="D88" s="87">
        <f>SUM(D63:D87)</f>
        <v>56.60186595111962</v>
      </c>
      <c r="E88" s="87">
        <f>SUM(E63:E87)</f>
        <v>55.043108539382658</v>
      </c>
      <c r="F88" s="87">
        <f>SUM(F63:F87)</f>
        <v>111.64497449050228</v>
      </c>
      <c r="G88" s="298">
        <f t="shared" si="60"/>
        <v>3.2375944503336029E-2</v>
      </c>
      <c r="I88" s="108" t="str">
        <f>I77</f>
        <v>Administrative and secretarial</v>
      </c>
      <c r="J88" s="108">
        <v>38.358422415834063</v>
      </c>
      <c r="K88" s="108">
        <v>23.953431214466089</v>
      </c>
      <c r="L88" s="108">
        <v>-14.404991201367976</v>
      </c>
      <c r="M88" s="108">
        <v>9.7907164569333958</v>
      </c>
      <c r="N88" s="108">
        <v>-4.6142747444345797</v>
      </c>
      <c r="O88" s="250"/>
      <c r="P88" s="87"/>
      <c r="Q88" s="87"/>
      <c r="R88" s="87"/>
      <c r="S88" s="87"/>
      <c r="T88" s="87"/>
      <c r="U88" s="87"/>
      <c r="W88" s="251"/>
    </row>
    <row r="89" spans="1:30" s="244" customFormat="1" x14ac:dyDescent="0.2">
      <c r="A89" s="226"/>
      <c r="B89" s="87"/>
      <c r="C89" s="87"/>
      <c r="D89" s="87"/>
      <c r="E89" s="87"/>
      <c r="F89" s="87"/>
      <c r="G89" s="87"/>
      <c r="I89" s="108" t="str">
        <f t="shared" ref="I89:I93" si="76">I78</f>
        <v>Skilled trades occupations</v>
      </c>
      <c r="J89" s="108">
        <v>53.885757781047204</v>
      </c>
      <c r="K89" s="108">
        <v>44.793975556231878</v>
      </c>
      <c r="L89" s="108">
        <v>-9.0917822248153293</v>
      </c>
      <c r="M89" s="108">
        <v>14.50012495204794</v>
      </c>
      <c r="N89" s="108">
        <v>5.4083427272326112</v>
      </c>
      <c r="O89" s="250"/>
      <c r="P89" s="87"/>
      <c r="Q89" s="87"/>
      <c r="R89" s="87"/>
      <c r="S89" s="87"/>
      <c r="T89" s="87"/>
      <c r="U89" s="87"/>
      <c r="W89" s="251"/>
    </row>
    <row r="90" spans="1:30" ht="38.25" x14ac:dyDescent="0.2">
      <c r="A90" s="299" t="str">
        <f>CONCATENATE(name!F6," (Constrained)")</f>
        <v>RQF6 First degree (Constrained)</v>
      </c>
      <c r="B90" s="96">
        <f t="shared" ref="B90:G90" si="77">B6</f>
        <v>2017</v>
      </c>
      <c r="C90" s="96">
        <f t="shared" si="77"/>
        <v>2027</v>
      </c>
      <c r="D90" s="117" t="str">
        <f t="shared" si="77"/>
        <v>Net Change</v>
      </c>
      <c r="E90" s="117" t="str">
        <f t="shared" si="77"/>
        <v>Replacement Demand level</v>
      </c>
      <c r="F90" s="117" t="str">
        <f t="shared" si="77"/>
        <v>Total Requirement</v>
      </c>
      <c r="G90" s="117" t="str">
        <f t="shared" si="77"/>
        <v>Replacement Demand rate</v>
      </c>
      <c r="I90" s="108" t="str">
        <f t="shared" si="76"/>
        <v>Caring, leisure and other service</v>
      </c>
      <c r="J90" s="108">
        <v>47.487915420517552</v>
      </c>
      <c r="K90" s="108">
        <v>46.232233576631415</v>
      </c>
      <c r="L90" s="108">
        <v>-1.2556818438861432</v>
      </c>
      <c r="M90" s="108">
        <v>15.91779340030266</v>
      </c>
      <c r="N90" s="108">
        <v>14.662111556416518</v>
      </c>
      <c r="P90" s="87"/>
      <c r="Q90" s="87"/>
      <c r="R90" s="87"/>
      <c r="S90" s="87"/>
      <c r="T90" s="87"/>
      <c r="U90" s="87"/>
    </row>
    <row r="91" spans="1:30" x14ac:dyDescent="0.2">
      <c r="A91" s="109" t="str">
        <f t="shared" ref="A91:A116" si="78">A7</f>
        <v xml:space="preserve"> 11 Corporate managers and directors</v>
      </c>
      <c r="B91" s="87">
        <v>20.773683414307659</v>
      </c>
      <c r="C91" s="87">
        <v>28.099351754274387</v>
      </c>
      <c r="D91" s="87">
        <f>C91-B91</f>
        <v>7.3256683399667288</v>
      </c>
      <c r="E91" s="87">
        <v>10.250079987270366</v>
      </c>
      <c r="F91" s="87">
        <f>SUM(D91:E91)</f>
        <v>17.575748327237093</v>
      </c>
      <c r="G91" s="298">
        <f>IF(B91&gt;0,(1+(E91/B91))^(1/($C$6-$B$6))-1,0)</f>
        <v>4.0921783308910831E-2</v>
      </c>
      <c r="I91" s="108" t="str">
        <f t="shared" si="76"/>
        <v>Sales and customer service</v>
      </c>
      <c r="J91" s="108">
        <v>33.371439599699393</v>
      </c>
      <c r="K91" s="108">
        <v>31.044972068124054</v>
      </c>
      <c r="L91" s="108">
        <v>-2.3264675315753358</v>
      </c>
      <c r="M91" s="108">
        <v>10.95493800507851</v>
      </c>
      <c r="N91" s="108">
        <v>8.6284704735031745</v>
      </c>
      <c r="P91" s="87"/>
      <c r="Q91" s="87"/>
      <c r="R91" s="87"/>
      <c r="S91" s="87"/>
      <c r="T91" s="87"/>
      <c r="U91" s="87"/>
    </row>
    <row r="92" spans="1:30" x14ac:dyDescent="0.2">
      <c r="A92" s="244" t="str">
        <f t="shared" si="78"/>
        <v xml:space="preserve"> 12 Other managers and proprietors</v>
      </c>
      <c r="B92" s="87">
        <v>8.517196657056564</v>
      </c>
      <c r="C92" s="87">
        <v>12.132563877902911</v>
      </c>
      <c r="D92" s="87">
        <f t="shared" ref="D92:D115" si="79">C92-B92</f>
        <v>3.6153672208463465</v>
      </c>
      <c r="E92" s="87">
        <v>5.054212125362664</v>
      </c>
      <c r="F92" s="87">
        <f t="shared" ref="F92:F115" si="80">SUM(D92:E92)</f>
        <v>8.6695793462090105</v>
      </c>
      <c r="G92" s="298">
        <f t="shared" ref="G92:G116" si="81">IF(B92&gt;0,(1+(E92/B92))^(1/($C$6-$B$6))-1,0)</f>
        <v>4.7690065211111632E-2</v>
      </c>
      <c r="I92" s="108" t="str">
        <f t="shared" si="76"/>
        <v>Process, plant and machine operatives</v>
      </c>
      <c r="J92" s="108">
        <v>34.183274646443053</v>
      </c>
      <c r="K92" s="108">
        <v>31.400032216584048</v>
      </c>
      <c r="L92" s="108">
        <v>-2.7832424298590084</v>
      </c>
      <c r="M92" s="108">
        <v>10.233808199166889</v>
      </c>
      <c r="N92" s="108">
        <v>7.4505657693078806</v>
      </c>
      <c r="P92" s="87"/>
      <c r="Q92" s="87"/>
      <c r="R92" s="87"/>
      <c r="S92" s="87"/>
      <c r="T92" s="87"/>
      <c r="U92" s="87"/>
    </row>
    <row r="93" spans="1:30" s="244" customFormat="1" x14ac:dyDescent="0.2">
      <c r="A93" s="244" t="str">
        <f t="shared" si="78"/>
        <v xml:space="preserve"> 21 Science, research, engineering and technology professionals</v>
      </c>
      <c r="B93" s="87">
        <v>16.03685334374066</v>
      </c>
      <c r="C93" s="87">
        <v>18.03088953507228</v>
      </c>
      <c r="D93" s="87">
        <f t="shared" si="79"/>
        <v>1.9940361913316202</v>
      </c>
      <c r="E93" s="87">
        <v>4.8677518509497073</v>
      </c>
      <c r="F93" s="87">
        <f t="shared" si="80"/>
        <v>6.8617880422813275</v>
      </c>
      <c r="G93" s="298">
        <f t="shared" si="81"/>
        <v>2.6862469452712645E-2</v>
      </c>
      <c r="I93" s="108" t="str">
        <f t="shared" si="76"/>
        <v>Elementary occupations</v>
      </c>
      <c r="J93" s="108">
        <v>50.14913345679318</v>
      </c>
      <c r="K93" s="108">
        <v>48.737157325538391</v>
      </c>
      <c r="L93" s="108">
        <v>-1.4119761312547912</v>
      </c>
      <c r="M93" s="108">
        <v>16.508750972505361</v>
      </c>
      <c r="N93" s="108">
        <v>15.096774841250568</v>
      </c>
      <c r="O93" s="250"/>
      <c r="P93" s="87"/>
      <c r="Q93" s="87"/>
      <c r="R93" s="87"/>
      <c r="S93" s="87"/>
      <c r="T93" s="87"/>
      <c r="U93" s="87"/>
      <c r="W93" s="251"/>
    </row>
    <row r="94" spans="1:30" x14ac:dyDescent="0.2">
      <c r="A94" s="244" t="str">
        <f t="shared" si="78"/>
        <v xml:space="preserve"> 22 Health professionals</v>
      </c>
      <c r="B94" s="87">
        <v>34.049416818545311</v>
      </c>
      <c r="C94" s="87">
        <v>46.875880851503901</v>
      </c>
      <c r="D94" s="87">
        <f t="shared" si="79"/>
        <v>12.82646403295859</v>
      </c>
      <c r="E94" s="87">
        <v>17.032338176544343</v>
      </c>
      <c r="F94" s="87">
        <f t="shared" si="80"/>
        <v>29.858802209502933</v>
      </c>
      <c r="G94" s="298">
        <f t="shared" si="81"/>
        <v>4.1395299718480771E-2</v>
      </c>
      <c r="I94" s="111"/>
      <c r="J94" s="93"/>
      <c r="K94" s="93"/>
      <c r="L94" s="91"/>
      <c r="M94" s="91"/>
      <c r="N94" s="91"/>
      <c r="P94" s="87"/>
      <c r="Q94" s="87"/>
      <c r="R94" s="87"/>
      <c r="S94" s="87"/>
      <c r="T94" s="87"/>
      <c r="U94" s="87"/>
    </row>
    <row r="95" spans="1:30" x14ac:dyDescent="0.2">
      <c r="A95" s="244" t="str">
        <f t="shared" si="78"/>
        <v xml:space="preserve"> 23 Teaching and educational professionals</v>
      </c>
      <c r="B95" s="87">
        <v>25.206457423792934</v>
      </c>
      <c r="C95" s="87">
        <v>23.103021882727912</v>
      </c>
      <c r="D95" s="87">
        <f t="shared" ref="D95" si="82">C95-B95</f>
        <v>-2.1034355410650214</v>
      </c>
      <c r="E95" s="87">
        <v>9.2042358056694376</v>
      </c>
      <c r="F95" s="87">
        <f t="shared" ref="F95" si="83">SUM(D95:E95)</f>
        <v>7.1008002646044162</v>
      </c>
      <c r="G95" s="298">
        <f t="shared" si="81"/>
        <v>3.161621758623534E-2</v>
      </c>
      <c r="I95" s="115" t="str">
        <f>name!F11</f>
        <v>RQF1 GCSE(below grade C) &amp; equivalent</v>
      </c>
      <c r="J95" s="108"/>
      <c r="K95" s="108"/>
      <c r="L95" s="108"/>
      <c r="M95" s="108"/>
      <c r="N95" s="108"/>
      <c r="P95" s="87"/>
      <c r="Q95" s="87"/>
      <c r="R95" s="87"/>
      <c r="S95" s="87"/>
      <c r="T95" s="87"/>
      <c r="U95" s="87"/>
    </row>
    <row r="96" spans="1:30" x14ac:dyDescent="0.2">
      <c r="A96" s="244" t="str">
        <f t="shared" si="78"/>
        <v xml:space="preserve"> 24 Business, media and public service professionals</v>
      </c>
      <c r="B96" s="87">
        <v>18.114001326572957</v>
      </c>
      <c r="C96" s="87">
        <v>22.271957611498937</v>
      </c>
      <c r="D96" s="87">
        <f t="shared" si="79"/>
        <v>4.1579562849259801</v>
      </c>
      <c r="E96" s="87">
        <v>7.9710332917034874</v>
      </c>
      <c r="F96" s="87">
        <f t="shared" si="80"/>
        <v>12.128989576629468</v>
      </c>
      <c r="G96" s="298">
        <f t="shared" si="81"/>
        <v>3.7140759275216206E-2</v>
      </c>
      <c r="I96" s="108" t="str">
        <f>I85</f>
        <v>Managers, directors and senior officials</v>
      </c>
      <c r="J96" s="108">
        <f t="array" ref="J96:J104">MMULT(aggregation!$B$38:$Z$46,B231:B255)</f>
        <v>13.508393174056744</v>
      </c>
      <c r="K96" s="108">
        <f t="array" ref="K96:K104">MMULT(aggregation!$B$38:$Z$46,C231:C255)</f>
        <v>11.761129056467343</v>
      </c>
      <c r="L96" s="108">
        <f t="array" ref="L96:L104">MMULT(aggregation!$B$38:$Z$46,D231:D255)</f>
        <v>-1.7472641175893999</v>
      </c>
      <c r="M96" s="108">
        <f t="array" ref="M96:M104">MMULT(aggregation!$B$38:$Z$46,E231:E255)</f>
        <v>3.690879353916297</v>
      </c>
      <c r="N96" s="108">
        <f t="array" ref="N96:N104">MMULT(aggregation!$B$38:$Z$46,F231:F255)</f>
        <v>1.943615236326897</v>
      </c>
      <c r="P96" s="87"/>
      <c r="Q96" s="87"/>
      <c r="R96" s="87"/>
      <c r="S96" s="87"/>
      <c r="T96" s="87"/>
      <c r="U96" s="87"/>
    </row>
    <row r="97" spans="1:23" x14ac:dyDescent="0.2">
      <c r="A97" s="244" t="str">
        <f t="shared" si="78"/>
        <v xml:space="preserve"> 31 Science, engineering and technology associate professionals</v>
      </c>
      <c r="B97" s="87">
        <v>6.5897570343337453</v>
      </c>
      <c r="C97" s="87">
        <v>7.8423179057732417</v>
      </c>
      <c r="D97" s="87">
        <f t="shared" si="79"/>
        <v>1.2525608714394965</v>
      </c>
      <c r="E97" s="87">
        <v>2.2055101842467355</v>
      </c>
      <c r="F97" s="87">
        <f t="shared" si="80"/>
        <v>3.458071055686232</v>
      </c>
      <c r="G97" s="298">
        <f t="shared" si="81"/>
        <v>2.9290498188739411E-2</v>
      </c>
      <c r="I97" s="108" t="str">
        <f>I86</f>
        <v>Professional occupations</v>
      </c>
      <c r="J97" s="108">
        <v>11.445166526807306</v>
      </c>
      <c r="K97" s="108">
        <v>10.129107898201982</v>
      </c>
      <c r="L97" s="108">
        <v>-1.3160586286053242</v>
      </c>
      <c r="M97" s="108">
        <v>2.6459300413057871</v>
      </c>
      <c r="N97" s="108">
        <v>1.3298714127004627</v>
      </c>
      <c r="P97" s="87"/>
      <c r="Q97" s="87"/>
      <c r="R97" s="87"/>
      <c r="S97" s="87"/>
      <c r="T97" s="87"/>
      <c r="U97" s="87"/>
    </row>
    <row r="98" spans="1:23" x14ac:dyDescent="0.2">
      <c r="A98" s="244" t="str">
        <f t="shared" si="78"/>
        <v xml:space="preserve"> 32 Health and social care associate professionals</v>
      </c>
      <c r="B98" s="87">
        <v>10.771197675282158</v>
      </c>
      <c r="C98" s="87">
        <v>15.891562951061282</v>
      </c>
      <c r="D98" s="87">
        <f t="shared" si="79"/>
        <v>5.1203652757791236</v>
      </c>
      <c r="E98" s="87">
        <v>5.9938702375650577</v>
      </c>
      <c r="F98" s="87">
        <f t="shared" si="80"/>
        <v>11.11423551334418</v>
      </c>
      <c r="G98" s="298">
        <f t="shared" si="81"/>
        <v>4.5235453198957387E-2</v>
      </c>
      <c r="I98" s="108" t="str">
        <f>I87</f>
        <v>Associate professional and technical</v>
      </c>
      <c r="J98" s="108">
        <v>14.457367896637297</v>
      </c>
      <c r="K98" s="108">
        <v>10.919717190097334</v>
      </c>
      <c r="L98" s="108">
        <v>-3.5376507065399636</v>
      </c>
      <c r="M98" s="108">
        <v>2.9160429700011505</v>
      </c>
      <c r="N98" s="108">
        <v>-0.6216077365388134</v>
      </c>
      <c r="P98" s="87"/>
      <c r="Q98" s="87"/>
      <c r="R98" s="87"/>
      <c r="S98" s="87"/>
      <c r="T98" s="87"/>
      <c r="U98" s="87"/>
    </row>
    <row r="99" spans="1:23" x14ac:dyDescent="0.2">
      <c r="A99" s="244" t="str">
        <f t="shared" si="78"/>
        <v xml:space="preserve"> 33 Protective service occupations</v>
      </c>
      <c r="B99" s="87">
        <v>4.0635718921187278</v>
      </c>
      <c r="C99" s="87">
        <v>5.2893023642751613</v>
      </c>
      <c r="D99" s="87">
        <f t="shared" si="79"/>
        <v>1.2257304721564335</v>
      </c>
      <c r="E99" s="87">
        <v>1.359356653462952</v>
      </c>
      <c r="F99" s="87">
        <f t="shared" si="80"/>
        <v>2.5850871256193857</v>
      </c>
      <c r="G99" s="298">
        <f t="shared" si="81"/>
        <v>2.9277770743171061E-2</v>
      </c>
      <c r="I99" s="108" t="str">
        <f>I88</f>
        <v>Administrative and secretarial</v>
      </c>
      <c r="J99" s="108">
        <v>24.3547497077851</v>
      </c>
      <c r="K99" s="108">
        <v>8.7424725289142842</v>
      </c>
      <c r="L99" s="108">
        <v>-15.612277178870816</v>
      </c>
      <c r="M99" s="108">
        <v>3.8928582922152266</v>
      </c>
      <c r="N99" s="108">
        <v>-11.719418886655589</v>
      </c>
      <c r="P99" s="87"/>
      <c r="Q99" s="87"/>
      <c r="R99" s="87"/>
      <c r="S99" s="87"/>
      <c r="T99" s="87"/>
      <c r="U99" s="87"/>
    </row>
    <row r="100" spans="1:23" x14ac:dyDescent="0.2">
      <c r="A100" s="244" t="str">
        <f t="shared" si="78"/>
        <v xml:space="preserve"> 34 Culture, media and sports occupations</v>
      </c>
      <c r="B100" s="87">
        <v>9.7860677486467438</v>
      </c>
      <c r="C100" s="87">
        <v>11.743295473869624</v>
      </c>
      <c r="D100" s="87">
        <f t="shared" ref="D100:D101" si="84">C100-B100</f>
        <v>1.9572277252228805</v>
      </c>
      <c r="E100" s="87">
        <v>3.9177642059969213</v>
      </c>
      <c r="F100" s="87">
        <f t="shared" ref="F100:F101" si="85">SUM(D100:E100)</f>
        <v>5.8749919312198013</v>
      </c>
      <c r="G100" s="298">
        <f t="shared" si="81"/>
        <v>3.4244882439044E-2</v>
      </c>
      <c r="I100" s="108" t="str">
        <f t="shared" ref="I100:I104" si="86">I89</f>
        <v>Skilled trades occupations</v>
      </c>
      <c r="J100" s="108">
        <v>33.025674037476357</v>
      </c>
      <c r="K100" s="108">
        <v>27.896834428029564</v>
      </c>
      <c r="L100" s="108">
        <v>-5.1288396094467918</v>
      </c>
      <c r="M100" s="108">
        <v>7.9935953759648779</v>
      </c>
      <c r="N100" s="108">
        <v>2.8647557665180865</v>
      </c>
      <c r="P100" s="87"/>
      <c r="Q100" s="87"/>
      <c r="R100" s="87"/>
      <c r="S100" s="87"/>
      <c r="T100" s="87"/>
      <c r="U100" s="87"/>
    </row>
    <row r="101" spans="1:23" s="244" customFormat="1" x14ac:dyDescent="0.2">
      <c r="A101" s="244" t="str">
        <f t="shared" si="78"/>
        <v xml:space="preserve"> 35 Business and public service associate professionals</v>
      </c>
      <c r="B101" s="87">
        <v>18.874598117974333</v>
      </c>
      <c r="C101" s="87">
        <v>24.680074294219224</v>
      </c>
      <c r="D101" s="87">
        <f t="shared" si="84"/>
        <v>5.8054761762448912</v>
      </c>
      <c r="E101" s="87">
        <v>8.0700660557550172</v>
      </c>
      <c r="F101" s="87">
        <f t="shared" si="85"/>
        <v>13.875542231999908</v>
      </c>
      <c r="G101" s="298">
        <f t="shared" si="81"/>
        <v>3.6237980615305476E-2</v>
      </c>
      <c r="I101" s="108" t="str">
        <f t="shared" si="86"/>
        <v>Caring, leisure and other service</v>
      </c>
      <c r="J101" s="108">
        <v>14.459918299856632</v>
      </c>
      <c r="K101" s="108">
        <v>10.333039583112781</v>
      </c>
      <c r="L101" s="108">
        <v>-4.1268787167438505</v>
      </c>
      <c r="M101" s="108">
        <v>2.765545936026153</v>
      </c>
      <c r="N101" s="108">
        <v>-1.3613327807176976</v>
      </c>
      <c r="O101" s="250"/>
      <c r="P101" s="87"/>
      <c r="Q101" s="87"/>
      <c r="R101" s="87"/>
      <c r="S101" s="87"/>
      <c r="T101" s="87"/>
      <c r="U101" s="87"/>
      <c r="W101" s="251"/>
    </row>
    <row r="102" spans="1:23" s="244" customFormat="1" x14ac:dyDescent="0.2">
      <c r="A102" s="244" t="str">
        <f t="shared" si="78"/>
        <v xml:space="preserve"> 41 Administrative occupations</v>
      </c>
      <c r="B102" s="87">
        <v>23.747562437644206</v>
      </c>
      <c r="C102" s="87">
        <v>32.147201231404509</v>
      </c>
      <c r="D102" s="87">
        <f t="shared" si="79"/>
        <v>8.3996387937603032</v>
      </c>
      <c r="E102" s="87">
        <v>11.165951063615513</v>
      </c>
      <c r="F102" s="87">
        <f t="shared" si="80"/>
        <v>19.565589857375816</v>
      </c>
      <c r="G102" s="298">
        <f t="shared" si="81"/>
        <v>3.9291682876207545E-2</v>
      </c>
      <c r="I102" s="108" t="str">
        <f t="shared" si="86"/>
        <v>Sales and customer service</v>
      </c>
      <c r="J102" s="108">
        <v>21.782335784005927</v>
      </c>
      <c r="K102" s="108">
        <v>13.750440558586227</v>
      </c>
      <c r="L102" s="108">
        <v>-8.0318952254197011</v>
      </c>
      <c r="M102" s="108">
        <v>4.3336722385110349</v>
      </c>
      <c r="N102" s="108">
        <v>-3.6982229869086667</v>
      </c>
      <c r="O102" s="250"/>
      <c r="P102" s="87"/>
      <c r="Q102" s="87"/>
      <c r="R102" s="87"/>
      <c r="S102" s="87"/>
      <c r="T102" s="87"/>
      <c r="U102" s="87"/>
      <c r="W102" s="251"/>
    </row>
    <row r="103" spans="1:23" s="244" customFormat="1" x14ac:dyDescent="0.2">
      <c r="A103" s="244" t="str">
        <f t="shared" si="78"/>
        <v xml:space="preserve"> 42 Secretarial and related occupations</v>
      </c>
      <c r="B103" s="87">
        <v>4.2992823018371666</v>
      </c>
      <c r="C103" s="87">
        <v>4.909686199871401</v>
      </c>
      <c r="D103" s="87">
        <f t="shared" si="79"/>
        <v>0.61040389803423434</v>
      </c>
      <c r="E103" s="87">
        <v>2.0367362646496483</v>
      </c>
      <c r="F103" s="87">
        <f t="shared" si="80"/>
        <v>2.6471401626838826</v>
      </c>
      <c r="G103" s="298">
        <f t="shared" si="81"/>
        <v>3.9542017381543504E-2</v>
      </c>
      <c r="I103" s="108" t="str">
        <f t="shared" si="86"/>
        <v>Process, plant and machine operatives</v>
      </c>
      <c r="J103" s="108">
        <v>27.67566974456993</v>
      </c>
      <c r="K103" s="108">
        <v>20.323268778320855</v>
      </c>
      <c r="L103" s="108">
        <v>-7.3524009662490739</v>
      </c>
      <c r="M103" s="108">
        <v>6.4845492509051628</v>
      </c>
      <c r="N103" s="108">
        <v>-0.8678517153439107</v>
      </c>
      <c r="O103" s="250"/>
      <c r="P103" s="87"/>
      <c r="Q103" s="87"/>
      <c r="R103" s="87"/>
      <c r="S103" s="87"/>
      <c r="T103" s="87"/>
      <c r="U103" s="87"/>
      <c r="W103" s="251"/>
    </row>
    <row r="104" spans="1:23" x14ac:dyDescent="0.2">
      <c r="A104" s="244" t="str">
        <f t="shared" si="78"/>
        <v xml:space="preserve"> 51 Skilled agricultural and related trades</v>
      </c>
      <c r="B104" s="87">
        <v>5.8349780453844513</v>
      </c>
      <c r="C104" s="87">
        <v>8.5309530811848688</v>
      </c>
      <c r="D104" s="87">
        <f t="shared" si="79"/>
        <v>2.6959750358004175</v>
      </c>
      <c r="E104" s="87">
        <v>3.1388896344365484</v>
      </c>
      <c r="F104" s="87">
        <f t="shared" si="80"/>
        <v>5.834864670236966</v>
      </c>
      <c r="G104" s="298">
        <f t="shared" si="81"/>
        <v>4.3984482605058606E-2</v>
      </c>
      <c r="I104" s="108" t="str">
        <f t="shared" si="86"/>
        <v>Elementary occupations</v>
      </c>
      <c r="J104" s="108">
        <v>44.595893056061499</v>
      </c>
      <c r="K104" s="108">
        <v>37.626019239091221</v>
      </c>
      <c r="L104" s="108">
        <v>-6.9698738169702796</v>
      </c>
      <c r="M104" s="108">
        <v>11.066965698408183</v>
      </c>
      <c r="N104" s="108">
        <v>4.0970918814379038</v>
      </c>
      <c r="O104" s="251"/>
      <c r="P104" s="87"/>
      <c r="Q104" s="87"/>
      <c r="R104" s="87"/>
      <c r="S104" s="87"/>
      <c r="T104" s="87"/>
      <c r="U104" s="87"/>
    </row>
    <row r="105" spans="1:23" x14ac:dyDescent="0.2">
      <c r="A105" s="244" t="str">
        <f t="shared" si="78"/>
        <v xml:space="preserve"> 52 Skilled metal, electrical and electronic trades</v>
      </c>
      <c r="B105" s="87">
        <v>3.1021677152495446</v>
      </c>
      <c r="C105" s="87">
        <v>4.1886276509579812</v>
      </c>
      <c r="D105" s="87">
        <f t="shared" si="79"/>
        <v>1.0864599357084366</v>
      </c>
      <c r="E105" s="87">
        <v>1.2703496484082799</v>
      </c>
      <c r="F105" s="87">
        <f t="shared" si="80"/>
        <v>2.3568095841167165</v>
      </c>
      <c r="G105" s="298">
        <f t="shared" si="81"/>
        <v>3.4919635549270467E-2</v>
      </c>
      <c r="I105" s="87"/>
      <c r="J105" s="87"/>
      <c r="K105" s="87"/>
      <c r="L105" s="87"/>
      <c r="M105" s="87"/>
      <c r="N105" s="87"/>
      <c r="P105" s="87"/>
      <c r="Q105" s="87"/>
      <c r="R105" s="87"/>
      <c r="S105" s="87"/>
      <c r="T105" s="87"/>
      <c r="U105" s="87"/>
    </row>
    <row r="106" spans="1:23" x14ac:dyDescent="0.2">
      <c r="A106" s="244" t="str">
        <f t="shared" si="78"/>
        <v xml:space="preserve"> 53 Skilled construction and building trades</v>
      </c>
      <c r="B106" s="87">
        <v>1.8360713441851719</v>
      </c>
      <c r="C106" s="87">
        <v>2.836419540207995</v>
      </c>
      <c r="D106" s="87">
        <f t="shared" ref="D106" si="87">C106-B106</f>
        <v>1.0003481960228231</v>
      </c>
      <c r="E106" s="87">
        <v>0.86014023345030333</v>
      </c>
      <c r="F106" s="87">
        <f t="shared" ref="F106" si="88">SUM(D106:E106)</f>
        <v>1.8604884294731265</v>
      </c>
      <c r="G106" s="298">
        <f t="shared" si="81"/>
        <v>3.9169619915067289E-2</v>
      </c>
      <c r="I106" s="115" t="str">
        <f>name!F12</f>
        <v>No Qualification</v>
      </c>
      <c r="J106" s="108"/>
      <c r="K106" s="108"/>
      <c r="L106" s="108"/>
      <c r="M106" s="108"/>
      <c r="N106" s="108"/>
      <c r="O106" s="90"/>
      <c r="P106" s="111"/>
      <c r="Q106" s="93"/>
      <c r="R106" s="93"/>
      <c r="S106" s="91"/>
      <c r="T106" s="91"/>
      <c r="U106" s="91"/>
    </row>
    <row r="107" spans="1:23" x14ac:dyDescent="0.2">
      <c r="A107" s="244" t="str">
        <f t="shared" si="78"/>
        <v xml:space="preserve"> 54 Textiles, printing and other skilled trades</v>
      </c>
      <c r="B107" s="87">
        <v>3.357623085733481</v>
      </c>
      <c r="C107" s="87">
        <v>4.739549645840607</v>
      </c>
      <c r="D107" s="87">
        <f t="shared" si="79"/>
        <v>1.381926560107126</v>
      </c>
      <c r="E107" s="87">
        <v>1.5599022149009856</v>
      </c>
      <c r="F107" s="87">
        <f t="shared" si="80"/>
        <v>2.9418287750081116</v>
      </c>
      <c r="G107" s="298">
        <f t="shared" si="81"/>
        <v>3.8894545442873296E-2</v>
      </c>
      <c r="I107" s="108" t="str">
        <f>I96</f>
        <v>Managers, directors and senior officials</v>
      </c>
      <c r="J107" s="108">
        <f t="array" ref="J107:J115">MMULT(aggregation!$B$38:$Z$46,B259:B283)</f>
        <v>5.3486070750492338</v>
      </c>
      <c r="K107" s="108">
        <f t="array" ref="K107:K115">MMULT(aggregation!$B$38:$Z$46,C259:C283)</f>
        <v>4.675613840084635</v>
      </c>
      <c r="L107" s="108">
        <f t="array" ref="L107:L115">MMULT(aggregation!$B$38:$Z$46,D259:D283)</f>
        <v>-0.67299323496459795</v>
      </c>
      <c r="M107" s="108">
        <f t="array" ref="M107:M115">MMULT(aggregation!$B$38:$Z$46,E259:E283)</f>
        <v>1.0400150777767201</v>
      </c>
      <c r="N107" s="108">
        <f t="array" ref="N107:N115">MMULT(aggregation!$B$38:$Z$46,F259:F283)</f>
        <v>0.36702184281212219</v>
      </c>
      <c r="P107" s="87"/>
      <c r="Q107" s="87"/>
      <c r="R107" s="87"/>
      <c r="S107" s="87"/>
      <c r="T107" s="87"/>
      <c r="U107" s="87"/>
    </row>
    <row r="108" spans="1:23" x14ac:dyDescent="0.2">
      <c r="A108" s="244" t="str">
        <f t="shared" si="78"/>
        <v xml:space="preserve"> 61 Caring personal service occupations</v>
      </c>
      <c r="B108" s="87">
        <v>12.817547918318022</v>
      </c>
      <c r="C108" s="87">
        <v>18.808004525992391</v>
      </c>
      <c r="D108" s="87">
        <f>C108-B108</f>
        <v>5.9904566076743695</v>
      </c>
      <c r="E108" s="87">
        <v>7.676702837270013</v>
      </c>
      <c r="F108" s="87">
        <f>SUM(D108:E108)</f>
        <v>13.667159444944382</v>
      </c>
      <c r="G108" s="298">
        <f t="shared" si="81"/>
        <v>4.8051706839197683E-2</v>
      </c>
      <c r="I108" s="108" t="str">
        <f>I97</f>
        <v>Professional occupations</v>
      </c>
      <c r="J108" s="108">
        <v>2.3673998276987813</v>
      </c>
      <c r="K108" s="108">
        <v>2.8699569600017973</v>
      </c>
      <c r="L108" s="108">
        <v>0.50255713230301624</v>
      </c>
      <c r="M108" s="108">
        <v>0.52871460268457515</v>
      </c>
      <c r="N108" s="108">
        <v>1.0312717349875915</v>
      </c>
      <c r="P108" s="87"/>
      <c r="Q108" s="87"/>
      <c r="R108" s="87"/>
      <c r="S108" s="87"/>
      <c r="T108" s="87"/>
      <c r="U108" s="87"/>
    </row>
    <row r="109" spans="1:23" x14ac:dyDescent="0.2">
      <c r="A109" s="244" t="str">
        <f t="shared" si="78"/>
        <v xml:space="preserve"> 62 Leisure, travel and related personal service occupations</v>
      </c>
      <c r="B109" s="87">
        <v>2.7779357532729616</v>
      </c>
      <c r="C109" s="87">
        <v>3.9881111354803092</v>
      </c>
      <c r="D109" s="87">
        <f t="shared" ref="D109:D110" si="89">C109-B109</f>
        <v>1.2101753822073475</v>
      </c>
      <c r="E109" s="87">
        <v>1.5270451870834854</v>
      </c>
      <c r="F109" s="87">
        <f t="shared" ref="F109:F110" si="90">SUM(D109:E109)</f>
        <v>2.7372205692908329</v>
      </c>
      <c r="G109" s="298">
        <f t="shared" si="81"/>
        <v>4.4780127889173515E-2</v>
      </c>
      <c r="I109" s="108" t="str">
        <f>I98</f>
        <v>Associate professional and technical</v>
      </c>
      <c r="J109" s="108">
        <v>3.5555131267331403</v>
      </c>
      <c r="K109" s="108">
        <v>3.7323725669153145</v>
      </c>
      <c r="L109" s="108">
        <v>0.17685944018217434</v>
      </c>
      <c r="M109" s="108">
        <v>0.71471035854658627</v>
      </c>
      <c r="N109" s="108">
        <v>0.89156979872876052</v>
      </c>
      <c r="P109" s="87"/>
      <c r="Q109" s="87"/>
      <c r="R109" s="87"/>
      <c r="S109" s="87"/>
      <c r="T109" s="87"/>
      <c r="U109" s="87"/>
    </row>
    <row r="110" spans="1:23" x14ac:dyDescent="0.2">
      <c r="A110" s="244" t="str">
        <f t="shared" si="78"/>
        <v xml:space="preserve"> 71 Sales occupations</v>
      </c>
      <c r="B110" s="87">
        <v>9.9903986793064252</v>
      </c>
      <c r="C110" s="87">
        <v>14.414571038296049</v>
      </c>
      <c r="D110" s="87">
        <f t="shared" si="89"/>
        <v>4.4241723589896242</v>
      </c>
      <c r="E110" s="87">
        <v>5.1155463881102001</v>
      </c>
      <c r="F110" s="87">
        <f t="shared" si="90"/>
        <v>9.5397187470998244</v>
      </c>
      <c r="G110" s="298">
        <f t="shared" si="81"/>
        <v>4.2213053092478914E-2</v>
      </c>
      <c r="I110" s="108" t="str">
        <f>I99</f>
        <v>Administrative and secretarial</v>
      </c>
      <c r="J110" s="108">
        <v>6.3011912758990647</v>
      </c>
      <c r="K110" s="108">
        <v>3.7158567890461658</v>
      </c>
      <c r="L110" s="108">
        <v>-2.5853344868528989</v>
      </c>
      <c r="M110" s="108">
        <v>1.0040176390232058</v>
      </c>
      <c r="N110" s="108">
        <v>-1.5813168478296933</v>
      </c>
      <c r="P110" s="87"/>
      <c r="Q110" s="87"/>
      <c r="R110" s="87"/>
      <c r="S110" s="87"/>
      <c r="T110" s="87"/>
      <c r="U110" s="87"/>
    </row>
    <row r="111" spans="1:23" s="244" customFormat="1" x14ac:dyDescent="0.2">
      <c r="A111" s="244" t="str">
        <f t="shared" si="78"/>
        <v xml:space="preserve"> 72 Customer service occupations</v>
      </c>
      <c r="B111" s="87">
        <v>4.4968328923338357</v>
      </c>
      <c r="C111" s="87">
        <v>6.5018637266785051</v>
      </c>
      <c r="D111" s="87">
        <f t="shared" si="79"/>
        <v>2.0050308343446694</v>
      </c>
      <c r="E111" s="87">
        <v>2.0251923816907698</v>
      </c>
      <c r="F111" s="87">
        <f t="shared" si="80"/>
        <v>4.0302232160354396</v>
      </c>
      <c r="G111" s="298">
        <f t="shared" si="81"/>
        <v>3.7881026881493529E-2</v>
      </c>
      <c r="I111" s="108" t="str">
        <f t="shared" ref="I111:I115" si="91">I100</f>
        <v>Skilled trades occupations</v>
      </c>
      <c r="J111" s="108">
        <v>18.274163230070162</v>
      </c>
      <c r="K111" s="108">
        <v>8.3154980063944652</v>
      </c>
      <c r="L111" s="108">
        <v>-9.9586652236756947</v>
      </c>
      <c r="M111" s="108">
        <v>2.4461387963049921</v>
      </c>
      <c r="N111" s="108">
        <v>-7.5125264273707035</v>
      </c>
      <c r="O111" s="250"/>
      <c r="P111" s="87"/>
      <c r="Q111" s="87"/>
      <c r="R111" s="87"/>
      <c r="S111" s="87"/>
      <c r="T111" s="87"/>
      <c r="U111" s="87"/>
      <c r="W111" s="251"/>
    </row>
    <row r="112" spans="1:23" x14ac:dyDescent="0.2">
      <c r="A112" s="244" t="str">
        <f t="shared" si="78"/>
        <v xml:space="preserve"> 81 Process, plant and machine operatives</v>
      </c>
      <c r="B112" s="87">
        <v>2.2747281852486525</v>
      </c>
      <c r="C112" s="87">
        <v>3.1363499870664775</v>
      </c>
      <c r="D112" s="87">
        <f t="shared" si="79"/>
        <v>0.86162180181782499</v>
      </c>
      <c r="E112" s="87">
        <v>1.0146561266291061</v>
      </c>
      <c r="F112" s="87">
        <f t="shared" si="80"/>
        <v>1.8762779284469311</v>
      </c>
      <c r="G112" s="298">
        <f t="shared" si="81"/>
        <v>3.7572639010987841E-2</v>
      </c>
      <c r="I112" s="108" t="str">
        <f t="shared" si="91"/>
        <v>Caring, leisure and other service</v>
      </c>
      <c r="J112" s="108">
        <v>3.7287123556410346</v>
      </c>
      <c r="K112" s="108">
        <v>2.7221860315114257</v>
      </c>
      <c r="L112" s="108">
        <v>-1.006526324129609</v>
      </c>
      <c r="M112" s="108">
        <v>0.55050087423533811</v>
      </c>
      <c r="N112" s="108">
        <v>-0.45602544989427085</v>
      </c>
      <c r="P112" s="87"/>
      <c r="Q112" s="87"/>
      <c r="R112" s="87"/>
      <c r="S112" s="87"/>
      <c r="T112" s="87"/>
      <c r="U112" s="87"/>
    </row>
    <row r="113" spans="1:23" x14ac:dyDescent="0.2">
      <c r="A113" s="244" t="str">
        <f t="shared" si="78"/>
        <v xml:space="preserve"> 82 Transport and mobile machine drivers and operatives</v>
      </c>
      <c r="B113" s="87">
        <v>2.0394349028353664</v>
      </c>
      <c r="C113" s="87">
        <v>3.2833192539545863</v>
      </c>
      <c r="D113" s="87">
        <f t="shared" ref="D113:D114" si="92">C113-B113</f>
        <v>1.2438843511192199</v>
      </c>
      <c r="E113" s="87">
        <v>1.296546938383853</v>
      </c>
      <c r="F113" s="87">
        <f t="shared" ref="F113:F114" si="93">SUM(D113:E113)</f>
        <v>2.540431289503073</v>
      </c>
      <c r="G113" s="298">
        <f t="shared" si="81"/>
        <v>5.0440319334694728E-2</v>
      </c>
      <c r="I113" s="108" t="str">
        <f t="shared" si="91"/>
        <v>Sales and customer service</v>
      </c>
      <c r="J113" s="108">
        <v>9.733923715747391</v>
      </c>
      <c r="K113" s="108">
        <v>4.4323908058218624</v>
      </c>
      <c r="L113" s="108">
        <v>-5.3015329099255286</v>
      </c>
      <c r="M113" s="108">
        <v>1.1051748194498094</v>
      </c>
      <c r="N113" s="108">
        <v>-4.1963580904757194</v>
      </c>
      <c r="P113" s="87"/>
      <c r="Q113" s="87"/>
      <c r="R113" s="87"/>
      <c r="S113" s="87"/>
      <c r="T113" s="87"/>
      <c r="U113" s="87"/>
    </row>
    <row r="114" spans="1:23" x14ac:dyDescent="0.2">
      <c r="A114" s="244" t="str">
        <f t="shared" si="78"/>
        <v xml:space="preserve"> 91 Elementary trades and related occupations</v>
      </c>
      <c r="B114" s="87">
        <v>1.2800478297922337</v>
      </c>
      <c r="C114" s="87">
        <v>2.0906146422840215</v>
      </c>
      <c r="D114" s="87">
        <f t="shared" si="92"/>
        <v>0.81056681249178775</v>
      </c>
      <c r="E114" s="87">
        <v>0.73971743465889939</v>
      </c>
      <c r="F114" s="87">
        <f t="shared" si="93"/>
        <v>1.550284247150687</v>
      </c>
      <c r="G114" s="298">
        <f t="shared" si="81"/>
        <v>4.6664441682232827E-2</v>
      </c>
      <c r="I114" s="108" t="str">
        <f t="shared" si="91"/>
        <v>Process, plant and machine operatives</v>
      </c>
      <c r="J114" s="108">
        <v>13.680631355732842</v>
      </c>
      <c r="K114" s="108">
        <v>4.7795630762777659</v>
      </c>
      <c r="L114" s="108">
        <v>-8.9010682794550746</v>
      </c>
      <c r="M114" s="108">
        <v>1.6175127109211389</v>
      </c>
      <c r="N114" s="108">
        <v>-7.283555568533937</v>
      </c>
      <c r="P114" s="87"/>
      <c r="Q114" s="87"/>
      <c r="R114" s="87"/>
      <c r="S114" s="87"/>
      <c r="T114" s="87"/>
      <c r="U114" s="87"/>
    </row>
    <row r="115" spans="1:23" x14ac:dyDescent="0.2">
      <c r="A115" s="244" t="str">
        <f t="shared" si="78"/>
        <v xml:space="preserve"> 92 Elementary administration and service occupations</v>
      </c>
      <c r="B115" s="87">
        <v>10.408585043709826</v>
      </c>
      <c r="C115" s="87">
        <v>18.547054144394611</v>
      </c>
      <c r="D115" s="87">
        <f t="shared" si="79"/>
        <v>8.1384691006847856</v>
      </c>
      <c r="E115" s="87">
        <v>6.5264220489580547</v>
      </c>
      <c r="F115" s="87">
        <f t="shared" si="80"/>
        <v>14.664891149642841</v>
      </c>
      <c r="G115" s="298">
        <f t="shared" si="81"/>
        <v>4.9879289782909453E-2</v>
      </c>
      <c r="I115" s="108" t="str">
        <f t="shared" si="91"/>
        <v>Elementary occupations</v>
      </c>
      <c r="J115" s="108">
        <v>22.032347936402353</v>
      </c>
      <c r="K115" s="108">
        <v>11.150255568719761</v>
      </c>
      <c r="L115" s="108">
        <v>-10.88209236768259</v>
      </c>
      <c r="M115" s="108">
        <v>2.6590619359363719</v>
      </c>
      <c r="N115" s="108">
        <v>-8.2230304317462188</v>
      </c>
      <c r="P115" s="87"/>
      <c r="Q115" s="87"/>
      <c r="R115" s="87"/>
      <c r="S115" s="87"/>
      <c r="T115" s="87"/>
      <c r="U115" s="87"/>
    </row>
    <row r="116" spans="1:23" s="244" customFormat="1" x14ac:dyDescent="0.2">
      <c r="A116" s="109" t="str">
        <f t="shared" si="78"/>
        <v>All occupations</v>
      </c>
      <c r="B116" s="87">
        <f>SUM(B91:B115)</f>
        <v>261.0459975872231</v>
      </c>
      <c r="C116" s="87">
        <f>SUM(C91:C115)</f>
        <v>344.08254430579319</v>
      </c>
      <c r="D116" s="87">
        <f>SUM(D91:D115)</f>
        <v>83.036546718570023</v>
      </c>
      <c r="E116" s="87">
        <f>SUM(E91:E115)</f>
        <v>121.88001697677237</v>
      </c>
      <c r="F116" s="87">
        <f>SUM(F91:F115)</f>
        <v>204.91656369534235</v>
      </c>
      <c r="G116" s="298">
        <f t="shared" si="81"/>
        <v>3.9057982818122117E-2</v>
      </c>
      <c r="I116" s="87"/>
      <c r="J116" s="87"/>
      <c r="K116" s="87"/>
      <c r="L116" s="87"/>
      <c r="M116" s="87"/>
      <c r="N116" s="87"/>
      <c r="O116" s="250"/>
      <c r="P116" s="87"/>
      <c r="Q116" s="87"/>
      <c r="R116" s="87"/>
      <c r="S116" s="87"/>
      <c r="T116" s="87"/>
      <c r="U116" s="87"/>
      <c r="W116" s="251"/>
    </row>
    <row r="117" spans="1:23" s="244" customFormat="1" x14ac:dyDescent="0.2">
      <c r="A117" s="86"/>
      <c r="B117" s="89"/>
      <c r="C117" s="89"/>
      <c r="D117" s="89"/>
      <c r="E117" s="89"/>
      <c r="F117" s="89"/>
      <c r="G117" s="89"/>
      <c r="I117" s="87"/>
      <c r="J117" s="87"/>
      <c r="K117" s="87"/>
      <c r="L117" s="87"/>
      <c r="M117" s="87"/>
      <c r="N117" s="87"/>
      <c r="O117" s="250"/>
      <c r="P117" s="87"/>
      <c r="Q117" s="87"/>
      <c r="R117" s="87"/>
      <c r="S117" s="87"/>
      <c r="T117" s="87"/>
      <c r="U117" s="87"/>
      <c r="W117" s="251"/>
    </row>
    <row r="118" spans="1:23" s="120" customFormat="1" ht="38.25" x14ac:dyDescent="0.2">
      <c r="A118" s="299" t="str">
        <f>CONCATENATE(name!F7," (Constrained)")</f>
        <v>RQF5 Foundation degree;Nursing;Teaching (Constrained)</v>
      </c>
      <c r="B118" s="96">
        <f t="shared" ref="B118:G118" si="94">B34</f>
        <v>2017</v>
      </c>
      <c r="C118" s="96">
        <f t="shared" si="94"/>
        <v>2027</v>
      </c>
      <c r="D118" s="117" t="str">
        <f t="shared" si="94"/>
        <v>Net Change</v>
      </c>
      <c r="E118" s="117" t="str">
        <f t="shared" si="94"/>
        <v>Replacement Demand level</v>
      </c>
      <c r="F118" s="117" t="str">
        <f t="shared" si="94"/>
        <v>Total Requirement</v>
      </c>
      <c r="G118" s="117" t="str">
        <f t="shared" si="94"/>
        <v>Replacement Demand rate</v>
      </c>
      <c r="I118" s="87"/>
      <c r="J118" s="87"/>
      <c r="K118" s="87"/>
      <c r="L118" s="87"/>
      <c r="M118" s="87"/>
      <c r="N118" s="87"/>
      <c r="O118" s="250"/>
      <c r="P118" s="87"/>
      <c r="Q118" s="87"/>
      <c r="R118" s="87"/>
      <c r="S118" s="87"/>
      <c r="T118" s="87"/>
      <c r="U118" s="87"/>
      <c r="W118" s="251"/>
    </row>
    <row r="119" spans="1:23" s="120" customFormat="1" x14ac:dyDescent="0.2">
      <c r="A119" s="251" t="str">
        <f t="shared" ref="A119:A144" si="95">A35</f>
        <v xml:space="preserve"> 11 Corporate managers and directors</v>
      </c>
      <c r="B119" s="87">
        <v>4.5695853498285439</v>
      </c>
      <c r="C119" s="87">
        <v>5.3254484858647455</v>
      </c>
      <c r="D119" s="87">
        <f>C119-B119</f>
        <v>0.75586313603620159</v>
      </c>
      <c r="E119" s="87">
        <v>1.9083852586736092</v>
      </c>
      <c r="F119" s="87">
        <f>SUM(D119:E119)</f>
        <v>2.6642483947098108</v>
      </c>
      <c r="G119" s="298">
        <f>IF(B119&gt;0,(1+(E119/B119))^(1/($C$6-$B$6))-1,0)</f>
        <v>3.5514579670092861E-2</v>
      </c>
      <c r="I119" s="87"/>
      <c r="J119" s="87"/>
      <c r="K119" s="87"/>
      <c r="L119" s="87"/>
      <c r="M119" s="87"/>
      <c r="N119" s="87"/>
      <c r="O119" s="250"/>
      <c r="P119" s="87"/>
      <c r="Q119" s="87"/>
      <c r="R119" s="87"/>
      <c r="S119" s="87"/>
      <c r="T119" s="87"/>
      <c r="U119" s="87"/>
      <c r="W119" s="251"/>
    </row>
    <row r="120" spans="1:23" s="120" customFormat="1" x14ac:dyDescent="0.2">
      <c r="A120" s="251" t="str">
        <f t="shared" si="95"/>
        <v xml:space="preserve"> 12 Other managers and proprietors</v>
      </c>
      <c r="B120" s="87">
        <v>2.7252058502807022</v>
      </c>
      <c r="C120" s="87">
        <v>3.5839054097497591</v>
      </c>
      <c r="D120" s="87">
        <f t="shared" ref="D120:D135" si="96">C120-B120</f>
        <v>0.85869955946905696</v>
      </c>
      <c r="E120" s="87">
        <v>1.4856167851014137</v>
      </c>
      <c r="F120" s="87">
        <f t="shared" ref="F120:F127" si="97">SUM(D120:E120)</f>
        <v>2.3443163445704709</v>
      </c>
      <c r="G120" s="298">
        <f t="shared" ref="G120:G144" si="98">IF(B120&gt;0,(1+(E120/B120))^(1/($C$6-$B$6))-1,0)</f>
        <v>4.4471907729314752E-2</v>
      </c>
      <c r="I120" s="87"/>
      <c r="J120" s="87"/>
      <c r="K120" s="87"/>
      <c r="L120" s="87"/>
      <c r="M120" s="87"/>
      <c r="N120" s="87"/>
      <c r="O120" s="250"/>
      <c r="P120" s="87"/>
      <c r="Q120" s="87"/>
      <c r="R120" s="87"/>
      <c r="S120" s="87"/>
      <c r="T120" s="87"/>
      <c r="U120" s="87"/>
      <c r="W120" s="251"/>
    </row>
    <row r="121" spans="1:23" s="244" customFormat="1" x14ac:dyDescent="0.2">
      <c r="A121" s="251" t="str">
        <f t="shared" si="95"/>
        <v xml:space="preserve"> 21 Science, research, engineering and technology professionals</v>
      </c>
      <c r="B121" s="87">
        <v>1.7668742556194115</v>
      </c>
      <c r="C121" s="87">
        <v>1.8742895899729319</v>
      </c>
      <c r="D121" s="87">
        <f t="shared" si="96"/>
        <v>0.10741533435352046</v>
      </c>
      <c r="E121" s="87">
        <v>0.48952466880550999</v>
      </c>
      <c r="F121" s="87">
        <f t="shared" si="97"/>
        <v>0.5969400031590304</v>
      </c>
      <c r="G121" s="298">
        <f t="shared" si="98"/>
        <v>2.4757307929763162E-2</v>
      </c>
      <c r="I121" s="87"/>
      <c r="J121" s="87"/>
      <c r="K121" s="87"/>
      <c r="L121" s="87"/>
      <c r="M121" s="87"/>
      <c r="N121" s="87"/>
      <c r="O121" s="250"/>
      <c r="P121" s="87"/>
      <c r="Q121" s="87"/>
      <c r="R121" s="87"/>
      <c r="S121" s="87"/>
      <c r="T121" s="87"/>
      <c r="U121" s="87"/>
      <c r="W121" s="251"/>
    </row>
    <row r="122" spans="1:23" s="120" customFormat="1" x14ac:dyDescent="0.2">
      <c r="A122" s="251" t="str">
        <f t="shared" si="95"/>
        <v xml:space="preserve"> 22 Health professionals</v>
      </c>
      <c r="B122" s="87">
        <v>16.187733888589253</v>
      </c>
      <c r="C122" s="87">
        <v>7.2043179355589491</v>
      </c>
      <c r="D122" s="87">
        <f t="shared" si="96"/>
        <v>-8.9834159530303044</v>
      </c>
      <c r="E122" s="87">
        <v>3.2996306903538812</v>
      </c>
      <c r="F122" s="87">
        <f t="shared" si="97"/>
        <v>-5.6837852626764231</v>
      </c>
      <c r="G122" s="298">
        <f t="shared" si="98"/>
        <v>1.872439316800989E-2</v>
      </c>
      <c r="I122" s="111"/>
      <c r="J122" s="93"/>
      <c r="K122" s="93"/>
      <c r="L122" s="91"/>
      <c r="M122" s="91"/>
      <c r="N122" s="91"/>
      <c r="O122" s="250"/>
      <c r="P122" s="87"/>
      <c r="Q122" s="87"/>
      <c r="R122" s="87"/>
      <c r="S122" s="87"/>
      <c r="T122" s="87"/>
      <c r="U122" s="87"/>
      <c r="W122" s="251"/>
    </row>
    <row r="123" spans="1:23" s="120" customFormat="1" x14ac:dyDescent="0.2">
      <c r="A123" s="251" t="str">
        <f t="shared" si="95"/>
        <v xml:space="preserve"> 23 Teaching and educational professionals</v>
      </c>
      <c r="B123" s="87">
        <v>3.1103316550965756</v>
      </c>
      <c r="C123" s="87">
        <v>1.6170206627397359</v>
      </c>
      <c r="D123" s="87">
        <f t="shared" si="96"/>
        <v>-1.4933109923568397</v>
      </c>
      <c r="E123" s="87">
        <v>0.46938900375814707</v>
      </c>
      <c r="F123" s="87">
        <f t="shared" si="97"/>
        <v>-1.0239219885986928</v>
      </c>
      <c r="G123" s="298">
        <f>IF(B123&gt;0,(1+(E123/B123))^(1/($C$6-$B$6))-1,0)</f>
        <v>1.4154784251059205E-2</v>
      </c>
      <c r="I123" s="87"/>
      <c r="J123" s="87"/>
      <c r="K123" s="87"/>
      <c r="L123" s="87"/>
      <c r="M123" s="87"/>
      <c r="N123" s="87"/>
      <c r="O123" s="250"/>
      <c r="P123" s="87"/>
      <c r="Q123" s="87"/>
      <c r="R123" s="87"/>
      <c r="S123" s="87"/>
      <c r="T123" s="87"/>
      <c r="U123" s="87"/>
      <c r="W123" s="251"/>
    </row>
    <row r="124" spans="1:23" s="120" customFormat="1" x14ac:dyDescent="0.2">
      <c r="A124" s="251" t="str">
        <f t="shared" si="95"/>
        <v xml:space="preserve"> 24 Business, media and public service professionals</v>
      </c>
      <c r="B124" s="87">
        <v>1.5764074208825658</v>
      </c>
      <c r="C124" s="87">
        <v>1.0296766007617655</v>
      </c>
      <c r="D124" s="87">
        <f t="shared" si="96"/>
        <v>-0.54673082012080032</v>
      </c>
      <c r="E124" s="87">
        <v>0.34494993835819998</v>
      </c>
      <c r="F124" s="87">
        <f t="shared" si="97"/>
        <v>-0.20178088176260034</v>
      </c>
      <c r="G124" s="298">
        <f t="shared" si="98"/>
        <v>1.9985429141330169E-2</v>
      </c>
      <c r="I124" s="87"/>
      <c r="J124" s="87"/>
      <c r="K124" s="87"/>
      <c r="L124" s="87"/>
      <c r="M124" s="87"/>
      <c r="N124" s="87"/>
      <c r="O124" s="250"/>
      <c r="P124" s="87"/>
      <c r="Q124" s="87"/>
      <c r="R124" s="87"/>
      <c r="S124" s="87"/>
      <c r="T124" s="87"/>
      <c r="U124" s="87"/>
      <c r="W124" s="251"/>
    </row>
    <row r="125" spans="1:23" s="120" customFormat="1" x14ac:dyDescent="0.2">
      <c r="A125" s="251" t="str">
        <f t="shared" si="95"/>
        <v xml:space="preserve"> 31 Science, engineering and technology associate professionals</v>
      </c>
      <c r="B125" s="87">
        <v>1.1030841863281684</v>
      </c>
      <c r="C125" s="87">
        <v>1.4326090509141725</v>
      </c>
      <c r="D125" s="87">
        <f t="shared" si="96"/>
        <v>0.32952486458600405</v>
      </c>
      <c r="E125" s="87">
        <v>0.41917460656248995</v>
      </c>
      <c r="F125" s="87">
        <f t="shared" si="97"/>
        <v>0.748699471148494</v>
      </c>
      <c r="G125" s="298">
        <f t="shared" si="98"/>
        <v>3.2732830112470079E-2</v>
      </c>
      <c r="I125" s="87"/>
      <c r="J125" s="87"/>
      <c r="K125" s="87"/>
      <c r="L125" s="87"/>
      <c r="M125" s="87"/>
      <c r="N125" s="87"/>
      <c r="O125" s="250"/>
      <c r="P125" s="87"/>
      <c r="Q125" s="87"/>
      <c r="R125" s="87"/>
      <c r="S125" s="87"/>
      <c r="T125" s="87"/>
      <c r="U125" s="87"/>
      <c r="W125" s="251"/>
    </row>
    <row r="126" spans="1:23" s="120" customFormat="1" x14ac:dyDescent="0.2">
      <c r="A126" s="251" t="str">
        <f t="shared" si="95"/>
        <v xml:space="preserve"> 32 Health and social care associate professionals</v>
      </c>
      <c r="B126" s="87">
        <v>6.9279534742598301</v>
      </c>
      <c r="C126" s="87">
        <v>4.4162282082126909</v>
      </c>
      <c r="D126" s="87">
        <f t="shared" si="96"/>
        <v>-2.5117252660471392</v>
      </c>
      <c r="E126" s="87">
        <v>1.7626106909566879</v>
      </c>
      <c r="F126" s="87">
        <f t="shared" si="97"/>
        <v>-0.74911457509045132</v>
      </c>
      <c r="G126" s="298">
        <f t="shared" si="98"/>
        <v>2.2926196592908177E-2</v>
      </c>
      <c r="I126" s="87"/>
      <c r="J126" s="87"/>
      <c r="K126" s="87"/>
      <c r="L126" s="87"/>
      <c r="M126" s="87"/>
      <c r="N126" s="87"/>
      <c r="O126" s="250"/>
      <c r="P126" s="87"/>
      <c r="Q126" s="87"/>
      <c r="R126" s="87"/>
      <c r="S126" s="87"/>
      <c r="T126" s="87"/>
      <c r="U126" s="87"/>
      <c r="W126" s="251"/>
    </row>
    <row r="127" spans="1:23" s="120" customFormat="1" x14ac:dyDescent="0.2">
      <c r="A127" s="251" t="str">
        <f t="shared" si="95"/>
        <v xml:space="preserve"> 33 Protective service occupations</v>
      </c>
      <c r="B127" s="87">
        <v>1.1026994424070435</v>
      </c>
      <c r="C127" s="87">
        <v>1.3067799566209146</v>
      </c>
      <c r="D127" s="87">
        <f t="shared" si="96"/>
        <v>0.20408051421387108</v>
      </c>
      <c r="E127" s="87">
        <v>0.30715053708995804</v>
      </c>
      <c r="F127" s="87">
        <f t="shared" si="97"/>
        <v>0.51123105130382918</v>
      </c>
      <c r="G127" s="298">
        <f t="shared" si="98"/>
        <v>2.4876593655904555E-2</v>
      </c>
      <c r="I127" s="87"/>
      <c r="J127" s="87"/>
      <c r="K127" s="87"/>
      <c r="L127" s="87"/>
      <c r="M127" s="87"/>
      <c r="N127" s="87"/>
      <c r="O127" s="250"/>
      <c r="P127" s="87"/>
      <c r="Q127" s="87"/>
      <c r="R127" s="87"/>
      <c r="S127" s="87"/>
      <c r="T127" s="87"/>
      <c r="U127" s="87"/>
      <c r="W127" s="251"/>
    </row>
    <row r="128" spans="1:23" s="120" customFormat="1" x14ac:dyDescent="0.2">
      <c r="A128" s="251" t="str">
        <f t="shared" si="95"/>
        <v xml:space="preserve"> 34 Culture, media and sports occupations</v>
      </c>
      <c r="B128" s="87">
        <v>1.0806788428097973</v>
      </c>
      <c r="C128" s="87">
        <v>1.2693660207455717</v>
      </c>
      <c r="D128" s="87">
        <f t="shared" si="96"/>
        <v>0.18868717793577439</v>
      </c>
      <c r="E128" s="87">
        <v>0.40938427739334415</v>
      </c>
      <c r="F128" s="87">
        <f t="shared" ref="F128:F129" si="99">SUM(D128:E128)</f>
        <v>0.59807145532911854</v>
      </c>
      <c r="G128" s="298">
        <f t="shared" si="98"/>
        <v>3.2644417742971665E-2</v>
      </c>
      <c r="I128" s="87"/>
      <c r="J128" s="87"/>
      <c r="K128" s="87"/>
      <c r="L128" s="87"/>
      <c r="M128" s="87"/>
      <c r="N128" s="87"/>
      <c r="O128" s="250"/>
      <c r="P128" s="87"/>
      <c r="Q128" s="87"/>
      <c r="R128" s="87"/>
      <c r="S128" s="87"/>
      <c r="T128" s="87"/>
      <c r="U128" s="87"/>
      <c r="W128" s="251"/>
    </row>
    <row r="129" spans="1:23" s="244" customFormat="1" x14ac:dyDescent="0.2">
      <c r="A129" s="251" t="str">
        <f t="shared" si="95"/>
        <v xml:space="preserve"> 35 Business and public service associate professionals</v>
      </c>
      <c r="B129" s="87">
        <v>5.2537023142027435</v>
      </c>
      <c r="C129" s="87">
        <v>6.6514044615197552</v>
      </c>
      <c r="D129" s="87">
        <f t="shared" si="96"/>
        <v>1.3977021473170117</v>
      </c>
      <c r="E129" s="87">
        <v>2.1035142974375249</v>
      </c>
      <c r="F129" s="87">
        <f t="shared" si="99"/>
        <v>3.5012164447545366</v>
      </c>
      <c r="G129" s="298">
        <f t="shared" si="98"/>
        <v>3.4248282017357301E-2</v>
      </c>
      <c r="I129" s="87"/>
      <c r="J129" s="87"/>
      <c r="K129" s="87"/>
      <c r="L129" s="87"/>
      <c r="M129" s="87"/>
      <c r="N129" s="87"/>
      <c r="O129" s="250"/>
      <c r="P129" s="87"/>
      <c r="Q129" s="87"/>
      <c r="R129" s="87"/>
      <c r="S129" s="87"/>
      <c r="T129" s="87"/>
      <c r="U129" s="87"/>
      <c r="W129" s="251"/>
    </row>
    <row r="130" spans="1:23" s="244" customFormat="1" x14ac:dyDescent="0.2">
      <c r="A130" s="251" t="str">
        <f t="shared" si="95"/>
        <v xml:space="preserve"> 41 Administrative occupations</v>
      </c>
      <c r="B130" s="87">
        <v>7.9027137261923404</v>
      </c>
      <c r="C130" s="87">
        <v>10.068312026012791</v>
      </c>
      <c r="D130" s="87">
        <f t="shared" si="96"/>
        <v>2.1655982998204504</v>
      </c>
      <c r="E130" s="87">
        <v>3.8221357677646655</v>
      </c>
      <c r="F130" s="87">
        <f t="shared" ref="F130:F133" si="100">SUM(D130:E130)</f>
        <v>5.9877340675851158</v>
      </c>
      <c r="G130" s="298">
        <f t="shared" si="98"/>
        <v>4.0238929611560614E-2</v>
      </c>
      <c r="I130" s="87"/>
      <c r="J130" s="87"/>
      <c r="K130" s="87"/>
      <c r="L130" s="87"/>
      <c r="M130" s="87"/>
      <c r="N130" s="87"/>
      <c r="O130" s="250"/>
      <c r="P130" s="87"/>
      <c r="Q130" s="87"/>
      <c r="R130" s="87"/>
      <c r="S130" s="87"/>
      <c r="T130" s="87"/>
      <c r="U130" s="87"/>
      <c r="W130" s="251"/>
    </row>
    <row r="131" spans="1:23" s="244" customFormat="1" x14ac:dyDescent="0.2">
      <c r="A131" s="251" t="str">
        <f t="shared" si="95"/>
        <v xml:space="preserve"> 42 Secretarial and related occupations</v>
      </c>
      <c r="B131" s="87">
        <v>1.7617158709151288</v>
      </c>
      <c r="C131" s="87">
        <v>1.7677509948934353</v>
      </c>
      <c r="D131" s="87">
        <f t="shared" si="96"/>
        <v>6.0351239783065225E-3</v>
      </c>
      <c r="E131" s="87">
        <v>0.74926605144529235</v>
      </c>
      <c r="F131" s="87">
        <f t="shared" si="100"/>
        <v>0.75530117542359887</v>
      </c>
      <c r="G131" s="298">
        <f t="shared" si="98"/>
        <v>3.607399185839677E-2</v>
      </c>
      <c r="I131" s="87"/>
      <c r="J131" s="87"/>
      <c r="K131" s="87"/>
      <c r="L131" s="87"/>
      <c r="M131" s="87"/>
      <c r="N131" s="87"/>
      <c r="O131" s="250"/>
      <c r="P131" s="87"/>
      <c r="Q131" s="87"/>
      <c r="R131" s="87"/>
      <c r="S131" s="87"/>
      <c r="T131" s="87"/>
      <c r="U131" s="87"/>
      <c r="W131" s="251"/>
    </row>
    <row r="132" spans="1:23" s="120" customFormat="1" x14ac:dyDescent="0.2">
      <c r="A132" s="251" t="str">
        <f t="shared" si="95"/>
        <v xml:space="preserve"> 51 Skilled agricultural and related trades</v>
      </c>
      <c r="B132" s="87">
        <v>2.5257969305538155</v>
      </c>
      <c r="C132" s="87">
        <v>3.6618309303673571</v>
      </c>
      <c r="D132" s="87">
        <f t="shared" si="96"/>
        <v>1.1360339998135416</v>
      </c>
      <c r="E132" s="87">
        <v>1.4503146709590673</v>
      </c>
      <c r="F132" s="87">
        <f t="shared" si="100"/>
        <v>2.5863486707726091</v>
      </c>
      <c r="G132" s="298">
        <f t="shared" si="98"/>
        <v>4.6419956188436196E-2</v>
      </c>
      <c r="I132" s="87"/>
      <c r="J132" s="87"/>
      <c r="K132" s="87"/>
      <c r="L132" s="87"/>
      <c r="M132" s="87"/>
      <c r="N132" s="87"/>
      <c r="O132" s="251"/>
      <c r="P132" s="87"/>
      <c r="Q132" s="87"/>
      <c r="R132" s="87"/>
      <c r="S132" s="87"/>
      <c r="T132" s="87"/>
      <c r="U132" s="87"/>
      <c r="W132" s="251"/>
    </row>
    <row r="133" spans="1:23" s="120" customFormat="1" x14ac:dyDescent="0.2">
      <c r="A133" s="251" t="str">
        <f t="shared" si="95"/>
        <v xml:space="preserve"> 52 Skilled metal, electrical and electronic trades</v>
      </c>
      <c r="B133" s="87">
        <v>1.131627726234834</v>
      </c>
      <c r="C133" s="87">
        <v>1.4076793806594019</v>
      </c>
      <c r="D133" s="87">
        <f t="shared" si="96"/>
        <v>0.27605165442456792</v>
      </c>
      <c r="E133" s="87">
        <v>0.40788830421075989</v>
      </c>
      <c r="F133" s="87">
        <f t="shared" si="100"/>
        <v>0.68393995863532786</v>
      </c>
      <c r="G133" s="298">
        <f t="shared" si="98"/>
        <v>3.1259740457834306E-2</v>
      </c>
      <c r="I133" s="87"/>
      <c r="J133" s="87"/>
      <c r="K133" s="87"/>
      <c r="L133" s="87"/>
      <c r="M133" s="87"/>
      <c r="N133" s="87"/>
      <c r="O133" s="250"/>
      <c r="P133" s="250"/>
      <c r="Q133" s="250"/>
      <c r="R133" s="250"/>
      <c r="S133" s="250"/>
      <c r="T133" s="250"/>
      <c r="U133" s="250"/>
      <c r="W133" s="251"/>
    </row>
    <row r="134" spans="1:23" s="120" customFormat="1" x14ac:dyDescent="0.2">
      <c r="A134" s="251" t="str">
        <f t="shared" si="95"/>
        <v xml:space="preserve"> 53 Skilled construction and building trades</v>
      </c>
      <c r="B134" s="87">
        <v>1.2481849014478217</v>
      </c>
      <c r="C134" s="87">
        <v>2.0019073547652599</v>
      </c>
      <c r="D134" s="87">
        <f t="shared" si="96"/>
        <v>0.75372245331743826</v>
      </c>
      <c r="E134" s="87">
        <v>0.64764553069669484</v>
      </c>
      <c r="F134" s="87">
        <f t="shared" ref="F134" si="101">SUM(D134:E134)</f>
        <v>1.4013679840141331</v>
      </c>
      <c r="G134" s="298">
        <f t="shared" si="98"/>
        <v>4.2682432737552789E-2</v>
      </c>
      <c r="I134" s="87"/>
      <c r="J134" s="87"/>
      <c r="K134" s="87"/>
      <c r="L134" s="87"/>
      <c r="M134" s="87"/>
      <c r="N134" s="87"/>
      <c r="O134" s="250"/>
      <c r="P134" s="250"/>
      <c r="Q134" s="250"/>
      <c r="R134" s="250"/>
      <c r="S134" s="250"/>
      <c r="T134" s="250"/>
      <c r="U134" s="250"/>
      <c r="W134" s="251"/>
    </row>
    <row r="135" spans="1:23" s="120" customFormat="1" x14ac:dyDescent="0.2">
      <c r="A135" s="251" t="str">
        <f t="shared" si="95"/>
        <v xml:space="preserve"> 54 Textiles, printing and other skilled trades</v>
      </c>
      <c r="B135" s="87">
        <v>1.1367078598061664</v>
      </c>
      <c r="C135" s="87">
        <v>1.3590620225512511</v>
      </c>
      <c r="D135" s="87">
        <f t="shared" si="96"/>
        <v>0.22235416274508468</v>
      </c>
      <c r="E135" s="87">
        <v>0.48005597656102744</v>
      </c>
      <c r="F135" s="87">
        <f t="shared" ref="F135" si="102">SUM(D135:E135)</f>
        <v>0.70241013930611218</v>
      </c>
      <c r="G135" s="298">
        <f t="shared" si="98"/>
        <v>3.585692158085374E-2</v>
      </c>
      <c r="I135" s="87"/>
      <c r="J135" s="87"/>
      <c r="K135" s="87"/>
      <c r="L135" s="87"/>
      <c r="M135" s="87"/>
      <c r="N135" s="87"/>
      <c r="O135" s="250"/>
      <c r="P135" s="250"/>
      <c r="Q135" s="250"/>
      <c r="R135" s="250"/>
      <c r="S135" s="250"/>
      <c r="T135" s="250"/>
      <c r="U135" s="250"/>
      <c r="W135" s="251"/>
    </row>
    <row r="136" spans="1:23" s="120" customFormat="1" x14ac:dyDescent="0.2">
      <c r="A136" s="251" t="str">
        <f t="shared" si="95"/>
        <v xml:space="preserve"> 61 Caring personal service occupations</v>
      </c>
      <c r="B136" s="87">
        <v>11.306321334044078</v>
      </c>
      <c r="C136" s="87">
        <v>13.35297069244575</v>
      </c>
      <c r="D136" s="87">
        <f>C136-B136</f>
        <v>2.0466493584016714</v>
      </c>
      <c r="E136" s="87">
        <v>5.244522179669362</v>
      </c>
      <c r="F136" s="87">
        <f>SUM(D136:E136)</f>
        <v>7.2911715380710334</v>
      </c>
      <c r="G136" s="298">
        <f t="shared" si="98"/>
        <v>3.8842911704889627E-2</v>
      </c>
      <c r="I136" s="87"/>
      <c r="J136" s="87"/>
      <c r="K136" s="87"/>
      <c r="L136" s="87"/>
      <c r="M136" s="87"/>
      <c r="N136" s="87"/>
      <c r="O136" s="90"/>
      <c r="P136" s="111"/>
      <c r="Q136" s="93"/>
      <c r="R136" s="93"/>
      <c r="S136" s="91"/>
      <c r="T136" s="91"/>
      <c r="U136" s="91"/>
      <c r="W136" s="251"/>
    </row>
    <row r="137" spans="1:23" s="120" customFormat="1" x14ac:dyDescent="0.2">
      <c r="A137" s="251" t="str">
        <f t="shared" si="95"/>
        <v xml:space="preserve"> 62 Leisure, travel and related personal service occupations</v>
      </c>
      <c r="B137" s="87">
        <v>1.7558994506171897</v>
      </c>
      <c r="C137" s="87">
        <v>2.4215496584237366</v>
      </c>
      <c r="D137" s="87">
        <f t="shared" ref="D137:D143" si="103">C137-B137</f>
        <v>0.66565020780654693</v>
      </c>
      <c r="E137" s="87">
        <v>0.9463700908847128</v>
      </c>
      <c r="F137" s="87">
        <f t="shared" ref="F137:F138" si="104">SUM(D137:E137)</f>
        <v>1.6120202986912597</v>
      </c>
      <c r="G137" s="298">
        <f t="shared" si="98"/>
        <v>4.4053857501547666E-2</v>
      </c>
      <c r="I137" s="87"/>
      <c r="J137" s="87"/>
      <c r="K137" s="87"/>
      <c r="L137" s="87"/>
      <c r="M137" s="87"/>
      <c r="N137" s="87"/>
      <c r="O137" s="250"/>
      <c r="P137" s="87"/>
      <c r="Q137" s="87"/>
      <c r="R137" s="87"/>
      <c r="S137" s="87"/>
      <c r="T137" s="87"/>
      <c r="U137" s="87"/>
      <c r="W137" s="251"/>
    </row>
    <row r="138" spans="1:23" s="120" customFormat="1" x14ac:dyDescent="0.2">
      <c r="A138" s="251" t="str">
        <f t="shared" si="95"/>
        <v xml:space="preserve"> 71 Sales occupations</v>
      </c>
      <c r="B138" s="87">
        <v>3.5648009212603906</v>
      </c>
      <c r="C138" s="87">
        <v>4.856358709371654</v>
      </c>
      <c r="D138" s="87">
        <f t="shared" si="103"/>
        <v>1.2915577881112634</v>
      </c>
      <c r="E138" s="87">
        <v>1.8032235569267034</v>
      </c>
      <c r="F138" s="87">
        <f t="shared" si="104"/>
        <v>3.0947813450379669</v>
      </c>
      <c r="G138" s="298">
        <f t="shared" si="98"/>
        <v>4.1784569665062277E-2</v>
      </c>
      <c r="I138" s="87"/>
      <c r="J138" s="87"/>
      <c r="K138" s="87"/>
      <c r="L138" s="87"/>
      <c r="M138" s="87"/>
      <c r="N138" s="87"/>
      <c r="O138" s="250"/>
      <c r="P138" s="87"/>
      <c r="Q138" s="87"/>
      <c r="R138" s="87"/>
      <c r="S138" s="87"/>
      <c r="T138" s="87"/>
      <c r="U138" s="87"/>
      <c r="W138" s="251"/>
    </row>
    <row r="139" spans="1:23" s="120" customFormat="1" x14ac:dyDescent="0.2">
      <c r="A139" s="251" t="str">
        <f t="shared" si="95"/>
        <v xml:space="preserve"> 72 Customer service occupations</v>
      </c>
      <c r="B139" s="87">
        <v>1.2026692384994804</v>
      </c>
      <c r="C139" s="87">
        <v>1.7837023455704057</v>
      </c>
      <c r="D139" s="87">
        <f t="shared" si="103"/>
        <v>0.58103310707092537</v>
      </c>
      <c r="E139" s="87">
        <v>0.59683595771362863</v>
      </c>
      <c r="F139" s="87">
        <f t="shared" ref="F139:F140" si="105">SUM(D139:E139)</f>
        <v>1.177869064784554</v>
      </c>
      <c r="G139" s="298">
        <f t="shared" si="98"/>
        <v>4.1119762260554138E-2</v>
      </c>
      <c r="I139" s="87"/>
      <c r="J139" s="87"/>
      <c r="K139" s="87"/>
      <c r="L139" s="87"/>
      <c r="M139" s="87"/>
      <c r="N139" s="87"/>
      <c r="O139" s="250"/>
      <c r="P139" s="87"/>
      <c r="Q139" s="87"/>
      <c r="R139" s="87"/>
      <c r="S139" s="87"/>
      <c r="T139" s="87"/>
      <c r="U139" s="87"/>
      <c r="W139" s="251"/>
    </row>
    <row r="140" spans="1:23" s="120" customFormat="1" x14ac:dyDescent="0.2">
      <c r="A140" s="251" t="str">
        <f t="shared" si="95"/>
        <v xml:space="preserve"> 81 Process, plant and machine operatives</v>
      </c>
      <c r="B140" s="87">
        <v>1.1784634882456175</v>
      </c>
      <c r="C140" s="87">
        <v>1.5974477960689191</v>
      </c>
      <c r="D140" s="87">
        <f t="shared" si="103"/>
        <v>0.41898430782330154</v>
      </c>
      <c r="E140" s="87">
        <v>0.48333816206267671</v>
      </c>
      <c r="F140" s="87">
        <f t="shared" si="105"/>
        <v>0.9023224698859782</v>
      </c>
      <c r="G140" s="298">
        <f t="shared" si="98"/>
        <v>3.4966530379321847E-2</v>
      </c>
      <c r="I140" s="87"/>
      <c r="J140" s="87"/>
      <c r="K140" s="87"/>
      <c r="L140" s="87"/>
      <c r="M140" s="87"/>
      <c r="N140" s="87"/>
      <c r="O140" s="250"/>
      <c r="P140" s="87"/>
      <c r="Q140" s="87"/>
      <c r="R140" s="87"/>
      <c r="S140" s="87"/>
      <c r="T140" s="87"/>
      <c r="U140" s="87"/>
      <c r="W140" s="251"/>
    </row>
    <row r="141" spans="1:23" s="244" customFormat="1" x14ac:dyDescent="0.2">
      <c r="A141" s="251" t="str">
        <f t="shared" si="95"/>
        <v xml:space="preserve"> 82 Transport and mobile machine drivers and operatives</v>
      </c>
      <c r="B141" s="87">
        <v>0.77141303818292339</v>
      </c>
      <c r="C141" s="87">
        <v>1.1786193515615415</v>
      </c>
      <c r="D141" s="87">
        <f t="shared" si="103"/>
        <v>0.40720631337861812</v>
      </c>
      <c r="E141" s="87">
        <v>0.4539386472700816</v>
      </c>
      <c r="F141" s="87">
        <f t="shared" ref="F141:F142" si="106">SUM(D141:E141)</f>
        <v>0.86114496064869972</v>
      </c>
      <c r="G141" s="298">
        <f t="shared" si="98"/>
        <v>4.7363362138847176E-2</v>
      </c>
      <c r="I141" s="87"/>
      <c r="J141" s="87"/>
      <c r="K141" s="87"/>
      <c r="L141" s="87"/>
      <c r="M141" s="87"/>
      <c r="N141" s="87"/>
      <c r="O141" s="250"/>
      <c r="P141" s="87"/>
      <c r="Q141" s="87"/>
      <c r="R141" s="87"/>
      <c r="S141" s="87"/>
      <c r="T141" s="87"/>
      <c r="U141" s="87"/>
      <c r="W141" s="251"/>
    </row>
    <row r="142" spans="1:23" s="120" customFormat="1" x14ac:dyDescent="0.2">
      <c r="A142" s="251" t="str">
        <f t="shared" si="95"/>
        <v xml:space="preserve"> 91 Elementary trades and related occupations</v>
      </c>
      <c r="B142" s="87">
        <v>0.83060879367166041</v>
      </c>
      <c r="C142" s="87">
        <v>1.3541818221508493</v>
      </c>
      <c r="D142" s="87">
        <f t="shared" si="103"/>
        <v>0.52357302847918885</v>
      </c>
      <c r="E142" s="87">
        <v>0.5421597070629357</v>
      </c>
      <c r="F142" s="87">
        <f t="shared" si="106"/>
        <v>1.0657327355421247</v>
      </c>
      <c r="G142" s="298">
        <f t="shared" si="98"/>
        <v>5.1526151479588389E-2</v>
      </c>
      <c r="I142" s="87"/>
      <c r="J142" s="87"/>
      <c r="K142" s="87"/>
      <c r="L142" s="87"/>
      <c r="M142" s="87"/>
      <c r="N142" s="87"/>
      <c r="O142" s="250"/>
      <c r="P142" s="87"/>
      <c r="Q142" s="87"/>
      <c r="R142" s="87"/>
      <c r="S142" s="87"/>
      <c r="T142" s="87"/>
      <c r="U142" s="87"/>
      <c r="W142" s="251"/>
    </row>
    <row r="143" spans="1:23" s="120" customFormat="1" x14ac:dyDescent="0.2">
      <c r="A143" s="251" t="str">
        <f t="shared" si="95"/>
        <v xml:space="preserve"> 92 Elementary administration and service occupations</v>
      </c>
      <c r="B143" s="87">
        <v>4.6650314037081513</v>
      </c>
      <c r="C143" s="87">
        <v>7.5095862814363876</v>
      </c>
      <c r="D143" s="87">
        <f t="shared" si="103"/>
        <v>2.8445548777282363</v>
      </c>
      <c r="E143" s="87">
        <v>2.6224439181986776</v>
      </c>
      <c r="F143" s="87">
        <f t="shared" ref="F143" si="107">SUM(D143:E143)</f>
        <v>5.466998795926914</v>
      </c>
      <c r="G143" s="298">
        <f t="shared" si="98"/>
        <v>4.5616077895104468E-2</v>
      </c>
      <c r="I143" s="87"/>
      <c r="J143" s="87"/>
      <c r="K143" s="87"/>
      <c r="L143" s="87"/>
      <c r="M143" s="87"/>
      <c r="N143" s="87"/>
      <c r="O143" s="250"/>
      <c r="P143" s="87"/>
      <c r="Q143" s="87"/>
      <c r="R143" s="87"/>
      <c r="S143" s="87"/>
      <c r="T143" s="87"/>
      <c r="U143" s="87"/>
      <c r="W143" s="251"/>
    </row>
    <row r="144" spans="1:23" s="120" customFormat="1" x14ac:dyDescent="0.2">
      <c r="A144" s="251" t="str">
        <f t="shared" si="95"/>
        <v>All occupations</v>
      </c>
      <c r="B144" s="87">
        <f>SUM(B119:B143)</f>
        <v>86.386211363684225</v>
      </c>
      <c r="C144" s="87">
        <f>SUM(C119:C143)</f>
        <v>90.032005748939724</v>
      </c>
      <c r="D144" s="87">
        <f>SUM(D119:D143)</f>
        <v>3.6457943852554955</v>
      </c>
      <c r="E144" s="87">
        <f>SUM(E119:E143)</f>
        <v>33.249469275917058</v>
      </c>
      <c r="F144" s="87">
        <f>SUM(F119:F143)</f>
        <v>36.89526366117255</v>
      </c>
      <c r="G144" s="298">
        <f t="shared" si="98"/>
        <v>3.3098259126981944E-2</v>
      </c>
      <c r="I144" s="87"/>
      <c r="J144" s="87"/>
      <c r="K144" s="87"/>
      <c r="L144" s="87"/>
      <c r="M144" s="87"/>
      <c r="N144" s="87"/>
      <c r="O144" s="250"/>
      <c r="P144" s="87"/>
      <c r="Q144" s="87"/>
      <c r="R144" s="87"/>
      <c r="S144" s="87"/>
      <c r="T144" s="87"/>
      <c r="U144" s="87"/>
      <c r="W144" s="251"/>
    </row>
    <row r="145" spans="1:23" s="120" customFormat="1" x14ac:dyDescent="0.2">
      <c r="A145" s="244"/>
      <c r="B145" s="87"/>
      <c r="C145" s="87"/>
      <c r="D145" s="87"/>
      <c r="E145" s="87"/>
      <c r="F145" s="87"/>
      <c r="G145" s="87"/>
      <c r="I145" s="87"/>
      <c r="J145" s="87"/>
      <c r="K145" s="87"/>
      <c r="L145" s="87"/>
      <c r="M145" s="87"/>
      <c r="N145" s="87"/>
      <c r="O145" s="250"/>
      <c r="P145" s="87"/>
      <c r="Q145" s="87"/>
      <c r="R145" s="87"/>
      <c r="S145" s="87"/>
      <c r="T145" s="87"/>
      <c r="U145" s="87"/>
      <c r="W145" s="251"/>
    </row>
    <row r="146" spans="1:23" s="244" customFormat="1" ht="38.25" x14ac:dyDescent="0.2">
      <c r="A146" s="299" t="str">
        <f>CONCATENATE(name!F8," (Constrained)")</f>
        <v>RQF4 HE below degree level (Constrained)</v>
      </c>
      <c r="B146" s="96">
        <f t="shared" ref="B146:G146" si="108">B62</f>
        <v>2017</v>
      </c>
      <c r="C146" s="96">
        <f t="shared" si="108"/>
        <v>2027</v>
      </c>
      <c r="D146" s="117" t="str">
        <f t="shared" si="108"/>
        <v>Net Change</v>
      </c>
      <c r="E146" s="117" t="str">
        <f t="shared" si="108"/>
        <v>Replacement Demand level</v>
      </c>
      <c r="F146" s="117" t="str">
        <f t="shared" si="108"/>
        <v>Total Requirement</v>
      </c>
      <c r="G146" s="117" t="str">
        <f t="shared" si="108"/>
        <v>Replacement Demand rate</v>
      </c>
      <c r="I146" s="87"/>
      <c r="J146" s="87"/>
      <c r="K146" s="87"/>
      <c r="L146" s="87"/>
      <c r="M146" s="87"/>
      <c r="N146" s="87"/>
      <c r="O146" s="250"/>
      <c r="P146" s="87"/>
      <c r="Q146" s="87"/>
      <c r="R146" s="87"/>
      <c r="S146" s="87"/>
      <c r="T146" s="87"/>
      <c r="U146" s="87"/>
      <c r="W146" s="251"/>
    </row>
    <row r="147" spans="1:23" s="244" customFormat="1" x14ac:dyDescent="0.2">
      <c r="A147" s="251" t="str">
        <f t="shared" ref="A147:A172" si="109">A63</f>
        <v xml:space="preserve"> 11 Corporate managers and directors</v>
      </c>
      <c r="B147" s="87">
        <v>5.9638238260868999</v>
      </c>
      <c r="C147" s="87">
        <v>7.075023317654888</v>
      </c>
      <c r="D147" s="87">
        <f>C147-B147</f>
        <v>1.1111994915679881</v>
      </c>
      <c r="E147" s="87">
        <v>2.4929715694508716</v>
      </c>
      <c r="F147" s="87">
        <f>SUM(D147:E147)</f>
        <v>3.6041710610188598</v>
      </c>
      <c r="G147" s="298">
        <f>IF(B147&gt;0,(1+(E147/B147))^(1/($C$6-$B$6))-1,0)</f>
        <v>3.5542915277151588E-2</v>
      </c>
      <c r="I147" s="87"/>
      <c r="J147" s="87"/>
      <c r="K147" s="87"/>
      <c r="L147" s="87"/>
      <c r="M147" s="87"/>
      <c r="N147" s="87"/>
      <c r="O147" s="250"/>
      <c r="P147" s="87"/>
      <c r="Q147" s="87"/>
      <c r="R147" s="87"/>
      <c r="S147" s="87"/>
      <c r="T147" s="87"/>
      <c r="U147" s="87"/>
      <c r="W147" s="251"/>
    </row>
    <row r="148" spans="1:23" s="120" customFormat="1" x14ac:dyDescent="0.2">
      <c r="A148" s="251" t="str">
        <f t="shared" si="109"/>
        <v xml:space="preserve"> 12 Other managers and proprietors</v>
      </c>
      <c r="B148" s="87">
        <v>2.8428326051361248</v>
      </c>
      <c r="C148" s="87">
        <v>3.6437870470226832</v>
      </c>
      <c r="D148" s="87">
        <f t="shared" ref="D148:D163" si="110">C148-B148</f>
        <v>0.8009544418865584</v>
      </c>
      <c r="E148" s="87">
        <v>1.4713444837849439</v>
      </c>
      <c r="F148" s="87">
        <f t="shared" ref="F148:F155" si="111">SUM(D148:E148)</f>
        <v>2.2722989256715023</v>
      </c>
      <c r="G148" s="298">
        <f t="shared" ref="G148:G150" si="112">IF(B148&gt;0,(1+(E148/B148))^(1/($C$6-$B$6))-1,0)</f>
        <v>4.2592671814144945E-2</v>
      </c>
      <c r="I148" s="87"/>
      <c r="J148" s="87"/>
      <c r="K148" s="87"/>
      <c r="L148" s="87"/>
      <c r="M148" s="87"/>
      <c r="N148" s="87"/>
      <c r="O148" s="250"/>
      <c r="P148" s="87"/>
      <c r="Q148" s="87"/>
      <c r="R148" s="87"/>
      <c r="S148" s="87"/>
      <c r="T148" s="87"/>
      <c r="U148" s="87"/>
      <c r="W148" s="251"/>
    </row>
    <row r="149" spans="1:23" s="120" customFormat="1" x14ac:dyDescent="0.2">
      <c r="A149" s="251" t="str">
        <f t="shared" si="109"/>
        <v xml:space="preserve"> 21 Science, research, engineering and technology professionals</v>
      </c>
      <c r="B149" s="87">
        <v>4.6206596188503646</v>
      </c>
      <c r="C149" s="87">
        <v>4.5565566842507268</v>
      </c>
      <c r="D149" s="87">
        <f t="shared" si="110"/>
        <v>-6.4102934599637784E-2</v>
      </c>
      <c r="E149" s="87">
        <v>1.178806584702863</v>
      </c>
      <c r="F149" s="87">
        <f t="shared" si="111"/>
        <v>1.1147036501032253</v>
      </c>
      <c r="G149" s="298">
        <f t="shared" si="112"/>
        <v>2.2982971304877031E-2</v>
      </c>
      <c r="I149" s="86"/>
      <c r="J149" s="86"/>
      <c r="K149" s="86"/>
      <c r="L149" s="86"/>
      <c r="M149" s="86"/>
      <c r="N149" s="86"/>
      <c r="O149" s="250"/>
      <c r="P149" s="87"/>
      <c r="Q149" s="87"/>
      <c r="R149" s="87"/>
      <c r="S149" s="87"/>
      <c r="T149" s="87"/>
      <c r="U149" s="87"/>
      <c r="W149" s="251"/>
    </row>
    <row r="150" spans="1:23" s="120" customFormat="1" x14ac:dyDescent="0.2">
      <c r="A150" s="251" t="str">
        <f t="shared" si="109"/>
        <v xml:space="preserve"> 22 Health professionals</v>
      </c>
      <c r="B150" s="87">
        <v>2.0918486969481549</v>
      </c>
      <c r="C150" s="87">
        <v>2.616666107124515</v>
      </c>
      <c r="D150" s="87">
        <f t="shared" si="110"/>
        <v>0.52481741017636008</v>
      </c>
      <c r="E150" s="87">
        <v>0.86029096168084729</v>
      </c>
      <c r="F150" s="87">
        <f t="shared" si="111"/>
        <v>1.3851083718572075</v>
      </c>
      <c r="G150" s="298">
        <f t="shared" si="112"/>
        <v>3.5048411113354883E-2</v>
      </c>
      <c r="I150" s="86"/>
      <c r="J150" s="86"/>
      <c r="K150" s="86"/>
      <c r="L150" s="86"/>
      <c r="M150" s="86"/>
      <c r="N150" s="86"/>
      <c r="O150" s="250"/>
      <c r="P150" s="87"/>
      <c r="Q150" s="87"/>
      <c r="R150" s="87"/>
      <c r="S150" s="87"/>
      <c r="T150" s="87"/>
      <c r="U150" s="87"/>
      <c r="W150" s="251"/>
    </row>
    <row r="151" spans="1:23" s="120" customFormat="1" x14ac:dyDescent="0.2">
      <c r="A151" s="251" t="str">
        <f t="shared" si="109"/>
        <v xml:space="preserve"> 23 Teaching and educational professionals</v>
      </c>
      <c r="B151" s="87">
        <v>0.79384526182301862</v>
      </c>
      <c r="C151" s="87">
        <v>0.83363704611222678</v>
      </c>
      <c r="D151" s="87">
        <f t="shared" si="110"/>
        <v>3.9791784289208154E-2</v>
      </c>
      <c r="E151" s="87">
        <v>0.29058772906735392</v>
      </c>
      <c r="F151" s="87">
        <f t="shared" si="111"/>
        <v>0.33037951335656207</v>
      </c>
      <c r="G151" s="298">
        <f>IF(B151&gt;0,(1+(E151/B151))^(1/($C$6-$B$6))-1,0)</f>
        <v>3.1683978978219729E-2</v>
      </c>
      <c r="I151" s="86"/>
      <c r="J151" s="86"/>
      <c r="K151" s="86"/>
      <c r="L151" s="86"/>
      <c r="M151" s="86"/>
      <c r="N151" s="86"/>
      <c r="O151" s="250"/>
      <c r="P151" s="87"/>
      <c r="Q151" s="87"/>
      <c r="R151" s="87"/>
      <c r="S151" s="87"/>
      <c r="T151" s="87"/>
      <c r="U151" s="87"/>
      <c r="W151" s="251"/>
    </row>
    <row r="152" spans="1:23" s="244" customFormat="1" x14ac:dyDescent="0.2">
      <c r="A152" s="251" t="str">
        <f t="shared" si="109"/>
        <v xml:space="preserve"> 24 Business, media and public service professionals</v>
      </c>
      <c r="B152" s="87">
        <v>2.4962261499430847</v>
      </c>
      <c r="C152" s="87">
        <v>2.711566830958938</v>
      </c>
      <c r="D152" s="87">
        <f t="shared" si="110"/>
        <v>0.21534068101585335</v>
      </c>
      <c r="E152" s="87">
        <v>0.89909002693153506</v>
      </c>
      <c r="F152" s="87">
        <f t="shared" si="111"/>
        <v>1.1144307079473883</v>
      </c>
      <c r="G152" s="298">
        <f t="shared" ref="G152:G172" si="113">IF(B152&gt;0,(1+(E152/B152))^(1/($C$6-$B$6))-1,0)</f>
        <v>3.1239713210183595E-2</v>
      </c>
      <c r="I152" s="111"/>
      <c r="J152" s="93"/>
      <c r="K152" s="93"/>
      <c r="L152" s="91"/>
      <c r="M152" s="91"/>
      <c r="N152" s="91"/>
      <c r="O152" s="250"/>
      <c r="P152" s="87"/>
      <c r="Q152" s="87"/>
      <c r="R152" s="87"/>
      <c r="S152" s="87"/>
      <c r="T152" s="87"/>
      <c r="U152" s="87"/>
      <c r="W152" s="251"/>
    </row>
    <row r="153" spans="1:23" s="120" customFormat="1" x14ac:dyDescent="0.2">
      <c r="A153" s="251" t="str">
        <f t="shared" si="109"/>
        <v xml:space="preserve"> 31 Science, engineering and technology associate professionals</v>
      </c>
      <c r="B153" s="87">
        <v>2.6507716779483506</v>
      </c>
      <c r="C153" s="87">
        <v>2.5890583380532042</v>
      </c>
      <c r="D153" s="87">
        <f t="shared" si="110"/>
        <v>-6.171333989514638E-2</v>
      </c>
      <c r="E153" s="87">
        <v>0.67882861068022382</v>
      </c>
      <c r="F153" s="87">
        <f t="shared" si="111"/>
        <v>0.61711527078507744</v>
      </c>
      <c r="G153" s="298">
        <f t="shared" si="113"/>
        <v>2.3062056736258496E-2</v>
      </c>
      <c r="I153" s="87"/>
      <c r="J153" s="87"/>
      <c r="K153" s="87"/>
      <c r="L153" s="87"/>
      <c r="M153" s="87"/>
      <c r="N153" s="87"/>
      <c r="O153" s="250"/>
      <c r="P153" s="87"/>
      <c r="Q153" s="87"/>
      <c r="R153" s="87"/>
      <c r="S153" s="87"/>
      <c r="T153" s="87"/>
      <c r="U153" s="87"/>
      <c r="W153" s="251"/>
    </row>
    <row r="154" spans="1:23" s="120" customFormat="1" x14ac:dyDescent="0.2">
      <c r="A154" s="251" t="str">
        <f t="shared" si="109"/>
        <v xml:space="preserve"> 32 Health and social care associate professionals</v>
      </c>
      <c r="B154" s="87">
        <v>1.2005623920069088</v>
      </c>
      <c r="C154" s="87">
        <v>1.5309496515390049</v>
      </c>
      <c r="D154" s="87">
        <f t="shared" si="110"/>
        <v>0.33038725953209602</v>
      </c>
      <c r="E154" s="87">
        <v>0.54477150192148727</v>
      </c>
      <c r="F154" s="87">
        <f t="shared" si="111"/>
        <v>0.87515876145358329</v>
      </c>
      <c r="G154" s="298">
        <f t="shared" si="113"/>
        <v>3.8124352179984111E-2</v>
      </c>
      <c r="I154" s="87"/>
      <c r="J154" s="87"/>
      <c r="K154" s="87"/>
      <c r="L154" s="87"/>
      <c r="M154" s="87"/>
      <c r="N154" s="87"/>
      <c r="O154" s="250"/>
      <c r="P154" s="87"/>
      <c r="Q154" s="87"/>
      <c r="R154" s="87"/>
      <c r="S154" s="87"/>
      <c r="T154" s="87"/>
      <c r="U154" s="87"/>
      <c r="W154" s="251"/>
    </row>
    <row r="155" spans="1:23" s="244" customFormat="1" x14ac:dyDescent="0.2">
      <c r="A155" s="251" t="str">
        <f t="shared" si="109"/>
        <v xml:space="preserve"> 33 Protective service occupations</v>
      </c>
      <c r="B155" s="87">
        <v>0.9523965729555216</v>
      </c>
      <c r="C155" s="87">
        <v>0.84498958996186047</v>
      </c>
      <c r="D155" s="87">
        <f t="shared" si="110"/>
        <v>-0.10740698299366114</v>
      </c>
      <c r="E155" s="87">
        <v>0.20945640035023574</v>
      </c>
      <c r="F155" s="87">
        <f t="shared" si="111"/>
        <v>0.10204941735657461</v>
      </c>
      <c r="G155" s="298">
        <f t="shared" si="113"/>
        <v>2.0077891312861196E-2</v>
      </c>
      <c r="I155" s="87"/>
      <c r="J155" s="87"/>
      <c r="K155" s="87"/>
      <c r="L155" s="87"/>
      <c r="M155" s="87"/>
      <c r="N155" s="87"/>
      <c r="O155" s="250"/>
      <c r="P155" s="87"/>
      <c r="Q155" s="87"/>
      <c r="R155" s="87"/>
      <c r="S155" s="87"/>
      <c r="T155" s="87"/>
      <c r="U155" s="87"/>
      <c r="W155" s="251"/>
    </row>
    <row r="156" spans="1:23" s="244" customFormat="1" x14ac:dyDescent="0.2">
      <c r="A156" s="251" t="str">
        <f t="shared" si="109"/>
        <v xml:space="preserve"> 34 Culture, media and sports occupations</v>
      </c>
      <c r="B156" s="87">
        <v>1.6687465859020827</v>
      </c>
      <c r="C156" s="87">
        <v>1.9372663695777168</v>
      </c>
      <c r="D156" s="87">
        <f t="shared" si="110"/>
        <v>0.26851978367563412</v>
      </c>
      <c r="E156" s="87">
        <v>0.61373940208395461</v>
      </c>
      <c r="F156" s="87">
        <f t="shared" ref="F156:F157" si="114">SUM(D156:E156)</f>
        <v>0.88225918575958873</v>
      </c>
      <c r="G156" s="298">
        <f t="shared" si="113"/>
        <v>3.1814847608963914E-2</v>
      </c>
      <c r="I156" s="87"/>
      <c r="J156" s="87"/>
      <c r="K156" s="87"/>
      <c r="L156" s="87"/>
      <c r="M156" s="87"/>
      <c r="N156" s="87"/>
      <c r="O156" s="250"/>
      <c r="P156" s="87"/>
      <c r="Q156" s="87"/>
      <c r="R156" s="87"/>
      <c r="S156" s="87"/>
      <c r="T156" s="87"/>
      <c r="U156" s="87"/>
      <c r="W156" s="251"/>
    </row>
    <row r="157" spans="1:23" x14ac:dyDescent="0.2">
      <c r="A157" s="251" t="str">
        <f t="shared" si="109"/>
        <v xml:space="preserve"> 35 Business and public service associate professionals</v>
      </c>
      <c r="B157" s="87">
        <v>4.4701121683773151</v>
      </c>
      <c r="C157" s="87">
        <v>5.4685685019280772</v>
      </c>
      <c r="D157" s="87">
        <f t="shared" si="110"/>
        <v>0.99845633355076213</v>
      </c>
      <c r="E157" s="87">
        <v>1.6830088142681918</v>
      </c>
      <c r="F157" s="87">
        <f t="shared" si="114"/>
        <v>2.6814651478189537</v>
      </c>
      <c r="G157" s="298">
        <f t="shared" si="113"/>
        <v>3.2470622644915625E-2</v>
      </c>
      <c r="I157" s="87"/>
      <c r="J157" s="87"/>
      <c r="K157" s="87"/>
      <c r="L157" s="87"/>
      <c r="M157" s="87"/>
      <c r="N157" s="87"/>
      <c r="P157" s="87"/>
      <c r="Q157" s="87"/>
      <c r="R157" s="87"/>
      <c r="S157" s="87"/>
      <c r="T157" s="87"/>
      <c r="U157" s="87"/>
    </row>
    <row r="158" spans="1:23" x14ac:dyDescent="0.2">
      <c r="A158" s="251" t="str">
        <f t="shared" si="109"/>
        <v xml:space="preserve"> 41 Administrative occupations</v>
      </c>
      <c r="B158" s="87">
        <v>7.7098912778591968</v>
      </c>
      <c r="C158" s="87">
        <v>9.8612893740920864</v>
      </c>
      <c r="D158" s="87">
        <f t="shared" si="110"/>
        <v>2.1513980962328896</v>
      </c>
      <c r="E158" s="87">
        <v>3.488998967394521</v>
      </c>
      <c r="F158" s="87">
        <f t="shared" ref="F158:F161" si="115">SUM(D158:E158)</f>
        <v>5.640397063627411</v>
      </c>
      <c r="G158" s="298">
        <f t="shared" si="113"/>
        <v>3.8036616581486937E-2</v>
      </c>
      <c r="I158" s="87"/>
      <c r="J158" s="87"/>
      <c r="K158" s="87"/>
      <c r="L158" s="87"/>
      <c r="M158" s="87"/>
      <c r="N158" s="87"/>
      <c r="P158" s="87"/>
      <c r="Q158" s="87"/>
      <c r="R158" s="87"/>
      <c r="S158" s="87"/>
      <c r="T158" s="87"/>
      <c r="U158" s="87"/>
    </row>
    <row r="159" spans="1:23" s="244" customFormat="1" x14ac:dyDescent="0.2">
      <c r="A159" s="251" t="str">
        <f t="shared" si="109"/>
        <v xml:space="preserve"> 42 Secretarial and related occupations</v>
      </c>
      <c r="B159" s="87">
        <v>1.3530326499130951</v>
      </c>
      <c r="C159" s="87">
        <v>1.1460270653033293</v>
      </c>
      <c r="D159" s="87">
        <f t="shared" si="110"/>
        <v>-0.20700558460976581</v>
      </c>
      <c r="E159" s="87">
        <v>0.48556651747466772</v>
      </c>
      <c r="F159" s="87">
        <f t="shared" si="115"/>
        <v>0.27856093286490191</v>
      </c>
      <c r="G159" s="298">
        <f t="shared" si="113"/>
        <v>3.1140579098235088E-2</v>
      </c>
      <c r="I159" s="87"/>
      <c r="J159" s="87"/>
      <c r="K159" s="87"/>
      <c r="L159" s="87"/>
      <c r="M159" s="87"/>
      <c r="N159" s="87"/>
      <c r="O159" s="250"/>
      <c r="P159" s="87"/>
      <c r="Q159" s="87"/>
      <c r="R159" s="87"/>
      <c r="S159" s="87"/>
      <c r="T159" s="87"/>
      <c r="U159" s="87"/>
      <c r="W159" s="251"/>
    </row>
    <row r="160" spans="1:23" s="244" customFormat="1" x14ac:dyDescent="0.2">
      <c r="A160" s="251" t="str">
        <f t="shared" si="109"/>
        <v xml:space="preserve"> 51 Skilled agricultural and related trades</v>
      </c>
      <c r="B160" s="87">
        <v>3.8232786785632613</v>
      </c>
      <c r="C160" s="87">
        <v>5.1200906568858171</v>
      </c>
      <c r="D160" s="87">
        <f t="shared" si="110"/>
        <v>1.2968119783225558</v>
      </c>
      <c r="E160" s="87">
        <v>1.8257170330473358</v>
      </c>
      <c r="F160" s="87">
        <f t="shared" si="115"/>
        <v>3.1225290113698918</v>
      </c>
      <c r="G160" s="298">
        <f t="shared" si="113"/>
        <v>3.9808896796998727E-2</v>
      </c>
      <c r="I160" s="87"/>
      <c r="J160" s="87"/>
      <c r="K160" s="87"/>
      <c r="L160" s="87"/>
      <c r="M160" s="87"/>
      <c r="N160" s="87"/>
      <c r="O160" s="250"/>
      <c r="P160" s="87"/>
      <c r="Q160" s="87"/>
      <c r="R160" s="87"/>
      <c r="S160" s="87"/>
      <c r="T160" s="87"/>
      <c r="U160" s="87"/>
      <c r="W160" s="251"/>
    </row>
    <row r="161" spans="1:23" x14ac:dyDescent="0.2">
      <c r="A161" s="251" t="str">
        <f t="shared" si="109"/>
        <v xml:space="preserve"> 52 Skilled metal, electrical and electronic trades</v>
      </c>
      <c r="B161" s="87">
        <v>5.1300192739996051</v>
      </c>
      <c r="C161" s="87">
        <v>6.40951206572334</v>
      </c>
      <c r="D161" s="87">
        <f t="shared" si="110"/>
        <v>1.2794927917237349</v>
      </c>
      <c r="E161" s="87">
        <v>1.8496213560262504</v>
      </c>
      <c r="F161" s="87">
        <f t="shared" si="115"/>
        <v>3.1291141477499851</v>
      </c>
      <c r="G161" s="298">
        <f t="shared" si="113"/>
        <v>3.126767854245549E-2</v>
      </c>
      <c r="I161" s="87"/>
      <c r="J161" s="87"/>
      <c r="K161" s="87"/>
      <c r="L161" s="87"/>
      <c r="M161" s="87"/>
      <c r="N161" s="87"/>
      <c r="P161" s="87"/>
      <c r="Q161" s="87"/>
      <c r="R161" s="87"/>
      <c r="S161" s="87"/>
      <c r="T161" s="87"/>
      <c r="U161" s="87"/>
    </row>
    <row r="162" spans="1:23" s="244" customFormat="1" x14ac:dyDescent="0.2">
      <c r="A162" s="251" t="str">
        <f t="shared" si="109"/>
        <v xml:space="preserve"> 53 Skilled construction and building trades</v>
      </c>
      <c r="B162" s="87">
        <v>1.9477014331164393</v>
      </c>
      <c r="C162" s="87">
        <v>2.9383437300046555</v>
      </c>
      <c r="D162" s="87">
        <f t="shared" si="110"/>
        <v>0.99064229688821626</v>
      </c>
      <c r="E162" s="87">
        <v>0.94241879884396973</v>
      </c>
      <c r="F162" s="87">
        <f t="shared" ref="F162" si="116">SUM(D162:E162)</f>
        <v>1.9330610957321861</v>
      </c>
      <c r="G162" s="298">
        <f t="shared" si="113"/>
        <v>4.0253899920318359E-2</v>
      </c>
      <c r="I162" s="87"/>
      <c r="J162" s="87"/>
      <c r="K162" s="87"/>
      <c r="L162" s="87"/>
      <c r="M162" s="87"/>
      <c r="N162" s="87"/>
      <c r="O162" s="250"/>
      <c r="P162" s="87"/>
      <c r="Q162" s="87"/>
      <c r="R162" s="87"/>
      <c r="S162" s="87"/>
      <c r="T162" s="87"/>
      <c r="U162" s="87"/>
      <c r="W162" s="251"/>
    </row>
    <row r="163" spans="1:23" s="244" customFormat="1" x14ac:dyDescent="0.2">
      <c r="A163" s="251" t="str">
        <f t="shared" si="109"/>
        <v xml:space="preserve"> 54 Textiles, printing and other skilled trades</v>
      </c>
      <c r="B163" s="87">
        <v>1.4426262661243772</v>
      </c>
      <c r="C163" s="87">
        <v>1.814134650604686</v>
      </c>
      <c r="D163" s="87">
        <f t="shared" si="110"/>
        <v>0.37150838448030887</v>
      </c>
      <c r="E163" s="87">
        <v>0.57622563450979547</v>
      </c>
      <c r="F163" s="87">
        <f t="shared" ref="F163" si="117">SUM(D163:E163)</f>
        <v>0.94773401899010434</v>
      </c>
      <c r="G163" s="298">
        <f t="shared" si="113"/>
        <v>3.4177446991277671E-2</v>
      </c>
      <c r="I163" s="87"/>
      <c r="J163" s="87"/>
      <c r="K163" s="87"/>
      <c r="L163" s="87"/>
      <c r="M163" s="87"/>
      <c r="N163" s="87"/>
      <c r="O163" s="250"/>
      <c r="P163" s="87"/>
      <c r="Q163" s="87"/>
      <c r="R163" s="87"/>
      <c r="S163" s="87"/>
      <c r="T163" s="87"/>
      <c r="U163" s="87"/>
      <c r="W163" s="251"/>
    </row>
    <row r="164" spans="1:23" x14ac:dyDescent="0.2">
      <c r="A164" s="251" t="str">
        <f t="shared" si="109"/>
        <v xml:space="preserve"> 61 Caring personal service occupations</v>
      </c>
      <c r="B164" s="87">
        <v>6.5388461716834581</v>
      </c>
      <c r="C164" s="87">
        <v>8.722639005377065</v>
      </c>
      <c r="D164" s="87">
        <f>C164-B164</f>
        <v>2.183792833693607</v>
      </c>
      <c r="E164" s="87">
        <v>3.4331870855064843</v>
      </c>
      <c r="F164" s="87">
        <f>SUM(D164:E164)</f>
        <v>5.6169799192000909</v>
      </c>
      <c r="G164" s="298">
        <f t="shared" si="113"/>
        <v>4.3105558711293179E-2</v>
      </c>
      <c r="I164" s="87"/>
      <c r="J164" s="87"/>
      <c r="K164" s="87"/>
      <c r="L164" s="87"/>
      <c r="M164" s="87"/>
      <c r="N164" s="87"/>
      <c r="P164" s="87"/>
      <c r="Q164" s="87"/>
      <c r="R164" s="87"/>
      <c r="S164" s="87"/>
      <c r="T164" s="87"/>
      <c r="U164" s="87"/>
    </row>
    <row r="165" spans="1:23" x14ac:dyDescent="0.2">
      <c r="A165" s="251" t="str">
        <f t="shared" si="109"/>
        <v xml:space="preserve"> 62 Leisure, travel and related personal service occupations</v>
      </c>
      <c r="B165" s="87">
        <v>2.4987155554972689</v>
      </c>
      <c r="C165" s="87">
        <v>3.7433081962388499</v>
      </c>
      <c r="D165" s="87">
        <f t="shared" ref="D165:D171" si="118">C165-B165</f>
        <v>1.244592640741581</v>
      </c>
      <c r="E165" s="87">
        <v>1.432033134767603</v>
      </c>
      <c r="F165" s="87">
        <f t="shared" ref="F165:F166" si="119">SUM(D165:E165)</f>
        <v>2.676625775509184</v>
      </c>
      <c r="G165" s="298">
        <f t="shared" si="113"/>
        <v>4.6347270607579594E-2</v>
      </c>
      <c r="I165" s="87"/>
      <c r="J165" s="87"/>
      <c r="K165" s="87"/>
      <c r="L165" s="87"/>
      <c r="M165" s="87"/>
      <c r="N165" s="87"/>
      <c r="P165" s="87"/>
      <c r="Q165" s="87"/>
      <c r="R165" s="87"/>
      <c r="S165" s="87"/>
      <c r="T165" s="87"/>
      <c r="U165" s="87"/>
    </row>
    <row r="166" spans="1:23" x14ac:dyDescent="0.2">
      <c r="A166" s="251" t="str">
        <f t="shared" si="109"/>
        <v xml:space="preserve"> 71 Sales occupations</v>
      </c>
      <c r="B166" s="87">
        <v>2.7159045270871838</v>
      </c>
      <c r="C166" s="87">
        <v>3.2731985623862969</v>
      </c>
      <c r="D166" s="87">
        <f t="shared" si="118"/>
        <v>0.55729403529911314</v>
      </c>
      <c r="E166" s="87">
        <v>1.0988486271472113</v>
      </c>
      <c r="F166" s="87">
        <f t="shared" si="119"/>
        <v>1.6561426624463245</v>
      </c>
      <c r="G166" s="298">
        <f t="shared" si="113"/>
        <v>3.4558835711320901E-2</v>
      </c>
      <c r="I166" s="87"/>
      <c r="J166" s="87"/>
      <c r="K166" s="87"/>
      <c r="L166" s="87"/>
      <c r="M166" s="87"/>
      <c r="N166" s="87"/>
      <c r="P166" s="87"/>
      <c r="Q166" s="87"/>
      <c r="R166" s="87"/>
      <c r="S166" s="87"/>
      <c r="T166" s="87"/>
      <c r="U166" s="87"/>
    </row>
    <row r="167" spans="1:23" s="244" customFormat="1" x14ac:dyDescent="0.2">
      <c r="A167" s="251" t="str">
        <f t="shared" si="109"/>
        <v xml:space="preserve"> 72 Customer service occupations</v>
      </c>
      <c r="B167" s="87">
        <v>1.8433429723453143</v>
      </c>
      <c r="C167" s="87">
        <v>2.5228244894476726</v>
      </c>
      <c r="D167" s="87">
        <f t="shared" si="118"/>
        <v>0.67948151710235827</v>
      </c>
      <c r="E167" s="87">
        <v>0.74441396281915018</v>
      </c>
      <c r="F167" s="87">
        <f t="shared" ref="F167:F168" si="120">SUM(D167:E167)</f>
        <v>1.4238954799215084</v>
      </c>
      <c r="G167" s="298">
        <f t="shared" si="113"/>
        <v>3.4502949805281791E-2</v>
      </c>
      <c r="I167" s="87"/>
      <c r="J167" s="87"/>
      <c r="K167" s="87"/>
      <c r="L167" s="87"/>
      <c r="M167" s="87"/>
      <c r="N167" s="87"/>
      <c r="O167" s="250"/>
      <c r="P167" s="87"/>
      <c r="Q167" s="87"/>
      <c r="R167" s="87"/>
      <c r="S167" s="87"/>
      <c r="T167" s="87"/>
      <c r="U167" s="87"/>
      <c r="W167" s="251"/>
    </row>
    <row r="168" spans="1:23" x14ac:dyDescent="0.2">
      <c r="A168" s="251" t="str">
        <f t="shared" si="109"/>
        <v xml:space="preserve"> 81 Process, plant and machine operatives</v>
      </c>
      <c r="B168" s="87">
        <v>2.8865666755956072</v>
      </c>
      <c r="C168" s="87">
        <v>4.1544073346317223</v>
      </c>
      <c r="D168" s="87">
        <f t="shared" si="118"/>
        <v>1.2678406590361151</v>
      </c>
      <c r="E168" s="87">
        <v>1.2030355273094413</v>
      </c>
      <c r="F168" s="87">
        <f t="shared" si="120"/>
        <v>2.4708761863455564</v>
      </c>
      <c r="G168" s="298">
        <f t="shared" si="113"/>
        <v>3.5451942681992143E-2</v>
      </c>
      <c r="I168" s="87"/>
      <c r="J168" s="87"/>
      <c r="K168" s="87"/>
      <c r="L168" s="87"/>
      <c r="M168" s="87"/>
      <c r="N168" s="87"/>
      <c r="P168" s="87"/>
      <c r="Q168" s="87"/>
      <c r="R168" s="87"/>
      <c r="S168" s="87"/>
      <c r="T168" s="87"/>
      <c r="U168" s="87"/>
    </row>
    <row r="169" spans="1:23" x14ac:dyDescent="0.2">
      <c r="A169" s="251" t="str">
        <f t="shared" si="109"/>
        <v xml:space="preserve"> 82 Transport and mobile machine drivers and operatives</v>
      </c>
      <c r="B169" s="87">
        <v>1.4609586953875831</v>
      </c>
      <c r="C169" s="87">
        <v>2.3534650682595397</v>
      </c>
      <c r="D169" s="87">
        <f t="shared" si="118"/>
        <v>0.89250637287195667</v>
      </c>
      <c r="E169" s="87">
        <v>0.8841766510372987</v>
      </c>
      <c r="F169" s="87">
        <f t="shared" ref="F169:F170" si="121">SUM(D169:E169)</f>
        <v>1.7766830239092553</v>
      </c>
      <c r="G169" s="298">
        <f t="shared" si="113"/>
        <v>4.8462730970487033E-2</v>
      </c>
      <c r="I169" s="87"/>
      <c r="J169" s="87"/>
      <c r="K169" s="87"/>
      <c r="L169" s="87"/>
      <c r="M169" s="87"/>
      <c r="N169" s="87"/>
      <c r="P169" s="87"/>
      <c r="Q169" s="87"/>
      <c r="R169" s="87"/>
      <c r="S169" s="87"/>
      <c r="T169" s="87"/>
      <c r="U169" s="87"/>
    </row>
    <row r="170" spans="1:23" x14ac:dyDescent="0.2">
      <c r="A170" s="251" t="str">
        <f t="shared" si="109"/>
        <v xml:space="preserve"> 91 Elementary trades and related occupations</v>
      </c>
      <c r="B170" s="87">
        <v>1.302549269816089</v>
      </c>
      <c r="C170" s="87">
        <v>2.0122923245745095</v>
      </c>
      <c r="D170" s="87">
        <f t="shared" si="118"/>
        <v>0.70974305475842048</v>
      </c>
      <c r="E170" s="87">
        <v>0.60646724899470239</v>
      </c>
      <c r="F170" s="87">
        <f t="shared" si="121"/>
        <v>1.316210303753123</v>
      </c>
      <c r="G170" s="298">
        <f t="shared" si="113"/>
        <v>3.8966519347714001E-2</v>
      </c>
      <c r="I170" s="87"/>
      <c r="J170" s="87"/>
      <c r="K170" s="87"/>
      <c r="L170" s="87"/>
      <c r="M170" s="87"/>
      <c r="N170" s="87"/>
      <c r="P170" s="87"/>
      <c r="Q170" s="87"/>
      <c r="R170" s="87"/>
      <c r="S170" s="87"/>
      <c r="T170" s="87"/>
      <c r="U170" s="87"/>
    </row>
    <row r="171" spans="1:23" x14ac:dyDescent="0.2">
      <c r="A171" s="251" t="str">
        <f t="shared" si="109"/>
        <v xml:space="preserve"> 92 Elementary administration and service occupations</v>
      </c>
      <c r="B171" s="87">
        <v>4.9367444446996629</v>
      </c>
      <c r="C171" s="87">
        <v>7.9502862800753826</v>
      </c>
      <c r="D171" s="87">
        <f t="shared" si="118"/>
        <v>3.0135418353757197</v>
      </c>
      <c r="E171" s="87">
        <v>2.673326747117958</v>
      </c>
      <c r="F171" s="87">
        <f t="shared" ref="F171" si="122">SUM(D171:E171)</f>
        <v>5.6868685824936778</v>
      </c>
      <c r="G171" s="298">
        <f t="shared" si="113"/>
        <v>4.422673314262382E-2</v>
      </c>
      <c r="I171" s="87"/>
      <c r="J171" s="87"/>
      <c r="K171" s="87"/>
      <c r="L171" s="87"/>
      <c r="M171" s="87"/>
      <c r="N171" s="87"/>
      <c r="P171" s="87"/>
      <c r="Q171" s="87"/>
      <c r="R171" s="87"/>
      <c r="S171" s="87"/>
      <c r="T171" s="87"/>
      <c r="U171" s="87"/>
    </row>
    <row r="172" spans="1:23" x14ac:dyDescent="0.2">
      <c r="A172" s="251" t="str">
        <f t="shared" si="109"/>
        <v>All occupations</v>
      </c>
      <c r="B172" s="87">
        <f>SUM(B147:B171)</f>
        <v>75.342003447665974</v>
      </c>
      <c r="C172" s="87">
        <f>SUM(C147:C171)</f>
        <v>95.829888287788805</v>
      </c>
      <c r="D172" s="87">
        <f>SUM(D147:D171)</f>
        <v>20.487884840122828</v>
      </c>
      <c r="E172" s="87">
        <f>SUM(E147:E171)</f>
        <v>32.166933376918898</v>
      </c>
      <c r="F172" s="87">
        <f>SUM(F147:F171)</f>
        <v>52.654818217041729</v>
      </c>
      <c r="G172" s="298">
        <f t="shared" si="113"/>
        <v>3.61932055950136E-2</v>
      </c>
      <c r="I172" s="87"/>
      <c r="J172" s="87"/>
      <c r="K172" s="87"/>
      <c r="L172" s="87"/>
      <c r="M172" s="87"/>
      <c r="N172" s="87"/>
      <c r="P172" s="87"/>
      <c r="Q172" s="87"/>
      <c r="R172" s="87"/>
      <c r="S172" s="87"/>
      <c r="T172" s="87"/>
      <c r="U172" s="87"/>
    </row>
    <row r="173" spans="1:23" x14ac:dyDescent="0.2">
      <c r="I173" s="87"/>
      <c r="J173" s="87"/>
      <c r="K173" s="87"/>
      <c r="L173" s="87"/>
      <c r="M173" s="87"/>
      <c r="N173" s="87"/>
      <c r="P173" s="87"/>
      <c r="Q173" s="87"/>
      <c r="R173" s="87"/>
      <c r="S173" s="87"/>
      <c r="T173" s="87"/>
      <c r="U173" s="87"/>
    </row>
    <row r="174" spans="1:23" ht="38.25" x14ac:dyDescent="0.2">
      <c r="A174" s="299" t="str">
        <f>CONCATENATE(name!F9," (Constrained)")</f>
        <v>RQF3 A level &amp; equivalent (Constrained)</v>
      </c>
      <c r="B174" s="96">
        <f t="shared" ref="B174:G174" si="123">B90</f>
        <v>2017</v>
      </c>
      <c r="C174" s="96">
        <f t="shared" si="123"/>
        <v>2027</v>
      </c>
      <c r="D174" s="117" t="str">
        <f t="shared" si="123"/>
        <v>Net Change</v>
      </c>
      <c r="E174" s="117" t="str">
        <f t="shared" si="123"/>
        <v>Replacement Demand level</v>
      </c>
      <c r="F174" s="117" t="str">
        <f t="shared" si="123"/>
        <v>Total Requirement</v>
      </c>
      <c r="G174" s="117" t="str">
        <f t="shared" si="123"/>
        <v>Replacement Demand rate</v>
      </c>
      <c r="I174" s="87"/>
      <c r="J174" s="87"/>
      <c r="K174" s="87"/>
      <c r="L174" s="87"/>
      <c r="M174" s="87"/>
      <c r="N174" s="87"/>
      <c r="P174" s="87"/>
      <c r="Q174" s="87"/>
      <c r="R174" s="87"/>
      <c r="S174" s="87"/>
      <c r="T174" s="87"/>
      <c r="U174" s="87"/>
    </row>
    <row r="175" spans="1:23" s="244" customFormat="1" x14ac:dyDescent="0.2">
      <c r="A175" s="251" t="str">
        <f t="shared" ref="A175:A200" si="124">A91</f>
        <v xml:space="preserve"> 11 Corporate managers and directors</v>
      </c>
      <c r="B175" s="87">
        <v>13.97595679337579</v>
      </c>
      <c r="C175" s="87">
        <v>12.912428716074096</v>
      </c>
      <c r="D175" s="87">
        <f>C175-B175</f>
        <v>-1.0635280773016937</v>
      </c>
      <c r="E175" s="87">
        <v>4.0664336589039838</v>
      </c>
      <c r="F175" s="87">
        <f>SUM(D175:E175)</f>
        <v>3.00290558160229</v>
      </c>
      <c r="G175" s="298">
        <f>IF(B175&gt;0,(1+(E175/B175))^(1/($C$6-$B$6))-1,0)</f>
        <v>2.5867456079475826E-2</v>
      </c>
      <c r="I175" s="87"/>
      <c r="J175" s="87"/>
      <c r="K175" s="87"/>
      <c r="L175" s="87"/>
      <c r="M175" s="87"/>
      <c r="N175" s="87"/>
      <c r="O175" s="250"/>
      <c r="P175" s="87"/>
      <c r="Q175" s="87"/>
      <c r="R175" s="87"/>
      <c r="S175" s="87"/>
      <c r="T175" s="87"/>
      <c r="U175" s="87"/>
      <c r="W175" s="251"/>
    </row>
    <row r="176" spans="1:23" s="244" customFormat="1" x14ac:dyDescent="0.2">
      <c r="A176" s="251" t="str">
        <f t="shared" si="124"/>
        <v xml:space="preserve"> 12 Other managers and proprietors</v>
      </c>
      <c r="B176" s="87">
        <v>8.0574021205860547</v>
      </c>
      <c r="C176" s="87">
        <v>6.8219849311262584</v>
      </c>
      <c r="D176" s="87">
        <f t="shared" ref="D176:D191" si="125">C176-B176</f>
        <v>-1.2354171894597963</v>
      </c>
      <c r="E176" s="87">
        <v>2.5127336976992658</v>
      </c>
      <c r="F176" s="87">
        <f t="shared" ref="F176:F183" si="126">SUM(D176:E176)</f>
        <v>1.2773165082394695</v>
      </c>
      <c r="G176" s="298">
        <f t="shared" ref="G176:G178" si="127">IF(B176&gt;0,(1+(E176/B176))^(1/($C$6-$B$6))-1,0)</f>
        <v>2.7515904622067433E-2</v>
      </c>
      <c r="I176" s="87"/>
      <c r="J176" s="87"/>
      <c r="K176" s="87"/>
      <c r="L176" s="87"/>
      <c r="M176" s="87"/>
      <c r="N176" s="87"/>
      <c r="O176" s="250"/>
      <c r="P176" s="87"/>
      <c r="Q176" s="87"/>
      <c r="R176" s="87"/>
      <c r="S176" s="87"/>
      <c r="T176" s="87"/>
      <c r="U176" s="87"/>
      <c r="W176" s="251"/>
    </row>
    <row r="177" spans="1:23" s="244" customFormat="1" x14ac:dyDescent="0.2">
      <c r="A177" s="251" t="str">
        <f t="shared" si="124"/>
        <v xml:space="preserve"> 21 Science, research, engineering and technology professionals</v>
      </c>
      <c r="B177" s="87">
        <v>6.2016025531874437</v>
      </c>
      <c r="C177" s="87">
        <v>4.6862858190238068</v>
      </c>
      <c r="D177" s="87">
        <f t="shared" si="125"/>
        <v>-1.5153167341636369</v>
      </c>
      <c r="E177" s="87">
        <v>1.1116785985141493</v>
      </c>
      <c r="F177" s="87">
        <f t="shared" si="126"/>
        <v>-0.40363813564948758</v>
      </c>
      <c r="G177" s="298">
        <f t="shared" si="127"/>
        <v>1.6625113963325777E-2</v>
      </c>
      <c r="I177" s="87"/>
      <c r="J177" s="87"/>
      <c r="K177" s="87"/>
      <c r="L177" s="87"/>
      <c r="M177" s="87"/>
      <c r="N177" s="87"/>
      <c r="O177" s="250"/>
      <c r="P177" s="87"/>
      <c r="Q177" s="87"/>
      <c r="R177" s="87"/>
      <c r="S177" s="87"/>
      <c r="T177" s="87"/>
      <c r="U177" s="87"/>
      <c r="W177" s="251"/>
    </row>
    <row r="178" spans="1:23" x14ac:dyDescent="0.2">
      <c r="A178" s="251" t="str">
        <f t="shared" si="124"/>
        <v xml:space="preserve"> 22 Health professionals</v>
      </c>
      <c r="B178" s="87">
        <v>9.326409959813585</v>
      </c>
      <c r="C178" s="87">
        <v>11.579971218004793</v>
      </c>
      <c r="D178" s="87">
        <f t="shared" si="125"/>
        <v>2.2535612581912083</v>
      </c>
      <c r="E178" s="87">
        <v>3.7541782508011101</v>
      </c>
      <c r="F178" s="87">
        <f t="shared" si="126"/>
        <v>6.0077395089923185</v>
      </c>
      <c r="G178" s="298">
        <f t="shared" si="127"/>
        <v>3.4406586487305768E-2</v>
      </c>
      <c r="I178" s="87"/>
      <c r="J178" s="87"/>
      <c r="K178" s="87"/>
      <c r="L178" s="87"/>
      <c r="M178" s="87"/>
      <c r="N178" s="87"/>
      <c r="P178" s="87"/>
      <c r="Q178" s="87"/>
      <c r="R178" s="87"/>
      <c r="S178" s="87"/>
      <c r="T178" s="87"/>
      <c r="U178" s="87"/>
    </row>
    <row r="179" spans="1:23" x14ac:dyDescent="0.2">
      <c r="A179" s="251" t="str">
        <f t="shared" si="124"/>
        <v xml:space="preserve"> 23 Teaching and educational professionals</v>
      </c>
      <c r="B179" s="87">
        <v>4.08107607975706</v>
      </c>
      <c r="C179" s="87">
        <v>4.5507560056422127</v>
      </c>
      <c r="D179" s="87">
        <f t="shared" si="125"/>
        <v>0.46967992588515273</v>
      </c>
      <c r="E179" s="87">
        <v>1.2812001454508337</v>
      </c>
      <c r="F179" s="87">
        <f t="shared" si="126"/>
        <v>1.7508800713359864</v>
      </c>
      <c r="G179" s="298">
        <f>IF(B179&gt;0,(1+(E179/B179))^(1/($C$6-$B$6))-1,0)</f>
        <v>2.7678921950378133E-2</v>
      </c>
      <c r="I179" s="87"/>
      <c r="J179" s="87"/>
      <c r="K179" s="87"/>
      <c r="L179" s="87"/>
      <c r="M179" s="87"/>
      <c r="N179" s="87"/>
      <c r="P179" s="105"/>
      <c r="Q179" s="92"/>
    </row>
    <row r="180" spans="1:23" x14ac:dyDescent="0.2">
      <c r="A180" s="251" t="str">
        <f t="shared" si="124"/>
        <v xml:space="preserve"> 24 Business, media and public service professionals</v>
      </c>
      <c r="B180" s="87">
        <v>5.9373043065207094</v>
      </c>
      <c r="C180" s="87">
        <v>5.6288910083574475</v>
      </c>
      <c r="D180" s="87">
        <f t="shared" si="125"/>
        <v>-0.30841329816326191</v>
      </c>
      <c r="E180" s="87">
        <v>1.6539410196913342</v>
      </c>
      <c r="F180" s="87">
        <f t="shared" si="126"/>
        <v>1.3455277215280723</v>
      </c>
      <c r="G180" s="298">
        <f t="shared" ref="G180:G200" si="128">IF(B180&gt;0,(1+(E180/B180))^(1/($C$6-$B$6))-1,0)</f>
        <v>2.487847466938975E-2</v>
      </c>
      <c r="I180" s="87"/>
      <c r="J180" s="87"/>
      <c r="K180" s="87"/>
      <c r="L180" s="87"/>
      <c r="M180" s="87"/>
      <c r="N180" s="87"/>
    </row>
    <row r="181" spans="1:23" x14ac:dyDescent="0.2">
      <c r="A181" s="251" t="str">
        <f t="shared" si="124"/>
        <v xml:space="preserve"> 31 Science, engineering and technology associate professionals</v>
      </c>
      <c r="B181" s="87">
        <v>4.5412908847677222</v>
      </c>
      <c r="C181" s="87">
        <v>2.8649213422143553</v>
      </c>
      <c r="D181" s="87">
        <f t="shared" si="125"/>
        <v>-1.6763695425533669</v>
      </c>
      <c r="E181" s="87">
        <v>0.85848991473610625</v>
      </c>
      <c r="F181" s="87">
        <f t="shared" si="126"/>
        <v>-0.81787962781726065</v>
      </c>
      <c r="G181" s="298">
        <f t="shared" si="128"/>
        <v>1.7465473679573185E-2</v>
      </c>
      <c r="I181" s="87"/>
      <c r="J181" s="87"/>
      <c r="K181" s="87"/>
      <c r="L181" s="87"/>
      <c r="M181" s="87"/>
      <c r="N181" s="87"/>
    </row>
    <row r="182" spans="1:23" x14ac:dyDescent="0.2">
      <c r="A182" s="251" t="str">
        <f t="shared" si="124"/>
        <v xml:space="preserve"> 32 Health and social care associate professionals</v>
      </c>
      <c r="B182" s="87">
        <v>3.8241894533700367</v>
      </c>
      <c r="C182" s="87">
        <v>4.4930425506307579</v>
      </c>
      <c r="D182" s="87">
        <f t="shared" si="125"/>
        <v>0.66885309726072117</v>
      </c>
      <c r="E182" s="87">
        <v>1.4763293668544137</v>
      </c>
      <c r="F182" s="87">
        <f t="shared" si="126"/>
        <v>2.1451824641151349</v>
      </c>
      <c r="G182" s="298">
        <f t="shared" si="128"/>
        <v>3.3184537944260795E-2</v>
      </c>
      <c r="I182" s="87"/>
      <c r="J182" s="87"/>
      <c r="K182" s="87"/>
      <c r="L182" s="87"/>
      <c r="M182" s="87"/>
      <c r="N182" s="87"/>
    </row>
    <row r="183" spans="1:23" x14ac:dyDescent="0.2">
      <c r="A183" s="251" t="str">
        <f t="shared" si="124"/>
        <v xml:space="preserve"> 33 Protective service occupations</v>
      </c>
      <c r="B183" s="87">
        <v>3.2836646485741539</v>
      </c>
      <c r="C183" s="87">
        <v>2.2547540592484792</v>
      </c>
      <c r="D183" s="87">
        <f t="shared" si="125"/>
        <v>-1.0289105893256747</v>
      </c>
      <c r="E183" s="87">
        <v>0.43890557750182047</v>
      </c>
      <c r="F183" s="87">
        <f t="shared" si="126"/>
        <v>-0.59000501182385423</v>
      </c>
      <c r="G183" s="298">
        <f t="shared" si="128"/>
        <v>1.2624452108439987E-2</v>
      </c>
      <c r="I183" s="87"/>
      <c r="J183" s="87"/>
      <c r="K183" s="87"/>
      <c r="L183" s="87"/>
      <c r="M183" s="87"/>
      <c r="N183" s="87"/>
    </row>
    <row r="184" spans="1:23" x14ac:dyDescent="0.2">
      <c r="A184" s="251" t="str">
        <f t="shared" si="124"/>
        <v xml:space="preserve"> 34 Culture, media and sports occupations</v>
      </c>
      <c r="B184" s="87">
        <v>3.6790382424573291</v>
      </c>
      <c r="C184" s="87">
        <v>3.3059130716923151</v>
      </c>
      <c r="D184" s="87">
        <f t="shared" si="125"/>
        <v>-0.37312517076501406</v>
      </c>
      <c r="E184" s="87">
        <v>0.92473184332491321</v>
      </c>
      <c r="F184" s="87">
        <f t="shared" ref="F184:F185" si="129">SUM(D184:E184)</f>
        <v>0.55160667255989915</v>
      </c>
      <c r="G184" s="298">
        <f t="shared" si="128"/>
        <v>2.2675689945120148E-2</v>
      </c>
      <c r="I184" s="87"/>
      <c r="J184" s="87"/>
      <c r="K184" s="87"/>
      <c r="L184" s="87"/>
      <c r="M184" s="87"/>
      <c r="N184" s="87"/>
    </row>
    <row r="185" spans="1:23" x14ac:dyDescent="0.2">
      <c r="A185" s="251" t="str">
        <f t="shared" si="124"/>
        <v xml:space="preserve"> 35 Business and public service associate professionals</v>
      </c>
      <c r="B185" s="87">
        <v>14.507289726074132</v>
      </c>
      <c r="C185" s="87">
        <v>14.010524393809948</v>
      </c>
      <c r="D185" s="87">
        <f t="shared" si="125"/>
        <v>-0.49676533226418407</v>
      </c>
      <c r="E185" s="87">
        <v>4.0361975535098171</v>
      </c>
      <c r="F185" s="87">
        <f t="shared" si="129"/>
        <v>3.5394322212456331</v>
      </c>
      <c r="G185" s="298">
        <f t="shared" si="128"/>
        <v>2.4850488889745614E-2</v>
      </c>
      <c r="I185" s="87"/>
      <c r="J185" s="87"/>
      <c r="K185" s="87"/>
      <c r="L185" s="87"/>
      <c r="M185" s="87"/>
      <c r="N185" s="87"/>
    </row>
    <row r="186" spans="1:23" x14ac:dyDescent="0.2">
      <c r="A186" s="251" t="str">
        <f t="shared" si="124"/>
        <v xml:space="preserve"> 41 Administrative occupations</v>
      </c>
      <c r="B186" s="87">
        <v>27.914874125546667</v>
      </c>
      <c r="C186" s="87">
        <v>24.304547452988707</v>
      </c>
      <c r="D186" s="87">
        <f t="shared" si="125"/>
        <v>-3.6103266725579601</v>
      </c>
      <c r="E186" s="87">
        <v>8.1365552520943165</v>
      </c>
      <c r="F186" s="87">
        <f t="shared" ref="F186:F189" si="130">SUM(D186:E186)</f>
        <v>4.5262285795363564</v>
      </c>
      <c r="G186" s="298">
        <f t="shared" si="128"/>
        <v>2.5908626023779524E-2</v>
      </c>
      <c r="I186" s="87"/>
      <c r="J186" s="87"/>
      <c r="K186" s="87"/>
      <c r="L186" s="87"/>
      <c r="M186" s="87"/>
      <c r="N186" s="87"/>
    </row>
    <row r="187" spans="1:23" x14ac:dyDescent="0.2">
      <c r="A187" s="251" t="str">
        <f t="shared" si="124"/>
        <v xml:space="preserve"> 42 Secretarial and related occupations</v>
      </c>
      <c r="B187" s="87">
        <v>6.9151466130675097</v>
      </c>
      <c r="C187" s="87">
        <v>4.020090772778345</v>
      </c>
      <c r="D187" s="87">
        <f t="shared" si="125"/>
        <v>-2.8950558402891646</v>
      </c>
      <c r="E187" s="87">
        <v>1.7267443608721902</v>
      </c>
      <c r="F187" s="87">
        <f t="shared" si="130"/>
        <v>-1.1683114794169744</v>
      </c>
      <c r="G187" s="298">
        <f t="shared" si="128"/>
        <v>2.2541019961865638E-2</v>
      </c>
      <c r="I187" s="87"/>
      <c r="J187" s="87"/>
      <c r="K187" s="87"/>
      <c r="L187" s="87"/>
      <c r="M187" s="87"/>
      <c r="N187" s="87"/>
    </row>
    <row r="188" spans="1:23" x14ac:dyDescent="0.2">
      <c r="A188" s="251" t="str">
        <f t="shared" si="124"/>
        <v xml:space="preserve"> 51 Skilled agricultural and related trades</v>
      </c>
      <c r="B188" s="87">
        <v>7.0234540234482399</v>
      </c>
      <c r="C188" s="87">
        <v>6.666685989052743</v>
      </c>
      <c r="D188" s="87">
        <f t="shared" si="125"/>
        <v>-0.35676803439549687</v>
      </c>
      <c r="E188" s="87">
        <v>2.2984758894629302</v>
      </c>
      <c r="F188" s="87">
        <f t="shared" si="130"/>
        <v>1.9417078550674334</v>
      </c>
      <c r="G188" s="298">
        <f t="shared" si="128"/>
        <v>2.8716033931636797E-2</v>
      </c>
      <c r="I188" s="87"/>
      <c r="J188" s="87"/>
      <c r="K188" s="87"/>
      <c r="L188" s="87"/>
      <c r="M188" s="87"/>
      <c r="N188" s="87"/>
    </row>
    <row r="189" spans="1:23" x14ac:dyDescent="0.2">
      <c r="A189" s="251" t="str">
        <f t="shared" si="124"/>
        <v xml:space="preserve"> 52 Skilled metal, electrical and electronic trades</v>
      </c>
      <c r="B189" s="87">
        <v>25.556886306433181</v>
      </c>
      <c r="C189" s="87">
        <v>22.155482291043651</v>
      </c>
      <c r="D189" s="87">
        <f t="shared" si="125"/>
        <v>-3.4014040153895309</v>
      </c>
      <c r="E189" s="87">
        <v>5.546906736465874</v>
      </c>
      <c r="F189" s="87">
        <f t="shared" si="130"/>
        <v>2.1455027210763431</v>
      </c>
      <c r="G189" s="298">
        <f t="shared" si="128"/>
        <v>1.9836476355119315E-2</v>
      </c>
      <c r="I189" s="87"/>
      <c r="J189" s="87"/>
      <c r="K189" s="87"/>
      <c r="L189" s="87"/>
      <c r="M189" s="87"/>
      <c r="N189" s="87"/>
    </row>
    <row r="190" spans="1:23" x14ac:dyDescent="0.2">
      <c r="A190" s="251" t="str">
        <f t="shared" si="124"/>
        <v xml:space="preserve"> 53 Skilled construction and building trades</v>
      </c>
      <c r="B190" s="87">
        <v>19.303276347386806</v>
      </c>
      <c r="C190" s="87">
        <v>18.429747914695941</v>
      </c>
      <c r="D190" s="87">
        <f t="shared" si="125"/>
        <v>-0.87352843269086478</v>
      </c>
      <c r="E190" s="87">
        <v>4.7338629602040632</v>
      </c>
      <c r="F190" s="87">
        <f t="shared" ref="F190" si="131">SUM(D190:E190)</f>
        <v>3.8603345275131984</v>
      </c>
      <c r="G190" s="298">
        <f t="shared" si="128"/>
        <v>2.2174812427532054E-2</v>
      </c>
      <c r="I190" s="87"/>
      <c r="J190" s="87"/>
      <c r="K190" s="87"/>
      <c r="L190" s="87"/>
      <c r="M190" s="87"/>
      <c r="N190" s="87"/>
    </row>
    <row r="191" spans="1:23" x14ac:dyDescent="0.2">
      <c r="A191" s="251" t="str">
        <f t="shared" si="124"/>
        <v xml:space="preserve"> 54 Textiles, printing and other skilled trades</v>
      </c>
      <c r="B191" s="87">
        <v>11.113591759880309</v>
      </c>
      <c r="C191" s="87">
        <v>11.205096521878065</v>
      </c>
      <c r="D191" s="87">
        <f t="shared" si="125"/>
        <v>9.1504761997756034E-2</v>
      </c>
      <c r="E191" s="87">
        <v>2.9643948475061057</v>
      </c>
      <c r="F191" s="87">
        <f t="shared" ref="F191" si="132">SUM(D191:E191)</f>
        <v>3.0558996095038617</v>
      </c>
      <c r="G191" s="298">
        <f t="shared" si="128"/>
        <v>2.3926093990007669E-2</v>
      </c>
      <c r="I191" s="87"/>
      <c r="J191" s="87"/>
      <c r="K191" s="87"/>
      <c r="L191" s="87"/>
      <c r="M191" s="87"/>
      <c r="N191" s="87"/>
    </row>
    <row r="192" spans="1:23" x14ac:dyDescent="0.2">
      <c r="A192" s="251" t="str">
        <f t="shared" si="124"/>
        <v xml:space="preserve"> 61 Caring personal service occupations</v>
      </c>
      <c r="B192" s="87">
        <v>50.974756082113139</v>
      </c>
      <c r="C192" s="87">
        <v>63.116149635905458</v>
      </c>
      <c r="D192" s="87">
        <f>C192-B192</f>
        <v>12.141393553792319</v>
      </c>
      <c r="E192" s="87">
        <v>20.818104098935557</v>
      </c>
      <c r="F192" s="87">
        <f>SUM(D192:E192)</f>
        <v>32.959497652727876</v>
      </c>
      <c r="G192" s="298">
        <f t="shared" si="128"/>
        <v>3.4838576618158479E-2</v>
      </c>
      <c r="I192" s="87"/>
      <c r="J192" s="87"/>
      <c r="K192" s="87"/>
      <c r="L192" s="87"/>
      <c r="M192" s="87"/>
      <c r="N192" s="87"/>
    </row>
    <row r="193" spans="1:14" x14ac:dyDescent="0.2">
      <c r="A193" s="251" t="str">
        <f t="shared" si="124"/>
        <v xml:space="preserve"> 62 Leisure, travel and related personal service occupations</v>
      </c>
      <c r="B193" s="87">
        <v>8.7657384322388108</v>
      </c>
      <c r="C193" s="87">
        <v>7.2501937268647847</v>
      </c>
      <c r="D193" s="87">
        <f t="shared" ref="D193:D199" si="133">C193-B193</f>
        <v>-1.5155447053740261</v>
      </c>
      <c r="E193" s="87">
        <v>2.3697865340873943</v>
      </c>
      <c r="F193" s="87">
        <f t="shared" ref="F193:F194" si="134">SUM(D193:E193)</f>
        <v>0.85424182871336818</v>
      </c>
      <c r="G193" s="298">
        <f t="shared" si="128"/>
        <v>2.4217563345799498E-2</v>
      </c>
      <c r="I193" s="87"/>
      <c r="J193" s="87"/>
      <c r="K193" s="87"/>
      <c r="L193" s="87"/>
      <c r="M193" s="87"/>
      <c r="N193" s="87"/>
    </row>
    <row r="194" spans="1:14" x14ac:dyDescent="0.2">
      <c r="A194" s="251" t="str">
        <f t="shared" si="124"/>
        <v xml:space="preserve"> 71 Sales occupations</v>
      </c>
      <c r="B194" s="87">
        <v>25.668752816705698</v>
      </c>
      <c r="C194" s="87">
        <v>25.805049223363035</v>
      </c>
      <c r="D194" s="87">
        <f t="shared" si="133"/>
        <v>0.13629640665733689</v>
      </c>
      <c r="E194" s="87">
        <v>8.440471144142494</v>
      </c>
      <c r="F194" s="87">
        <f t="shared" si="134"/>
        <v>8.5767675507998309</v>
      </c>
      <c r="G194" s="298">
        <f t="shared" si="128"/>
        <v>2.8837314391514379E-2</v>
      </c>
      <c r="I194" s="87"/>
      <c r="J194" s="87"/>
      <c r="K194" s="87"/>
      <c r="L194" s="87"/>
      <c r="M194" s="87"/>
      <c r="N194" s="87"/>
    </row>
    <row r="195" spans="1:14" x14ac:dyDescent="0.2">
      <c r="A195" s="251" t="str">
        <f t="shared" si="124"/>
        <v xml:space="preserve"> 72 Customer service occupations</v>
      </c>
      <c r="B195" s="87">
        <v>7.3756461916147682</v>
      </c>
      <c r="C195" s="87">
        <v>7.8051001439853618</v>
      </c>
      <c r="D195" s="87">
        <f t="shared" si="133"/>
        <v>0.42945395237059358</v>
      </c>
      <c r="E195" s="87">
        <v>2.2540688113932426</v>
      </c>
      <c r="F195" s="87">
        <f t="shared" ref="F195:F196" si="135">SUM(D195:E195)</f>
        <v>2.6835227637638361</v>
      </c>
      <c r="G195" s="298">
        <f t="shared" si="128"/>
        <v>2.7025757854280075E-2</v>
      </c>
      <c r="I195" s="105"/>
      <c r="J195" s="92"/>
    </row>
    <row r="196" spans="1:14" x14ac:dyDescent="0.2">
      <c r="A196" s="251" t="str">
        <f t="shared" si="124"/>
        <v xml:space="preserve"> 81 Process, plant and machine operatives</v>
      </c>
      <c r="B196" s="87">
        <v>18.982378239821085</v>
      </c>
      <c r="C196" s="87">
        <v>19.772705493164086</v>
      </c>
      <c r="D196" s="87">
        <f t="shared" si="133"/>
        <v>0.79032725334300125</v>
      </c>
      <c r="E196" s="87">
        <v>4.898302533183875</v>
      </c>
      <c r="F196" s="87">
        <f t="shared" si="135"/>
        <v>5.6886297865268762</v>
      </c>
      <c r="G196" s="298">
        <f t="shared" si="128"/>
        <v>2.3221384656235022E-2</v>
      </c>
    </row>
    <row r="197" spans="1:14" x14ac:dyDescent="0.2">
      <c r="A197" s="251" t="str">
        <f t="shared" si="124"/>
        <v xml:space="preserve"> 82 Transport and mobile machine drivers and operatives</v>
      </c>
      <c r="B197" s="87">
        <v>7.0083741717016101</v>
      </c>
      <c r="C197" s="87">
        <v>8.1766645812741192</v>
      </c>
      <c r="D197" s="87">
        <f t="shared" si="133"/>
        <v>1.1682904095725091</v>
      </c>
      <c r="E197" s="87">
        <v>2.6078860816597986</v>
      </c>
      <c r="F197" s="87">
        <f t="shared" ref="F197:F198" si="136">SUM(D197:E197)</f>
        <v>3.7761764912323077</v>
      </c>
      <c r="G197" s="298">
        <f t="shared" si="128"/>
        <v>3.2140673989906388E-2</v>
      </c>
    </row>
    <row r="198" spans="1:14" x14ac:dyDescent="0.2">
      <c r="A198" s="251" t="str">
        <f t="shared" si="124"/>
        <v xml:space="preserve"> 91 Elementary trades and related occupations</v>
      </c>
      <c r="B198" s="87">
        <v>5.0748527001539321</v>
      </c>
      <c r="C198" s="87">
        <v>5.2300387110082101</v>
      </c>
      <c r="D198" s="87">
        <f t="shared" si="133"/>
        <v>0.15518601085427797</v>
      </c>
      <c r="E198" s="87">
        <v>1.3191842221861831</v>
      </c>
      <c r="F198" s="87">
        <f t="shared" si="136"/>
        <v>1.4743702330404611</v>
      </c>
      <c r="G198" s="298">
        <f t="shared" si="128"/>
        <v>2.3375863534327967E-2</v>
      </c>
    </row>
    <row r="199" spans="1:14" x14ac:dyDescent="0.2">
      <c r="A199" s="251" t="str">
        <f t="shared" si="124"/>
        <v xml:space="preserve"> 92 Elementary administration and service occupations</v>
      </c>
      <c r="B199" s="87">
        <v>27.70522591621933</v>
      </c>
      <c r="C199" s="87">
        <v>26.604869141917437</v>
      </c>
      <c r="D199" s="87">
        <f t="shared" si="133"/>
        <v>-1.1003567743018934</v>
      </c>
      <c r="E199" s="87">
        <v>8.8055736918591503</v>
      </c>
      <c r="F199" s="87">
        <f t="shared" ref="F199" si="137">SUM(D199:E199)</f>
        <v>7.7052169175572569</v>
      </c>
      <c r="G199" s="298">
        <f t="shared" si="128"/>
        <v>2.7983076127402917E-2</v>
      </c>
    </row>
    <row r="200" spans="1:14" x14ac:dyDescent="0.2">
      <c r="A200" s="251" t="str">
        <f t="shared" si="124"/>
        <v>All occupations</v>
      </c>
      <c r="B200" s="87">
        <f>SUM(B175:B199)</f>
        <v>326.79817849481509</v>
      </c>
      <c r="C200" s="87">
        <f>SUM(C175:C199)</f>
        <v>323.65189471574445</v>
      </c>
      <c r="D200" s="87">
        <f>SUM(D175:D199)</f>
        <v>-3.1462837790706901</v>
      </c>
      <c r="E200" s="87">
        <f>SUM(E175:E199)</f>
        <v>99.035136791040927</v>
      </c>
      <c r="F200" s="87">
        <f>SUM(F175:F199)</f>
        <v>95.888853011970227</v>
      </c>
      <c r="G200" s="298">
        <f t="shared" si="128"/>
        <v>2.6823976231468372E-2</v>
      </c>
    </row>
    <row r="202" spans="1:14" ht="38.25" x14ac:dyDescent="0.2">
      <c r="A202" s="299" t="str">
        <f>CONCATENATE(name!F10," (Constrained)")</f>
        <v>RQF2 GCSE(A-C) &amp; equivalent (Constrained)</v>
      </c>
      <c r="B202" s="96">
        <f t="shared" ref="B202:G202" si="138">B118</f>
        <v>2017</v>
      </c>
      <c r="C202" s="96">
        <f t="shared" si="138"/>
        <v>2027</v>
      </c>
      <c r="D202" s="117" t="str">
        <f t="shared" si="138"/>
        <v>Net Change</v>
      </c>
      <c r="E202" s="117" t="str">
        <f t="shared" si="138"/>
        <v>Replacement Demand level</v>
      </c>
      <c r="F202" s="117" t="str">
        <f t="shared" si="138"/>
        <v>Total Requirement</v>
      </c>
      <c r="G202" s="117" t="str">
        <f t="shared" si="138"/>
        <v>Replacement Demand rate</v>
      </c>
    </row>
    <row r="203" spans="1:14" x14ac:dyDescent="0.2">
      <c r="A203" s="251" t="str">
        <f t="shared" ref="A203:A228" si="139">A119</f>
        <v xml:space="preserve"> 11 Corporate managers and directors</v>
      </c>
      <c r="B203" s="87">
        <v>11.26854288028037</v>
      </c>
      <c r="C203" s="87">
        <v>9.5559869873915613</v>
      </c>
      <c r="D203" s="87">
        <f>C203-B203</f>
        <v>-1.7125558928888083</v>
      </c>
      <c r="E203" s="87">
        <v>3.3764549011525835</v>
      </c>
      <c r="F203" s="87">
        <f>SUM(D203:E203)</f>
        <v>1.6638990082637752</v>
      </c>
      <c r="G203" s="298">
        <f>IF(B203&gt;0,(1+(E203/B203))^(1/($C$6-$B$6))-1,0)</f>
        <v>2.6554839787263917E-2</v>
      </c>
    </row>
    <row r="204" spans="1:14" x14ac:dyDescent="0.2">
      <c r="A204" s="251" t="str">
        <f t="shared" si="139"/>
        <v xml:space="preserve"> 12 Other managers and proprietors</v>
      </c>
      <c r="B204" s="87">
        <v>9.5344728119065163</v>
      </c>
      <c r="C204" s="87">
        <v>9.1940323529955545</v>
      </c>
      <c r="D204" s="87">
        <f t="shared" ref="D204:D219" si="140">C204-B204</f>
        <v>-0.34044045891096175</v>
      </c>
      <c r="E204" s="87">
        <v>3.6879625626960078</v>
      </c>
      <c r="F204" s="87">
        <f t="shared" ref="F204:F211" si="141">SUM(D204:E204)</f>
        <v>3.347522103785046</v>
      </c>
      <c r="G204" s="298">
        <f t="shared" ref="G204:G206" si="142">IF(B204&gt;0,(1+(E204/B204))^(1/($C$6-$B$6))-1,0)</f>
        <v>3.3240633070882541E-2</v>
      </c>
    </row>
    <row r="205" spans="1:14" x14ac:dyDescent="0.2">
      <c r="A205" s="251" t="str">
        <f t="shared" si="139"/>
        <v xml:space="preserve"> 21 Science, research, engineering and technology professionals</v>
      </c>
      <c r="B205" s="87">
        <v>4.5029359557783692</v>
      </c>
      <c r="C205" s="87">
        <v>3.6712373027050624</v>
      </c>
      <c r="D205" s="87">
        <f t="shared" si="140"/>
        <v>-0.83169865307330682</v>
      </c>
      <c r="E205" s="87">
        <v>0.98272665727229958</v>
      </c>
      <c r="F205" s="87">
        <f t="shared" si="141"/>
        <v>0.15102800419899276</v>
      </c>
      <c r="G205" s="298">
        <f t="shared" si="142"/>
        <v>1.9936965885095193E-2</v>
      </c>
    </row>
    <row r="206" spans="1:14" x14ac:dyDescent="0.2">
      <c r="A206" s="251" t="str">
        <f t="shared" si="139"/>
        <v xml:space="preserve"> 22 Health professionals</v>
      </c>
      <c r="B206" s="87">
        <v>6.3725419184576673</v>
      </c>
      <c r="C206" s="87">
        <v>6.0226644262491478</v>
      </c>
      <c r="D206" s="87">
        <f t="shared" si="140"/>
        <v>-0.34987749220851949</v>
      </c>
      <c r="E206" s="87">
        <v>2.0720409784772138</v>
      </c>
      <c r="F206" s="87">
        <f t="shared" si="141"/>
        <v>1.7221634862686943</v>
      </c>
      <c r="G206" s="298">
        <f t="shared" si="142"/>
        <v>2.8552703965997628E-2</v>
      </c>
    </row>
    <row r="207" spans="1:14" x14ac:dyDescent="0.2">
      <c r="A207" s="251" t="str">
        <f t="shared" si="139"/>
        <v xml:space="preserve"> 23 Teaching and educational professionals</v>
      </c>
      <c r="B207" s="87">
        <v>2.9538683432068527</v>
      </c>
      <c r="C207" s="87">
        <v>3.633514403982911</v>
      </c>
      <c r="D207" s="87">
        <f t="shared" si="140"/>
        <v>0.67964606077605838</v>
      </c>
      <c r="E207" s="87">
        <v>1.1281124120154757</v>
      </c>
      <c r="F207" s="87">
        <f t="shared" si="141"/>
        <v>1.8077584727915341</v>
      </c>
      <c r="G207" s="298">
        <f>IF(B207&gt;0,(1+(E207/B207))^(1/($C$6-$B$6))-1,0)</f>
        <v>3.2875513887575369E-2</v>
      </c>
    </row>
    <row r="208" spans="1:14" x14ac:dyDescent="0.2">
      <c r="A208" s="251" t="str">
        <f t="shared" si="139"/>
        <v xml:space="preserve"> 24 Business, media and public service professionals</v>
      </c>
      <c r="B208" s="87">
        <v>3.8623469329412345</v>
      </c>
      <c r="C208" s="87">
        <v>3.2064627741737053</v>
      </c>
      <c r="D208" s="87">
        <f t="shared" si="140"/>
        <v>-0.65588415876752926</v>
      </c>
      <c r="E208" s="87">
        <v>1.0179649481961865</v>
      </c>
      <c r="F208" s="87">
        <f t="shared" si="141"/>
        <v>0.36208078942865729</v>
      </c>
      <c r="G208" s="298">
        <f t="shared" ref="G208:G228" si="143">IF(B208&gt;0,(1+(E208/B208))^(1/($C$6-$B$6))-1,0)</f>
        <v>2.3669183616283451E-2</v>
      </c>
    </row>
    <row r="209" spans="1:7" x14ac:dyDescent="0.2">
      <c r="A209" s="251" t="str">
        <f t="shared" si="139"/>
        <v xml:space="preserve"> 31 Science, engineering and technology associate professionals</v>
      </c>
      <c r="B209" s="87">
        <v>3.6288322988924118</v>
      </c>
      <c r="C209" s="87">
        <v>2.788759315732539</v>
      </c>
      <c r="D209" s="87">
        <f t="shared" si="140"/>
        <v>-0.84007298315987278</v>
      </c>
      <c r="E209" s="87">
        <v>0.81433006348402426</v>
      </c>
      <c r="F209" s="87">
        <f t="shared" si="141"/>
        <v>-2.5742919675848519E-2</v>
      </c>
      <c r="G209" s="298">
        <f t="shared" si="143"/>
        <v>2.0451876216038389E-2</v>
      </c>
    </row>
    <row r="210" spans="1:7" x14ac:dyDescent="0.2">
      <c r="A210" s="251" t="str">
        <f t="shared" si="139"/>
        <v xml:space="preserve"> 32 Health and social care associate professionals</v>
      </c>
      <c r="B210" s="87">
        <v>2.8742694919127594</v>
      </c>
      <c r="C210" s="87">
        <v>2.6977420603057838</v>
      </c>
      <c r="D210" s="87">
        <f t="shared" si="140"/>
        <v>-0.17652743160697559</v>
      </c>
      <c r="E210" s="87">
        <v>0.97529253984894393</v>
      </c>
      <c r="F210" s="87">
        <f t="shared" si="141"/>
        <v>0.79876510824196834</v>
      </c>
      <c r="G210" s="298">
        <f t="shared" si="143"/>
        <v>2.9647059834403855E-2</v>
      </c>
    </row>
    <row r="211" spans="1:7" x14ac:dyDescent="0.2">
      <c r="A211" s="251" t="str">
        <f t="shared" si="139"/>
        <v xml:space="preserve"> 33 Protective service occupations</v>
      </c>
      <c r="B211" s="87">
        <v>3.8323981862638812</v>
      </c>
      <c r="C211" s="87">
        <v>2.6869168556648391</v>
      </c>
      <c r="D211" s="87">
        <f t="shared" si="140"/>
        <v>-1.1454813305990421</v>
      </c>
      <c r="E211" s="87">
        <v>0.65013484843922953</v>
      </c>
      <c r="F211" s="87">
        <f t="shared" si="141"/>
        <v>-0.49534648215981258</v>
      </c>
      <c r="G211" s="298">
        <f t="shared" si="143"/>
        <v>1.5793167426547239E-2</v>
      </c>
    </row>
    <row r="212" spans="1:7" x14ac:dyDescent="0.2">
      <c r="A212" s="251" t="str">
        <f t="shared" si="139"/>
        <v xml:space="preserve"> 34 Culture, media and sports occupations</v>
      </c>
      <c r="B212" s="87">
        <v>1.927164401525467</v>
      </c>
      <c r="C212" s="87">
        <v>1.2813422621267612</v>
      </c>
      <c r="D212" s="87">
        <f t="shared" si="140"/>
        <v>-0.64582213939870581</v>
      </c>
      <c r="E212" s="87">
        <v>0.42248197704758728</v>
      </c>
      <c r="F212" s="87">
        <f t="shared" ref="F212:F213" si="144">SUM(D212:E212)</f>
        <v>-0.22334016235111853</v>
      </c>
      <c r="G212" s="298">
        <f t="shared" si="143"/>
        <v>2.0019264526588865E-2</v>
      </c>
    </row>
    <row r="213" spans="1:7" x14ac:dyDescent="0.2">
      <c r="A213" s="251" t="str">
        <f t="shared" si="139"/>
        <v xml:space="preserve"> 35 Business and public service associate professionals</v>
      </c>
      <c r="B213" s="87">
        <v>10.680626403622739</v>
      </c>
      <c r="C213" s="87">
        <v>8.875307683967085</v>
      </c>
      <c r="D213" s="87">
        <f t="shared" si="140"/>
        <v>-1.8053187196556539</v>
      </c>
      <c r="E213" s="87">
        <v>2.8038168121365188</v>
      </c>
      <c r="F213" s="87">
        <f t="shared" si="144"/>
        <v>0.99849809248086485</v>
      </c>
      <c r="G213" s="298">
        <f t="shared" si="143"/>
        <v>2.3584331845409867E-2</v>
      </c>
    </row>
    <row r="214" spans="1:7" x14ac:dyDescent="0.2">
      <c r="A214" s="251" t="str">
        <f t="shared" si="139"/>
        <v xml:space="preserve"> 41 Administrative occupations</v>
      </c>
      <c r="B214" s="87">
        <v>30.756913754098818</v>
      </c>
      <c r="C214" s="87">
        <v>21.584790321842316</v>
      </c>
      <c r="D214" s="87">
        <f t="shared" si="140"/>
        <v>-9.1721234322565017</v>
      </c>
      <c r="E214" s="87">
        <v>8.195480372138972</v>
      </c>
      <c r="F214" s="87">
        <f t="shared" ref="F214:F217" si="145">SUM(D214:E214)</f>
        <v>-0.97664306011752977</v>
      </c>
      <c r="G214" s="298">
        <f t="shared" si="143"/>
        <v>2.3903765356686701E-2</v>
      </c>
    </row>
    <row r="215" spans="1:7" x14ac:dyDescent="0.2">
      <c r="A215" s="251" t="str">
        <f t="shared" si="139"/>
        <v xml:space="preserve"> 42 Secretarial and related occupations</v>
      </c>
      <c r="B215" s="87">
        <v>7.601508661735247</v>
      </c>
      <c r="C215" s="87">
        <v>2.3686408926237728</v>
      </c>
      <c r="D215" s="87">
        <f t="shared" si="140"/>
        <v>-5.2328677691114738</v>
      </c>
      <c r="E215" s="87">
        <v>1.5952360847944236</v>
      </c>
      <c r="F215" s="87">
        <f t="shared" si="145"/>
        <v>-3.63763168431705</v>
      </c>
      <c r="G215" s="298">
        <f t="shared" si="143"/>
        <v>1.9232899845289086E-2</v>
      </c>
    </row>
    <row r="216" spans="1:7" x14ac:dyDescent="0.2">
      <c r="A216" s="251" t="str">
        <f t="shared" si="139"/>
        <v xml:space="preserve"> 51 Skilled agricultural and related trades</v>
      </c>
      <c r="B216" s="87">
        <v>10.057528624960627</v>
      </c>
      <c r="C216" s="87">
        <v>8.8359974269585884</v>
      </c>
      <c r="D216" s="87">
        <f t="shared" si="140"/>
        <v>-1.2215311980020385</v>
      </c>
      <c r="E216" s="87">
        <v>3.3052513322450414</v>
      </c>
      <c r="F216" s="87">
        <f t="shared" si="145"/>
        <v>2.083720134243003</v>
      </c>
      <c r="G216" s="298">
        <f t="shared" si="143"/>
        <v>2.8822737874380389E-2</v>
      </c>
    </row>
    <row r="217" spans="1:7" x14ac:dyDescent="0.2">
      <c r="A217" s="251" t="str">
        <f t="shared" si="139"/>
        <v xml:space="preserve"> 52 Skilled metal, electrical and electronic trades</v>
      </c>
      <c r="B217" s="87">
        <v>14.653509272329392</v>
      </c>
      <c r="C217" s="87">
        <v>10.608402701782198</v>
      </c>
      <c r="D217" s="87">
        <f t="shared" si="140"/>
        <v>-4.045106570547194</v>
      </c>
      <c r="E217" s="87">
        <v>3.1966457283629399</v>
      </c>
      <c r="F217" s="87">
        <f t="shared" si="145"/>
        <v>-0.8484608421842541</v>
      </c>
      <c r="G217" s="298">
        <f t="shared" si="143"/>
        <v>1.9929221716879608E-2</v>
      </c>
    </row>
    <row r="218" spans="1:7" x14ac:dyDescent="0.2">
      <c r="A218" s="251" t="str">
        <f t="shared" si="139"/>
        <v xml:space="preserve"> 53 Skilled construction and building trades</v>
      </c>
      <c r="B218" s="87">
        <v>17.547084355894896</v>
      </c>
      <c r="C218" s="87">
        <v>17.953913501179319</v>
      </c>
      <c r="D218" s="87">
        <f t="shared" si="140"/>
        <v>0.40682914528442282</v>
      </c>
      <c r="E218" s="87">
        <v>5.5034561924920329</v>
      </c>
      <c r="F218" s="87">
        <f t="shared" ref="F218" si="146">SUM(D218:E218)</f>
        <v>5.9102853377764557</v>
      </c>
      <c r="G218" s="298">
        <f t="shared" si="143"/>
        <v>2.7655651720487784E-2</v>
      </c>
    </row>
    <row r="219" spans="1:7" x14ac:dyDescent="0.2">
      <c r="A219" s="251" t="str">
        <f t="shared" si="139"/>
        <v xml:space="preserve"> 54 Textiles, printing and other skilled trades</v>
      </c>
      <c r="B219" s="87">
        <v>11.627635527862285</v>
      </c>
      <c r="C219" s="87">
        <v>7.3956619263117664</v>
      </c>
      <c r="D219" s="87">
        <f t="shared" si="140"/>
        <v>-4.2319736015505187</v>
      </c>
      <c r="E219" s="87">
        <v>2.4947716989479254</v>
      </c>
      <c r="F219" s="87">
        <f t="shared" ref="F219" si="147">SUM(D219:E219)</f>
        <v>-1.7372019026025933</v>
      </c>
      <c r="G219" s="298">
        <f t="shared" si="143"/>
        <v>1.9627950470822997E-2</v>
      </c>
    </row>
    <row r="220" spans="1:7" x14ac:dyDescent="0.2">
      <c r="A220" s="251" t="str">
        <f t="shared" si="139"/>
        <v xml:space="preserve"> 61 Caring personal service occupations</v>
      </c>
      <c r="B220" s="87">
        <v>38.437573268366329</v>
      </c>
      <c r="C220" s="87">
        <v>38.88676485223646</v>
      </c>
      <c r="D220" s="87">
        <f>C220-B220</f>
        <v>0.44919158387013169</v>
      </c>
      <c r="E220" s="87">
        <v>13.257251242502498</v>
      </c>
      <c r="F220" s="87">
        <f>SUM(D220:E220)</f>
        <v>13.70644282637263</v>
      </c>
      <c r="G220" s="298">
        <f t="shared" si="143"/>
        <v>3.0075624982832228E-2</v>
      </c>
    </row>
    <row r="221" spans="1:7" x14ac:dyDescent="0.2">
      <c r="A221" s="251" t="str">
        <f t="shared" si="139"/>
        <v xml:space="preserve"> 62 Leisure, travel and related personal service occupations</v>
      </c>
      <c r="B221" s="87">
        <v>9.0503421521512273</v>
      </c>
      <c r="C221" s="87">
        <v>7.3454687243949524</v>
      </c>
      <c r="D221" s="87">
        <f t="shared" ref="D221:D227" si="148">C221-B221</f>
        <v>-1.7048734277562749</v>
      </c>
      <c r="E221" s="87">
        <v>2.6605421578001627</v>
      </c>
      <c r="F221" s="87">
        <f t="shared" ref="F221:F222" si="149">SUM(D221:E221)</f>
        <v>0.95566873004388775</v>
      </c>
      <c r="G221" s="298">
        <f t="shared" si="143"/>
        <v>2.6106572143895113E-2</v>
      </c>
    </row>
    <row r="222" spans="1:7" x14ac:dyDescent="0.2">
      <c r="A222" s="251" t="str">
        <f t="shared" si="139"/>
        <v xml:space="preserve"> 71 Sales occupations</v>
      </c>
      <c r="B222" s="87">
        <v>25.883221728710382</v>
      </c>
      <c r="C222" s="87">
        <v>22.747496777836368</v>
      </c>
      <c r="D222" s="87">
        <f t="shared" si="148"/>
        <v>-3.1357249508740139</v>
      </c>
      <c r="E222" s="87">
        <v>8.4001477905237518</v>
      </c>
      <c r="F222" s="87">
        <f t="shared" si="149"/>
        <v>5.2644228396497379</v>
      </c>
      <c r="G222" s="298">
        <f t="shared" si="143"/>
        <v>2.8505259015048301E-2</v>
      </c>
    </row>
    <row r="223" spans="1:7" x14ac:dyDescent="0.2">
      <c r="A223" s="251" t="str">
        <f t="shared" si="139"/>
        <v xml:space="preserve"> 72 Customer service occupations</v>
      </c>
      <c r="B223" s="87">
        <v>7.4882178709890095</v>
      </c>
      <c r="C223" s="87">
        <v>8.2974752902876876</v>
      </c>
      <c r="D223" s="87">
        <f t="shared" si="148"/>
        <v>0.80925741929867812</v>
      </c>
      <c r="E223" s="87">
        <v>2.5547902145547576</v>
      </c>
      <c r="F223" s="87">
        <f t="shared" ref="F223:F224" si="150">SUM(D223:E223)</f>
        <v>3.3640476338534357</v>
      </c>
      <c r="G223" s="298">
        <f t="shared" si="143"/>
        <v>2.9789677175218188E-2</v>
      </c>
    </row>
    <row r="224" spans="1:7" x14ac:dyDescent="0.2">
      <c r="A224" s="251" t="str">
        <f t="shared" si="139"/>
        <v xml:space="preserve"> 81 Process, plant and machine operatives</v>
      </c>
      <c r="B224" s="87">
        <v>23.783012245782459</v>
      </c>
      <c r="C224" s="87">
        <v>21.143630472682634</v>
      </c>
      <c r="D224" s="87">
        <f t="shared" si="148"/>
        <v>-2.6393817730998244</v>
      </c>
      <c r="E224" s="87">
        <v>6.3634673466216727</v>
      </c>
      <c r="F224" s="87">
        <f t="shared" si="150"/>
        <v>3.7240855735218483</v>
      </c>
      <c r="G224" s="298">
        <f t="shared" si="143"/>
        <v>2.3992968466250542E-2</v>
      </c>
    </row>
    <row r="225" spans="1:7" x14ac:dyDescent="0.2">
      <c r="A225" s="251" t="str">
        <f t="shared" si="139"/>
        <v xml:space="preserve"> 82 Transport and mobile machine drivers and operatives</v>
      </c>
      <c r="B225" s="87">
        <v>10.400262400660598</v>
      </c>
      <c r="C225" s="87">
        <v>10.256401743901414</v>
      </c>
      <c r="D225" s="87">
        <f t="shared" si="148"/>
        <v>-0.14386065675918402</v>
      </c>
      <c r="E225" s="87">
        <v>3.8703408525452159</v>
      </c>
      <c r="F225" s="87">
        <f t="shared" ref="F225:F226" si="151">SUM(D225:E225)</f>
        <v>3.7264801957860318</v>
      </c>
      <c r="G225" s="298">
        <f t="shared" si="143"/>
        <v>3.2142838432962284E-2</v>
      </c>
    </row>
    <row r="226" spans="1:7" x14ac:dyDescent="0.2">
      <c r="A226" s="251" t="str">
        <f t="shared" si="139"/>
        <v xml:space="preserve"> 91 Elementary trades and related occupations</v>
      </c>
      <c r="B226" s="87">
        <v>7.8585845373971575</v>
      </c>
      <c r="C226" s="87">
        <v>7.2396417245113502</v>
      </c>
      <c r="D226" s="87">
        <f t="shared" si="148"/>
        <v>-0.61894281288580721</v>
      </c>
      <c r="E226" s="87">
        <v>2.1017715704406967</v>
      </c>
      <c r="F226" s="87">
        <f t="shared" si="151"/>
        <v>1.4828287575548895</v>
      </c>
      <c r="G226" s="298">
        <f t="shared" si="143"/>
        <v>2.3983723921715994E-2</v>
      </c>
    </row>
    <row r="227" spans="1:7" x14ac:dyDescent="0.2">
      <c r="A227" s="251" t="str">
        <f t="shared" si="139"/>
        <v xml:space="preserve"> 92 Elementary administration and service occupations</v>
      </c>
      <c r="B227" s="87">
        <v>42.290548919396024</v>
      </c>
      <c r="C227" s="87">
        <v>41.49751560102704</v>
      </c>
      <c r="D227" s="87">
        <f t="shared" si="148"/>
        <v>-0.79303331836898394</v>
      </c>
      <c r="E227" s="87">
        <v>14.406979402064662</v>
      </c>
      <c r="F227" s="87">
        <f t="shared" ref="F227" si="152">SUM(D227:E227)</f>
        <v>13.613946083695678</v>
      </c>
      <c r="G227" s="298">
        <f t="shared" si="143"/>
        <v>2.9750663462202009E-2</v>
      </c>
    </row>
    <row r="228" spans="1:7" x14ac:dyDescent="0.2">
      <c r="A228" s="251" t="str">
        <f t="shared" si="139"/>
        <v>All occupations</v>
      </c>
      <c r="B228" s="87">
        <f>SUM(B203:B227)</f>
        <v>318.87394294512268</v>
      </c>
      <c r="C228" s="87">
        <f>SUM(C203:C227)</f>
        <v>279.77576838287087</v>
      </c>
      <c r="D228" s="87">
        <f>SUM(D203:D227)</f>
        <v>-39.098174562251899</v>
      </c>
      <c r="E228" s="87">
        <f>SUM(E203:E227)</f>
        <v>95.837450686800835</v>
      </c>
      <c r="F228" s="87">
        <f>SUM(F203:F227)</f>
        <v>56.73927612454893</v>
      </c>
      <c r="G228" s="298">
        <f t="shared" si="143"/>
        <v>2.6627027481930909E-2</v>
      </c>
    </row>
    <row r="230" spans="1:7" ht="38.25" x14ac:dyDescent="0.2">
      <c r="A230" s="299" t="str">
        <f>CONCATENATE(name!F11," (Constrained)")</f>
        <v>RQF1 GCSE(below grade C) &amp; equivalent (Constrained)</v>
      </c>
      <c r="B230" s="96">
        <f t="shared" ref="B230:G230" si="153">B146</f>
        <v>2017</v>
      </c>
      <c r="C230" s="96">
        <f t="shared" si="153"/>
        <v>2027</v>
      </c>
      <c r="D230" s="117" t="str">
        <f t="shared" si="153"/>
        <v>Net Change</v>
      </c>
      <c r="E230" s="117" t="str">
        <f t="shared" si="153"/>
        <v>Replacement Demand level</v>
      </c>
      <c r="F230" s="117" t="str">
        <f t="shared" si="153"/>
        <v>Total Requirement</v>
      </c>
      <c r="G230" s="117" t="str">
        <f t="shared" si="153"/>
        <v>Replacement Demand rate</v>
      </c>
    </row>
    <row r="231" spans="1:7" x14ac:dyDescent="0.2">
      <c r="A231" s="251" t="str">
        <f t="shared" ref="A231:A256" si="154">A147</f>
        <v xml:space="preserve"> 11 Corporate managers and directors</v>
      </c>
      <c r="B231" s="87">
        <v>7.1396985417921597</v>
      </c>
      <c r="C231" s="87">
        <v>6.7190808978723382</v>
      </c>
      <c r="D231" s="87">
        <f>C231-B231</f>
        <v>-0.42061764391982148</v>
      </c>
      <c r="E231" s="87">
        <v>1.972974335615659</v>
      </c>
      <c r="F231" s="87">
        <f>SUM(D231:E231)</f>
        <v>1.5523566916958376</v>
      </c>
      <c r="G231" s="298">
        <f>IF(B231&gt;0,(1+(E231/B231))^(1/($C$6-$B$6))-1,0)</f>
        <v>2.469965631101223E-2</v>
      </c>
    </row>
    <row r="232" spans="1:7" x14ac:dyDescent="0.2">
      <c r="A232" s="251" t="str">
        <f t="shared" si="154"/>
        <v xml:space="preserve"> 12 Other managers and proprietors</v>
      </c>
      <c r="B232" s="87">
        <v>6.3686946322645843</v>
      </c>
      <c r="C232" s="87">
        <v>5.0420481585950059</v>
      </c>
      <c r="D232" s="87">
        <f t="shared" ref="D232:D247" si="155">C232-B232</f>
        <v>-1.3266464736695784</v>
      </c>
      <c r="E232" s="87">
        <v>1.7179050183006379</v>
      </c>
      <c r="F232" s="87">
        <f t="shared" ref="F232:F239" si="156">SUM(D232:E232)</f>
        <v>0.39125854463105947</v>
      </c>
      <c r="G232" s="298">
        <f t="shared" ref="G232:G234" si="157">IF(B232&gt;0,(1+(E232/B232))^(1/($C$6-$B$6))-1,0)</f>
        <v>2.4168824115633925E-2</v>
      </c>
    </row>
    <row r="233" spans="1:7" x14ac:dyDescent="0.2">
      <c r="A233" s="251" t="str">
        <f t="shared" si="154"/>
        <v xml:space="preserve"> 21 Science, research, engineering and technology professionals</v>
      </c>
      <c r="B233" s="87">
        <v>2.6154031168182503</v>
      </c>
      <c r="C233" s="87">
        <v>2.0030247645167298</v>
      </c>
      <c r="D233" s="87">
        <f t="shared" si="155"/>
        <v>-0.61237835230152049</v>
      </c>
      <c r="E233" s="87">
        <v>0.47631125402803765</v>
      </c>
      <c r="F233" s="87">
        <f t="shared" si="156"/>
        <v>-0.13606709827348284</v>
      </c>
      <c r="G233" s="298">
        <f t="shared" si="157"/>
        <v>1.687149366961771E-2</v>
      </c>
    </row>
    <row r="234" spans="1:7" x14ac:dyDescent="0.2">
      <c r="A234" s="251" t="str">
        <f t="shared" si="154"/>
        <v xml:space="preserve"> 22 Health professionals</v>
      </c>
      <c r="B234" s="87">
        <v>3.7795016192012976</v>
      </c>
      <c r="C234" s="87">
        <v>3.1148812659368166</v>
      </c>
      <c r="D234" s="87">
        <f t="shared" si="155"/>
        <v>-0.66462035326448099</v>
      </c>
      <c r="E234" s="87">
        <v>0.85288925861033071</v>
      </c>
      <c r="F234" s="87">
        <f t="shared" si="156"/>
        <v>0.18826890534584972</v>
      </c>
      <c r="G234" s="298">
        <f t="shared" si="157"/>
        <v>2.0556530761796532E-2</v>
      </c>
    </row>
    <row r="235" spans="1:7" x14ac:dyDescent="0.2">
      <c r="A235" s="251" t="str">
        <f t="shared" si="154"/>
        <v xml:space="preserve"> 23 Teaching and educational professionals</v>
      </c>
      <c r="B235" s="87">
        <v>2.4830464895393494</v>
      </c>
      <c r="C235" s="87">
        <v>2.7444114059908009</v>
      </c>
      <c r="D235" s="87">
        <f t="shared" si="155"/>
        <v>0.26136491645145155</v>
      </c>
      <c r="E235" s="87">
        <v>0.70891472308948211</v>
      </c>
      <c r="F235" s="87">
        <f t="shared" si="156"/>
        <v>0.97027963954093366</v>
      </c>
      <c r="G235" s="298">
        <f>IF(B235&gt;0,(1+(E235/B235))^(1/($C$6-$B$6))-1,0)</f>
        <v>2.5432966619355568E-2</v>
      </c>
    </row>
    <row r="236" spans="1:7" x14ac:dyDescent="0.2">
      <c r="A236" s="251" t="str">
        <f t="shared" si="154"/>
        <v xml:space="preserve"> 24 Business, media and public service professionals</v>
      </c>
      <c r="B236" s="87">
        <v>2.567215301248408</v>
      </c>
      <c r="C236" s="87">
        <v>2.2667904617576338</v>
      </c>
      <c r="D236" s="87">
        <f t="shared" si="155"/>
        <v>-0.30042483949077425</v>
      </c>
      <c r="E236" s="87">
        <v>0.60781480557793643</v>
      </c>
      <c r="F236" s="87">
        <f t="shared" si="156"/>
        <v>0.30738996608716218</v>
      </c>
      <c r="G236" s="298">
        <f t="shared" ref="G236:G256" si="158">IF(B236&gt;0,(1+(E236/B236))^(1/($C$6-$B$6))-1,0)</f>
        <v>2.1476913434051115E-2</v>
      </c>
    </row>
    <row r="237" spans="1:7" x14ac:dyDescent="0.2">
      <c r="A237" s="251" t="str">
        <f t="shared" si="154"/>
        <v xml:space="preserve"> 31 Science, engineering and technology associate professionals</v>
      </c>
      <c r="B237" s="87">
        <v>2.7298184385891835</v>
      </c>
      <c r="C237" s="87">
        <v>2.3879829788746574</v>
      </c>
      <c r="D237" s="87">
        <f t="shared" si="155"/>
        <v>-0.34183545971452611</v>
      </c>
      <c r="E237" s="87">
        <v>0.60509960907859417</v>
      </c>
      <c r="F237" s="87">
        <f t="shared" si="156"/>
        <v>0.26326414936406806</v>
      </c>
      <c r="G237" s="298">
        <f>IF(B237&gt;0,(1+(E237/B237))^(1/($C$6-$B$6))-1,0)</f>
        <v>2.0223071024063177E-2</v>
      </c>
    </row>
    <row r="238" spans="1:7" x14ac:dyDescent="0.2">
      <c r="A238" s="251" t="str">
        <f t="shared" si="154"/>
        <v xml:space="preserve"> 32 Health and social care associate professionals</v>
      </c>
      <c r="B238" s="87">
        <v>1.5183133609867887</v>
      </c>
      <c r="C238" s="87">
        <v>1.0890175152858639</v>
      </c>
      <c r="D238" s="87">
        <f t="shared" si="155"/>
        <v>-0.42929584570092483</v>
      </c>
      <c r="E238" s="87">
        <v>0.33356087523611727</v>
      </c>
      <c r="F238" s="87">
        <f t="shared" si="156"/>
        <v>-9.5734970464807556E-2</v>
      </c>
      <c r="G238" s="298">
        <f t="shared" si="158"/>
        <v>2.0058332011833047E-2</v>
      </c>
    </row>
    <row r="239" spans="1:7" x14ac:dyDescent="0.2">
      <c r="A239" s="251" t="str">
        <f t="shared" si="154"/>
        <v xml:space="preserve"> 33 Protective service occupations</v>
      </c>
      <c r="B239" s="87">
        <v>2.0832112601881891</v>
      </c>
      <c r="C239" s="87">
        <v>1.6851469283878473</v>
      </c>
      <c r="D239" s="87">
        <f t="shared" si="155"/>
        <v>-0.39806433180034184</v>
      </c>
      <c r="E239" s="87">
        <v>0.37899164304455163</v>
      </c>
      <c r="F239" s="87">
        <f t="shared" si="156"/>
        <v>-1.9072688755790213E-2</v>
      </c>
      <c r="G239" s="298">
        <f t="shared" si="158"/>
        <v>1.6855056245186129E-2</v>
      </c>
    </row>
    <row r="240" spans="1:7" x14ac:dyDescent="0.2">
      <c r="A240" s="251" t="str">
        <f t="shared" si="154"/>
        <v xml:space="preserve"> 34 Culture, media and sports occupations</v>
      </c>
      <c r="B240" s="87">
        <v>1.7273572041183831</v>
      </c>
      <c r="C240" s="87">
        <v>1.0820238148435053</v>
      </c>
      <c r="D240" s="87">
        <f t="shared" si="155"/>
        <v>-0.64533338927487782</v>
      </c>
      <c r="E240" s="87">
        <v>0.33037613860763138</v>
      </c>
      <c r="F240" s="87">
        <f t="shared" ref="F240:F241" si="159">SUM(D240:E240)</f>
        <v>-0.31495725066724645</v>
      </c>
      <c r="G240" s="298">
        <f t="shared" si="158"/>
        <v>1.7655288634333965E-2</v>
      </c>
    </row>
    <row r="241" spans="1:7" x14ac:dyDescent="0.2">
      <c r="A241" s="251" t="str">
        <f t="shared" si="154"/>
        <v xml:space="preserve"> 35 Business and public service associate professionals</v>
      </c>
      <c r="B241" s="87">
        <v>6.3986676327547523</v>
      </c>
      <c r="C241" s="87">
        <v>4.675545952705459</v>
      </c>
      <c r="D241" s="87">
        <f t="shared" si="155"/>
        <v>-1.7231216800492932</v>
      </c>
      <c r="E241" s="87">
        <v>1.268014704034256</v>
      </c>
      <c r="F241" s="87">
        <f t="shared" si="159"/>
        <v>-0.45510697601503725</v>
      </c>
      <c r="G241" s="298">
        <f t="shared" si="158"/>
        <v>1.8243840564659664E-2</v>
      </c>
    </row>
    <row r="242" spans="1:7" x14ac:dyDescent="0.2">
      <c r="A242" s="251" t="str">
        <f t="shared" si="154"/>
        <v xml:space="preserve"> 41 Administrative occupations</v>
      </c>
      <c r="B242" s="87">
        <v>16.542666500887609</v>
      </c>
      <c r="C242" s="87">
        <v>6.8901127126362729</v>
      </c>
      <c r="D242" s="87">
        <f t="shared" si="155"/>
        <v>-9.6525537882513355</v>
      </c>
      <c r="E242" s="87">
        <v>2.7027924493451616</v>
      </c>
      <c r="F242" s="87">
        <f t="shared" ref="F242:F245" si="160">SUM(D242:E242)</f>
        <v>-6.9497613389061739</v>
      </c>
      <c r="G242" s="298">
        <f t="shared" si="158"/>
        <v>1.5248311283509786E-2</v>
      </c>
    </row>
    <row r="243" spans="1:7" x14ac:dyDescent="0.2">
      <c r="A243" s="251" t="str">
        <f t="shared" si="154"/>
        <v xml:space="preserve"> 42 Secretarial and related occupations</v>
      </c>
      <c r="B243" s="87">
        <v>7.8120832068974906</v>
      </c>
      <c r="C243" s="87">
        <v>1.8523598162780108</v>
      </c>
      <c r="D243" s="87">
        <f t="shared" si="155"/>
        <v>-5.9597233906194802</v>
      </c>
      <c r="E243" s="87">
        <v>1.190065842870065</v>
      </c>
      <c r="F243" s="87">
        <f t="shared" si="160"/>
        <v>-4.7696575477494152</v>
      </c>
      <c r="G243" s="298">
        <f t="shared" si="158"/>
        <v>1.4280167993645287E-2</v>
      </c>
    </row>
    <row r="244" spans="1:7" x14ac:dyDescent="0.2">
      <c r="A244" s="251" t="str">
        <f t="shared" si="154"/>
        <v xml:space="preserve"> 51 Skilled agricultural and related trades</v>
      </c>
      <c r="B244" s="87">
        <v>7.7112233126185723</v>
      </c>
      <c r="C244" s="87">
        <v>6.2916118678408397</v>
      </c>
      <c r="D244" s="87">
        <f t="shared" si="155"/>
        <v>-1.4196114447777326</v>
      </c>
      <c r="E244" s="87">
        <v>2.0712300189242154</v>
      </c>
      <c r="F244" s="87">
        <f t="shared" si="160"/>
        <v>0.65161857414648283</v>
      </c>
      <c r="G244" s="298">
        <f t="shared" si="158"/>
        <v>2.4076618301820174E-2</v>
      </c>
    </row>
    <row r="245" spans="1:7" x14ac:dyDescent="0.2">
      <c r="A245" s="251" t="str">
        <f t="shared" si="154"/>
        <v xml:space="preserve"> 52 Skilled metal, electrical and electronic trades</v>
      </c>
      <c r="B245" s="87">
        <v>6.9098267440912533</v>
      </c>
      <c r="C245" s="87">
        <v>5.0171003532059206</v>
      </c>
      <c r="D245" s="87">
        <f t="shared" si="155"/>
        <v>-1.8927263908853327</v>
      </c>
      <c r="E245" s="87">
        <v>1.4262200460188827</v>
      </c>
      <c r="F245" s="87">
        <f t="shared" si="160"/>
        <v>-0.46650634486644993</v>
      </c>
      <c r="G245" s="298">
        <f t="shared" si="158"/>
        <v>1.8941612091948778E-2</v>
      </c>
    </row>
    <row r="246" spans="1:7" x14ac:dyDescent="0.2">
      <c r="A246" s="251" t="str">
        <f t="shared" si="154"/>
        <v xml:space="preserve"> 53 Skilled construction and building trades</v>
      </c>
      <c r="B246" s="87">
        <v>8.5856651223326388</v>
      </c>
      <c r="C246" s="87">
        <v>8.6242209403393133</v>
      </c>
      <c r="D246" s="87">
        <f t="shared" si="155"/>
        <v>3.8555818006674514E-2</v>
      </c>
      <c r="E246" s="87">
        <v>2.3853081029007233</v>
      </c>
      <c r="F246" s="87">
        <f t="shared" ref="F246" si="161">SUM(D246:E246)</f>
        <v>2.4238639209073978</v>
      </c>
      <c r="G246" s="298">
        <f t="shared" si="158"/>
        <v>2.4818887754504582E-2</v>
      </c>
    </row>
    <row r="247" spans="1:7" x14ac:dyDescent="0.2">
      <c r="A247" s="251" t="str">
        <f t="shared" si="154"/>
        <v xml:space="preserve"> 54 Textiles, printing and other skilled trades</v>
      </c>
      <c r="B247" s="87">
        <v>9.8189588584338896</v>
      </c>
      <c r="C247" s="87">
        <v>7.9639012666434885</v>
      </c>
      <c r="D247" s="87">
        <f t="shared" si="155"/>
        <v>-1.8550575917904011</v>
      </c>
      <c r="E247" s="87">
        <v>2.1108372081210569</v>
      </c>
      <c r="F247" s="87">
        <f t="shared" ref="F247" si="162">SUM(D247:E247)</f>
        <v>0.25577961633065582</v>
      </c>
      <c r="G247" s="298">
        <f t="shared" si="158"/>
        <v>1.9663228622041284E-2</v>
      </c>
    </row>
    <row r="248" spans="1:7" x14ac:dyDescent="0.2">
      <c r="A248" s="251" t="str">
        <f t="shared" si="154"/>
        <v xml:space="preserve"> 61 Caring personal service occupations</v>
      </c>
      <c r="B248" s="87">
        <v>8.2377642460591733</v>
      </c>
      <c r="C248" s="87">
        <v>4.882716560645604</v>
      </c>
      <c r="D248" s="87">
        <f>C248-B248</f>
        <v>-3.3550476854135693</v>
      </c>
      <c r="E248" s="87">
        <v>1.2198186280690304</v>
      </c>
      <c r="F248" s="87">
        <f>SUM(D248:E248)</f>
        <v>-2.1352290573445387</v>
      </c>
      <c r="G248" s="298">
        <f t="shared" si="158"/>
        <v>1.3904567911039889E-2</v>
      </c>
    </row>
    <row r="249" spans="1:7" x14ac:dyDescent="0.2">
      <c r="A249" s="251" t="str">
        <f t="shared" si="154"/>
        <v xml:space="preserve"> 62 Leisure, travel and related personal service occupations</v>
      </c>
      <c r="B249" s="87">
        <v>6.2221540537974578</v>
      </c>
      <c r="C249" s="87">
        <v>5.4503230224671766</v>
      </c>
      <c r="D249" s="87">
        <f t="shared" ref="D249:D255" si="163">C249-B249</f>
        <v>-0.77183103133028119</v>
      </c>
      <c r="E249" s="87">
        <v>1.5457273079571223</v>
      </c>
      <c r="F249" s="87">
        <f t="shared" ref="F249:F250" si="164">SUM(D249:E249)</f>
        <v>0.77389627662684113</v>
      </c>
      <c r="G249" s="298">
        <f t="shared" si="158"/>
        <v>2.2436117334369232E-2</v>
      </c>
    </row>
    <row r="250" spans="1:7" x14ac:dyDescent="0.2">
      <c r="A250" s="251" t="str">
        <f t="shared" si="154"/>
        <v xml:space="preserve"> 71 Sales occupations</v>
      </c>
      <c r="B250" s="87">
        <v>17.823498433078807</v>
      </c>
      <c r="C250" s="87">
        <v>10.447706389593787</v>
      </c>
      <c r="D250" s="87">
        <f t="shared" si="163"/>
        <v>-7.3757920434850206</v>
      </c>
      <c r="E250" s="87">
        <v>3.5423389249940866</v>
      </c>
      <c r="F250" s="87">
        <f t="shared" si="164"/>
        <v>-3.833453118490934</v>
      </c>
      <c r="G250" s="298">
        <f t="shared" si="158"/>
        <v>1.8292855223129179E-2</v>
      </c>
    </row>
    <row r="251" spans="1:7" x14ac:dyDescent="0.2">
      <c r="A251" s="251" t="str">
        <f t="shared" si="154"/>
        <v xml:space="preserve"> 72 Customer service occupations</v>
      </c>
      <c r="B251" s="87">
        <v>3.9588373509271202</v>
      </c>
      <c r="C251" s="87">
        <v>3.3027341689924397</v>
      </c>
      <c r="D251" s="87">
        <f t="shared" si="163"/>
        <v>-0.65610318193468053</v>
      </c>
      <c r="E251" s="87">
        <v>0.7913333135169478</v>
      </c>
      <c r="F251" s="87">
        <f t="shared" ref="F251:F252" si="165">SUM(D251:E251)</f>
        <v>0.13523013158226727</v>
      </c>
      <c r="G251" s="298">
        <f t="shared" si="158"/>
        <v>1.83900686360563E-2</v>
      </c>
    </row>
    <row r="252" spans="1:7" x14ac:dyDescent="0.2">
      <c r="A252" s="251" t="str">
        <f t="shared" si="154"/>
        <v xml:space="preserve"> 81 Process, plant and machine operatives</v>
      </c>
      <c r="B252" s="87">
        <v>18.948107197996578</v>
      </c>
      <c r="C252" s="87">
        <v>12.960999029577904</v>
      </c>
      <c r="D252" s="87">
        <f t="shared" si="163"/>
        <v>-5.9871081684186738</v>
      </c>
      <c r="E252" s="87">
        <v>3.8416602304779848</v>
      </c>
      <c r="F252" s="87">
        <f t="shared" si="165"/>
        <v>-2.145447937940689</v>
      </c>
      <c r="G252" s="298">
        <f t="shared" si="158"/>
        <v>1.8632212818781246E-2</v>
      </c>
    </row>
    <row r="253" spans="1:7" x14ac:dyDescent="0.2">
      <c r="A253" s="251" t="str">
        <f t="shared" si="154"/>
        <v xml:space="preserve"> 82 Transport and mobile machine drivers and operatives</v>
      </c>
      <c r="B253" s="87">
        <v>8.7275625465733508</v>
      </c>
      <c r="C253" s="87">
        <v>7.3622697487429507</v>
      </c>
      <c r="D253" s="87">
        <f t="shared" si="163"/>
        <v>-1.3652927978304001</v>
      </c>
      <c r="E253" s="87">
        <v>2.6428890204271784</v>
      </c>
      <c r="F253" s="87">
        <f t="shared" ref="F253:F254" si="166">SUM(D253:E253)</f>
        <v>1.2775962225967783</v>
      </c>
      <c r="G253" s="298">
        <f t="shared" si="158"/>
        <v>2.6806180933716783E-2</v>
      </c>
    </row>
    <row r="254" spans="1:7" x14ac:dyDescent="0.2">
      <c r="A254" s="251" t="str">
        <f t="shared" si="154"/>
        <v xml:space="preserve"> 91 Elementary trades and related occupations</v>
      </c>
      <c r="B254" s="87">
        <v>8.787142255249794</v>
      </c>
      <c r="C254" s="87">
        <v>8.6050967791658213</v>
      </c>
      <c r="D254" s="87">
        <f t="shared" si="163"/>
        <v>-0.1820454760839727</v>
      </c>
      <c r="E254" s="87">
        <v>2.3490206169316243</v>
      </c>
      <c r="F254" s="87">
        <f t="shared" si="166"/>
        <v>2.1669751408476516</v>
      </c>
      <c r="G254" s="298">
        <f t="shared" si="158"/>
        <v>2.3973675077962886E-2</v>
      </c>
    </row>
    <row r="255" spans="1:7" x14ac:dyDescent="0.2">
      <c r="A255" s="251" t="str">
        <f t="shared" si="154"/>
        <v xml:space="preserve"> 92 Elementary administration and service occupations</v>
      </c>
      <c r="B255" s="87">
        <v>35.808750800811708</v>
      </c>
      <c r="C255" s="87">
        <v>29.020922459925401</v>
      </c>
      <c r="D255" s="87">
        <f t="shared" si="163"/>
        <v>-6.7878283408863069</v>
      </c>
      <c r="E255" s="87">
        <v>8.7179450814765591</v>
      </c>
      <c r="F255" s="87">
        <f t="shared" ref="F255" si="167">SUM(D255:E255)</f>
        <v>1.9301167405902522</v>
      </c>
      <c r="G255" s="298">
        <f t="shared" si="158"/>
        <v>2.2028790108480134E-2</v>
      </c>
    </row>
    <row r="256" spans="1:7" x14ac:dyDescent="0.2">
      <c r="A256" s="251" t="str">
        <f t="shared" si="154"/>
        <v>All occupations</v>
      </c>
      <c r="B256" s="87">
        <f>SUM(B231:B255)</f>
        <v>205.30516822725679</v>
      </c>
      <c r="C256" s="87">
        <f>SUM(C231:C255)</f>
        <v>151.48202926082161</v>
      </c>
      <c r="D256" s="87">
        <f>SUM(D231:D255)</f>
        <v>-53.823138966435202</v>
      </c>
      <c r="E256" s="87">
        <f>SUM(E231:E255)</f>
        <v>45.790039157253872</v>
      </c>
      <c r="F256" s="87">
        <f>SUM(F231:F255)</f>
        <v>-8.0330998091813317</v>
      </c>
      <c r="G256" s="298">
        <f t="shared" si="158"/>
        <v>2.0337513526718087E-2</v>
      </c>
    </row>
    <row r="258" spans="1:7" ht="38.25" x14ac:dyDescent="0.2">
      <c r="A258" s="299" t="str">
        <f>CONCATENATE(name!F12," (Constrained)")</f>
        <v>No Qualification (Constrained)</v>
      </c>
      <c r="B258" s="96">
        <f t="shared" ref="B258:G258" si="168">B174</f>
        <v>2017</v>
      </c>
      <c r="C258" s="96">
        <f t="shared" si="168"/>
        <v>2027</v>
      </c>
      <c r="D258" s="117" t="str">
        <f t="shared" si="168"/>
        <v>Net Change</v>
      </c>
      <c r="E258" s="117" t="str">
        <f t="shared" si="168"/>
        <v>Replacement Demand level</v>
      </c>
      <c r="F258" s="117" t="str">
        <f t="shared" si="168"/>
        <v>Total Requirement</v>
      </c>
      <c r="G258" s="117" t="str">
        <f t="shared" si="168"/>
        <v>Replacement Demand rate</v>
      </c>
    </row>
    <row r="259" spans="1:7" x14ac:dyDescent="0.2">
      <c r="A259" s="251" t="str">
        <f t="shared" ref="A259:A284" si="169">A175</f>
        <v xml:space="preserve"> 11 Corporate managers and directors</v>
      </c>
      <c r="B259" s="87">
        <v>2.0870388652202632</v>
      </c>
      <c r="C259" s="87">
        <v>1.9468136136275245</v>
      </c>
      <c r="D259" s="87">
        <f>C259-B259</f>
        <v>-0.14022525159273869</v>
      </c>
      <c r="E259" s="87">
        <v>0.3983697146460255</v>
      </c>
      <c r="F259" s="87">
        <f>SUM(D259:E259)</f>
        <v>0.25814446305328681</v>
      </c>
      <c r="G259" s="298">
        <f>IF(B259&gt;0,(1+(E259/B259))^(1/($C$6-$B$6))-1,0)</f>
        <v>1.762255820348213E-2</v>
      </c>
    </row>
    <row r="260" spans="1:7" x14ac:dyDescent="0.2">
      <c r="A260" s="251" t="str">
        <f t="shared" si="169"/>
        <v xml:space="preserve"> 12 Other managers and proprietors</v>
      </c>
      <c r="B260" s="87">
        <v>3.2615682098289702</v>
      </c>
      <c r="C260" s="87">
        <v>2.728800226457111</v>
      </c>
      <c r="D260" s="87">
        <f t="shared" ref="D260:D275" si="170">C260-B260</f>
        <v>-0.53276798337185927</v>
      </c>
      <c r="E260" s="87">
        <v>0.64164536313069465</v>
      </c>
      <c r="F260" s="87">
        <f t="shared" ref="F260:F267" si="171">SUM(D260:E260)</f>
        <v>0.10887737975883538</v>
      </c>
      <c r="G260" s="298">
        <f t="shared" ref="G260:G262" si="172">IF(B260&gt;0,(1+(E260/B260))^(1/($C$6-$B$6))-1,0)</f>
        <v>1.8121444458325309E-2</v>
      </c>
    </row>
    <row r="261" spans="1:7" x14ac:dyDescent="0.2">
      <c r="A261" s="251" t="str">
        <f t="shared" si="169"/>
        <v xml:space="preserve"> 21 Science, research, engineering and technology professionals</v>
      </c>
      <c r="B261" s="87">
        <v>0.70190170228417992</v>
      </c>
      <c r="C261" s="87">
        <v>0.79643964718829663</v>
      </c>
      <c r="D261" s="87">
        <f t="shared" si="170"/>
        <v>9.4537944904116711E-2</v>
      </c>
      <c r="E261" s="87">
        <v>0.12639171579492792</v>
      </c>
      <c r="F261" s="87">
        <f t="shared" si="171"/>
        <v>0.22092966069904463</v>
      </c>
      <c r="G261" s="298">
        <f t="shared" si="172"/>
        <v>1.6695242800354171E-2</v>
      </c>
    </row>
    <row r="262" spans="1:7" x14ac:dyDescent="0.2">
      <c r="A262" s="251" t="str">
        <f t="shared" si="169"/>
        <v xml:space="preserve"> 22 Health professionals</v>
      </c>
      <c r="B262" s="87">
        <v>0.33753315810623785</v>
      </c>
      <c r="C262" s="87">
        <v>0.49038373689307674</v>
      </c>
      <c r="D262" s="87">
        <f t="shared" si="170"/>
        <v>0.15285057878683889</v>
      </c>
      <c r="E262" s="87">
        <v>8.3591111926931513E-2</v>
      </c>
      <c r="F262" s="87">
        <f t="shared" si="171"/>
        <v>0.23644169071377041</v>
      </c>
      <c r="G262" s="298">
        <f t="shared" si="172"/>
        <v>2.2373026398414764E-2</v>
      </c>
    </row>
    <row r="263" spans="1:7" x14ac:dyDescent="0.2">
      <c r="A263" s="251" t="str">
        <f t="shared" si="169"/>
        <v xml:space="preserve"> 23 Teaching and educational professionals</v>
      </c>
      <c r="B263" s="87">
        <v>0.61129173712473706</v>
      </c>
      <c r="C263" s="87">
        <v>0.74949759066839738</v>
      </c>
      <c r="D263" s="87">
        <f t="shared" si="170"/>
        <v>0.13820585354366033</v>
      </c>
      <c r="E263" s="87">
        <v>0.1586307847570366</v>
      </c>
      <c r="F263" s="87">
        <f t="shared" si="171"/>
        <v>0.29683663830069695</v>
      </c>
      <c r="G263" s="298">
        <f>IF(B263&gt;0,(1+(E263/B263))^(1/($C$6-$B$6))-1,0)</f>
        <v>2.3339763927985979E-2</v>
      </c>
    </row>
    <row r="264" spans="1:7" x14ac:dyDescent="0.2">
      <c r="A264" s="251" t="str">
        <f t="shared" si="169"/>
        <v xml:space="preserve"> 24 Business, media and public service professionals</v>
      </c>
      <c r="B264" s="87">
        <v>0.71667323018362661</v>
      </c>
      <c r="C264" s="87">
        <v>0.83363598525202698</v>
      </c>
      <c r="D264" s="87">
        <f t="shared" si="170"/>
        <v>0.11696275506840037</v>
      </c>
      <c r="E264" s="87">
        <v>0.16010099020567917</v>
      </c>
      <c r="F264" s="87">
        <f t="shared" si="171"/>
        <v>0.27706374527407951</v>
      </c>
      <c r="G264" s="298">
        <f t="shared" ref="G264" si="173">IF(B264&gt;0,(1+(E264/B264))^(1/($C$6-$B$6))-1,0)</f>
        <v>2.0367597729881393E-2</v>
      </c>
    </row>
    <row r="265" spans="1:7" x14ac:dyDescent="0.2">
      <c r="A265" s="251" t="str">
        <f t="shared" si="169"/>
        <v xml:space="preserve"> 31 Science, engineering and technology associate professionals</v>
      </c>
      <c r="B265" s="87">
        <v>0.55331892407796002</v>
      </c>
      <c r="C265" s="87">
        <v>0.62754679240885425</v>
      </c>
      <c r="D265" s="87">
        <f t="shared" si="170"/>
        <v>7.4227868330894231E-2</v>
      </c>
      <c r="E265" s="87">
        <v>0.12468026089392528</v>
      </c>
      <c r="F265" s="87">
        <f t="shared" si="171"/>
        <v>0.19890812922481951</v>
      </c>
      <c r="G265" s="298">
        <f>IF(B265&gt;0,(1+(E265/B265))^(1/($C$6-$B$6))-1,0)</f>
        <v>2.0529033804882246E-2</v>
      </c>
    </row>
    <row r="266" spans="1:7" x14ac:dyDescent="0.2">
      <c r="A266" s="251" t="str">
        <f t="shared" si="169"/>
        <v xml:space="preserve"> 32 Health and social care associate professionals</v>
      </c>
      <c r="B266" s="87">
        <v>0.15923251568791766</v>
      </c>
      <c r="C266" s="87">
        <v>0.19560851204592603</v>
      </c>
      <c r="D266" s="87">
        <f t="shared" si="170"/>
        <v>3.6375996358008367E-2</v>
      </c>
      <c r="E266" s="87">
        <v>3.8662889103511539E-2</v>
      </c>
      <c r="F266" s="87">
        <f t="shared" si="171"/>
        <v>7.5038885461519905E-2</v>
      </c>
      <c r="G266" s="298">
        <f t="shared" ref="G266:G284" si="174">IF(B266&gt;0,(1+(E266/B266))^(1/($C$6-$B$6))-1,0)</f>
        <v>2.1975290162624672E-2</v>
      </c>
    </row>
    <row r="267" spans="1:7" x14ac:dyDescent="0.2">
      <c r="A267" s="251" t="str">
        <f t="shared" si="169"/>
        <v xml:space="preserve"> 33 Protective service occupations</v>
      </c>
      <c r="B267" s="87">
        <v>0.32148379053759729</v>
      </c>
      <c r="C267" s="87">
        <v>0.14881318649402223</v>
      </c>
      <c r="D267" s="87">
        <f t="shared" si="170"/>
        <v>-0.17267060404357507</v>
      </c>
      <c r="E267" s="87">
        <v>2.9351644773036187E-2</v>
      </c>
      <c r="F267" s="87">
        <f t="shared" si="171"/>
        <v>-0.14331895927053889</v>
      </c>
      <c r="G267" s="298">
        <f t="shared" si="174"/>
        <v>8.7752935191449666E-3</v>
      </c>
    </row>
    <row r="268" spans="1:7" x14ac:dyDescent="0.2">
      <c r="A268" s="251" t="str">
        <f t="shared" si="169"/>
        <v xml:space="preserve"> 34 Culture, media and sports occupations</v>
      </c>
      <c r="B268" s="87">
        <v>0.73200628376544119</v>
      </c>
      <c r="C268" s="87">
        <v>1.0402592216796207</v>
      </c>
      <c r="D268" s="87">
        <f t="shared" si="170"/>
        <v>0.30825293791417951</v>
      </c>
      <c r="E268" s="87">
        <v>0.18968153048126735</v>
      </c>
      <c r="F268" s="87">
        <f t="shared" ref="F268:F269" si="175">SUM(D268:E268)</f>
        <v>0.49793446839544686</v>
      </c>
      <c r="G268" s="298">
        <f t="shared" si="174"/>
        <v>2.3309258916468956E-2</v>
      </c>
    </row>
    <row r="269" spans="1:7" x14ac:dyDescent="0.2">
      <c r="A269" s="251" t="str">
        <f t="shared" si="169"/>
        <v xml:space="preserve"> 35 Business and public service associate professionals</v>
      </c>
      <c r="B269" s="87">
        <v>1.7894716126642241</v>
      </c>
      <c r="C269" s="87">
        <v>1.7201448542868913</v>
      </c>
      <c r="D269" s="87">
        <f t="shared" si="170"/>
        <v>-6.9326758377332709E-2</v>
      </c>
      <c r="E269" s="87">
        <v>0.3323340332948459</v>
      </c>
      <c r="F269" s="87">
        <f t="shared" si="175"/>
        <v>0.26300727491751319</v>
      </c>
      <c r="G269" s="298">
        <f t="shared" si="174"/>
        <v>1.7180623795024053E-2</v>
      </c>
    </row>
    <row r="270" spans="1:7" x14ac:dyDescent="0.2">
      <c r="A270" s="251" t="str">
        <f t="shared" si="169"/>
        <v xml:space="preserve"> 41 Administrative occupations</v>
      </c>
      <c r="B270" s="87">
        <v>4.3445636371915191</v>
      </c>
      <c r="C270" s="87">
        <v>2.590679000646984</v>
      </c>
      <c r="D270" s="87">
        <f t="shared" si="170"/>
        <v>-1.7538846365445351</v>
      </c>
      <c r="E270" s="87">
        <v>0.63190960454333356</v>
      </c>
      <c r="F270" s="87">
        <f t="shared" ref="F270:F273" si="176">SUM(D270:E270)</f>
        <v>-1.1219750320012016</v>
      </c>
      <c r="G270" s="298">
        <f t="shared" si="174"/>
        <v>1.3672234808137507E-2</v>
      </c>
    </row>
    <row r="271" spans="1:7" x14ac:dyDescent="0.2">
      <c r="A271" s="251" t="str">
        <f t="shared" si="169"/>
        <v xml:space="preserve"> 42 Secretarial and related occupations</v>
      </c>
      <c r="B271" s="87">
        <v>1.9566276387075456</v>
      </c>
      <c r="C271" s="87">
        <v>1.1251777883991818</v>
      </c>
      <c r="D271" s="87">
        <f t="shared" si="170"/>
        <v>-0.83144985030836382</v>
      </c>
      <c r="E271" s="87">
        <v>0.37210803447987223</v>
      </c>
      <c r="F271" s="87">
        <f t="shared" si="176"/>
        <v>-0.4593418158284916</v>
      </c>
      <c r="G271" s="298">
        <f t="shared" si="174"/>
        <v>1.7562752034465223E-2</v>
      </c>
    </row>
    <row r="272" spans="1:7" x14ac:dyDescent="0.2">
      <c r="A272" s="251" t="str">
        <f t="shared" si="169"/>
        <v xml:space="preserve"> 51 Skilled agricultural and related trades</v>
      </c>
      <c r="B272" s="87">
        <v>6.6437716368485749</v>
      </c>
      <c r="C272" s="87">
        <v>3.1550848824558031</v>
      </c>
      <c r="D272" s="87">
        <f t="shared" si="170"/>
        <v>-3.4886867543927718</v>
      </c>
      <c r="E272" s="87">
        <v>0.96989574092055097</v>
      </c>
      <c r="F272" s="87">
        <f t="shared" si="176"/>
        <v>-2.5187910134722209</v>
      </c>
      <c r="G272" s="298">
        <f t="shared" si="174"/>
        <v>1.3719779254879771E-2</v>
      </c>
    </row>
    <row r="273" spans="1:7" x14ac:dyDescent="0.2">
      <c r="A273" s="251" t="str">
        <f t="shared" si="169"/>
        <v xml:space="preserve"> 52 Skilled metal, electrical and electronic trades</v>
      </c>
      <c r="B273" s="87">
        <v>2.6433813848856187</v>
      </c>
      <c r="C273" s="87">
        <v>1.2360692420299013</v>
      </c>
      <c r="D273" s="87">
        <f t="shared" si="170"/>
        <v>-1.4073121428557174</v>
      </c>
      <c r="E273" s="87">
        <v>0.33694734829275902</v>
      </c>
      <c r="F273" s="87">
        <f t="shared" si="176"/>
        <v>-1.0703647945629584</v>
      </c>
      <c r="G273" s="298">
        <f t="shared" si="174"/>
        <v>1.2069726542542236E-2</v>
      </c>
    </row>
    <row r="274" spans="1:7" x14ac:dyDescent="0.2">
      <c r="A274" s="251" t="str">
        <f t="shared" si="169"/>
        <v xml:space="preserve"> 53 Skilled construction and building trades</v>
      </c>
      <c r="B274" s="87">
        <v>4.5937425598648405</v>
      </c>
      <c r="C274" s="87">
        <v>2.0473636764682848</v>
      </c>
      <c r="D274" s="87">
        <f t="shared" si="170"/>
        <v>-2.5463788833965557</v>
      </c>
      <c r="E274" s="87">
        <v>0.57561181424119845</v>
      </c>
      <c r="F274" s="87">
        <f t="shared" ref="F274" si="177">SUM(D274:E274)</f>
        <v>-1.9707670691553574</v>
      </c>
      <c r="G274" s="298">
        <f t="shared" si="174"/>
        <v>1.187523096910037E-2</v>
      </c>
    </row>
    <row r="275" spans="1:7" x14ac:dyDescent="0.2">
      <c r="A275" s="251" t="str">
        <f t="shared" si="169"/>
        <v xml:space="preserve"> 54 Textiles, printing and other skilled trades</v>
      </c>
      <c r="B275" s="87">
        <v>4.3932676484711264</v>
      </c>
      <c r="C275" s="87">
        <v>1.8769802054404761</v>
      </c>
      <c r="D275" s="87">
        <f t="shared" si="170"/>
        <v>-2.5162874430306506</v>
      </c>
      <c r="E275" s="87">
        <v>0.56368389285048337</v>
      </c>
      <c r="F275" s="87">
        <f t="shared" ref="F275" si="178">SUM(D275:E275)</f>
        <v>-1.9526035501801671</v>
      </c>
      <c r="G275" s="298">
        <f t="shared" si="174"/>
        <v>1.2144923236845351E-2</v>
      </c>
    </row>
    <row r="276" spans="1:7" x14ac:dyDescent="0.2">
      <c r="A276" s="251" t="str">
        <f t="shared" si="169"/>
        <v xml:space="preserve"> 61 Caring personal service occupations</v>
      </c>
      <c r="B276" s="87">
        <v>1.437355017095137</v>
      </c>
      <c r="C276" s="87">
        <v>1.4587847782738042</v>
      </c>
      <c r="D276" s="87">
        <f>C276-B276</f>
        <v>2.1429761178667128E-2</v>
      </c>
      <c r="E276" s="87">
        <v>0.22049587657089489</v>
      </c>
      <c r="F276" s="87">
        <f>SUM(D276:E276)</f>
        <v>0.24192563774956202</v>
      </c>
      <c r="G276" s="298">
        <f t="shared" si="174"/>
        <v>1.437407665827406E-2</v>
      </c>
    </row>
    <row r="277" spans="1:7" x14ac:dyDescent="0.2">
      <c r="A277" s="251" t="str">
        <f t="shared" si="169"/>
        <v xml:space="preserve"> 62 Leisure, travel and related personal service occupations</v>
      </c>
      <c r="B277" s="87">
        <v>2.2913573385458976</v>
      </c>
      <c r="C277" s="87">
        <v>1.2634012532376215</v>
      </c>
      <c r="D277" s="87">
        <f t="shared" ref="D277:D283" si="179">C277-B277</f>
        <v>-1.0279560853082761</v>
      </c>
      <c r="E277" s="87">
        <v>0.33000499766444324</v>
      </c>
      <c r="F277" s="87">
        <f t="shared" ref="F277:F278" si="180">SUM(D277:E277)</f>
        <v>-0.69795108764383285</v>
      </c>
      <c r="G277" s="298">
        <f t="shared" si="174"/>
        <v>1.3545904781126605E-2</v>
      </c>
    </row>
    <row r="278" spans="1:7" x14ac:dyDescent="0.2">
      <c r="A278" s="251" t="str">
        <f t="shared" si="169"/>
        <v xml:space="preserve"> 71 Sales occupations</v>
      </c>
      <c r="B278" s="87">
        <v>8.4008074569518136</v>
      </c>
      <c r="C278" s="87">
        <v>2.9163177555882074</v>
      </c>
      <c r="D278" s="87">
        <f t="shared" si="179"/>
        <v>-5.4844897013636063</v>
      </c>
      <c r="E278" s="87">
        <v>0.82447703948625006</v>
      </c>
      <c r="F278" s="87">
        <f t="shared" si="180"/>
        <v>-4.6600126618773565</v>
      </c>
      <c r="G278" s="298">
        <f t="shared" si="174"/>
        <v>9.4059810030246993E-3</v>
      </c>
    </row>
    <row r="279" spans="1:7" x14ac:dyDescent="0.2">
      <c r="A279" s="251" t="str">
        <f t="shared" si="169"/>
        <v xml:space="preserve"> 72 Customer service occupations</v>
      </c>
      <c r="B279" s="87">
        <v>1.3331162587955772</v>
      </c>
      <c r="C279" s="87">
        <v>1.5160730502336548</v>
      </c>
      <c r="D279" s="87">
        <f t="shared" si="179"/>
        <v>0.18295679143807764</v>
      </c>
      <c r="E279" s="87">
        <v>0.28069777996355938</v>
      </c>
      <c r="F279" s="87">
        <f t="shared" ref="F279:F280" si="181">SUM(D279:E279)</f>
        <v>0.46365457140163702</v>
      </c>
      <c r="G279" s="298">
        <f t="shared" si="174"/>
        <v>1.9291837516190125E-2</v>
      </c>
    </row>
    <row r="280" spans="1:7" x14ac:dyDescent="0.2">
      <c r="A280" s="251" t="str">
        <f t="shared" si="169"/>
        <v xml:space="preserve"> 81 Process, plant and machine operatives</v>
      </c>
      <c r="B280" s="87">
        <v>9.2631214097278267</v>
      </c>
      <c r="C280" s="87">
        <v>1.978996502178207</v>
      </c>
      <c r="D280" s="87">
        <f t="shared" si="179"/>
        <v>-7.2841249075496197</v>
      </c>
      <c r="E280" s="87">
        <v>0.75705327491443442</v>
      </c>
      <c r="F280" s="87">
        <f t="shared" si="181"/>
        <v>-6.5270716326351854</v>
      </c>
      <c r="G280" s="298">
        <f t="shared" si="174"/>
        <v>7.8868840985415467E-3</v>
      </c>
    </row>
    <row r="281" spans="1:7" x14ac:dyDescent="0.2">
      <c r="A281" s="251" t="str">
        <f t="shared" si="169"/>
        <v xml:space="preserve"> 82 Transport and mobile machine drivers and operatives</v>
      </c>
      <c r="B281" s="87">
        <v>4.4175099460050147</v>
      </c>
      <c r="C281" s="87">
        <v>2.8005665740995589</v>
      </c>
      <c r="D281" s="87">
        <f t="shared" si="179"/>
        <v>-1.6169433719054558</v>
      </c>
      <c r="E281" s="87">
        <v>0.86045943600670438</v>
      </c>
      <c r="F281" s="87">
        <f t="shared" ref="F281:F282" si="182">SUM(D281:E281)</f>
        <v>-0.7564839358987514</v>
      </c>
      <c r="G281" s="298">
        <f t="shared" si="174"/>
        <v>1.7955827801808599E-2</v>
      </c>
    </row>
    <row r="282" spans="1:7" x14ac:dyDescent="0.2">
      <c r="A282" s="251" t="str">
        <f t="shared" si="169"/>
        <v xml:space="preserve"> 91 Elementary trades and related occupations</v>
      </c>
      <c r="B282" s="87">
        <v>4.5698489601173824</v>
      </c>
      <c r="C282" s="87">
        <v>2.9485432975195089</v>
      </c>
      <c r="D282" s="87">
        <f t="shared" si="179"/>
        <v>-1.6213056625978735</v>
      </c>
      <c r="E282" s="87">
        <v>0.66894081946696526</v>
      </c>
      <c r="F282" s="87">
        <f t="shared" si="182"/>
        <v>-0.95236484313090819</v>
      </c>
      <c r="G282" s="298">
        <f t="shared" si="174"/>
        <v>1.3754774270027914E-2</v>
      </c>
    </row>
    <row r="283" spans="1:7" x14ac:dyDescent="0.2">
      <c r="A283" s="251" t="str">
        <f t="shared" si="169"/>
        <v xml:space="preserve"> 92 Elementary administration and service occupations</v>
      </c>
      <c r="B283" s="87">
        <v>17.462498976284969</v>
      </c>
      <c r="C283" s="87">
        <v>8.2017122712002521</v>
      </c>
      <c r="D283" s="87">
        <f t="shared" si="179"/>
        <v>-9.2607867050847172</v>
      </c>
      <c r="E283" s="87">
        <v>1.9901211164694066</v>
      </c>
      <c r="F283" s="87">
        <f t="shared" ref="F283" si="183">SUM(D283:E283)</f>
        <v>-7.2706655886153104</v>
      </c>
      <c r="G283" s="298">
        <f t="shared" si="174"/>
        <v>1.0851060724843764E-2</v>
      </c>
    </row>
    <row r="284" spans="1:7" x14ac:dyDescent="0.2">
      <c r="A284" s="343" t="str">
        <f t="shared" si="169"/>
        <v>All occupations</v>
      </c>
      <c r="B284" s="116">
        <f>SUM(B259:B283)</f>
        <v>85.022489898973987</v>
      </c>
      <c r="C284" s="116">
        <f>SUM(C259:C283)</f>
        <v>46.393693644773194</v>
      </c>
      <c r="D284" s="116">
        <f>SUM(D259:D283)</f>
        <v>-38.628796254200807</v>
      </c>
      <c r="E284" s="116">
        <f>SUM(E259:E283)</f>
        <v>11.665846814878737</v>
      </c>
      <c r="F284" s="116">
        <f>SUM(F259:F283)</f>
        <v>-26.962949439322067</v>
      </c>
      <c r="G284" s="344">
        <f t="shared" si="174"/>
        <v>1.2940712960720857E-2</v>
      </c>
    </row>
  </sheetData>
  <phoneticPr fontId="5" type="noConversion"/>
  <pageMargins left="0.39370078740157483" right="0.39370078740157483" top="0.39370078740157483" bottom="0.39370078740157483" header="0.51181102362204722" footer="0.51181102362204722"/>
  <pageSetup paperSize="9" scale="78" orientation="portrait" r:id="rId1"/>
  <headerFooter alignWithMargins="0"/>
  <rowBreaks count="4" manualBreakCount="4">
    <brk id="61" max="16383" man="1"/>
    <brk id="117" max="16383" man="1"/>
    <brk id="173" max="16383" man="1"/>
    <brk id="229" max="16383" man="1"/>
  </rowBreaks>
  <colBreaks count="1" manualBreakCount="1">
    <brk id="8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64"/>
  <sheetViews>
    <sheetView zoomScale="85" zoomScaleNormal="85" workbookViewId="0"/>
  </sheetViews>
  <sheetFormatPr defaultRowHeight="12.75" x14ac:dyDescent="0.2"/>
  <cols>
    <col min="1" max="14" width="9.140625" style="104"/>
    <col min="15" max="15" width="44.140625" customWidth="1"/>
    <col min="16" max="17" width="16.85546875" customWidth="1"/>
  </cols>
  <sheetData>
    <row r="1" spans="1:17" ht="15.75" x14ac:dyDescent="0.25">
      <c r="A1" s="103" t="str">
        <f>CONCATENATE("Replacement Demand Figure 1  Replacement Demand by Occupation Group (SOC 2010), ",P4)</f>
        <v>Replacement Demand Figure 1  Replacement Demand by Occupation Group (SOC 2010), 2017-2027</v>
      </c>
    </row>
    <row r="3" spans="1:17" x14ac:dyDescent="0.2">
      <c r="O3" s="56" t="s">
        <v>472</v>
      </c>
    </row>
    <row r="4" spans="1:17" x14ac:dyDescent="0.2">
      <c r="P4" s="19" t="str">
        <f>'Occ T1'!H4</f>
        <v>2017-2027</v>
      </c>
    </row>
    <row r="5" spans="1:17" x14ac:dyDescent="0.2">
      <c r="P5" s="19" t="str">
        <f>CONCATENATE('Occ T1'!H5," ",'Occ T1'!H6)</f>
        <v>Net Change</v>
      </c>
      <c r="Q5" s="19" t="str">
        <f>CONCATENATE('Occ T1'!J5," ",'Occ T1'!J6)</f>
        <v>Total Requirement</v>
      </c>
    </row>
    <row r="6" spans="1:17" x14ac:dyDescent="0.2">
      <c r="P6" s="13"/>
      <c r="Q6" s="13"/>
    </row>
    <row r="7" spans="1:17" x14ac:dyDescent="0.2">
      <c r="O7" t="str">
        <f>name!E12</f>
        <v>Elementary occupations</v>
      </c>
      <c r="P7" s="13">
        <f>'Occ T1'!H16</f>
        <v>-0.83048577724795791</v>
      </c>
      <c r="Q7" s="13">
        <f>'Occ T1'!J16</f>
        <v>54.908583444048475</v>
      </c>
    </row>
    <row r="8" spans="1:17" x14ac:dyDescent="0.2">
      <c r="O8" t="str">
        <f>name!E11</f>
        <v>Process, plant and machine operatives</v>
      </c>
      <c r="P8" s="13">
        <f>'Occ T1'!H15</f>
        <v>-10.838855876154923</v>
      </c>
      <c r="Q8" s="13">
        <f>'Occ T1'!J15</f>
        <v>21.059461248847324</v>
      </c>
    </row>
    <row r="9" spans="1:17" x14ac:dyDescent="0.2">
      <c r="O9" t="str">
        <f>name!E10</f>
        <v>Sales and customer service</v>
      </c>
      <c r="P9" s="13">
        <f>'Occ T1'!H14</f>
        <v>-3.5208412935990765</v>
      </c>
      <c r="Q9" s="13">
        <f>'Occ T1'!J14</f>
        <v>36.420716708350795</v>
      </c>
    </row>
    <row r="10" spans="1:17" x14ac:dyDescent="0.2">
      <c r="O10" t="str">
        <f>name!E9</f>
        <v>Caring, leisure and other service</v>
      </c>
      <c r="P10" s="13">
        <f>'Occ T1'!H13</f>
        <v>20.679082997166262</v>
      </c>
      <c r="Q10" s="13">
        <f>'Occ T1'!J13</f>
        <v>85.687342501351708</v>
      </c>
    </row>
    <row r="11" spans="1:17" x14ac:dyDescent="0.2">
      <c r="O11" t="str">
        <f>name!E8</f>
        <v>Skilled trades occupations</v>
      </c>
      <c r="P11" s="13">
        <f>'Occ T1'!H12</f>
        <v>-14.274632203557672</v>
      </c>
      <c r="Q11" s="13">
        <f>'Occ T1'!J12</f>
        <v>42.609750205321191</v>
      </c>
    </row>
    <row r="12" spans="1:17" x14ac:dyDescent="0.2">
      <c r="O12" t="str">
        <f>name!E7</f>
        <v>Administrative and secretarial</v>
      </c>
      <c r="P12" s="13">
        <f>'Occ T1'!H11</f>
        <v>-21.900198867512131</v>
      </c>
      <c r="Q12" s="13">
        <f>'Occ T1'!J11</f>
        <v>28.220395441305229</v>
      </c>
    </row>
    <row r="13" spans="1:17" x14ac:dyDescent="0.2">
      <c r="O13" t="str">
        <f>name!E6</f>
        <v>Associate professional and technical</v>
      </c>
      <c r="P13" s="13">
        <f>'Occ T1'!H10</f>
        <v>16.937292365536223</v>
      </c>
      <c r="Q13" s="13">
        <f>'Occ T1'!J10</f>
        <v>73.432760771548359</v>
      </c>
    </row>
    <row r="14" spans="1:17" x14ac:dyDescent="0.2">
      <c r="O14" t="str">
        <f>name!E5</f>
        <v>Professional occupations</v>
      </c>
      <c r="P14" s="13">
        <f>'Occ T1'!H9</f>
        <v>37.832803663230493</v>
      </c>
      <c r="Q14" s="13">
        <f>'Occ T1'!J9</f>
        <v>138.18971199335004</v>
      </c>
    </row>
    <row r="15" spans="1:17" x14ac:dyDescent="0.2">
      <c r="O15" t="str">
        <f>name!E4</f>
        <v>Managers, directors and senior officials</v>
      </c>
      <c r="P15" s="13">
        <f>'Occ T1'!H8</f>
        <v>15.328834993180209</v>
      </c>
      <c r="Q15" s="13">
        <f>'Occ T1'!J8</f>
        <v>62.351918496649759</v>
      </c>
    </row>
    <row r="34" spans="1:17" ht="15.75" x14ac:dyDescent="0.25">
      <c r="A34" s="103" t="str">
        <f>CONCATENATE("Replacement Demand Figure 1.1  Replacement Demand by Occupation (SOC 2010), ",P35)</f>
        <v>Replacement Demand Figure 1.1  Replacement Demand by Occupation (SOC 2010), 2017-2027</v>
      </c>
      <c r="O34" s="56" t="s">
        <v>472</v>
      </c>
      <c r="P34" s="286"/>
      <c r="Q34" s="286"/>
    </row>
    <row r="35" spans="1:17" x14ac:dyDescent="0.2">
      <c r="O35" s="286"/>
      <c r="P35" s="19" t="str">
        <f>'Occ T1'!H4</f>
        <v>2017-2027</v>
      </c>
      <c r="Q35" s="286"/>
    </row>
    <row r="36" spans="1:17" x14ac:dyDescent="0.2">
      <c r="O36" s="286"/>
      <c r="P36" s="19" t="str">
        <f>CONCATENATE('Occ T1'!H5," ",'Occ T1'!H6)</f>
        <v>Net Change</v>
      </c>
      <c r="Q36" s="19" t="str">
        <f>CONCATENATE('Occ T1'!J5," ",'Occ T1'!J6)</f>
        <v>Total Requirement</v>
      </c>
    </row>
    <row r="37" spans="1:17" x14ac:dyDescent="0.2">
      <c r="O37" s="12" t="str">
        <f>name!D4</f>
        <v xml:space="preserve"> 11 Corporate managers and directors</v>
      </c>
      <c r="P37" s="13">
        <f>'Occ T2'!H8</f>
        <v>10.960331293600007</v>
      </c>
      <c r="Q37" s="13">
        <f>'Occ T2'!J8</f>
        <v>39.367410091413021</v>
      </c>
    </row>
    <row r="38" spans="1:17" x14ac:dyDescent="0.2">
      <c r="O38" s="12" t="str">
        <f>name!D5</f>
        <v xml:space="preserve"> 12 Other managers and proprietors</v>
      </c>
      <c r="P38" s="13">
        <f>'Occ T2'!H9</f>
        <v>4.3685036995802093</v>
      </c>
      <c r="Q38" s="13">
        <f>'Occ T2'!J9</f>
        <v>22.984508405236738</v>
      </c>
    </row>
    <row r="39" spans="1:17" x14ac:dyDescent="0.2">
      <c r="O39" s="12" t="str">
        <f>name!D6</f>
        <v xml:space="preserve"> 21 Science, research, engineering and technology professionals</v>
      </c>
      <c r="P39" s="13">
        <f>'Occ T2'!H10</f>
        <v>4.2866939877258972</v>
      </c>
      <c r="Q39" s="13">
        <f>'Occ T2'!J10</f>
        <v>17.022916580487195</v>
      </c>
    </row>
    <row r="40" spans="1:17" x14ac:dyDescent="0.2">
      <c r="O40" s="12" t="str">
        <f>name!D7</f>
        <v xml:space="preserve"> 22 Health professionals</v>
      </c>
      <c r="P40" s="13">
        <f>'Occ T2'!H11</f>
        <v>15.932331434701936</v>
      </c>
      <c r="Q40" s="13">
        <f>'Occ T2'!J11</f>
        <v>52.994272794840981</v>
      </c>
    </row>
    <row r="41" spans="1:17" x14ac:dyDescent="0.2">
      <c r="O41" s="12" t="str">
        <f>name!D8</f>
        <v xml:space="preserve"> 23 Teaching and educational professionals</v>
      </c>
      <c r="P41" s="13">
        <f>'Occ T2'!H12</f>
        <v>10.549407354924554</v>
      </c>
      <c r="Q41" s="13">
        <f>'Occ T2'!J12</f>
        <v>43.817629307267275</v>
      </c>
    </row>
    <row r="42" spans="1:17" x14ac:dyDescent="0.2">
      <c r="O42" s="12" t="str">
        <f>name!D9</f>
        <v xml:space="preserve"> 24 Business, media and public service professionals</v>
      </c>
      <c r="P42" s="13">
        <f>'Occ T2'!H13</f>
        <v>7.064370885878084</v>
      </c>
      <c r="Q42" s="13">
        <f>'Occ T2'!J13</f>
        <v>24.354893310754562</v>
      </c>
    </row>
    <row r="43" spans="1:17" x14ac:dyDescent="0.2">
      <c r="O43" s="12" t="str">
        <f>name!D10</f>
        <v xml:space="preserve"> 31 Science, engineering and technology associate professionals</v>
      </c>
      <c r="P43" s="13">
        <f>'Occ T2'!H14</f>
        <v>0.13795046100521091</v>
      </c>
      <c r="Q43" s="13">
        <f>'Occ T2'!J14</f>
        <v>6.8530605676687211</v>
      </c>
    </row>
    <row r="44" spans="1:17" x14ac:dyDescent="0.2">
      <c r="O44" s="12" t="str">
        <f>name!D11</f>
        <v xml:space="preserve"> 32 Health and social care associate professionals</v>
      </c>
      <c r="P44" s="13">
        <f>'Occ T2'!H15</f>
        <v>5.0997228109638577</v>
      </c>
      <c r="Q44" s="13">
        <f>'Occ T2'!J15</f>
        <v>17.96148592238368</v>
      </c>
    </row>
    <row r="45" spans="1:17" x14ac:dyDescent="0.2">
      <c r="O45" s="12" t="str">
        <f>name!D12</f>
        <v xml:space="preserve"> 33 Protective service occupations</v>
      </c>
      <c r="P45" s="13">
        <f>'Occ T2'!H16</f>
        <v>-0.9038031440884069</v>
      </c>
      <c r="Q45" s="13">
        <f>'Occ T2'!J16</f>
        <v>2.7171458451239849</v>
      </c>
    </row>
    <row r="46" spans="1:17" x14ac:dyDescent="0.2">
      <c r="O46" s="12" t="str">
        <f>name!D13</f>
        <v xml:space="preserve"> 34 Culture, media and sports occupations</v>
      </c>
      <c r="P46" s="13">
        <f>'Occ T2'!H17</f>
        <v>2.8338664568018501</v>
      </c>
      <c r="Q46" s="13">
        <f>'Occ T2'!J17</f>
        <v>11.722318065501387</v>
      </c>
    </row>
    <row r="47" spans="1:17" x14ac:dyDescent="0.2">
      <c r="O47" s="12" t="str">
        <f>name!D14</f>
        <v xml:space="preserve"> 35 Business and public service associate professionals</v>
      </c>
      <c r="P47" s="13">
        <f>'Occ T2'!H18</f>
        <v>9.7695557808537075</v>
      </c>
      <c r="Q47" s="13">
        <f>'Occ T2'!J18</f>
        <v>34.178750370870588</v>
      </c>
    </row>
    <row r="48" spans="1:17" x14ac:dyDescent="0.2">
      <c r="O48" s="12" t="str">
        <f>name!D15</f>
        <v xml:space="preserve"> 41 Administrative occupations</v>
      </c>
      <c r="P48" s="13">
        <f>'Occ T2'!H19</f>
        <v>-7.5130964642708449</v>
      </c>
      <c r="Q48" s="13">
        <f>'Occ T2'!J19</f>
        <v>33.936684290838421</v>
      </c>
    </row>
    <row r="49" spans="15:17" x14ac:dyDescent="0.2">
      <c r="O49" s="12" t="str">
        <f>name!D16</f>
        <v xml:space="preserve"> 42 Secretarial and related occupations</v>
      </c>
      <c r="P49" s="13">
        <f>'Occ T2'!H20</f>
        <v>-14.387102403241297</v>
      </c>
      <c r="Q49" s="13">
        <f>'Occ T2'!J20</f>
        <v>-5.7162888495332052</v>
      </c>
    </row>
    <row r="50" spans="15:17" x14ac:dyDescent="0.2">
      <c r="O50" s="12" t="str">
        <f>name!D17</f>
        <v xml:space="preserve"> 51 Skilled agricultural and related trades</v>
      </c>
      <c r="P50" s="13">
        <f>'Occ T2'!H21</f>
        <v>-1.0796171110473054</v>
      </c>
      <c r="Q50" s="13">
        <f>'Occ T2'!J21</f>
        <v>14.319380697708771</v>
      </c>
    </row>
    <row r="51" spans="15:17" x14ac:dyDescent="0.2">
      <c r="O51" s="12" t="str">
        <f>name!D18</f>
        <v xml:space="preserve"> 52 Skilled metal, electrical and electronic trades</v>
      </c>
      <c r="P51" s="13">
        <f>'Occ T2'!H22</f>
        <v>-7.4816754306663782</v>
      </c>
      <c r="Q51" s="13">
        <f>'Occ T2'!J22</f>
        <v>6.9361560413975294</v>
      </c>
    </row>
    <row r="52" spans="15:17" x14ac:dyDescent="0.2">
      <c r="O52" s="12" t="str">
        <f>name!D19</f>
        <v xml:space="preserve"> 53 Skilled construction and building trades</v>
      </c>
      <c r="P52" s="13">
        <f>'Occ T2'!H23</f>
        <v>0.25759514296083807</v>
      </c>
      <c r="Q52" s="13">
        <f>'Occ T2'!J23</f>
        <v>16.123377410617749</v>
      </c>
    </row>
    <row r="53" spans="15:17" x14ac:dyDescent="0.2">
      <c r="O53" s="12" t="str">
        <f>name!D20</f>
        <v xml:space="preserve"> 54 Textiles, printing and other skilled trades</v>
      </c>
      <c r="P53" s="13">
        <f>'Occ T2'!H24</f>
        <v>-5.970934804804827</v>
      </c>
      <c r="Q53" s="13">
        <f>'Occ T2'!J24</f>
        <v>5.2308360555971429</v>
      </c>
    </row>
    <row r="54" spans="15:17" x14ac:dyDescent="0.2">
      <c r="O54" s="12" t="str">
        <f>name!D21</f>
        <v xml:space="preserve"> 61 Caring personal service occupations</v>
      </c>
      <c r="P54" s="13">
        <f>'Occ T2'!H25</f>
        <v>22.338788680701697</v>
      </c>
      <c r="Q54" s="13">
        <f>'Occ T2'!J25</f>
        <v>76.249915404136459</v>
      </c>
    </row>
    <row r="55" spans="15:17" x14ac:dyDescent="0.2">
      <c r="O55" s="12" t="str">
        <f>name!D22</f>
        <v xml:space="preserve"> 62 Leisure, travel and related personal service occupations</v>
      </c>
      <c r="P55" s="13">
        <f>'Occ T2'!H26</f>
        <v>-1.6597056835354351</v>
      </c>
      <c r="Q55" s="13">
        <f>'Occ T2'!J26</f>
        <v>9.4374270972152488</v>
      </c>
    </row>
    <row r="56" spans="15:17" x14ac:dyDescent="0.2">
      <c r="O56" s="12" t="str">
        <f>name!D23</f>
        <v xml:space="preserve"> 71 Sales occupations</v>
      </c>
      <c r="P56" s="13">
        <f>'Occ T2'!H27</f>
        <v>-8.3133310868705621</v>
      </c>
      <c r="Q56" s="13">
        <f>'Occ T2'!J27</f>
        <v>21.906769739254948</v>
      </c>
    </row>
    <row r="57" spans="15:17" x14ac:dyDescent="0.2">
      <c r="O57" s="12" t="str">
        <f>name!D24</f>
        <v xml:space="preserve"> 72 Customer service occupations</v>
      </c>
      <c r="P57" s="13">
        <f>'Occ T2'!H28</f>
        <v>4.7924897932714821</v>
      </c>
      <c r="Q57" s="13">
        <f>'Occ T2'!J28</f>
        <v>14.513946969095848</v>
      </c>
    </row>
    <row r="58" spans="15:17" x14ac:dyDescent="0.2">
      <c r="O58" s="12" t="str">
        <f>name!D25</f>
        <v xml:space="preserve"> 81 Process, plant and machine operatives</v>
      </c>
      <c r="P58" s="13">
        <f>'Occ T2'!H29</f>
        <v>-11.986496541482367</v>
      </c>
      <c r="Q58" s="13">
        <f>'Occ T2'!J29</f>
        <v>6.9556807342646039</v>
      </c>
    </row>
    <row r="59" spans="15:17" x14ac:dyDescent="0.2">
      <c r="O59" s="12" t="str">
        <f>name!D26</f>
        <v xml:space="preserve"> 82 Transport and mobile machine drivers and operatives</v>
      </c>
      <c r="P59" s="13">
        <f>'Occ T2'!H30</f>
        <v>1.1476406653274438</v>
      </c>
      <c r="Q59" s="13">
        <f>'Occ T2'!J30</f>
        <v>14.10378051458272</v>
      </c>
    </row>
    <row r="60" spans="15:17" x14ac:dyDescent="0.2">
      <c r="O60" s="12" t="str">
        <f>name!D27</f>
        <v xml:space="preserve"> 91 Elementary trades and related occupations</v>
      </c>
      <c r="P60" s="13">
        <f>'Occ T2'!H31</f>
        <v>5.2637921546835997E-2</v>
      </c>
      <c r="Q60" s="13">
        <f>'Occ T2'!J31</f>
        <v>8.5132509935500646</v>
      </c>
    </row>
    <row r="61" spans="15:17" x14ac:dyDescent="0.2">
      <c r="O61" s="12" t="str">
        <f>name!D28</f>
        <v xml:space="preserve"> 92 Elementary administration and service occupations</v>
      </c>
      <c r="P61" s="13">
        <f>'Occ T2'!H32</f>
        <v>-0.88312369879480457</v>
      </c>
      <c r="Q61" s="13">
        <f>'Occ T2'!J32</f>
        <v>46.395332450498401</v>
      </c>
    </row>
    <row r="62" spans="15:17" x14ac:dyDescent="0.2">
      <c r="O62" s="12"/>
      <c r="P62" s="13"/>
      <c r="Q62" s="13"/>
    </row>
    <row r="63" spans="15:17" x14ac:dyDescent="0.2">
      <c r="O63" s="12" t="str">
        <f>name!D3</f>
        <v>All occupations</v>
      </c>
      <c r="P63" s="13">
        <f>'Occ T2'!H34</f>
        <v>39.413000001041837</v>
      </c>
      <c r="Q63" s="13">
        <f>'Occ T2'!J34</f>
        <v>542.88064081077277</v>
      </c>
    </row>
    <row r="64" spans="15:17" x14ac:dyDescent="0.2">
      <c r="O64" s="12" t="str">
        <f>name!D31</f>
        <v xml:space="preserve"> </v>
      </c>
    </row>
  </sheetData>
  <phoneticPr fontId="5" type="noConversion"/>
  <pageMargins left="0.75" right="0.75" top="1" bottom="1" header="0.5" footer="0.5"/>
  <pageSetup paperSize="9" scale="80" orientation="landscape" r:id="rId1"/>
  <headerFooter alignWithMargins="0"/>
  <rowBreaks count="1" manualBreakCount="1">
    <brk id="33" max="13" man="1"/>
  </rowBreaks>
  <colBreaks count="1" manualBreakCount="1">
    <brk id="14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N101"/>
  <sheetViews>
    <sheetView showGridLines="0" zoomScale="85" zoomScaleNormal="85" workbookViewId="0"/>
  </sheetViews>
  <sheetFormatPr defaultColWidth="9.140625" defaultRowHeight="12.75" x14ac:dyDescent="0.2"/>
  <cols>
    <col min="1" max="1" width="37.5703125" style="15" customWidth="1"/>
    <col min="2" max="4" width="7.28515625" style="15" customWidth="1"/>
    <col min="5" max="5" width="5.7109375" style="15" customWidth="1"/>
    <col min="6" max="8" width="4.5703125" style="15" customWidth="1"/>
    <col min="9" max="9" width="5.7109375" style="15" customWidth="1"/>
    <col min="10" max="12" width="5.5703125" style="15" customWidth="1"/>
    <col min="13" max="13" width="5.7109375" style="15" customWidth="1"/>
    <col min="14" max="16" width="5.5703125" style="15" customWidth="1"/>
    <col min="17" max="17" width="5.85546875" style="15" customWidth="1"/>
    <col min="18" max="20" width="4.5703125" style="15" customWidth="1"/>
    <col min="21" max="21" width="5.7109375" style="15" customWidth="1"/>
    <col min="22" max="24" width="4.5703125" style="15" customWidth="1"/>
    <col min="25" max="25" width="5.7109375" style="15" customWidth="1"/>
    <col min="26" max="28" width="5.5703125" style="15" customWidth="1"/>
    <col min="29" max="29" width="5.7109375" style="15" customWidth="1"/>
    <col min="30" max="32" width="5.5703125" style="15" customWidth="1"/>
    <col min="33" max="33" width="5.7109375" style="15" customWidth="1"/>
    <col min="34" max="36" width="5.5703125" style="15" customWidth="1"/>
    <col min="37" max="37" width="5.7109375" style="15" customWidth="1"/>
    <col min="38" max="40" width="4.5703125" style="15" customWidth="1"/>
    <col min="41" max="16384" width="9.140625" style="15"/>
  </cols>
  <sheetData>
    <row r="1" spans="1:40" ht="15.75" x14ac:dyDescent="0.25">
      <c r="A1" s="23" t="str">
        <f>CONCATENATE("Basic Table 1  Employment by Industry Sector, Occupation Group and Qualification, ",B$5,"-",D$5,", ",Info!B5)</f>
        <v>Basic Table 1  Employment by Industry Sector, Occupation Group and Qualification, 2017-2027, Wales</v>
      </c>
    </row>
    <row r="2" spans="1:40" ht="12.75" customHeight="1" x14ac:dyDescent="0.25">
      <c r="A2" s="23"/>
    </row>
    <row r="3" spans="1:40" ht="12.75" customHeight="1" x14ac:dyDescent="0.25">
      <c r="A3" s="23"/>
      <c r="AN3" s="43" t="s">
        <v>35</v>
      </c>
    </row>
    <row r="4" spans="1:40" ht="24.75" customHeight="1" x14ac:dyDescent="0.2">
      <c r="A4" s="98"/>
      <c r="B4" s="527" t="str">
        <f>name!F3</f>
        <v>All qualifications</v>
      </c>
      <c r="C4" s="527"/>
      <c r="D4" s="527"/>
      <c r="E4" s="98"/>
      <c r="F4" s="526" t="str">
        <f>name!F4</f>
        <v>RQF8 Doctorate</v>
      </c>
      <c r="G4" s="526"/>
      <c r="H4" s="526"/>
      <c r="I4" s="98"/>
      <c r="J4" s="526" t="str">
        <f>name!F5</f>
        <v>RQF7 Other higher degree</v>
      </c>
      <c r="K4" s="526"/>
      <c r="L4" s="526"/>
      <c r="M4" s="98"/>
      <c r="N4" s="526" t="str">
        <f>name!F6</f>
        <v>RQF6 First degree</v>
      </c>
      <c r="O4" s="526"/>
      <c r="P4" s="526"/>
      <c r="Q4" s="98"/>
      <c r="R4" s="526" t="str">
        <f>name!F7</f>
        <v>RQF5 Foundation degree;Nursing;Teaching</v>
      </c>
      <c r="S4" s="526"/>
      <c r="T4" s="526"/>
      <c r="U4" s="98"/>
      <c r="V4" s="526" t="str">
        <f>name!F8</f>
        <v>RQF4 HE below degree level</v>
      </c>
      <c r="W4" s="526"/>
      <c r="X4" s="526"/>
      <c r="Y4" s="98"/>
      <c r="Z4" s="526" t="str">
        <f>name!F9</f>
        <v>RQF3 A level &amp; equivalent</v>
      </c>
      <c r="AA4" s="526"/>
      <c r="AB4" s="526"/>
      <c r="AC4" s="98"/>
      <c r="AD4" s="526" t="str">
        <f>name!F10</f>
        <v>RQF2 GCSE(A-C) &amp; equivalent</v>
      </c>
      <c r="AE4" s="526"/>
      <c r="AF4" s="526"/>
      <c r="AG4" s="98"/>
      <c r="AH4" s="526" t="str">
        <f>name!F11</f>
        <v>RQF1 GCSE(below grade C) &amp; equivalent</v>
      </c>
      <c r="AI4" s="526"/>
      <c r="AJ4" s="526"/>
      <c r="AK4" s="98"/>
      <c r="AL4" s="526" t="str">
        <f>name!F12</f>
        <v>No Qualification</v>
      </c>
      <c r="AM4" s="526"/>
      <c r="AN4" s="526"/>
    </row>
    <row r="5" spans="1:40" x14ac:dyDescent="0.2">
      <c r="A5" s="48"/>
      <c r="B5" s="51">
        <v>2017</v>
      </c>
      <c r="C5" s="51">
        <v>2022</v>
      </c>
      <c r="D5" s="51">
        <v>2027</v>
      </c>
      <c r="E5" s="48"/>
      <c r="F5" s="40">
        <f>B5</f>
        <v>2017</v>
      </c>
      <c r="G5" s="40">
        <f>C5</f>
        <v>2022</v>
      </c>
      <c r="H5" s="40">
        <f>D5</f>
        <v>2027</v>
      </c>
      <c r="I5" s="48"/>
      <c r="J5" s="40">
        <f>B5</f>
        <v>2017</v>
      </c>
      <c r="K5" s="40">
        <f>C5</f>
        <v>2022</v>
      </c>
      <c r="L5" s="40">
        <f>D5</f>
        <v>2027</v>
      </c>
      <c r="M5" s="48"/>
      <c r="N5" s="40">
        <f>B5</f>
        <v>2017</v>
      </c>
      <c r="O5" s="40">
        <f>C5</f>
        <v>2022</v>
      </c>
      <c r="P5" s="40">
        <f>D5</f>
        <v>2027</v>
      </c>
      <c r="Q5" s="48"/>
      <c r="R5" s="40">
        <f>F5</f>
        <v>2017</v>
      </c>
      <c r="S5" s="40">
        <f>G5</f>
        <v>2022</v>
      </c>
      <c r="T5" s="40">
        <f>H5</f>
        <v>2027</v>
      </c>
      <c r="U5" s="48"/>
      <c r="V5" s="40">
        <f>J5</f>
        <v>2017</v>
      </c>
      <c r="W5" s="40">
        <f>K5</f>
        <v>2022</v>
      </c>
      <c r="X5" s="40">
        <f>L5</f>
        <v>2027</v>
      </c>
      <c r="Y5" s="48"/>
      <c r="Z5" s="40">
        <f>N5</f>
        <v>2017</v>
      </c>
      <c r="AA5" s="40">
        <f>O5</f>
        <v>2022</v>
      </c>
      <c r="AB5" s="40">
        <f>P5</f>
        <v>2027</v>
      </c>
      <c r="AC5" s="48"/>
      <c r="AD5" s="40">
        <f>R5</f>
        <v>2017</v>
      </c>
      <c r="AE5" s="40">
        <f>S5</f>
        <v>2022</v>
      </c>
      <c r="AF5" s="40">
        <f>T5</f>
        <v>2027</v>
      </c>
      <c r="AG5" s="48"/>
      <c r="AH5" s="40">
        <f>V5</f>
        <v>2017</v>
      </c>
      <c r="AI5" s="40">
        <f>W5</f>
        <v>2022</v>
      </c>
      <c r="AJ5" s="40">
        <f>X5</f>
        <v>2027</v>
      </c>
      <c r="AK5" s="48"/>
      <c r="AL5" s="40">
        <f>Z5</f>
        <v>2017</v>
      </c>
      <c r="AM5" s="40">
        <f>AA5</f>
        <v>2022</v>
      </c>
      <c r="AN5" s="40">
        <f>AB5</f>
        <v>2027</v>
      </c>
    </row>
    <row r="6" spans="1:40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R6" s="101"/>
      <c r="S6" s="101"/>
      <c r="T6" s="101"/>
      <c r="V6" s="101"/>
      <c r="W6" s="101"/>
      <c r="X6" s="101"/>
      <c r="Z6" s="101"/>
      <c r="AA6" s="101"/>
      <c r="AB6" s="101"/>
      <c r="AD6" s="101"/>
      <c r="AE6" s="101"/>
      <c r="AF6" s="101"/>
      <c r="AH6" s="101"/>
      <c r="AI6" s="101"/>
      <c r="AJ6" s="101"/>
      <c r="AL6" s="101"/>
      <c r="AM6" s="101"/>
      <c r="AN6" s="101"/>
    </row>
    <row r="7" spans="1:40" x14ac:dyDescent="0.2">
      <c r="A7" s="57" t="str">
        <f>name!C3</f>
        <v>All industries</v>
      </c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R7" s="97"/>
      <c r="S7" s="97"/>
      <c r="T7" s="97"/>
      <c r="V7" s="97"/>
      <c r="W7" s="97"/>
      <c r="X7" s="97"/>
      <c r="Z7" s="97"/>
      <c r="AA7" s="97"/>
      <c r="AB7" s="97"/>
      <c r="AD7" s="97"/>
      <c r="AE7" s="97"/>
      <c r="AF7" s="97"/>
      <c r="AH7" s="97"/>
      <c r="AI7" s="97"/>
      <c r="AJ7" s="97"/>
      <c r="AL7" s="97"/>
      <c r="AM7" s="97"/>
      <c r="AN7" s="97"/>
    </row>
    <row r="8" spans="1:40" x14ac:dyDescent="0.2">
      <c r="A8" s="102" t="str">
        <f>name!E3</f>
        <v>All occupations</v>
      </c>
      <c r="B8" s="443">
        <f>SUM(B9:B17)</f>
        <v>1529.7600000008426</v>
      </c>
      <c r="C8" s="443">
        <f>SUM(C9:C17)</f>
        <v>1546.2870000021676</v>
      </c>
      <c r="D8" s="443">
        <f>SUM(D9:D17)</f>
        <v>1569.1730000018858</v>
      </c>
      <c r="E8" s="442"/>
      <c r="F8" s="443">
        <f>SUM(F9:F17)</f>
        <v>24.298598186309277</v>
      </c>
      <c r="G8" s="443">
        <f>SUM(G9:G17)</f>
        <v>29.757672156902114</v>
      </c>
      <c r="H8" s="443">
        <f>SUM(H9:H17)</f>
        <v>34.635899854243085</v>
      </c>
      <c r="I8" s="442"/>
      <c r="J8" s="443">
        <f>SUM(J9:J17)</f>
        <v>146.68740984979138</v>
      </c>
      <c r="K8" s="443">
        <f>SUM(K9:K17)</f>
        <v>177.87229890985029</v>
      </c>
      <c r="L8" s="443">
        <f>SUM(L9:L17)</f>
        <v>203.2892758009109</v>
      </c>
      <c r="M8" s="442"/>
      <c r="N8" s="443">
        <f>SUM(N9:N17)</f>
        <v>261.0459975872231</v>
      </c>
      <c r="O8" s="443">
        <f>SUM(O9:O17)</f>
        <v>317.08390786844603</v>
      </c>
      <c r="P8" s="443">
        <f>SUM(P9:P17)</f>
        <v>344.08254430579319</v>
      </c>
      <c r="Q8" s="444"/>
      <c r="R8" s="443">
        <f>SUM(R9:R17)</f>
        <v>86.386211363684254</v>
      </c>
      <c r="S8" s="443">
        <f>SUM(S9:S17)</f>
        <v>90.964478940561463</v>
      </c>
      <c r="T8" s="443">
        <f>SUM(T9:T17)</f>
        <v>90.032005748939753</v>
      </c>
      <c r="U8" s="444"/>
      <c r="V8" s="443">
        <f>SUM(V9:V17)</f>
        <v>75.342003447665959</v>
      </c>
      <c r="W8" s="443">
        <f>SUM(W9:W17)</f>
        <v>89.595818707039967</v>
      </c>
      <c r="X8" s="443">
        <f>SUM(X9:X17)</f>
        <v>95.829888287788805</v>
      </c>
      <c r="Y8" s="444"/>
      <c r="Z8" s="443">
        <f>SUM(Z9:Z17)</f>
        <v>326.79817849481509</v>
      </c>
      <c r="AA8" s="443">
        <f>SUM(AA9:AA17)</f>
        <v>314.76157062546719</v>
      </c>
      <c r="AB8" s="443">
        <f>SUM(AB9:AB17)</f>
        <v>323.65189471574439</v>
      </c>
      <c r="AC8" s="444"/>
      <c r="AD8" s="443">
        <f>SUM(AD9:AD17)</f>
        <v>318.87394294512279</v>
      </c>
      <c r="AE8" s="443">
        <f>SUM(AE9:AE17)</f>
        <v>297.95830680034084</v>
      </c>
      <c r="AF8" s="443">
        <f>SUM(AF9:AF17)</f>
        <v>279.77576838287087</v>
      </c>
      <c r="AG8" s="444"/>
      <c r="AH8" s="443">
        <f>SUM(AH9:AH17)</f>
        <v>205.30516822725681</v>
      </c>
      <c r="AI8" s="443">
        <f>SUM(AI9:AI17)</f>
        <v>170.59307541962175</v>
      </c>
      <c r="AJ8" s="443">
        <f>SUM(AJ9:AJ17)</f>
        <v>151.48202926082155</v>
      </c>
      <c r="AK8" s="444"/>
      <c r="AL8" s="443">
        <f>SUM(AL9:AL17)</f>
        <v>85.022489898973987</v>
      </c>
      <c r="AM8" s="443">
        <f>SUM(AM9:AM17)</f>
        <v>57.699870573937645</v>
      </c>
      <c r="AN8" s="443">
        <f>SUM(AN9:AN17)</f>
        <v>46.39369364477318</v>
      </c>
    </row>
    <row r="9" spans="1:40" x14ac:dyDescent="0.2">
      <c r="A9" s="60" t="str">
        <f>name!E4</f>
        <v>Managers, directors and senior officials</v>
      </c>
      <c r="B9" s="442">
        <f>SUM(B21,B33,B51,B63,B75,B93)</f>
        <v>121.38972043868786</v>
      </c>
      <c r="C9" s="442">
        <f t="shared" ref="B9:D17" si="0">SUM(C21,C33,C51,C63,C75,C93)</f>
        <v>129.50040897553757</v>
      </c>
      <c r="D9" s="442">
        <f t="shared" si="0"/>
        <v>136.71855543186848</v>
      </c>
      <c r="E9" s="442"/>
      <c r="F9" s="442">
        <f t="shared" ref="F9:H17" si="1">SUM(F21,F33,F51,F63,F75,F93)</f>
        <v>1.4965354733694232</v>
      </c>
      <c r="G9" s="442">
        <f t="shared" si="1"/>
        <v>1.9929654596011561</v>
      </c>
      <c r="H9" s="442">
        <f t="shared" si="1"/>
        <v>2.3861501920715789</v>
      </c>
      <c r="I9" s="442"/>
      <c r="J9" s="442">
        <f t="shared" ref="J9:L17" si="2">SUM(J21,J33,J51,J63,J75,J93)</f>
        <v>12.807482407367223</v>
      </c>
      <c r="K9" s="442">
        <f t="shared" si="2"/>
        <v>16.580082326839797</v>
      </c>
      <c r="L9" s="442">
        <f t="shared" si="2"/>
        <v>19.551149463188057</v>
      </c>
      <c r="M9" s="442"/>
      <c r="N9" s="442">
        <f t="shared" ref="N9:P17" si="3">SUM(N21,N33,N51,N63,N75,N93)</f>
        <v>29.290880071364231</v>
      </c>
      <c r="O9" s="442">
        <f t="shared" si="3"/>
        <v>36.676192397239952</v>
      </c>
      <c r="P9" s="442">
        <f t="shared" si="3"/>
        <v>40.231915632177298</v>
      </c>
      <c r="Q9" s="444"/>
      <c r="R9" s="442">
        <f t="shared" ref="R9:T9" si="4">SUM(R21,R33,R51,R63,R75,R93)</f>
        <v>7.2947912001092492</v>
      </c>
      <c r="S9" s="442">
        <f t="shared" si="4"/>
        <v>8.5025840902793544</v>
      </c>
      <c r="T9" s="442">
        <f t="shared" si="4"/>
        <v>8.9093538956145064</v>
      </c>
      <c r="U9" s="444"/>
      <c r="V9" s="442">
        <f t="shared" ref="V9:X9" si="5">SUM(V21,V33,V51,V63,V75,V93)</f>
        <v>8.8066564312230184</v>
      </c>
      <c r="W9" s="442">
        <f t="shared" si="5"/>
        <v>10.229412832925243</v>
      </c>
      <c r="X9" s="442">
        <f t="shared" si="5"/>
        <v>10.718810364677573</v>
      </c>
      <c r="Y9" s="444"/>
      <c r="Z9" s="442">
        <f t="shared" ref="Z9:AB9" si="6">SUM(Z21,Z33,Z51,Z63,Z75,Z93)</f>
        <v>22.033358913961855</v>
      </c>
      <c r="AA9" s="442">
        <f t="shared" si="6"/>
        <v>20.276465624602348</v>
      </c>
      <c r="AB9" s="442">
        <f t="shared" si="6"/>
        <v>19.734413647200359</v>
      </c>
      <c r="AC9" s="444"/>
      <c r="AD9" s="442">
        <f>SUM(AD21,AD33,AD51,AD63,AD75,AD93)</f>
        <v>20.803015692186897</v>
      </c>
      <c r="AE9" s="442">
        <f t="shared" ref="AE9:AF9" si="7">SUM(AE21,AE33,AE51,AE63,AE75,AE93)</f>
        <v>19.325024153798125</v>
      </c>
      <c r="AF9" s="442">
        <f t="shared" si="7"/>
        <v>18.75001934038713</v>
      </c>
      <c r="AG9" s="444"/>
      <c r="AH9" s="442">
        <f t="shared" ref="AH9:AJ9" si="8">SUM(AH21,AH33,AH51,AH63,AH75,AH93)</f>
        <v>13.508393174056744</v>
      </c>
      <c r="AI9" s="442">
        <f t="shared" si="8"/>
        <v>11.73772955251391</v>
      </c>
      <c r="AJ9" s="442">
        <f t="shared" si="8"/>
        <v>11.76112905646734</v>
      </c>
      <c r="AK9" s="444"/>
      <c r="AL9" s="442">
        <f t="shared" ref="AL9:AN9" si="9">SUM(AL21,AL33,AL51,AL63,AL75,AL93)</f>
        <v>5.3486070750492347</v>
      </c>
      <c r="AM9" s="442">
        <f t="shared" si="9"/>
        <v>4.179952537737659</v>
      </c>
      <c r="AN9" s="442">
        <f t="shared" si="9"/>
        <v>4.6756138400846341</v>
      </c>
    </row>
    <row r="10" spans="1:40" x14ac:dyDescent="0.2">
      <c r="A10" s="60" t="str">
        <f>name!E5</f>
        <v>Professional occupations</v>
      </c>
      <c r="B10" s="442">
        <f t="shared" si="0"/>
        <v>286.93232616274202</v>
      </c>
      <c r="C10" s="442">
        <f t="shared" si="0"/>
        <v>304.36075218992738</v>
      </c>
      <c r="D10" s="442">
        <f t="shared" si="0"/>
        <v>324.76512982597291</v>
      </c>
      <c r="E10" s="442"/>
      <c r="F10" s="442">
        <f t="shared" si="1"/>
        <v>18.710054256688142</v>
      </c>
      <c r="G10" s="442">
        <f t="shared" si="1"/>
        <v>22.384807088543333</v>
      </c>
      <c r="H10" s="442">
        <f t="shared" si="1"/>
        <v>25.87643985182612</v>
      </c>
      <c r="I10" s="442"/>
      <c r="J10" s="442">
        <f t="shared" si="2"/>
        <v>85.1209636414806</v>
      </c>
      <c r="K10" s="442">
        <f t="shared" si="2"/>
        <v>98.660742601669313</v>
      </c>
      <c r="L10" s="442">
        <f t="shared" si="2"/>
        <v>110.18436081952107</v>
      </c>
      <c r="M10" s="442"/>
      <c r="N10" s="442">
        <f t="shared" si="3"/>
        <v>93.406728912651801</v>
      </c>
      <c r="O10" s="442">
        <f t="shared" si="3"/>
        <v>104.84077590897783</v>
      </c>
      <c r="P10" s="442">
        <f t="shared" si="3"/>
        <v>110.28174988080305</v>
      </c>
      <c r="Q10" s="444"/>
      <c r="R10" s="442">
        <f t="shared" ref="R10:T10" si="10">SUM(R22,R34,R52,R64,R76,R94)</f>
        <v>22.641347220187811</v>
      </c>
      <c r="S10" s="442">
        <f t="shared" si="10"/>
        <v>16.027364892558303</v>
      </c>
      <c r="T10" s="442">
        <f t="shared" si="10"/>
        <v>11.725304789033379</v>
      </c>
      <c r="U10" s="444"/>
      <c r="V10" s="442">
        <f t="shared" ref="V10:X10" si="11">SUM(V22,V34,V52,V64,V76,V94)</f>
        <v>10.002579727564616</v>
      </c>
      <c r="W10" s="442">
        <f t="shared" si="11"/>
        <v>10.500076866202994</v>
      </c>
      <c r="X10" s="442">
        <f t="shared" si="11"/>
        <v>10.718426668446416</v>
      </c>
      <c r="Y10" s="444"/>
      <c r="Z10" s="442">
        <f t="shared" ref="Z10:AB10" si="12">SUM(Z22,Z34,Z52,Z64,Z76,Z94)</f>
        <v>25.546392899278796</v>
      </c>
      <c r="AA10" s="442">
        <f t="shared" si="12"/>
        <v>24.268265098641251</v>
      </c>
      <c r="AB10" s="442">
        <f t="shared" si="12"/>
        <v>26.445904051028251</v>
      </c>
      <c r="AC10" s="444"/>
      <c r="AD10" s="442">
        <f t="shared" ref="AD10:AF10" si="13">SUM(AD22,AD34,AD52,AD64,AD76,AD94)</f>
        <v>17.691693150384136</v>
      </c>
      <c r="AE10" s="442">
        <f t="shared" si="13"/>
        <v>16.211177659969174</v>
      </c>
      <c r="AF10" s="442">
        <f t="shared" si="13"/>
        <v>16.533878907110825</v>
      </c>
      <c r="AG10" s="444"/>
      <c r="AH10" s="442">
        <f t="shared" ref="AH10:AJ10" si="14">SUM(AH22,AH34,AH52,AH64,AH76,AH94)</f>
        <v>11.445166526807304</v>
      </c>
      <c r="AI10" s="442">
        <f t="shared" si="14"/>
        <v>9.3346822752320548</v>
      </c>
      <c r="AJ10" s="442">
        <f t="shared" si="14"/>
        <v>10.129107898201983</v>
      </c>
      <c r="AK10" s="444"/>
      <c r="AL10" s="442">
        <f t="shared" ref="AL10:AN10" si="15">SUM(AL22,AL34,AL52,AL64,AL76,AL94)</f>
        <v>2.3673998276987822</v>
      </c>
      <c r="AM10" s="442">
        <f t="shared" si="15"/>
        <v>2.1328597981331008</v>
      </c>
      <c r="AN10" s="442">
        <f t="shared" si="15"/>
        <v>2.8699569600017982</v>
      </c>
    </row>
    <row r="11" spans="1:40" x14ac:dyDescent="0.2">
      <c r="A11" s="60" t="str">
        <f>name!E6</f>
        <v>Associate professional and technical</v>
      </c>
      <c r="B11" s="442">
        <f>SUM(B23,B35,B53,B65,B77,B95)</f>
        <v>172.07211916997352</v>
      </c>
      <c r="C11" s="442">
        <f t="shared" si="0"/>
        <v>181.51224362511178</v>
      </c>
      <c r="D11" s="442">
        <f>SUM(D23,D35,D53,D65,D77,D95)</f>
        <v>189.00941153550966</v>
      </c>
      <c r="E11" s="442"/>
      <c r="F11" s="442">
        <f t="shared" si="1"/>
        <v>2.0232206605497969</v>
      </c>
      <c r="G11" s="442">
        <f t="shared" si="1"/>
        <v>2.6448011605436692</v>
      </c>
      <c r="H11" s="442">
        <f t="shared" si="1"/>
        <v>3.1401361672269132</v>
      </c>
      <c r="I11" s="442"/>
      <c r="J11" s="442">
        <f t="shared" si="2"/>
        <v>22.761353623039163</v>
      </c>
      <c r="K11" s="442">
        <f t="shared" si="2"/>
        <v>28.574215315653802</v>
      </c>
      <c r="L11" s="442">
        <f t="shared" si="2"/>
        <v>33.064188877605702</v>
      </c>
      <c r="M11" s="442"/>
      <c r="N11" s="442">
        <f t="shared" si="3"/>
        <v>50.085192468355714</v>
      </c>
      <c r="O11" s="442">
        <f t="shared" si="3"/>
        <v>60.290038920232647</v>
      </c>
      <c r="P11" s="442">
        <f t="shared" si="3"/>
        <v>65.446552989198551</v>
      </c>
      <c r="Q11" s="444"/>
      <c r="R11" s="442">
        <f t="shared" ref="R11:T11" si="16">SUM(R23,R35,R53,R65,R77,R95)</f>
        <v>15.468118260007589</v>
      </c>
      <c r="S11" s="442">
        <f t="shared" si="16"/>
        <v>15.698130658290562</v>
      </c>
      <c r="T11" s="442">
        <f t="shared" si="16"/>
        <v>15.076387698013104</v>
      </c>
      <c r="U11" s="444"/>
      <c r="V11" s="442">
        <f t="shared" ref="V11:X11" si="17">SUM(V23,V35,V53,V65,V77,V95)</f>
        <v>10.942589397190181</v>
      </c>
      <c r="W11" s="442">
        <f t="shared" si="17"/>
        <v>11.929931672629614</v>
      </c>
      <c r="X11" s="442">
        <f t="shared" si="17"/>
        <v>12.370832451059869</v>
      </c>
      <c r="Y11" s="444"/>
      <c r="Z11" s="442">
        <f t="shared" ref="Z11:AB11" si="18">SUM(Z23,Z35,Z53,Z65,Z77,Z95)</f>
        <v>29.835472955243375</v>
      </c>
      <c r="AA11" s="442">
        <f t="shared" si="18"/>
        <v>27.475148925953853</v>
      </c>
      <c r="AB11" s="442">
        <f t="shared" si="18"/>
        <v>26.929155417595858</v>
      </c>
      <c r="AC11" s="444"/>
      <c r="AD11" s="442">
        <f t="shared" ref="AD11:AF11" si="19">SUM(AD23,AD35,AD53,AD65,AD77,AD95)</f>
        <v>22.943290782217254</v>
      </c>
      <c r="AE11" s="442">
        <f t="shared" si="19"/>
        <v>20.088870347706926</v>
      </c>
      <c r="AF11" s="442">
        <f t="shared" si="19"/>
        <v>18.330068177797006</v>
      </c>
      <c r="AG11" s="444"/>
      <c r="AH11" s="442">
        <f t="shared" ref="AH11:AJ11" si="20">SUM(AH23,AH35,AH53,AH65,AH77,AH95)</f>
        <v>14.457367896637304</v>
      </c>
      <c r="AI11" s="442">
        <f t="shared" si="20"/>
        <v>11.743687197979858</v>
      </c>
      <c r="AJ11" s="442">
        <f t="shared" si="20"/>
        <v>10.919717190097332</v>
      </c>
      <c r="AK11" s="444"/>
      <c r="AL11" s="442">
        <f t="shared" ref="AL11:AN11" si="21">SUM(AL23,AL35,AL53,AL65,AL77,AL95)</f>
        <v>3.555513126733139</v>
      </c>
      <c r="AM11" s="442">
        <f t="shared" si="21"/>
        <v>3.0674194261208401</v>
      </c>
      <c r="AN11" s="442">
        <f t="shared" si="21"/>
        <v>3.7323725669153145</v>
      </c>
    </row>
    <row r="12" spans="1:40" x14ac:dyDescent="0.2">
      <c r="A12" s="60" t="str">
        <f>name!E7</f>
        <v>Administrative and secretarial</v>
      </c>
      <c r="B12" s="442">
        <f t="shared" si="0"/>
        <v>160.63162547890497</v>
      </c>
      <c r="C12" s="442">
        <f t="shared" si="0"/>
        <v>148.9188763743638</v>
      </c>
      <c r="D12" s="442">
        <f t="shared" si="0"/>
        <v>138.73142661139281</v>
      </c>
      <c r="E12" s="442"/>
      <c r="F12" s="442">
        <f t="shared" si="1"/>
        <v>0.85727955150102098</v>
      </c>
      <c r="G12" s="442">
        <f t="shared" si="1"/>
        <v>1.0958829147655569</v>
      </c>
      <c r="H12" s="442">
        <f t="shared" si="1"/>
        <v>1.2759319594335505</v>
      </c>
      <c r="I12" s="442"/>
      <c r="J12" s="442">
        <f t="shared" si="2"/>
        <v>9.1557635249103431</v>
      </c>
      <c r="K12" s="442">
        <f t="shared" si="2"/>
        <v>11.048052890469041</v>
      </c>
      <c r="L12" s="442">
        <f t="shared" si="2"/>
        <v>12.818829002188105</v>
      </c>
      <c r="M12" s="442"/>
      <c r="N12" s="442">
        <f t="shared" si="3"/>
        <v>28.046844739481379</v>
      </c>
      <c r="O12" s="442">
        <f t="shared" si="3"/>
        <v>33.574837587792985</v>
      </c>
      <c r="P12" s="442">
        <f t="shared" si="3"/>
        <v>37.056887431275918</v>
      </c>
      <c r="Q12" s="444"/>
      <c r="R12" s="442">
        <f t="shared" ref="R12:T12" si="22">SUM(R24,R36,R54,R66,R78,R96)</f>
        <v>9.664429597107473</v>
      </c>
      <c r="S12" s="442">
        <f t="shared" si="22"/>
        <v>11.079239184657681</v>
      </c>
      <c r="T12" s="442">
        <f t="shared" si="22"/>
        <v>11.836063020906222</v>
      </c>
      <c r="U12" s="444"/>
      <c r="V12" s="442">
        <f t="shared" ref="V12:X12" si="23">SUM(V24,V36,V54,V66,V78,V96)</f>
        <v>9.0629239277722906</v>
      </c>
      <c r="W12" s="442">
        <f t="shared" si="23"/>
        <v>10.296647780058887</v>
      </c>
      <c r="X12" s="442">
        <f t="shared" si="23"/>
        <v>11.007316439395407</v>
      </c>
      <c r="Y12" s="444"/>
      <c r="Z12" s="442">
        <f t="shared" ref="Z12:AA12" si="24">SUM(Z24,Z36,Z54,Z66,Z78,Z96)</f>
        <v>34.830020738614181</v>
      </c>
      <c r="AA12" s="442">
        <f t="shared" si="24"/>
        <v>29.688503313333278</v>
      </c>
      <c r="AB12" s="442">
        <f>SUM(AB24,AB36,AB54,AB66,AB78,AB96)</f>
        <v>28.324638225767067</v>
      </c>
      <c r="AC12" s="444"/>
      <c r="AD12" s="442">
        <f t="shared" ref="AD12:AE12" si="25">SUM(AD24,AD36,AD54,AD66,AD78,AD96)</f>
        <v>38.358422415834085</v>
      </c>
      <c r="AE12" s="442">
        <f t="shared" si="25"/>
        <v>31.881688042890929</v>
      </c>
      <c r="AF12" s="442">
        <f>SUM(AF24,AF36,AF54,AF66,AF78,AF96)</f>
        <v>23.953431214466072</v>
      </c>
      <c r="AG12" s="444"/>
      <c r="AH12" s="442">
        <f t="shared" ref="AH12:AI12" si="26">SUM(AH24,AH36,AH54,AH66,AH78,AH96)</f>
        <v>24.354749707785118</v>
      </c>
      <c r="AI12" s="442">
        <f t="shared" si="26"/>
        <v>15.784510909385256</v>
      </c>
      <c r="AJ12" s="442">
        <f>SUM(AJ24,AJ36,AJ54,AJ66,AJ78,AJ96)</f>
        <v>8.7424725289142859</v>
      </c>
      <c r="AK12" s="444"/>
      <c r="AL12" s="442">
        <f t="shared" ref="AL12:AM12" si="27">SUM(AL24,AL36,AL54,AL66,AL78,AL96)</f>
        <v>6.3011912758990674</v>
      </c>
      <c r="AM12" s="442">
        <f t="shared" si="27"/>
        <v>4.4695137510102025</v>
      </c>
      <c r="AN12" s="442">
        <f>SUM(AN24,AN36,AN54,AN66,AN78,AN96)</f>
        <v>3.7158567890461649</v>
      </c>
    </row>
    <row r="13" spans="1:40" x14ac:dyDescent="0.2">
      <c r="A13" s="60" t="str">
        <f>name!E8</f>
        <v>Skilled trades occupations</v>
      </c>
      <c r="B13" s="442">
        <f t="shared" si="0"/>
        <v>204.65991614519808</v>
      </c>
      <c r="C13" s="442">
        <f t="shared" si="0"/>
        <v>197.71367725030439</v>
      </c>
      <c r="D13" s="442">
        <f t="shared" si="0"/>
        <v>190.38528394164055</v>
      </c>
      <c r="E13" s="442"/>
      <c r="F13" s="442">
        <f t="shared" si="1"/>
        <v>0.43769863557217259</v>
      </c>
      <c r="G13" s="442">
        <f t="shared" si="1"/>
        <v>0.58000403094181907</v>
      </c>
      <c r="H13" s="442">
        <f t="shared" si="1"/>
        <v>0.71521813111383292</v>
      </c>
      <c r="I13" s="442"/>
      <c r="J13" s="442">
        <f t="shared" si="2"/>
        <v>3.5226307634847442</v>
      </c>
      <c r="K13" s="442">
        <f t="shared" si="2"/>
        <v>4.4374626709838951</v>
      </c>
      <c r="L13" s="442">
        <f t="shared" si="2"/>
        <v>5.1986343934472092</v>
      </c>
      <c r="M13" s="442"/>
      <c r="N13" s="442">
        <f t="shared" si="3"/>
        <v>14.130840190552652</v>
      </c>
      <c r="O13" s="442">
        <f t="shared" si="3"/>
        <v>18.226090009448917</v>
      </c>
      <c r="P13" s="442">
        <f t="shared" si="3"/>
        <v>20.295549918191455</v>
      </c>
      <c r="Q13" s="444"/>
      <c r="R13" s="442">
        <f t="shared" ref="R13:T13" si="28">SUM(R25,R37,R55,R67,R79,R97)</f>
        <v>6.0423174180426402</v>
      </c>
      <c r="S13" s="442">
        <f t="shared" si="28"/>
        <v>7.6970750679934126</v>
      </c>
      <c r="T13" s="442">
        <f t="shared" si="28"/>
        <v>8.4304796883432722</v>
      </c>
      <c r="U13" s="444"/>
      <c r="V13" s="442">
        <f t="shared" ref="V13:X13" si="29">SUM(V25,V37,V55,V67,V79,V97)</f>
        <v>12.343625651803682</v>
      </c>
      <c r="W13" s="442">
        <f t="shared" si="29"/>
        <v>15.004578084637934</v>
      </c>
      <c r="X13" s="442">
        <f t="shared" si="29"/>
        <v>16.282081103218506</v>
      </c>
      <c r="Y13" s="444"/>
      <c r="Z13" s="442">
        <f t="shared" ref="Z13:AB13" si="30">SUM(Z25,Z37,Z55,Z67,Z79,Z97)</f>
        <v>62.997208437148494</v>
      </c>
      <c r="AA13" s="442">
        <f t="shared" si="30"/>
        <v>59.900205745761028</v>
      </c>
      <c r="AB13" s="442">
        <f t="shared" si="30"/>
        <v>58.457012716670384</v>
      </c>
      <c r="AC13" s="444"/>
      <c r="AD13" s="442">
        <f t="shared" ref="AD13:AF13" si="31">SUM(AD25,AD37,AD55,AD67,AD79,AD97)</f>
        <v>53.885757781047232</v>
      </c>
      <c r="AE13" s="442">
        <f t="shared" si="31"/>
        <v>48.855784343910024</v>
      </c>
      <c r="AF13" s="442">
        <f t="shared" si="31"/>
        <v>44.793975556231906</v>
      </c>
      <c r="AG13" s="444"/>
      <c r="AH13" s="442">
        <f t="shared" ref="AH13:AJ13" si="32">SUM(AH25,AH37,AH55,AH67,AH79,AH97)</f>
        <v>33.025674037476342</v>
      </c>
      <c r="AI13" s="442">
        <f t="shared" si="32"/>
        <v>30.158028569576548</v>
      </c>
      <c r="AJ13" s="442">
        <f t="shared" si="32"/>
        <v>27.896834428029536</v>
      </c>
      <c r="AK13" s="444"/>
      <c r="AL13" s="442">
        <f t="shared" ref="AL13:AN13" si="33">SUM(AL25,AL37,AL55,AL67,AL79,AL97)</f>
        <v>18.274163230070158</v>
      </c>
      <c r="AM13" s="442">
        <f t="shared" si="33"/>
        <v>12.854448727050837</v>
      </c>
      <c r="AN13" s="442">
        <f t="shared" si="33"/>
        <v>8.3154980063944599</v>
      </c>
    </row>
    <row r="14" spans="1:40" x14ac:dyDescent="0.2">
      <c r="A14" s="60" t="str">
        <f>name!E9</f>
        <v>Caring, leisure and other service</v>
      </c>
      <c r="B14" s="442">
        <f t="shared" si="0"/>
        <v>168.11617087795273</v>
      </c>
      <c r="C14" s="442">
        <f t="shared" si="0"/>
        <v>177.32710037561793</v>
      </c>
      <c r="D14" s="442">
        <f t="shared" si="0"/>
        <v>188.79525387511904</v>
      </c>
      <c r="E14" s="442"/>
      <c r="F14" s="442">
        <f t="shared" si="1"/>
        <v>0.15204748579014082</v>
      </c>
      <c r="G14" s="442">
        <f t="shared" si="1"/>
        <v>0.20111397750555601</v>
      </c>
      <c r="H14" s="442">
        <f t="shared" si="1"/>
        <v>0.22833276135435698</v>
      </c>
      <c r="I14" s="442"/>
      <c r="J14" s="442">
        <f t="shared" si="2"/>
        <v>4.8518166183623981</v>
      </c>
      <c r="K14" s="442">
        <f t="shared" si="2"/>
        <v>6.6166066183730594</v>
      </c>
      <c r="L14" s="442">
        <f t="shared" si="2"/>
        <v>7.8765353457807494</v>
      </c>
      <c r="M14" s="442"/>
      <c r="N14" s="442">
        <f t="shared" si="3"/>
        <v>15.59548367159098</v>
      </c>
      <c r="O14" s="442">
        <f t="shared" si="3"/>
        <v>21.200632302824275</v>
      </c>
      <c r="P14" s="442">
        <f t="shared" si="3"/>
        <v>22.796115661472694</v>
      </c>
      <c r="Q14" s="444"/>
      <c r="R14" s="442">
        <f>SUM(R26,R38,R56,R68,R80,R98)</f>
        <v>13.062220784661267</v>
      </c>
      <c r="S14" s="442">
        <f t="shared" ref="S14:T14" si="34">SUM(S26,S38,S56,S68,S80,S98)</f>
        <v>15.535020454274223</v>
      </c>
      <c r="T14" s="442">
        <f t="shared" si="34"/>
        <v>15.774520350869487</v>
      </c>
      <c r="U14" s="444"/>
      <c r="V14" s="442">
        <f t="shared" ref="V14:X14" si="35">SUM(V26,V38,V56,V68,V80,V98)</f>
        <v>9.0375617271807247</v>
      </c>
      <c r="W14" s="442">
        <f t="shared" si="35"/>
        <v>11.763951376332489</v>
      </c>
      <c r="X14" s="442">
        <f t="shared" si="35"/>
        <v>12.465947201615911</v>
      </c>
      <c r="Y14" s="444"/>
      <c r="Z14" s="442">
        <f t="shared" ref="Z14:AB14" si="36">SUM(Z26,Z38,Z56,Z68,Z80,Z98)</f>
        <v>59.740494514351965</v>
      </c>
      <c r="AA14" s="442">
        <f t="shared" si="36"/>
        <v>62.077381880856706</v>
      </c>
      <c r="AB14" s="442">
        <f t="shared" si="36"/>
        <v>70.366343362770266</v>
      </c>
      <c r="AC14" s="444"/>
      <c r="AD14" s="442">
        <f t="shared" ref="AD14:AF14" si="37">SUM(AD26,AD38,AD56,AD68,AD80,AD98)</f>
        <v>47.487915420517567</v>
      </c>
      <c r="AE14" s="442">
        <f t="shared" si="37"/>
        <v>46.652661040811978</v>
      </c>
      <c r="AF14" s="442">
        <f t="shared" si="37"/>
        <v>46.232233576631387</v>
      </c>
      <c r="AG14" s="444"/>
      <c r="AH14" s="442">
        <f t="shared" ref="AH14:AJ14" si="38">SUM(AH26,AH38,AH56,AH68,AH80,AH98)</f>
        <v>14.459918299856636</v>
      </c>
      <c r="AI14" s="442">
        <f t="shared" si="38"/>
        <v>10.4409166452633</v>
      </c>
      <c r="AJ14" s="442">
        <f t="shared" si="38"/>
        <v>10.333039583112784</v>
      </c>
      <c r="AK14" s="444"/>
      <c r="AL14" s="442">
        <f t="shared" ref="AL14:AN14" si="39">SUM(AL26,AL38,AL56,AL68,AL80,AL98)</f>
        <v>3.7287123556410338</v>
      </c>
      <c r="AM14" s="442">
        <f t="shared" si="39"/>
        <v>2.8388160793763277</v>
      </c>
      <c r="AN14" s="442">
        <f t="shared" si="39"/>
        <v>2.7221860315114252</v>
      </c>
    </row>
    <row r="15" spans="1:40" x14ac:dyDescent="0.2">
      <c r="A15" s="60" t="str">
        <f>name!E10</f>
        <v>Sales and customer service</v>
      </c>
      <c r="B15" s="442">
        <f t="shared" si="0"/>
        <v>125.66987901861694</v>
      </c>
      <c r="C15" s="442">
        <f t="shared" si="0"/>
        <v>123.63412707602005</v>
      </c>
      <c r="D15" s="442">
        <f t="shared" si="0"/>
        <v>122.14903772501786</v>
      </c>
      <c r="E15" s="442"/>
      <c r="F15" s="442">
        <f t="shared" si="1"/>
        <v>0.27411518544552782</v>
      </c>
      <c r="G15" s="442">
        <f t="shared" si="1"/>
        <v>0.34894912126908773</v>
      </c>
      <c r="H15" s="442">
        <f t="shared" si="1"/>
        <v>0.39376185365016581</v>
      </c>
      <c r="I15" s="442"/>
      <c r="J15" s="442">
        <f t="shared" si="2"/>
        <v>3.6497164945656095</v>
      </c>
      <c r="K15" s="442">
        <f t="shared" si="2"/>
        <v>4.7957751831771223</v>
      </c>
      <c r="L15" s="442">
        <f t="shared" si="2"/>
        <v>5.564804199736578</v>
      </c>
      <c r="M15" s="442"/>
      <c r="N15" s="442">
        <f t="shared" si="3"/>
        <v>14.487231571640262</v>
      </c>
      <c r="O15" s="442">
        <f t="shared" si="3"/>
        <v>19.043975721327506</v>
      </c>
      <c r="P15" s="442">
        <f t="shared" si="3"/>
        <v>20.916434764974547</v>
      </c>
      <c r="Q15" s="444"/>
      <c r="R15" s="442">
        <f t="shared" ref="R15:T15" si="40">SUM(R27,R39,R57,R69,R81,R99)</f>
        <v>4.7674701597598723</v>
      </c>
      <c r="S15" s="442">
        <f t="shared" si="40"/>
        <v>6.118228508150227</v>
      </c>
      <c r="T15" s="442">
        <f t="shared" si="40"/>
        <v>6.6400610549420591</v>
      </c>
      <c r="U15" s="444"/>
      <c r="V15" s="442">
        <f t="shared" ref="V15:X15" si="41">SUM(V27,V39,V57,V69,V81,V99)</f>
        <v>4.5592474994324999</v>
      </c>
      <c r="W15" s="442">
        <f t="shared" si="41"/>
        <v>5.4611435286626149</v>
      </c>
      <c r="X15" s="442">
        <f t="shared" si="41"/>
        <v>5.7960230518339699</v>
      </c>
      <c r="Y15" s="444"/>
      <c r="Z15" s="442">
        <f t="shared" ref="Z15:AB15" si="42">SUM(Z27,Z39,Z57,Z69,Z81,Z99)</f>
        <v>33.044399008320468</v>
      </c>
      <c r="AA15" s="442">
        <f t="shared" si="42"/>
        <v>32.781241628700322</v>
      </c>
      <c r="AB15" s="442">
        <f t="shared" si="42"/>
        <v>33.610149367348384</v>
      </c>
      <c r="AC15" s="444"/>
      <c r="AD15" s="442">
        <f t="shared" ref="AD15:AF15" si="43">SUM(AD27,AD39,AD57,AD69,AD81,AD99)</f>
        <v>33.371439599699393</v>
      </c>
      <c r="AE15" s="442">
        <f t="shared" si="43"/>
        <v>32.215877261061628</v>
      </c>
      <c r="AF15" s="442">
        <f t="shared" si="43"/>
        <v>31.044972068124061</v>
      </c>
      <c r="AG15" s="444"/>
      <c r="AH15" s="442">
        <f t="shared" ref="AH15:AJ15" si="44">SUM(AH27,AH39,AH57,AH69,AH81,AH99)</f>
        <v>21.78233578400592</v>
      </c>
      <c r="AI15" s="442">
        <f t="shared" si="44"/>
        <v>17.267506118305661</v>
      </c>
      <c r="AJ15" s="442">
        <f t="shared" si="44"/>
        <v>13.750440558586227</v>
      </c>
      <c r="AK15" s="444"/>
      <c r="AL15" s="442">
        <f t="shared" ref="AL15:AN15" si="45">SUM(AL27,AL39,AL57,AL69,AL81,AL99)</f>
        <v>9.7339237157473946</v>
      </c>
      <c r="AM15" s="442">
        <f t="shared" si="45"/>
        <v>5.6014300053658781</v>
      </c>
      <c r="AN15" s="442">
        <f t="shared" si="45"/>
        <v>4.432390805821858</v>
      </c>
    </row>
    <row r="16" spans="1:40" x14ac:dyDescent="0.2">
      <c r="A16" s="60" t="str">
        <f>name!E11</f>
        <v>Process, plant and machine operatives</v>
      </c>
      <c r="B16" s="442">
        <f t="shared" si="0"/>
        <v>113.82573906258961</v>
      </c>
      <c r="C16" s="442">
        <f t="shared" si="0"/>
        <v>106.80862144444552</v>
      </c>
      <c r="D16" s="442">
        <f t="shared" si="0"/>
        <v>102.98688318643494</v>
      </c>
      <c r="E16" s="442"/>
      <c r="F16" s="442">
        <f t="shared" si="1"/>
        <v>0.21223711548565619</v>
      </c>
      <c r="G16" s="442">
        <f t="shared" si="1"/>
        <v>0.30584290893315336</v>
      </c>
      <c r="H16" s="442">
        <f t="shared" si="1"/>
        <v>0.38268067133792977</v>
      </c>
      <c r="I16" s="442"/>
      <c r="J16" s="442">
        <f t="shared" si="2"/>
        <v>1.4716088033396155</v>
      </c>
      <c r="K16" s="442">
        <f t="shared" si="2"/>
        <v>2.0044338391930596</v>
      </c>
      <c r="L16" s="442">
        <f t="shared" si="2"/>
        <v>2.4483595779333589</v>
      </c>
      <c r="M16" s="442"/>
      <c r="N16" s="442">
        <f t="shared" si="3"/>
        <v>4.3141630880840172</v>
      </c>
      <c r="O16" s="442">
        <f t="shared" si="3"/>
        <v>5.6911225460280459</v>
      </c>
      <c r="P16" s="442">
        <f t="shared" si="3"/>
        <v>6.4196692410210625</v>
      </c>
      <c r="Q16" s="444"/>
      <c r="R16" s="442">
        <f t="shared" ref="R16:T16" si="46">SUM(R28,R40,R58,R70,R82,R100)</f>
        <v>1.9498765264285411</v>
      </c>
      <c r="S16" s="442">
        <f t="shared" si="46"/>
        <v>2.48518186090867</v>
      </c>
      <c r="T16" s="442">
        <f t="shared" si="46"/>
        <v>2.7760671476304593</v>
      </c>
      <c r="U16" s="444"/>
      <c r="V16" s="442">
        <f t="shared" ref="V16:X16" si="47">SUM(V28,V40,V58,V70,V82,V100)</f>
        <v>4.3475253709831918</v>
      </c>
      <c r="W16" s="442">
        <f t="shared" si="47"/>
        <v>5.7176741399016713</v>
      </c>
      <c r="X16" s="442">
        <f t="shared" si="47"/>
        <v>6.5078724028912598</v>
      </c>
      <c r="Y16" s="444"/>
      <c r="Z16" s="442">
        <f t="shared" ref="Z16:AB16" si="48">SUM(Z28,Z40,Z58,Z70,Z82,Z100)</f>
        <v>25.990752411522681</v>
      </c>
      <c r="AA16" s="442">
        <f t="shared" si="48"/>
        <v>26.411413129654303</v>
      </c>
      <c r="AB16" s="442">
        <f t="shared" si="48"/>
        <v>27.949370074438185</v>
      </c>
      <c r="AC16" s="444"/>
      <c r="AD16" s="442">
        <f t="shared" ref="AD16:AF16" si="49">SUM(AD28,AD40,AD58,AD70,AD82,AD100)</f>
        <v>34.18327464644311</v>
      </c>
      <c r="AE16" s="442">
        <f t="shared" si="49"/>
        <v>32.414228415713964</v>
      </c>
      <c r="AF16" s="442">
        <f t="shared" si="49"/>
        <v>31.400032216584062</v>
      </c>
      <c r="AG16" s="444"/>
      <c r="AH16" s="442">
        <f t="shared" ref="AH16:AJ16" si="50">SUM(AH28,AH40,AH58,AH70,AH82,AH100)</f>
        <v>27.675669744569952</v>
      </c>
      <c r="AI16" s="442">
        <f t="shared" si="50"/>
        <v>23.5964200887645</v>
      </c>
      <c r="AJ16" s="442">
        <f t="shared" si="50"/>
        <v>20.323268778320859</v>
      </c>
      <c r="AK16" s="444"/>
      <c r="AL16" s="442">
        <f t="shared" ref="AL16:AN16" si="51">SUM(AL28,AL40,AL58,AL70,AL82,AL100)</f>
        <v>13.680631355732841</v>
      </c>
      <c r="AM16" s="442">
        <f t="shared" si="51"/>
        <v>8.1823045153481484</v>
      </c>
      <c r="AN16" s="442">
        <f t="shared" si="51"/>
        <v>4.7795630762777659</v>
      </c>
    </row>
    <row r="17" spans="1:40" x14ac:dyDescent="0.2">
      <c r="A17" s="60" t="str">
        <f>name!E12</f>
        <v>Elementary occupations</v>
      </c>
      <c r="B17" s="442">
        <f t="shared" si="0"/>
        <v>176.46250364617691</v>
      </c>
      <c r="C17" s="442">
        <f t="shared" si="0"/>
        <v>176.51119269083881</v>
      </c>
      <c r="D17" s="442">
        <f t="shared" si="0"/>
        <v>175.63201786892947</v>
      </c>
      <c r="E17" s="442"/>
      <c r="F17" s="442">
        <f t="shared" si="1"/>
        <v>0.13540982190739292</v>
      </c>
      <c r="G17" s="442">
        <f t="shared" si="1"/>
        <v>0.20330549479878349</v>
      </c>
      <c r="H17" s="442">
        <f t="shared" si="1"/>
        <v>0.23724826622862871</v>
      </c>
      <c r="I17" s="442"/>
      <c r="J17" s="442">
        <f t="shared" si="2"/>
        <v>3.3460739732416607</v>
      </c>
      <c r="K17" s="442">
        <f t="shared" si="2"/>
        <v>5.1549274634911848</v>
      </c>
      <c r="L17" s="442">
        <f t="shared" si="2"/>
        <v>6.5824141215100456</v>
      </c>
      <c r="M17" s="442"/>
      <c r="N17" s="442">
        <f t="shared" si="3"/>
        <v>11.688632873502067</v>
      </c>
      <c r="O17" s="442">
        <f t="shared" si="3"/>
        <v>17.540242474573848</v>
      </c>
      <c r="P17" s="442">
        <f t="shared" si="3"/>
        <v>20.637668786678642</v>
      </c>
      <c r="Q17" s="444"/>
      <c r="R17" s="442">
        <f t="shared" ref="R17:T17" si="52">SUM(R29,R41,R59,R71,R83,R101)</f>
        <v>5.4956401973798155</v>
      </c>
      <c r="S17" s="442">
        <f t="shared" si="52"/>
        <v>7.8216542234490376</v>
      </c>
      <c r="T17" s="442">
        <f t="shared" si="52"/>
        <v>8.863768103587244</v>
      </c>
      <c r="U17" s="444"/>
      <c r="V17" s="442">
        <f t="shared" ref="V17:X17" si="53">SUM(V29,V41,V59,V71,V83,V101)</f>
        <v>6.2392937145157541</v>
      </c>
      <c r="W17" s="442">
        <f t="shared" si="53"/>
        <v>8.692402425688508</v>
      </c>
      <c r="X17" s="442">
        <f t="shared" si="53"/>
        <v>9.9625786046498952</v>
      </c>
      <c r="Y17" s="444"/>
      <c r="Z17" s="442">
        <f t="shared" ref="Z17:AB17" si="54">SUM(Z29,Z41,Z59,Z71,Z83,Z101)</f>
        <v>32.780078616373252</v>
      </c>
      <c r="AA17" s="442">
        <f t="shared" si="54"/>
        <v>31.882945277964037</v>
      </c>
      <c r="AB17" s="442">
        <f t="shared" si="54"/>
        <v>31.83490785292561</v>
      </c>
      <c r="AC17" s="444"/>
      <c r="AD17" s="442">
        <f t="shared" ref="AD17:AF17" si="55">SUM(AD29,AD41,AD59,AD71,AD83,AD101)</f>
        <v>50.149133456793137</v>
      </c>
      <c r="AE17" s="442">
        <f t="shared" si="55"/>
        <v>50.312995534478105</v>
      </c>
      <c r="AF17" s="442">
        <f t="shared" si="55"/>
        <v>48.737157325538412</v>
      </c>
      <c r="AG17" s="444"/>
      <c r="AH17" s="442">
        <f t="shared" ref="AH17:AJ17" si="56">SUM(AH29,AH41,AH59,AH71,AH83,AH101)</f>
        <v>44.595893056061506</v>
      </c>
      <c r="AI17" s="442">
        <f t="shared" si="56"/>
        <v>40.529594062600658</v>
      </c>
      <c r="AJ17" s="442">
        <f t="shared" si="56"/>
        <v>37.626019239091214</v>
      </c>
      <c r="AK17" s="444"/>
      <c r="AL17" s="442">
        <f t="shared" ref="AL17:AN17" si="57">SUM(AL29,AL41,AL59,AL71,AL83,AL101)</f>
        <v>22.032347936402335</v>
      </c>
      <c r="AM17" s="442">
        <f t="shared" si="57"/>
        <v>14.373125733794655</v>
      </c>
      <c r="AN17" s="442">
        <f t="shared" si="57"/>
        <v>11.150255568719762</v>
      </c>
    </row>
    <row r="18" spans="1:40" x14ac:dyDescent="0.2">
      <c r="A18" s="60"/>
      <c r="B18" s="442"/>
      <c r="C18" s="442"/>
      <c r="D18" s="442"/>
      <c r="E18" s="442"/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4"/>
      <c r="R18" s="442"/>
      <c r="S18" s="442"/>
      <c r="T18" s="442"/>
      <c r="U18" s="444"/>
      <c r="V18" s="442"/>
      <c r="W18" s="442"/>
      <c r="X18" s="442"/>
      <c r="Y18" s="444"/>
      <c r="Z18" s="442"/>
      <c r="AA18" s="442"/>
      <c r="AB18" s="442"/>
      <c r="AC18" s="444"/>
      <c r="AD18" s="442"/>
      <c r="AE18" s="442"/>
      <c r="AF18" s="442"/>
      <c r="AG18" s="444"/>
      <c r="AH18" s="442"/>
      <c r="AI18" s="442"/>
      <c r="AJ18" s="442"/>
      <c r="AK18" s="444"/>
      <c r="AL18" s="442"/>
      <c r="AM18" s="442"/>
      <c r="AN18" s="442"/>
    </row>
    <row r="19" spans="1:40" x14ac:dyDescent="0.2">
      <c r="A19" s="1" t="str">
        <f>name!C4</f>
        <v>Primary sector and utilities</v>
      </c>
      <c r="B19" s="444"/>
      <c r="C19" s="444"/>
      <c r="D19" s="444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4"/>
      <c r="R19" s="442"/>
      <c r="S19" s="442"/>
      <c r="T19" s="442"/>
      <c r="U19" s="444"/>
      <c r="V19" s="442"/>
      <c r="W19" s="442"/>
      <c r="X19" s="442"/>
      <c r="Y19" s="444"/>
      <c r="Z19" s="442"/>
      <c r="AA19" s="442"/>
      <c r="AB19" s="442"/>
      <c r="AC19" s="444"/>
      <c r="AD19" s="442"/>
      <c r="AE19" s="442"/>
      <c r="AF19" s="442"/>
      <c r="AG19" s="444"/>
      <c r="AH19" s="442"/>
      <c r="AI19" s="442"/>
      <c r="AJ19" s="442"/>
      <c r="AK19" s="444"/>
      <c r="AL19" s="442"/>
      <c r="AM19" s="442"/>
      <c r="AN19" s="442"/>
    </row>
    <row r="20" spans="1:40" x14ac:dyDescent="0.2">
      <c r="A20" s="15" t="str">
        <f t="shared" ref="A20:A29" si="58">A8</f>
        <v>All occupations</v>
      </c>
      <c r="B20" s="443">
        <f>SUM(B21:B29)</f>
        <v>81.569000000386936</v>
      </c>
      <c r="C20" s="443">
        <f>SUM(C21:C29)</f>
        <v>82.016000000124379</v>
      </c>
      <c r="D20" s="443">
        <f>SUM(D21:D29)</f>
        <v>82.742000000101356</v>
      </c>
      <c r="E20" s="442"/>
      <c r="F20" s="443">
        <f>SUM(F21:F29)</f>
        <v>0.66179419708660581</v>
      </c>
      <c r="G20" s="443">
        <f>SUM(G21:G29)</f>
        <v>0.8858208382991225</v>
      </c>
      <c r="H20" s="443">
        <f>SUM(H21:H29)</f>
        <v>1.0855123535408122</v>
      </c>
      <c r="I20" s="442"/>
      <c r="J20" s="443">
        <f>SUM(J21:J29)</f>
        <v>3.444166502171631</v>
      </c>
      <c r="K20" s="443">
        <f>SUM(K21:K29)</f>
        <v>4.3551152338691237</v>
      </c>
      <c r="L20" s="443">
        <f>SUM(L21:L29)</f>
        <v>5.084228811985823</v>
      </c>
      <c r="M20" s="442"/>
      <c r="N20" s="443">
        <f>SUM(N21:N29)</f>
        <v>10.81968735499259</v>
      </c>
      <c r="O20" s="443">
        <f>SUM(O21:O29)</f>
        <v>13.275507858799484</v>
      </c>
      <c r="P20" s="443">
        <f>SUM(P21:P29)</f>
        <v>14.476978662407349</v>
      </c>
      <c r="Q20" s="444"/>
      <c r="R20" s="443">
        <f>SUM(R21:R29)</f>
        <v>3.5977843678606161</v>
      </c>
      <c r="S20" s="443">
        <f>SUM(S21:S29)</f>
        <v>4.5998498608064109</v>
      </c>
      <c r="T20" s="443">
        <f>SUM(T21:T29)</f>
        <v>5.2194590229208506</v>
      </c>
      <c r="U20" s="444"/>
      <c r="V20" s="443">
        <f>SUM(V21:V29)</f>
        <v>6.9550958319610912</v>
      </c>
      <c r="W20" s="443">
        <f>SUM(W21:W29)</f>
        <v>8.4189223810342959</v>
      </c>
      <c r="X20" s="443">
        <f>SUM(X21:X29)</f>
        <v>9.3637134540686766</v>
      </c>
      <c r="Y20" s="444"/>
      <c r="Z20" s="443">
        <f>SUM(Z21:Z29)</f>
        <v>15.94502557203232</v>
      </c>
      <c r="AA20" s="443">
        <f>SUM(AA21:AA29)</f>
        <v>15.460048730990257</v>
      </c>
      <c r="AB20" s="443">
        <f>SUM(AB21:AB29)</f>
        <v>15.937548480970127</v>
      </c>
      <c r="AC20" s="444"/>
      <c r="AD20" s="443">
        <f>SUM(AD21:AD29)</f>
        <v>17.595046197523693</v>
      </c>
      <c r="AE20" s="443">
        <f>SUM(AE21:AE29)</f>
        <v>16.358829513778034</v>
      </c>
      <c r="AF20" s="443">
        <f>SUM(AF21:AF29)</f>
        <v>15.617160294045808</v>
      </c>
      <c r="AG20" s="444"/>
      <c r="AH20" s="443">
        <f>SUM(AH21:AH29)</f>
        <v>12.959872057690173</v>
      </c>
      <c r="AI20" s="443">
        <f>SUM(AI21:AI29)</f>
        <v>11.495965105368278</v>
      </c>
      <c r="AJ20" s="443">
        <f>SUM(AJ21:AJ29)</f>
        <v>10.25532502005154</v>
      </c>
      <c r="AK20" s="444"/>
      <c r="AL20" s="443">
        <f>SUM(AL21:AL29)</f>
        <v>9.5905279190682364</v>
      </c>
      <c r="AM20" s="443">
        <f>SUM(AM21:AM29)</f>
        <v>7.1659404771793733</v>
      </c>
      <c r="AN20" s="443">
        <f>SUM(AN21:AN29)</f>
        <v>5.7020739001103671</v>
      </c>
    </row>
    <row r="21" spans="1:40" x14ac:dyDescent="0.2">
      <c r="A21" s="15" t="str">
        <f t="shared" si="58"/>
        <v>Managers, directors and senior officials</v>
      </c>
      <c r="B21" s="442">
        <f>SUM(F21,J21,N21,R21,V21,Z21,AD21,AH21,AL21)</f>
        <v>6.1802668905646385</v>
      </c>
      <c r="C21" s="442">
        <f t="shared" ref="C21:D21" si="59">SUM(G21,K21,O21,S21,W21,AA21,AE21,AI21,AM21)</f>
        <v>6.6629023106581649</v>
      </c>
      <c r="D21" s="442">
        <f t="shared" si="59"/>
        <v>7.0746858274670288</v>
      </c>
      <c r="E21" s="442"/>
      <c r="F21" s="442">
        <v>9.5153832643177907E-2</v>
      </c>
      <c r="G21" s="442">
        <v>0.13439350719669674</v>
      </c>
      <c r="H21" s="442">
        <v>0.14982550163148708</v>
      </c>
      <c r="I21" s="442"/>
      <c r="J21" s="442">
        <v>0.75363341214383039</v>
      </c>
      <c r="K21" s="442">
        <v>0.99389604137726206</v>
      </c>
      <c r="L21" s="442">
        <v>1.1728190019620737</v>
      </c>
      <c r="M21" s="442"/>
      <c r="N21" s="442">
        <v>1.248687418404389</v>
      </c>
      <c r="O21" s="442">
        <v>1.5199247261164019</v>
      </c>
      <c r="P21" s="442">
        <v>1.5719355538612529</v>
      </c>
      <c r="Q21" s="444"/>
      <c r="R21" s="442">
        <v>0.29548985167828978</v>
      </c>
      <c r="S21" s="442">
        <v>0.36580501561180762</v>
      </c>
      <c r="T21" s="442">
        <v>0.38657827454380345</v>
      </c>
      <c r="U21" s="444"/>
      <c r="V21" s="442">
        <v>0.45346403981969963</v>
      </c>
      <c r="W21" s="442">
        <v>0.4998121047942522</v>
      </c>
      <c r="X21" s="442">
        <v>0.52386987692587639</v>
      </c>
      <c r="Y21" s="444"/>
      <c r="Z21" s="442">
        <v>1.065914543533707</v>
      </c>
      <c r="AA21" s="442">
        <v>1.1180999157872673</v>
      </c>
      <c r="AB21" s="442">
        <v>1.3096182882354896</v>
      </c>
      <c r="AC21" s="444"/>
      <c r="AD21" s="442">
        <v>0.96185192102519601</v>
      </c>
      <c r="AE21" s="442">
        <v>0.90687150143876338</v>
      </c>
      <c r="AF21" s="442">
        <v>0.77891835363641748</v>
      </c>
      <c r="AG21" s="444"/>
      <c r="AH21" s="442">
        <v>0.46651149230562255</v>
      </c>
      <c r="AI21" s="442">
        <v>0.38226362550489301</v>
      </c>
      <c r="AJ21" s="442">
        <v>0.30092147962591992</v>
      </c>
      <c r="AK21" s="444"/>
      <c r="AL21" s="442">
        <v>0.83956037901072544</v>
      </c>
      <c r="AM21" s="442">
        <v>0.74183587283082031</v>
      </c>
      <c r="AN21" s="442">
        <v>0.88019949704470901</v>
      </c>
    </row>
    <row r="22" spans="1:40" x14ac:dyDescent="0.2">
      <c r="A22" s="15" t="str">
        <f t="shared" si="58"/>
        <v>Professional occupations</v>
      </c>
      <c r="B22" s="442">
        <f t="shared" ref="B22:B29" si="60">SUM(F22,J22,N22,R22,V22,Z22,AD22,AH22,AL22)</f>
        <v>4.6351504443290201</v>
      </c>
      <c r="C22" s="442">
        <f t="shared" ref="C22:C29" si="61">SUM(G22,K22,O22,S22,W22,AA22,AE22,AI22,AM22)</f>
        <v>5.0850569566170298</v>
      </c>
      <c r="D22" s="442">
        <f t="shared" ref="D22:D29" si="62">SUM(H22,L22,P22,T22,X22,AB22,AF22,AJ22,AN22)</f>
        <v>5.4312071307777385</v>
      </c>
      <c r="E22" s="442"/>
      <c r="F22" s="442">
        <v>0.17116430307568559</v>
      </c>
      <c r="G22" s="442">
        <v>0.22002497107371624</v>
      </c>
      <c r="H22" s="442">
        <v>0.27641829753782526</v>
      </c>
      <c r="I22" s="442"/>
      <c r="J22" s="442">
        <v>1.059607183267679</v>
      </c>
      <c r="K22" s="442">
        <v>1.4317412560516287</v>
      </c>
      <c r="L22" s="442">
        <v>1.6492590179775941</v>
      </c>
      <c r="M22" s="442"/>
      <c r="N22" s="442">
        <v>1.3751318146458371</v>
      </c>
      <c r="O22" s="442">
        <v>1.3463728402024935</v>
      </c>
      <c r="P22" s="442">
        <v>1.2590119095264414</v>
      </c>
      <c r="Q22" s="444"/>
      <c r="R22" s="442">
        <v>0.15158411473248373</v>
      </c>
      <c r="S22" s="442">
        <v>0.18803243452875801</v>
      </c>
      <c r="T22" s="442">
        <v>0.22269719054666948</v>
      </c>
      <c r="U22" s="444"/>
      <c r="V22" s="442">
        <v>0.42813918355634067</v>
      </c>
      <c r="W22" s="442">
        <v>0.46656125046307667</v>
      </c>
      <c r="X22" s="442">
        <v>0.48969735096702871</v>
      </c>
      <c r="Y22" s="444"/>
      <c r="Z22" s="442">
        <v>0.45686404016311566</v>
      </c>
      <c r="AA22" s="442">
        <v>0.40270028263760743</v>
      </c>
      <c r="AB22" s="442">
        <v>0.36719129735309097</v>
      </c>
      <c r="AC22" s="444"/>
      <c r="AD22" s="442">
        <v>0.55372517037916547</v>
      </c>
      <c r="AE22" s="442">
        <v>0.6312188374452169</v>
      </c>
      <c r="AF22" s="442">
        <v>0.71460123921414598</v>
      </c>
      <c r="AG22" s="444"/>
      <c r="AH22" s="442">
        <v>0.27938254841390925</v>
      </c>
      <c r="AI22" s="442">
        <v>0.24832918890955111</v>
      </c>
      <c r="AJ22" s="442">
        <v>0.25901830085673266</v>
      </c>
      <c r="AK22" s="444"/>
      <c r="AL22" s="442">
        <v>0.15955208609480406</v>
      </c>
      <c r="AM22" s="442">
        <v>0.15007589530498155</v>
      </c>
      <c r="AN22" s="442">
        <v>0.19331252679820957</v>
      </c>
    </row>
    <row r="23" spans="1:40" x14ac:dyDescent="0.2">
      <c r="A23" s="15" t="str">
        <f t="shared" si="58"/>
        <v>Associate professional and technical</v>
      </c>
      <c r="B23" s="442">
        <f t="shared" si="60"/>
        <v>3.7199311285679943</v>
      </c>
      <c r="C23" s="442">
        <f t="shared" si="61"/>
        <v>4.0097773601762849</v>
      </c>
      <c r="D23" s="442">
        <f t="shared" si="62"/>
        <v>4.1880624150561836</v>
      </c>
      <c r="E23" s="442"/>
      <c r="F23" s="442">
        <v>0.10845786670156198</v>
      </c>
      <c r="G23" s="442">
        <v>0.15096692456541724</v>
      </c>
      <c r="H23" s="442">
        <v>0.18227121427411738</v>
      </c>
      <c r="I23" s="442"/>
      <c r="J23" s="442">
        <v>0.37854089161232313</v>
      </c>
      <c r="K23" s="442">
        <v>0.52470064556918139</v>
      </c>
      <c r="L23" s="442">
        <v>0.60517422638690666</v>
      </c>
      <c r="M23" s="442"/>
      <c r="N23" s="442">
        <v>0.93090165381097778</v>
      </c>
      <c r="O23" s="442">
        <v>1.0531025225836885</v>
      </c>
      <c r="P23" s="442">
        <v>1.0779874263780804</v>
      </c>
      <c r="Q23" s="444"/>
      <c r="R23" s="442">
        <v>0.11633956581317582</v>
      </c>
      <c r="S23" s="442">
        <v>0.12512726527171047</v>
      </c>
      <c r="T23" s="442">
        <v>0.13234444702167725</v>
      </c>
      <c r="U23" s="444"/>
      <c r="V23" s="442">
        <v>0.49758319318771183</v>
      </c>
      <c r="W23" s="442">
        <v>0.58548922210106591</v>
      </c>
      <c r="X23" s="442">
        <v>0.62926278286532467</v>
      </c>
      <c r="Y23" s="444"/>
      <c r="Z23" s="442">
        <v>0.8604348940637766</v>
      </c>
      <c r="AA23" s="442">
        <v>0.84861759700434292</v>
      </c>
      <c r="AB23" s="442">
        <v>0.84924951680124783</v>
      </c>
      <c r="AC23" s="444"/>
      <c r="AD23" s="442">
        <v>0.39947608008848645</v>
      </c>
      <c r="AE23" s="442">
        <v>0.33809540873707078</v>
      </c>
      <c r="AF23" s="442">
        <v>0.29215473133583131</v>
      </c>
      <c r="AG23" s="444"/>
      <c r="AH23" s="442">
        <v>0.27186116813397071</v>
      </c>
      <c r="AI23" s="442">
        <v>0.23652375930755776</v>
      </c>
      <c r="AJ23" s="442">
        <v>0.24293130052671236</v>
      </c>
      <c r="AK23" s="444"/>
      <c r="AL23" s="442">
        <v>0.15633581515600997</v>
      </c>
      <c r="AM23" s="442">
        <v>0.14715401503625039</v>
      </c>
      <c r="AN23" s="442">
        <v>0.17668676946628517</v>
      </c>
    </row>
    <row r="24" spans="1:40" x14ac:dyDescent="0.2">
      <c r="A24" s="15" t="str">
        <f t="shared" si="58"/>
        <v>Administrative and secretarial</v>
      </c>
      <c r="B24" s="442">
        <f t="shared" si="60"/>
        <v>3.2272701831815831</v>
      </c>
      <c r="C24" s="442">
        <f t="shared" si="61"/>
        <v>3.0068279314430315</v>
      </c>
      <c r="D24" s="442">
        <f t="shared" si="62"/>
        <v>2.8601772467506539</v>
      </c>
      <c r="E24" s="442"/>
      <c r="F24" s="442">
        <v>1.046182484111278E-2</v>
      </c>
      <c r="G24" s="442">
        <v>1.2608878471942713E-2</v>
      </c>
      <c r="H24" s="442">
        <v>1.4568721629978224E-2</v>
      </c>
      <c r="I24" s="442"/>
      <c r="J24" s="442">
        <v>0.16699557683098723</v>
      </c>
      <c r="K24" s="442">
        <v>0.21227233544373761</v>
      </c>
      <c r="L24" s="442">
        <v>0.24343334735675001</v>
      </c>
      <c r="M24" s="442"/>
      <c r="N24" s="442">
        <v>0.49248886051161361</v>
      </c>
      <c r="O24" s="442">
        <v>0.55478638026836591</v>
      </c>
      <c r="P24" s="442">
        <v>0.54638748735707665</v>
      </c>
      <c r="Q24" s="444"/>
      <c r="R24" s="442">
        <v>9.2980063552208878E-2</v>
      </c>
      <c r="S24" s="442">
        <v>7.328533183182627E-2</v>
      </c>
      <c r="T24" s="442">
        <v>4.5731415573179016E-2</v>
      </c>
      <c r="U24" s="444"/>
      <c r="V24" s="442">
        <v>0.31752154633271618</v>
      </c>
      <c r="W24" s="442">
        <v>0.38365355231555975</v>
      </c>
      <c r="X24" s="442">
        <v>0.44962092952035193</v>
      </c>
      <c r="Y24" s="444"/>
      <c r="Z24" s="442">
        <v>0.75220080645167908</v>
      </c>
      <c r="AA24" s="442">
        <v>0.67368622459413308</v>
      </c>
      <c r="AB24" s="442">
        <v>0.71558684180981735</v>
      </c>
      <c r="AC24" s="444"/>
      <c r="AD24" s="442">
        <v>0.48011626128677881</v>
      </c>
      <c r="AE24" s="442">
        <v>0.34938365118204268</v>
      </c>
      <c r="AF24" s="442">
        <v>0.20235583358997361</v>
      </c>
      <c r="AG24" s="444"/>
      <c r="AH24" s="442">
        <v>0.41021502822275185</v>
      </c>
      <c r="AI24" s="442">
        <v>0.31780260378458985</v>
      </c>
      <c r="AJ24" s="442">
        <v>0.27186313238815313</v>
      </c>
      <c r="AK24" s="444"/>
      <c r="AL24" s="442">
        <v>0.50429021515173522</v>
      </c>
      <c r="AM24" s="442">
        <v>0.42934897355083357</v>
      </c>
      <c r="AN24" s="442">
        <v>0.37062953752537342</v>
      </c>
    </row>
    <row r="25" spans="1:40" x14ac:dyDescent="0.2">
      <c r="A25" s="15" t="str">
        <f t="shared" si="58"/>
        <v>Skilled trades occupations</v>
      </c>
      <c r="B25" s="442">
        <f t="shared" si="60"/>
        <v>43.040705433750858</v>
      </c>
      <c r="C25" s="442">
        <f t="shared" si="61"/>
        <v>42.363511722058398</v>
      </c>
      <c r="D25" s="442">
        <f t="shared" si="62"/>
        <v>41.490585102658571</v>
      </c>
      <c r="E25" s="442"/>
      <c r="F25" s="442">
        <v>0.26341705030430168</v>
      </c>
      <c r="G25" s="442">
        <v>0.35330802088021873</v>
      </c>
      <c r="H25" s="442">
        <v>0.44532081165763959</v>
      </c>
      <c r="I25" s="442"/>
      <c r="J25" s="442">
        <v>0.84285333774523497</v>
      </c>
      <c r="K25" s="442">
        <v>0.86932203089338311</v>
      </c>
      <c r="L25" s="442">
        <v>1.029314087183739</v>
      </c>
      <c r="M25" s="442"/>
      <c r="N25" s="442">
        <v>5.5300945187399195</v>
      </c>
      <c r="O25" s="442">
        <v>7.132339082961515</v>
      </c>
      <c r="P25" s="442">
        <v>8.0988295916531285</v>
      </c>
      <c r="Q25" s="444"/>
      <c r="R25" s="442">
        <v>2.1779924529969596</v>
      </c>
      <c r="S25" s="442">
        <v>2.7934844223628494</v>
      </c>
      <c r="T25" s="442">
        <v>3.1118843262668943</v>
      </c>
      <c r="U25" s="444"/>
      <c r="V25" s="442">
        <v>3.7260547993384434</v>
      </c>
      <c r="W25" s="442">
        <v>4.4938118664163538</v>
      </c>
      <c r="X25" s="442">
        <v>4.9805989614318822</v>
      </c>
      <c r="Y25" s="444"/>
      <c r="Z25" s="442">
        <v>7.6870117135604312</v>
      </c>
      <c r="AA25" s="442">
        <v>7.1118407944235704</v>
      </c>
      <c r="AB25" s="442">
        <v>6.812784153568912</v>
      </c>
      <c r="AC25" s="444"/>
      <c r="AD25" s="442">
        <v>9.8301250798902977</v>
      </c>
      <c r="AE25" s="442">
        <v>9.0459782973386655</v>
      </c>
      <c r="AF25" s="442">
        <v>8.6797208129387187</v>
      </c>
      <c r="AG25" s="444"/>
      <c r="AH25" s="442">
        <v>7.1153948140984875</v>
      </c>
      <c r="AI25" s="442">
        <v>6.3947952365469751</v>
      </c>
      <c r="AJ25" s="442">
        <v>5.7375791769475493</v>
      </c>
      <c r="AK25" s="444"/>
      <c r="AL25" s="442">
        <v>5.8677616670767767</v>
      </c>
      <c r="AM25" s="442">
        <v>4.1686319702348618</v>
      </c>
      <c r="AN25" s="442">
        <v>2.5945531810101063</v>
      </c>
    </row>
    <row r="26" spans="1:40" x14ac:dyDescent="0.2">
      <c r="A26" s="15" t="str">
        <f t="shared" si="58"/>
        <v>Caring, leisure and other service</v>
      </c>
      <c r="B26" s="442">
        <f t="shared" si="60"/>
        <v>3.3976260084245147</v>
      </c>
      <c r="C26" s="442">
        <f t="shared" si="61"/>
        <v>3.6926751564786451</v>
      </c>
      <c r="D26" s="442">
        <f t="shared" si="62"/>
        <v>4.1333523901183327</v>
      </c>
      <c r="E26" s="442"/>
      <c r="F26" s="442">
        <v>6.3149145542021248E-3</v>
      </c>
      <c r="G26" s="442">
        <v>5.8425629226844288E-3</v>
      </c>
      <c r="H26" s="442">
        <v>6.3350275550655413E-3</v>
      </c>
      <c r="I26" s="442"/>
      <c r="J26" s="442">
        <v>4.9350626798416564E-2</v>
      </c>
      <c r="K26" s="442">
        <v>6.4023494958555457E-2</v>
      </c>
      <c r="L26" s="442">
        <v>6.9077440155153422E-2</v>
      </c>
      <c r="M26" s="442"/>
      <c r="N26" s="442">
        <v>0.12972137769972619</v>
      </c>
      <c r="O26" s="442">
        <v>0.16109060823242591</v>
      </c>
      <c r="P26" s="442">
        <v>0.16109958696066068</v>
      </c>
      <c r="Q26" s="444"/>
      <c r="R26" s="442">
        <v>0.17398008129950251</v>
      </c>
      <c r="S26" s="442">
        <v>0.26022467714718872</v>
      </c>
      <c r="T26" s="442">
        <v>0.30051923339619657</v>
      </c>
      <c r="U26" s="444"/>
      <c r="V26" s="442">
        <v>0.21521334057965952</v>
      </c>
      <c r="W26" s="442">
        <v>0.30280487012000012</v>
      </c>
      <c r="X26" s="442">
        <v>0.35648260959755779</v>
      </c>
      <c r="Y26" s="444"/>
      <c r="Z26" s="442">
        <v>0.40668680682908742</v>
      </c>
      <c r="AA26" s="442">
        <v>0.30882082827399954</v>
      </c>
      <c r="AB26" s="442">
        <v>0.32880987776697024</v>
      </c>
      <c r="AC26" s="444"/>
      <c r="AD26" s="442">
        <v>0.79653976617247313</v>
      </c>
      <c r="AE26" s="442">
        <v>0.85066232167877764</v>
      </c>
      <c r="AF26" s="442">
        <v>1.0581480076104852</v>
      </c>
      <c r="AG26" s="444"/>
      <c r="AH26" s="442">
        <v>1.1507683238690289</v>
      </c>
      <c r="AI26" s="442">
        <v>1.3420157842533746</v>
      </c>
      <c r="AJ26" s="442">
        <v>1.5010702773179534</v>
      </c>
      <c r="AK26" s="444"/>
      <c r="AL26" s="442">
        <v>0.46905077062241818</v>
      </c>
      <c r="AM26" s="442">
        <v>0.39719000889163858</v>
      </c>
      <c r="AN26" s="442">
        <v>0.35181032975829007</v>
      </c>
    </row>
    <row r="27" spans="1:40" x14ac:dyDescent="0.2">
      <c r="A27" s="15" t="str">
        <f t="shared" si="58"/>
        <v>Sales and customer service</v>
      </c>
      <c r="B27" s="442">
        <f t="shared" si="60"/>
        <v>1.6933948398034244</v>
      </c>
      <c r="C27" s="442">
        <f t="shared" si="61"/>
        <v>1.6833738756592056</v>
      </c>
      <c r="D27" s="442">
        <f t="shared" si="62"/>
        <v>1.7336952673105552</v>
      </c>
      <c r="E27" s="442"/>
      <c r="F27" s="442">
        <v>4.2398867124262092E-3</v>
      </c>
      <c r="G27" s="442">
        <v>4.8588087078328358E-3</v>
      </c>
      <c r="H27" s="442">
        <v>5.2758623948657721E-3</v>
      </c>
      <c r="I27" s="442"/>
      <c r="J27" s="442">
        <v>4.0318271277840115E-2</v>
      </c>
      <c r="K27" s="442">
        <v>4.9962214005624353E-2</v>
      </c>
      <c r="L27" s="442">
        <v>5.4799207535368828E-2</v>
      </c>
      <c r="M27" s="442"/>
      <c r="N27" s="442">
        <v>0.23887631490011405</v>
      </c>
      <c r="O27" s="442">
        <v>0.29186771420547347</v>
      </c>
      <c r="P27" s="442">
        <v>0.31763811235144312</v>
      </c>
      <c r="Q27" s="444"/>
      <c r="R27" s="442">
        <v>0.13687242519902665</v>
      </c>
      <c r="S27" s="442">
        <v>0.16756461857350011</v>
      </c>
      <c r="T27" s="442">
        <v>0.20502372577230121</v>
      </c>
      <c r="U27" s="444"/>
      <c r="V27" s="442">
        <v>0.14351291933608529</v>
      </c>
      <c r="W27" s="442">
        <v>0.17367667922769403</v>
      </c>
      <c r="X27" s="442">
        <v>0.21215729951322657</v>
      </c>
      <c r="Y27" s="444"/>
      <c r="Z27" s="442">
        <v>0.41046461069314782</v>
      </c>
      <c r="AA27" s="442">
        <v>0.40134266011348707</v>
      </c>
      <c r="AB27" s="442">
        <v>0.3880823924555592</v>
      </c>
      <c r="AC27" s="444"/>
      <c r="AD27" s="442">
        <v>0.2594268327225735</v>
      </c>
      <c r="AE27" s="442">
        <v>0.23985672773791633</v>
      </c>
      <c r="AF27" s="442">
        <v>0.24286956705822127</v>
      </c>
      <c r="AG27" s="444"/>
      <c r="AH27" s="442">
        <v>0.37160769857096149</v>
      </c>
      <c r="AI27" s="442">
        <v>0.28714829821984389</v>
      </c>
      <c r="AJ27" s="442">
        <v>0.24477040101646128</v>
      </c>
      <c r="AK27" s="444"/>
      <c r="AL27" s="442">
        <v>8.8075880391249306E-2</v>
      </c>
      <c r="AM27" s="442">
        <v>6.7096154867833685E-2</v>
      </c>
      <c r="AN27" s="442">
        <v>6.3078699213107797E-2</v>
      </c>
    </row>
    <row r="28" spans="1:40" x14ac:dyDescent="0.2">
      <c r="A28" s="15" t="str">
        <f t="shared" si="58"/>
        <v>Process, plant and machine operatives</v>
      </c>
      <c r="B28" s="442">
        <f t="shared" si="60"/>
        <v>6.6656245839090005</v>
      </c>
      <c r="C28" s="442">
        <f t="shared" si="61"/>
        <v>6.8414272070512219</v>
      </c>
      <c r="D28" s="442">
        <f t="shared" si="62"/>
        <v>7.1927846225482748</v>
      </c>
      <c r="E28" s="442"/>
      <c r="F28" s="442">
        <v>2.5270807523156669E-3</v>
      </c>
      <c r="G28" s="442">
        <v>3.7314703324413234E-3</v>
      </c>
      <c r="H28" s="442">
        <v>5.38771030643714E-3</v>
      </c>
      <c r="I28" s="442"/>
      <c r="J28" s="442">
        <v>4.8439883905904937E-2</v>
      </c>
      <c r="K28" s="442">
        <v>7.4534609355240797E-2</v>
      </c>
      <c r="L28" s="442">
        <v>9.6598726087003317E-2</v>
      </c>
      <c r="M28" s="442"/>
      <c r="N28" s="442">
        <v>0.4539342737051944</v>
      </c>
      <c r="O28" s="442">
        <v>0.67987511300021575</v>
      </c>
      <c r="P28" s="442">
        <v>0.85960345723660747</v>
      </c>
      <c r="Q28" s="444"/>
      <c r="R28" s="442">
        <v>5.4854779968624076E-2</v>
      </c>
      <c r="S28" s="442">
        <v>8.0541460879523866E-2</v>
      </c>
      <c r="T28" s="442">
        <v>9.4997152607939686E-2</v>
      </c>
      <c r="U28" s="444"/>
      <c r="V28" s="442">
        <v>0.33222037076531946</v>
      </c>
      <c r="W28" s="442">
        <v>0.44756981798293405</v>
      </c>
      <c r="X28" s="442">
        <v>0.52022725754623178</v>
      </c>
      <c r="Y28" s="444"/>
      <c r="Z28" s="442">
        <v>1.7958520987543389</v>
      </c>
      <c r="AA28" s="442">
        <v>1.9783279980406954</v>
      </c>
      <c r="AB28" s="442">
        <v>2.2093839843845724</v>
      </c>
      <c r="AC28" s="444"/>
      <c r="AD28" s="442">
        <v>1.9393337131611168</v>
      </c>
      <c r="AE28" s="442">
        <v>1.8416286418676178</v>
      </c>
      <c r="AF28" s="442">
        <v>1.7460536175593371</v>
      </c>
      <c r="AG28" s="444"/>
      <c r="AH28" s="442">
        <v>1.2492010097673969</v>
      </c>
      <c r="AI28" s="442">
        <v>0.95925187333718953</v>
      </c>
      <c r="AJ28" s="442">
        <v>0.81494907514163151</v>
      </c>
      <c r="AK28" s="444"/>
      <c r="AL28" s="442">
        <v>0.78926137312879019</v>
      </c>
      <c r="AM28" s="442">
        <v>0.77596622225536349</v>
      </c>
      <c r="AN28" s="442">
        <v>0.84558364167851552</v>
      </c>
    </row>
    <row r="29" spans="1:40" x14ac:dyDescent="0.2">
      <c r="A29" s="15" t="str">
        <f t="shared" si="58"/>
        <v>Elementary occupations</v>
      </c>
      <c r="B29" s="442">
        <f t="shared" si="60"/>
        <v>9.0090304878559238</v>
      </c>
      <c r="C29" s="442">
        <f t="shared" si="61"/>
        <v>8.6704474799824052</v>
      </c>
      <c r="D29" s="442">
        <f t="shared" si="62"/>
        <v>8.6374499974140182</v>
      </c>
      <c r="E29" s="442"/>
      <c r="F29" s="442">
        <v>5.7437501821875198E-5</v>
      </c>
      <c r="G29" s="442">
        <v>8.5694148172165004E-5</v>
      </c>
      <c r="H29" s="442">
        <v>1.0920655339597203E-4</v>
      </c>
      <c r="I29" s="442"/>
      <c r="J29" s="442">
        <v>0.10442731858941384</v>
      </c>
      <c r="K29" s="442">
        <v>0.13466260621450937</v>
      </c>
      <c r="L29" s="442">
        <v>0.16375375734123446</v>
      </c>
      <c r="M29" s="442"/>
      <c r="N29" s="442">
        <v>0.41985112257481988</v>
      </c>
      <c r="O29" s="442">
        <v>0.5361488712289042</v>
      </c>
      <c r="P29" s="442">
        <v>0.58448553708265893</v>
      </c>
      <c r="Q29" s="444"/>
      <c r="R29" s="442">
        <v>0.39769103262034511</v>
      </c>
      <c r="S29" s="442">
        <v>0.54578463459924631</v>
      </c>
      <c r="T29" s="442">
        <v>0.7196832571921894</v>
      </c>
      <c r="U29" s="444"/>
      <c r="V29" s="442">
        <v>0.84138643904511468</v>
      </c>
      <c r="W29" s="442">
        <v>1.0655430176133587</v>
      </c>
      <c r="X29" s="442">
        <v>1.2017963857011971</v>
      </c>
      <c r="Y29" s="444"/>
      <c r="Z29" s="442">
        <v>2.5095960579830341</v>
      </c>
      <c r="AA29" s="442">
        <v>2.6166124301151545</v>
      </c>
      <c r="AB29" s="442">
        <v>2.9568421285944688</v>
      </c>
      <c r="AC29" s="444"/>
      <c r="AD29" s="442">
        <v>2.374451372797604</v>
      </c>
      <c r="AE29" s="442">
        <v>2.1551341263519657</v>
      </c>
      <c r="AF29" s="442">
        <v>1.9023381311026775</v>
      </c>
      <c r="AG29" s="444"/>
      <c r="AH29" s="442">
        <v>1.6449299743080439</v>
      </c>
      <c r="AI29" s="442">
        <v>1.3278347355043043</v>
      </c>
      <c r="AJ29" s="442">
        <v>0.88222187623042614</v>
      </c>
      <c r="AK29" s="444"/>
      <c r="AL29" s="442">
        <v>0.71663973243572643</v>
      </c>
      <c r="AM29" s="442">
        <v>0.28864136420679043</v>
      </c>
      <c r="AN29" s="442">
        <v>0.22621971761576981</v>
      </c>
    </row>
    <row r="30" spans="1:40" x14ac:dyDescent="0.2">
      <c r="B30" s="443"/>
      <c r="C30" s="443"/>
      <c r="D30" s="443"/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4"/>
      <c r="R30" s="442"/>
      <c r="S30" s="442"/>
      <c r="T30" s="442"/>
      <c r="U30" s="444"/>
      <c r="V30" s="442"/>
      <c r="W30" s="442"/>
      <c r="X30" s="442"/>
      <c r="Y30" s="444"/>
      <c r="Z30" s="442"/>
      <c r="AA30" s="442"/>
      <c r="AB30" s="442"/>
      <c r="AC30" s="444"/>
      <c r="AD30" s="442"/>
      <c r="AE30" s="442"/>
      <c r="AF30" s="442"/>
      <c r="AG30" s="444"/>
      <c r="AH30" s="442"/>
      <c r="AI30" s="442"/>
      <c r="AJ30" s="442"/>
      <c r="AK30" s="444"/>
      <c r="AL30" s="442"/>
      <c r="AM30" s="442"/>
      <c r="AN30" s="442"/>
    </row>
    <row r="31" spans="1:40" x14ac:dyDescent="0.2">
      <c r="A31" s="1" t="str">
        <f>name!C5</f>
        <v>Manufacturing</v>
      </c>
      <c r="B31" s="445"/>
      <c r="C31" s="445"/>
      <c r="D31" s="445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4"/>
      <c r="R31" s="442"/>
      <c r="S31" s="442"/>
      <c r="T31" s="442"/>
      <c r="U31" s="444"/>
      <c r="V31" s="442"/>
      <c r="W31" s="442"/>
      <c r="X31" s="442"/>
      <c r="Y31" s="444"/>
      <c r="Z31" s="442"/>
      <c r="AA31" s="442"/>
      <c r="AB31" s="442"/>
      <c r="AC31" s="444"/>
      <c r="AD31" s="442"/>
      <c r="AE31" s="442"/>
      <c r="AF31" s="442"/>
      <c r="AG31" s="444"/>
      <c r="AH31" s="442"/>
      <c r="AI31" s="442"/>
      <c r="AJ31" s="442"/>
      <c r="AK31" s="444"/>
      <c r="AL31" s="442"/>
      <c r="AM31" s="442"/>
      <c r="AN31" s="442"/>
    </row>
    <row r="32" spans="1:40" x14ac:dyDescent="0.2">
      <c r="A32" s="15" t="str">
        <f t="shared" ref="A32:A41" si="63">A8</f>
        <v>All occupations</v>
      </c>
      <c r="B32" s="443">
        <f>SUM(B33:B41)</f>
        <v>146.81800000036873</v>
      </c>
      <c r="C32" s="443">
        <f>SUM(C33:C41)</f>
        <v>140.71099999892365</v>
      </c>
      <c r="D32" s="443">
        <f>SUM(D33:D41)</f>
        <v>134.30699999879783</v>
      </c>
      <c r="E32" s="442"/>
      <c r="F32" s="443">
        <f>SUM(F33:F41)</f>
        <v>1.1043526743423775</v>
      </c>
      <c r="G32" s="443">
        <f>SUM(G33:G41)</f>
        <v>1.4060737756003738</v>
      </c>
      <c r="H32" s="443">
        <f>SUM(H33:H41)</f>
        <v>1.6057784466053153</v>
      </c>
      <c r="I32" s="442"/>
      <c r="J32" s="443">
        <f>SUM(J33:J41)</f>
        <v>6.0347712237007221</v>
      </c>
      <c r="K32" s="443">
        <f>SUM(K33:K41)</f>
        <v>7.629869364377706</v>
      </c>
      <c r="L32" s="443">
        <f>SUM(L33:L41)</f>
        <v>8.6980169954948003</v>
      </c>
      <c r="M32" s="442"/>
      <c r="N32" s="443">
        <f>SUM(N33:N41)</f>
        <v>14.483235329431634</v>
      </c>
      <c r="O32" s="443">
        <f>SUM(O33:O41)</f>
        <v>17.330689072454032</v>
      </c>
      <c r="P32" s="443">
        <f>SUM(P33:P41)</f>
        <v>18.048275354445916</v>
      </c>
      <c r="Q32" s="444"/>
      <c r="R32" s="443">
        <f>SUM(R33:R41)</f>
        <v>4.0627113686165748</v>
      </c>
      <c r="S32" s="443">
        <f>SUM(S33:S41)</f>
        <v>4.9437939278111172</v>
      </c>
      <c r="T32" s="443">
        <f>SUM(T33:T41)</f>
        <v>5.1574642018235259</v>
      </c>
      <c r="U32" s="444"/>
      <c r="V32" s="443">
        <f>SUM(V33:V41)</f>
        <v>9.6234377703360323</v>
      </c>
      <c r="W32" s="443">
        <f>SUM(W33:W41)</f>
        <v>11.162195949771414</v>
      </c>
      <c r="X32" s="443">
        <f>SUM(X33:X41)</f>
        <v>11.453133265377124</v>
      </c>
      <c r="Y32" s="444"/>
      <c r="Z32" s="443">
        <f>SUM(Z33:Z41)</f>
        <v>37.020560194643508</v>
      </c>
      <c r="AA32" s="443">
        <f>SUM(AA33:AA41)</f>
        <v>35.533213230627275</v>
      </c>
      <c r="AB32" s="443">
        <f>SUM(AB33:AB41)</f>
        <v>34.98494732338709</v>
      </c>
      <c r="AC32" s="444"/>
      <c r="AD32" s="443">
        <f>SUM(AD33:AD41)</f>
        <v>35.18644894019026</v>
      </c>
      <c r="AE32" s="443">
        <f>SUM(AE33:AE41)</f>
        <v>32.226703293509999</v>
      </c>
      <c r="AF32" s="443">
        <f>SUM(AF33:AF41)</f>
        <v>29.611993905504292</v>
      </c>
      <c r="AG32" s="444"/>
      <c r="AH32" s="443">
        <f>SUM(AH33:AH41)</f>
        <v>26.894972876151442</v>
      </c>
      <c r="AI32" s="443">
        <f>SUM(AI33:AI41)</f>
        <v>23.032419312541244</v>
      </c>
      <c r="AJ32" s="443">
        <f>SUM(AJ33:AJ41)</f>
        <v>20.184786449198565</v>
      </c>
      <c r="AK32" s="444"/>
      <c r="AL32" s="443">
        <f>SUM(AL33:AL41)</f>
        <v>12.40750962295618</v>
      </c>
      <c r="AM32" s="443">
        <f>SUM(AM33:AM41)</f>
        <v>7.4460420722305134</v>
      </c>
      <c r="AN32" s="443">
        <f>SUM(AN33:AN41)</f>
        <v>4.5626040569611863</v>
      </c>
    </row>
    <row r="33" spans="1:40" x14ac:dyDescent="0.2">
      <c r="A33" s="15" t="str">
        <f t="shared" si="63"/>
        <v>Managers, directors and senior officials</v>
      </c>
      <c r="B33" s="442">
        <f>SUM(F33,J33,N33,R33,V33,Z33,AD33,AH33,AL33)</f>
        <v>9.9263309095376648</v>
      </c>
      <c r="C33" s="442">
        <f t="shared" ref="C33:C41" si="64">SUM(G33,K33,O33,S33,W33,AA33,AE33,AI33,AM33)</f>
        <v>10.525294834254915</v>
      </c>
      <c r="D33" s="442">
        <f t="shared" ref="D33:D40" si="65">SUM(H33,L33,P33,T33,X33,AB33,AF33,AJ33,AN33)</f>
        <v>10.771486377274483</v>
      </c>
      <c r="E33" s="442"/>
      <c r="F33" s="442">
        <v>0.1409951120311515</v>
      </c>
      <c r="G33" s="442">
        <v>0.1576510544494121</v>
      </c>
      <c r="H33" s="442">
        <v>0.15893418363760262</v>
      </c>
      <c r="I33" s="442"/>
      <c r="J33" s="442">
        <v>0.99100796622831422</v>
      </c>
      <c r="K33" s="442">
        <v>1.2754141914913268</v>
      </c>
      <c r="L33" s="442">
        <v>1.4848514227946839</v>
      </c>
      <c r="M33" s="442"/>
      <c r="N33" s="442">
        <v>2.7153673395248252</v>
      </c>
      <c r="O33" s="442">
        <v>3.232020968912058</v>
      </c>
      <c r="P33" s="442">
        <v>3.4391449460003383</v>
      </c>
      <c r="Q33" s="444"/>
      <c r="R33" s="442">
        <v>0.58320367269549755</v>
      </c>
      <c r="S33" s="442">
        <v>0.69981424002011849</v>
      </c>
      <c r="T33" s="442">
        <v>0.74377285133565207</v>
      </c>
      <c r="U33" s="444"/>
      <c r="V33" s="442">
        <v>1.2697310326856652</v>
      </c>
      <c r="W33" s="442">
        <v>1.4558122258737285</v>
      </c>
      <c r="X33" s="442">
        <v>1.5091210346926107</v>
      </c>
      <c r="Y33" s="444"/>
      <c r="Z33" s="442">
        <v>1.7414524038431272</v>
      </c>
      <c r="AA33" s="442">
        <v>1.5390939553152863</v>
      </c>
      <c r="AB33" s="442">
        <v>1.3823296855274607</v>
      </c>
      <c r="AC33" s="444"/>
      <c r="AD33" s="442">
        <v>1.3897802659608831</v>
      </c>
      <c r="AE33" s="442">
        <v>1.209144018803562</v>
      </c>
      <c r="AF33" s="442">
        <v>1.091426125896636</v>
      </c>
      <c r="AG33" s="444"/>
      <c r="AH33" s="442">
        <v>0.79101987754249647</v>
      </c>
      <c r="AI33" s="442">
        <v>0.66691088158024225</v>
      </c>
      <c r="AJ33" s="442">
        <v>0.58240472358283635</v>
      </c>
      <c r="AK33" s="444"/>
      <c r="AL33" s="442">
        <v>0.30377323902570635</v>
      </c>
      <c r="AM33" s="442">
        <v>0.28943329780917965</v>
      </c>
      <c r="AN33" s="442">
        <v>0.37950140380666303</v>
      </c>
    </row>
    <row r="34" spans="1:40" x14ac:dyDescent="0.2">
      <c r="A34" s="15" t="str">
        <f t="shared" si="63"/>
        <v>Professional occupations</v>
      </c>
      <c r="B34" s="442">
        <f t="shared" ref="B34:B41" si="66">SUM(F34,J34,N34,R34,V34,Z34,AD34,AH34,AL34)</f>
        <v>11.683550028824612</v>
      </c>
      <c r="C34" s="442">
        <f t="shared" si="64"/>
        <v>12.430860612478499</v>
      </c>
      <c r="D34" s="442">
        <f t="shared" si="65"/>
        <v>12.804672227306206</v>
      </c>
      <c r="E34" s="442"/>
      <c r="F34" s="442">
        <v>0.65462747839721458</v>
      </c>
      <c r="G34" s="442">
        <v>0.84978363473176322</v>
      </c>
      <c r="H34" s="442">
        <v>1.0037173642834865</v>
      </c>
      <c r="I34" s="442"/>
      <c r="J34" s="442">
        <v>2.0385220865806208</v>
      </c>
      <c r="K34" s="442">
        <v>2.5393291217403418</v>
      </c>
      <c r="L34" s="442">
        <v>2.9059117828390408</v>
      </c>
      <c r="M34" s="442"/>
      <c r="N34" s="442">
        <v>3.3612033062639508</v>
      </c>
      <c r="O34" s="442">
        <v>3.7029329680340308</v>
      </c>
      <c r="P34" s="442">
        <v>3.7301663419098845</v>
      </c>
      <c r="Q34" s="444"/>
      <c r="R34" s="442">
        <v>0.39410044708584707</v>
      </c>
      <c r="S34" s="442">
        <v>0.41922114519087711</v>
      </c>
      <c r="T34" s="442">
        <v>0.43094238593244893</v>
      </c>
      <c r="U34" s="444"/>
      <c r="V34" s="442">
        <v>1.3133224944440025</v>
      </c>
      <c r="W34" s="442">
        <v>1.3885110903023483</v>
      </c>
      <c r="X34" s="442">
        <v>1.3575713083790446</v>
      </c>
      <c r="Y34" s="444"/>
      <c r="Z34" s="442">
        <v>1.9181608634691503</v>
      </c>
      <c r="AA34" s="442">
        <v>1.7421277874749974</v>
      </c>
      <c r="AB34" s="442">
        <v>1.5651521880950605</v>
      </c>
      <c r="AC34" s="444"/>
      <c r="AD34" s="442">
        <v>1.0339709728537763</v>
      </c>
      <c r="AE34" s="442">
        <v>0.87400293487660097</v>
      </c>
      <c r="AF34" s="442">
        <v>0.78116863223596678</v>
      </c>
      <c r="AG34" s="444"/>
      <c r="AH34" s="442">
        <v>0.75306459290394467</v>
      </c>
      <c r="AI34" s="442">
        <v>0.700815697083366</v>
      </c>
      <c r="AJ34" s="442">
        <v>0.71419091162960757</v>
      </c>
      <c r="AK34" s="444"/>
      <c r="AL34" s="442">
        <v>0.21657778682610559</v>
      </c>
      <c r="AM34" s="442">
        <v>0.2141362330441719</v>
      </c>
      <c r="AN34" s="442">
        <v>0.31585131200166522</v>
      </c>
    </row>
    <row r="35" spans="1:40" x14ac:dyDescent="0.2">
      <c r="A35" s="15" t="str">
        <f t="shared" si="63"/>
        <v>Associate professional and technical</v>
      </c>
      <c r="B35" s="442">
        <f t="shared" si="66"/>
        <v>11.808746039997931</v>
      </c>
      <c r="C35" s="442">
        <f t="shared" si="64"/>
        <v>12.087065755019733</v>
      </c>
      <c r="D35" s="442">
        <f t="shared" si="65"/>
        <v>12.06054211424904</v>
      </c>
      <c r="E35" s="442"/>
      <c r="F35" s="442">
        <v>0.15676516406660218</v>
      </c>
      <c r="G35" s="442">
        <v>0.20251652441130247</v>
      </c>
      <c r="H35" s="442">
        <v>0.2316644239272278</v>
      </c>
      <c r="I35" s="442"/>
      <c r="J35" s="442">
        <v>1.1204091816865096</v>
      </c>
      <c r="K35" s="442">
        <v>1.4080231949071296</v>
      </c>
      <c r="L35" s="442">
        <v>1.5980136843914083</v>
      </c>
      <c r="M35" s="442"/>
      <c r="N35" s="442">
        <v>2.8233021034161858</v>
      </c>
      <c r="O35" s="442">
        <v>3.2603745302027547</v>
      </c>
      <c r="P35" s="442">
        <v>3.3979997622724949</v>
      </c>
      <c r="Q35" s="444"/>
      <c r="R35" s="442">
        <v>0.7754408602957934</v>
      </c>
      <c r="S35" s="442">
        <v>0.94368048375957836</v>
      </c>
      <c r="T35" s="442">
        <v>1.0096149995318655</v>
      </c>
      <c r="U35" s="444"/>
      <c r="V35" s="442">
        <v>1.2455032564112802</v>
      </c>
      <c r="W35" s="442">
        <v>1.3048750275143801</v>
      </c>
      <c r="X35" s="442">
        <v>1.2829790733960267</v>
      </c>
      <c r="Y35" s="444"/>
      <c r="Z35" s="442">
        <v>2.639795321233779</v>
      </c>
      <c r="AA35" s="442">
        <v>2.4221878255377796</v>
      </c>
      <c r="AB35" s="442">
        <v>2.3198337922099781</v>
      </c>
      <c r="AC35" s="444"/>
      <c r="AD35" s="442">
        <v>1.876024818085253</v>
      </c>
      <c r="AE35" s="442">
        <v>1.6127191720050038</v>
      </c>
      <c r="AF35" s="442">
        <v>1.3906297893693966</v>
      </c>
      <c r="AG35" s="444"/>
      <c r="AH35" s="442">
        <v>0.97618467819677446</v>
      </c>
      <c r="AI35" s="442">
        <v>0.7606629685161338</v>
      </c>
      <c r="AJ35" s="442">
        <v>0.62450318809293526</v>
      </c>
      <c r="AK35" s="444"/>
      <c r="AL35" s="442">
        <v>0.19532065660575279</v>
      </c>
      <c r="AM35" s="442">
        <v>0.17202602816567175</v>
      </c>
      <c r="AN35" s="442">
        <v>0.20530340105770495</v>
      </c>
    </row>
    <row r="36" spans="1:40" x14ac:dyDescent="0.2">
      <c r="A36" s="15" t="str">
        <f t="shared" si="63"/>
        <v>Administrative and secretarial</v>
      </c>
      <c r="B36" s="442">
        <f t="shared" si="66"/>
        <v>8.1504764665589295</v>
      </c>
      <c r="C36" s="442">
        <f t="shared" si="64"/>
        <v>7.7926951889915044</v>
      </c>
      <c r="D36" s="442">
        <f t="shared" si="65"/>
        <v>7.4864463037349198</v>
      </c>
      <c r="E36" s="442"/>
      <c r="F36" s="442">
        <v>2.974623865534656E-2</v>
      </c>
      <c r="G36" s="442">
        <v>3.6179717928372331E-2</v>
      </c>
      <c r="H36" s="442">
        <v>3.9720019443828421E-2</v>
      </c>
      <c r="I36" s="442"/>
      <c r="J36" s="442">
        <v>0.32330514698138035</v>
      </c>
      <c r="K36" s="442">
        <v>0.40578151844357851</v>
      </c>
      <c r="L36" s="442">
        <v>0.45428211585665806</v>
      </c>
      <c r="M36" s="442"/>
      <c r="N36" s="442">
        <v>1.3009386703350914</v>
      </c>
      <c r="O36" s="442">
        <v>1.5739898229399925</v>
      </c>
      <c r="P36" s="442">
        <v>1.6517336804525153</v>
      </c>
      <c r="Q36" s="444"/>
      <c r="R36" s="442">
        <v>0.37660879463352048</v>
      </c>
      <c r="S36" s="442">
        <v>0.45243405271012582</v>
      </c>
      <c r="T36" s="442">
        <v>0.46403578214971225</v>
      </c>
      <c r="U36" s="444"/>
      <c r="V36" s="442">
        <v>0.49548223685837595</v>
      </c>
      <c r="W36" s="442">
        <v>0.57913727272579896</v>
      </c>
      <c r="X36" s="442">
        <v>0.58392775825291088</v>
      </c>
      <c r="Y36" s="444"/>
      <c r="Z36" s="442">
        <v>1.7903811608400968</v>
      </c>
      <c r="AA36" s="442">
        <v>1.6311695827383808</v>
      </c>
      <c r="AB36" s="442">
        <v>1.5929000192233207</v>
      </c>
      <c r="AC36" s="444"/>
      <c r="AD36" s="442">
        <v>2.3942411173499609</v>
      </c>
      <c r="AE36" s="442">
        <v>2.2739910988298195</v>
      </c>
      <c r="AF36" s="442">
        <v>2.1844463897951631</v>
      </c>
      <c r="AG36" s="444"/>
      <c r="AH36" s="442">
        <v>1.2173356530018302</v>
      </c>
      <c r="AI36" s="442">
        <v>0.71615888652741144</v>
      </c>
      <c r="AJ36" s="442">
        <v>0.42000756702924652</v>
      </c>
      <c r="AK36" s="444"/>
      <c r="AL36" s="442">
        <v>0.22243744790332853</v>
      </c>
      <c r="AM36" s="442">
        <v>0.123853236148024</v>
      </c>
      <c r="AN36" s="442">
        <v>9.539297153156362E-2</v>
      </c>
    </row>
    <row r="37" spans="1:40" x14ac:dyDescent="0.2">
      <c r="A37" s="15" t="str">
        <f t="shared" si="63"/>
        <v>Skilled trades occupations</v>
      </c>
      <c r="B37" s="442">
        <f t="shared" si="66"/>
        <v>35.414037067191686</v>
      </c>
      <c r="C37" s="442">
        <f t="shared" si="64"/>
        <v>32.91067749168753</v>
      </c>
      <c r="D37" s="442">
        <f t="shared" si="65"/>
        <v>30.13853850888384</v>
      </c>
      <c r="E37" s="442"/>
      <c r="F37" s="442">
        <v>2.8755032022180695E-2</v>
      </c>
      <c r="G37" s="442">
        <v>3.8981829290686623E-2</v>
      </c>
      <c r="H37" s="442">
        <v>4.7297243783452909E-2</v>
      </c>
      <c r="I37" s="442"/>
      <c r="J37" s="442">
        <v>0.6334228481264661</v>
      </c>
      <c r="K37" s="442">
        <v>0.8034590186456616</v>
      </c>
      <c r="L37" s="442">
        <v>0.9034002059147298</v>
      </c>
      <c r="M37" s="442"/>
      <c r="N37" s="442">
        <v>1.556126278699399</v>
      </c>
      <c r="O37" s="442">
        <v>1.9795731911129011</v>
      </c>
      <c r="P37" s="442">
        <v>2.0836699133858509</v>
      </c>
      <c r="Q37" s="444"/>
      <c r="R37" s="442">
        <v>0.59506307053677976</v>
      </c>
      <c r="S37" s="442">
        <v>0.69465587027664055</v>
      </c>
      <c r="T37" s="442">
        <v>0.69349799960060754</v>
      </c>
      <c r="U37" s="444"/>
      <c r="V37" s="442">
        <v>2.8215573186210854</v>
      </c>
      <c r="W37" s="442">
        <v>3.3130933460938001</v>
      </c>
      <c r="X37" s="442">
        <v>3.383621356023867</v>
      </c>
      <c r="Y37" s="444"/>
      <c r="Z37" s="442">
        <v>13.711333790781129</v>
      </c>
      <c r="AA37" s="442">
        <v>12.840165760637364</v>
      </c>
      <c r="AB37" s="442">
        <v>12.210444956356001</v>
      </c>
      <c r="AC37" s="444"/>
      <c r="AD37" s="442">
        <v>8.8179446913948141</v>
      </c>
      <c r="AE37" s="442">
        <v>7.5871612337982421</v>
      </c>
      <c r="AF37" s="442">
        <v>6.46665737069545</v>
      </c>
      <c r="AG37" s="444"/>
      <c r="AH37" s="442">
        <v>5.0645369370818942</v>
      </c>
      <c r="AI37" s="442">
        <v>4.3682306754059566</v>
      </c>
      <c r="AJ37" s="442">
        <v>3.6407882926516839</v>
      </c>
      <c r="AK37" s="444"/>
      <c r="AL37" s="442">
        <v>2.1852970999279369</v>
      </c>
      <c r="AM37" s="442">
        <v>1.2853565664262783</v>
      </c>
      <c r="AN37" s="442">
        <v>0.70916117047219618</v>
      </c>
    </row>
    <row r="38" spans="1:40" x14ac:dyDescent="0.2">
      <c r="A38" s="15" t="str">
        <f t="shared" si="63"/>
        <v>Caring, leisure and other service</v>
      </c>
      <c r="B38" s="442">
        <f t="shared" si="66"/>
        <v>2.2259353529288242</v>
      </c>
      <c r="C38" s="442">
        <f t="shared" si="64"/>
        <v>2.3389838503854405</v>
      </c>
      <c r="D38" s="442">
        <f t="shared" si="65"/>
        <v>2.4351655595987007</v>
      </c>
      <c r="E38" s="442"/>
      <c r="F38" s="442">
        <v>2.9704261175409193E-2</v>
      </c>
      <c r="G38" s="442">
        <v>3.4907224087413966E-2</v>
      </c>
      <c r="H38" s="442">
        <v>3.2918710044964612E-2</v>
      </c>
      <c r="I38" s="442"/>
      <c r="J38" s="442">
        <v>3.2424940576297995E-2</v>
      </c>
      <c r="K38" s="442">
        <v>3.5843035531274874E-2</v>
      </c>
      <c r="L38" s="442">
        <v>3.4385010405951551E-2</v>
      </c>
      <c r="M38" s="442"/>
      <c r="N38" s="442">
        <v>0.26779365492201468</v>
      </c>
      <c r="O38" s="442">
        <v>0.31980335689187428</v>
      </c>
      <c r="P38" s="442">
        <v>0.29064526902521565</v>
      </c>
      <c r="Q38" s="444"/>
      <c r="R38" s="442">
        <v>6.5720802635623757E-2</v>
      </c>
      <c r="S38" s="442">
        <v>7.0377473573010288E-2</v>
      </c>
      <c r="T38" s="442">
        <v>6.5434878315953446E-2</v>
      </c>
      <c r="U38" s="444"/>
      <c r="V38" s="442">
        <v>0.27393116143808649</v>
      </c>
      <c r="W38" s="442">
        <v>0.34763813741308375</v>
      </c>
      <c r="X38" s="442">
        <v>0.38089319847031838</v>
      </c>
      <c r="Y38" s="444"/>
      <c r="Z38" s="442">
        <v>0.43178673895757957</v>
      </c>
      <c r="AA38" s="442">
        <v>0.42147385245466223</v>
      </c>
      <c r="AB38" s="442">
        <v>0.44274797921780346</v>
      </c>
      <c r="AC38" s="444"/>
      <c r="AD38" s="442">
        <v>0.337752393357933</v>
      </c>
      <c r="AE38" s="442">
        <v>0.32772830754093185</v>
      </c>
      <c r="AF38" s="442">
        <v>0.31996431056357894</v>
      </c>
      <c r="AG38" s="444"/>
      <c r="AH38" s="442">
        <v>0.55474024292836066</v>
      </c>
      <c r="AI38" s="442">
        <v>0.55429512133496883</v>
      </c>
      <c r="AJ38" s="442">
        <v>0.58846197922822796</v>
      </c>
      <c r="AK38" s="444"/>
      <c r="AL38" s="442">
        <v>0.23208115693751907</v>
      </c>
      <c r="AM38" s="442">
        <v>0.22691734155822069</v>
      </c>
      <c r="AN38" s="442">
        <v>0.27971422432668669</v>
      </c>
    </row>
    <row r="39" spans="1:40" x14ac:dyDescent="0.2">
      <c r="A39" s="15" t="str">
        <f t="shared" si="63"/>
        <v>Sales and customer service</v>
      </c>
      <c r="B39" s="442">
        <f t="shared" si="66"/>
        <v>3.3548640076427287</v>
      </c>
      <c r="C39" s="442">
        <f t="shared" si="64"/>
        <v>3.3652977538399145</v>
      </c>
      <c r="D39" s="442">
        <f t="shared" si="65"/>
        <v>3.353400906577725</v>
      </c>
      <c r="E39" s="442"/>
      <c r="F39" s="442">
        <v>2.1509516922576369E-2</v>
      </c>
      <c r="G39" s="442">
        <v>2.4451394061712765E-2</v>
      </c>
      <c r="H39" s="442">
        <v>2.4681267250008545E-2</v>
      </c>
      <c r="I39" s="442"/>
      <c r="J39" s="442">
        <v>0.23565407403649816</v>
      </c>
      <c r="K39" s="442">
        <v>0.29435199014296265</v>
      </c>
      <c r="L39" s="442">
        <v>0.32989268477781092</v>
      </c>
      <c r="M39" s="442"/>
      <c r="N39" s="442">
        <v>0.61630350082468977</v>
      </c>
      <c r="O39" s="442">
        <v>0.72954771209217495</v>
      </c>
      <c r="P39" s="442">
        <v>0.76628987904007639</v>
      </c>
      <c r="Q39" s="444"/>
      <c r="R39" s="442">
        <v>0.18825649264269673</v>
      </c>
      <c r="S39" s="442">
        <v>0.24513473042792758</v>
      </c>
      <c r="T39" s="442">
        <v>0.25710484058935579</v>
      </c>
      <c r="U39" s="444"/>
      <c r="V39" s="442">
        <v>0.20178477968957087</v>
      </c>
      <c r="W39" s="442">
        <v>0.25333226373446993</v>
      </c>
      <c r="X39" s="442">
        <v>0.26820185123295692</v>
      </c>
      <c r="Y39" s="444"/>
      <c r="Z39" s="442">
        <v>0.76952043340886944</v>
      </c>
      <c r="AA39" s="442">
        <v>0.71137152733869302</v>
      </c>
      <c r="AB39" s="442">
        <v>0.70590840850939762</v>
      </c>
      <c r="AC39" s="444"/>
      <c r="AD39" s="442">
        <v>0.58443145999604362</v>
      </c>
      <c r="AE39" s="442">
        <v>0.52563623202228604</v>
      </c>
      <c r="AF39" s="442">
        <v>0.49552990612275472</v>
      </c>
      <c r="AG39" s="444"/>
      <c r="AH39" s="442">
        <v>0.43348142049494204</v>
      </c>
      <c r="AI39" s="442">
        <v>0.32972834808822898</v>
      </c>
      <c r="AJ39" s="442">
        <v>0.22738108135005058</v>
      </c>
      <c r="AK39" s="444"/>
      <c r="AL39" s="442">
        <v>0.30392232962684135</v>
      </c>
      <c r="AM39" s="442">
        <v>0.25174355593145831</v>
      </c>
      <c r="AN39" s="442">
        <v>0.27841098770531369</v>
      </c>
    </row>
    <row r="40" spans="1:40" x14ac:dyDescent="0.2">
      <c r="A40" s="15" t="str">
        <f t="shared" si="63"/>
        <v>Process, plant and machine operatives</v>
      </c>
      <c r="B40" s="442">
        <f t="shared" si="66"/>
        <v>50.294019522709725</v>
      </c>
      <c r="C40" s="442">
        <f t="shared" si="64"/>
        <v>45.346666661429452</v>
      </c>
      <c r="D40" s="442">
        <f t="shared" si="65"/>
        <v>41.934584330533582</v>
      </c>
      <c r="E40" s="442"/>
      <c r="F40" s="442">
        <v>4.9198006588739712E-3</v>
      </c>
      <c r="G40" s="442">
        <v>6.3445818426015807E-3</v>
      </c>
      <c r="H40" s="442">
        <v>7.0415591415162329E-3</v>
      </c>
      <c r="I40" s="442"/>
      <c r="J40" s="442">
        <v>0.53114713578756534</v>
      </c>
      <c r="K40" s="442">
        <v>0.66874294459027706</v>
      </c>
      <c r="L40" s="442">
        <v>0.76553225134932379</v>
      </c>
      <c r="M40" s="442"/>
      <c r="N40" s="442">
        <v>1.3178122260204781</v>
      </c>
      <c r="O40" s="442">
        <v>1.7305312679341076</v>
      </c>
      <c r="P40" s="442">
        <v>1.8528101265107333</v>
      </c>
      <c r="Q40" s="445"/>
      <c r="R40" s="443">
        <v>0.79567484192032634</v>
      </c>
      <c r="S40" s="443">
        <v>0.99848581712175966</v>
      </c>
      <c r="T40" s="443">
        <v>1.0743588745346693</v>
      </c>
      <c r="U40" s="445"/>
      <c r="V40" s="443">
        <v>1.7475836015584663</v>
      </c>
      <c r="W40" s="443">
        <v>2.1572310428285522</v>
      </c>
      <c r="X40" s="443">
        <v>2.3132799286694516</v>
      </c>
      <c r="Y40" s="445"/>
      <c r="Z40" s="443">
        <v>12.085454871439996</v>
      </c>
      <c r="AA40" s="443">
        <v>12.221674670018116</v>
      </c>
      <c r="AB40" s="443">
        <v>12.869965667179342</v>
      </c>
      <c r="AC40" s="445"/>
      <c r="AD40" s="443">
        <v>15.278978835956901</v>
      </c>
      <c r="AE40" s="443">
        <v>14.428565314214991</v>
      </c>
      <c r="AF40" s="443">
        <v>13.789470232458292</v>
      </c>
      <c r="AG40" s="445"/>
      <c r="AH40" s="443">
        <v>12.206098925808179</v>
      </c>
      <c r="AI40" s="443">
        <v>10.098115594205034</v>
      </c>
      <c r="AJ40" s="443">
        <v>8.3871788475573368</v>
      </c>
      <c r="AK40" s="445"/>
      <c r="AL40" s="443">
        <v>6.3263492835589377</v>
      </c>
      <c r="AM40" s="443">
        <v>3.0369754286740123</v>
      </c>
      <c r="AN40" s="443">
        <v>0.87494684313291771</v>
      </c>
    </row>
    <row r="41" spans="1:40" x14ac:dyDescent="0.2">
      <c r="A41" s="48" t="str">
        <f t="shared" si="63"/>
        <v>Elementary occupations</v>
      </c>
      <c r="B41" s="446">
        <f t="shared" si="66"/>
        <v>13.960040604976633</v>
      </c>
      <c r="C41" s="446">
        <f t="shared" si="64"/>
        <v>13.913457850836682</v>
      </c>
      <c r="D41" s="446">
        <f>SUM(H41,L41,P41,T41,X41,AB41,AF41,AJ41,AN41)</f>
        <v>13.322163670639327</v>
      </c>
      <c r="E41" s="446"/>
      <c r="F41" s="446">
        <v>3.7330070413022574E-2</v>
      </c>
      <c r="G41" s="446">
        <v>5.5257814797108569E-2</v>
      </c>
      <c r="H41" s="446">
        <v>5.980367509322753E-2</v>
      </c>
      <c r="I41" s="446"/>
      <c r="J41" s="446">
        <v>0.12887784369706878</v>
      </c>
      <c r="K41" s="446">
        <v>0.19892434888515292</v>
      </c>
      <c r="L41" s="446">
        <v>0.22174783716519225</v>
      </c>
      <c r="M41" s="446"/>
      <c r="N41" s="446">
        <v>0.52438824942499918</v>
      </c>
      <c r="O41" s="446">
        <v>0.80191525433413691</v>
      </c>
      <c r="P41" s="446">
        <v>0.83581543584880735</v>
      </c>
      <c r="Q41" s="447"/>
      <c r="R41" s="446">
        <v>0.28864238617048943</v>
      </c>
      <c r="S41" s="446">
        <v>0.41999011473107956</v>
      </c>
      <c r="T41" s="446">
        <v>0.418701589833262</v>
      </c>
      <c r="U41" s="447"/>
      <c r="V41" s="446">
        <v>0.25454188862950089</v>
      </c>
      <c r="W41" s="446">
        <v>0.3625655432852537</v>
      </c>
      <c r="X41" s="446">
        <v>0.3735377562599379</v>
      </c>
      <c r="Y41" s="447"/>
      <c r="Z41" s="446">
        <v>1.932674610669781</v>
      </c>
      <c r="AA41" s="446">
        <v>2.0039482691119952</v>
      </c>
      <c r="AB41" s="446">
        <v>1.8956646270687287</v>
      </c>
      <c r="AC41" s="447"/>
      <c r="AD41" s="446">
        <v>3.4733243852346969</v>
      </c>
      <c r="AE41" s="446">
        <v>3.387754981418559</v>
      </c>
      <c r="AF41" s="446">
        <v>3.0927011483670563</v>
      </c>
      <c r="AG41" s="447"/>
      <c r="AH41" s="446">
        <v>4.8985105481930207</v>
      </c>
      <c r="AI41" s="446">
        <v>4.8375011397998993</v>
      </c>
      <c r="AJ41" s="446">
        <v>4.9998698580766403</v>
      </c>
      <c r="AK41" s="447"/>
      <c r="AL41" s="446">
        <v>2.4217506225440522</v>
      </c>
      <c r="AM41" s="446">
        <v>1.8456003844734967</v>
      </c>
      <c r="AN41" s="446">
        <v>1.4243217429264752</v>
      </c>
    </row>
    <row r="42" spans="1:40" x14ac:dyDescent="0.2">
      <c r="B42" s="36"/>
      <c r="C42" s="36"/>
      <c r="D42" s="36"/>
    </row>
    <row r="43" spans="1:40" ht="15.75" x14ac:dyDescent="0.25">
      <c r="A43" s="23" t="str">
        <f>CONCATENATE(A1," (Continued)")</f>
        <v>Basic Table 1  Employment by Industry Sector, Occupation Group and Qualification, 2017-2027, Wales (Continued)</v>
      </c>
    </row>
    <row r="44" spans="1:40" ht="12.75" customHeight="1" x14ac:dyDescent="0.25">
      <c r="A44" s="23"/>
    </row>
    <row r="45" spans="1:40" ht="12.75" customHeight="1" x14ac:dyDescent="0.25">
      <c r="A45" s="23"/>
    </row>
    <row r="46" spans="1:40" ht="26.25" customHeight="1" x14ac:dyDescent="0.2">
      <c r="A46" s="98"/>
      <c r="B46" s="98"/>
      <c r="C46" s="99" t="str">
        <f>B4</f>
        <v>All qualifications</v>
      </c>
      <c r="D46" s="98"/>
      <c r="E46" s="98"/>
      <c r="F46" s="98"/>
      <c r="G46" s="100" t="str">
        <f>F4</f>
        <v>RQF8 Doctorate</v>
      </c>
      <c r="H46" s="98"/>
      <c r="I46" s="98"/>
      <c r="J46" s="98"/>
      <c r="K46" s="100" t="str">
        <f>J4</f>
        <v>RQF7 Other higher degree</v>
      </c>
      <c r="L46" s="98"/>
      <c r="M46" s="98"/>
      <c r="N46" s="525" t="str">
        <f>N4</f>
        <v>RQF6 First degree</v>
      </c>
      <c r="O46" s="525"/>
      <c r="P46" s="525"/>
      <c r="Q46" s="98"/>
      <c r="R46" s="525" t="str">
        <f>R4</f>
        <v>RQF5 Foundation degree;Nursing;Teaching</v>
      </c>
      <c r="S46" s="525"/>
      <c r="T46" s="525"/>
      <c r="U46" s="98"/>
      <c r="V46" s="525" t="str">
        <f>V4</f>
        <v>RQF4 HE below degree level</v>
      </c>
      <c r="W46" s="525"/>
      <c r="X46" s="525"/>
      <c r="Y46" s="98"/>
      <c r="Z46" s="525" t="str">
        <f>Z4</f>
        <v>RQF3 A level &amp; equivalent</v>
      </c>
      <c r="AA46" s="525"/>
      <c r="AB46" s="525"/>
      <c r="AC46" s="98"/>
      <c r="AD46" s="525" t="str">
        <f>AD4</f>
        <v>RQF2 GCSE(A-C) &amp; equivalent</v>
      </c>
      <c r="AE46" s="525"/>
      <c r="AF46" s="525"/>
      <c r="AG46" s="98"/>
      <c r="AH46" s="525" t="str">
        <f>AH4</f>
        <v>RQF1 GCSE(below grade C) &amp; equivalent</v>
      </c>
      <c r="AI46" s="525"/>
      <c r="AJ46" s="525"/>
      <c r="AK46" s="98"/>
      <c r="AL46" s="525" t="str">
        <f>AL4</f>
        <v>No Qualification</v>
      </c>
      <c r="AM46" s="525"/>
      <c r="AN46" s="525"/>
    </row>
    <row r="47" spans="1:40" x14ac:dyDescent="0.2">
      <c r="A47" s="48"/>
      <c r="B47" s="51">
        <f>B5</f>
        <v>2017</v>
      </c>
      <c r="C47" s="51">
        <f>C5</f>
        <v>2022</v>
      </c>
      <c r="D47" s="51">
        <f>D5</f>
        <v>2027</v>
      </c>
      <c r="E47" s="48"/>
      <c r="F47" s="40">
        <f>B47</f>
        <v>2017</v>
      </c>
      <c r="G47" s="40">
        <f>C47</f>
        <v>2022</v>
      </c>
      <c r="H47" s="40">
        <f>D47</f>
        <v>2027</v>
      </c>
      <c r="I47" s="48"/>
      <c r="J47" s="40">
        <f>B47</f>
        <v>2017</v>
      </c>
      <c r="K47" s="40">
        <f>C47</f>
        <v>2022</v>
      </c>
      <c r="L47" s="40">
        <f>D47</f>
        <v>2027</v>
      </c>
      <c r="M47" s="48"/>
      <c r="N47" s="40">
        <f>B47</f>
        <v>2017</v>
      </c>
      <c r="O47" s="40">
        <f>C47</f>
        <v>2022</v>
      </c>
      <c r="P47" s="40">
        <f>D47</f>
        <v>2027</v>
      </c>
      <c r="Q47" s="48"/>
      <c r="R47" s="40">
        <f>F47</f>
        <v>2017</v>
      </c>
      <c r="S47" s="40">
        <f>G47</f>
        <v>2022</v>
      </c>
      <c r="T47" s="40">
        <f>H47</f>
        <v>2027</v>
      </c>
      <c r="U47" s="48"/>
      <c r="V47" s="40">
        <f>J47</f>
        <v>2017</v>
      </c>
      <c r="W47" s="40">
        <f>K47</f>
        <v>2022</v>
      </c>
      <c r="X47" s="40">
        <f>L47</f>
        <v>2027</v>
      </c>
      <c r="Y47" s="48"/>
      <c r="Z47" s="40">
        <f>N47</f>
        <v>2017</v>
      </c>
      <c r="AA47" s="40">
        <f>O47</f>
        <v>2022</v>
      </c>
      <c r="AB47" s="40">
        <f>P47</f>
        <v>2027</v>
      </c>
      <c r="AC47" s="48"/>
      <c r="AD47" s="40">
        <f>R47</f>
        <v>2017</v>
      </c>
      <c r="AE47" s="40">
        <f>S47</f>
        <v>2022</v>
      </c>
      <c r="AF47" s="40">
        <f>T47</f>
        <v>2027</v>
      </c>
      <c r="AG47" s="48"/>
      <c r="AH47" s="40">
        <f>V47</f>
        <v>2017</v>
      </c>
      <c r="AI47" s="40">
        <f>W47</f>
        <v>2022</v>
      </c>
      <c r="AJ47" s="40">
        <f>X47</f>
        <v>2027</v>
      </c>
      <c r="AK47" s="48"/>
      <c r="AL47" s="40">
        <f>Z47</f>
        <v>2017</v>
      </c>
      <c r="AM47" s="40">
        <f>AA47</f>
        <v>2022</v>
      </c>
      <c r="AN47" s="40">
        <f>AB47</f>
        <v>2027</v>
      </c>
    </row>
    <row r="48" spans="1:40" x14ac:dyDescent="0.2">
      <c r="B48" s="36"/>
      <c r="C48" s="36"/>
      <c r="D48" s="36"/>
    </row>
    <row r="49" spans="1:40" x14ac:dyDescent="0.2">
      <c r="A49" s="1" t="str">
        <f>name!C6</f>
        <v>Construction</v>
      </c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</row>
    <row r="50" spans="1:40" x14ac:dyDescent="0.2">
      <c r="A50" s="15" t="str">
        <f t="shared" ref="A50:A59" si="67">A8</f>
        <v>All occupations</v>
      </c>
      <c r="B50" s="443">
        <f>SUM(B51:B59)</f>
        <v>107.09400000055041</v>
      </c>
      <c r="C50" s="443">
        <f>SUM(C51:C59)</f>
        <v>107.39000000066979</v>
      </c>
      <c r="D50" s="443">
        <f>SUM(D51:D59)</f>
        <v>108.10400000028801</v>
      </c>
      <c r="E50" s="442"/>
      <c r="F50" s="443">
        <f>SUM(F51:F59)</f>
        <v>0.24259153685773122</v>
      </c>
      <c r="G50" s="443">
        <f>SUM(G51:G59)</f>
        <v>0.36107549654169219</v>
      </c>
      <c r="H50" s="443">
        <f>SUM(H51:H59)</f>
        <v>0.44640953369148562</v>
      </c>
      <c r="I50" s="442"/>
      <c r="J50" s="443">
        <f>SUM(J51:J59)</f>
        <v>3.4764057606002683</v>
      </c>
      <c r="K50" s="443">
        <f>SUM(K51:K59)</f>
        <v>4.9497275042434206</v>
      </c>
      <c r="L50" s="443">
        <f>SUM(L51:L59)</f>
        <v>6.208575290107091</v>
      </c>
      <c r="M50" s="442"/>
      <c r="N50" s="443">
        <f>SUM(N51:N59)</f>
        <v>7.4924445856800919</v>
      </c>
      <c r="O50" s="443">
        <f>SUM(O51:O59)</f>
        <v>9.5533731254600394</v>
      </c>
      <c r="P50" s="443">
        <f>SUM(P51:P59)</f>
        <v>10.446906141234768</v>
      </c>
      <c r="Q50" s="442"/>
      <c r="R50" s="443">
        <f>SUM(R51:R59)</f>
        <v>2.8085558930305696</v>
      </c>
      <c r="S50" s="443">
        <f>SUM(S51:S59)</f>
        <v>3.5331425558818128</v>
      </c>
      <c r="T50" s="443">
        <f>SUM(T51:T59)</f>
        <v>3.8014604445654356</v>
      </c>
      <c r="U50" s="442"/>
      <c r="V50" s="443">
        <f>SUM(V51:V59)</f>
        <v>6.2893698558493032</v>
      </c>
      <c r="W50" s="443">
        <f>SUM(W51:W59)</f>
        <v>7.621037409049638</v>
      </c>
      <c r="X50" s="443">
        <f>SUM(X51:X59)</f>
        <v>8.1575597057790326</v>
      </c>
      <c r="Y50" s="442"/>
      <c r="Z50" s="443">
        <f>SUM(Z51:Z59)</f>
        <v>33.601696030040081</v>
      </c>
      <c r="AA50" s="443">
        <f>SUM(AA51:AA59)</f>
        <v>32.62939529439241</v>
      </c>
      <c r="AB50" s="443">
        <f>SUM(AB51:AB59)</f>
        <v>32.739134843795512</v>
      </c>
      <c r="AC50" s="442"/>
      <c r="AD50" s="443">
        <f>SUM(AD51:AD59)</f>
        <v>29.256856277795116</v>
      </c>
      <c r="AE50" s="443">
        <f>SUM(AE51:AE59)</f>
        <v>28.392619974870943</v>
      </c>
      <c r="AF50" s="443">
        <f>SUM(AF51:AF59)</f>
        <v>27.952457463205565</v>
      </c>
      <c r="AG50" s="442"/>
      <c r="AH50" s="443">
        <f>SUM(AH51:AH59)</f>
        <v>16.770847697708952</v>
      </c>
      <c r="AI50" s="443">
        <f>SUM(AI51:AI59)</f>
        <v>15.758223806778755</v>
      </c>
      <c r="AJ50" s="443">
        <f>SUM(AJ51:AJ59)</f>
        <v>15.412887100136077</v>
      </c>
      <c r="AK50" s="442"/>
      <c r="AL50" s="443">
        <f>SUM(AL51:AL59)</f>
        <v>7.1552323629882757</v>
      </c>
      <c r="AM50" s="443">
        <f>SUM(AM51:AM59)</f>
        <v>4.5914048334510804</v>
      </c>
      <c r="AN50" s="443">
        <f>SUM(AN51:AN59)</f>
        <v>2.9386094777730576</v>
      </c>
    </row>
    <row r="51" spans="1:40" x14ac:dyDescent="0.2">
      <c r="A51" s="15" t="str">
        <f t="shared" si="67"/>
        <v>Managers, directors and senior officials</v>
      </c>
      <c r="B51" s="442">
        <f>SUM(F51,J51,N51,R51,V51,Z51,AD51,AH51,AL51)</f>
        <v>7.3786904241597808</v>
      </c>
      <c r="C51" s="442">
        <f t="shared" ref="C51:D51" si="68">SUM(G51,K51,O51,S51,W51,AA51,AE51,AI51,AM51)</f>
        <v>7.9045716414379052</v>
      </c>
      <c r="D51" s="442">
        <f t="shared" si="68"/>
        <v>8.4665162354835264</v>
      </c>
      <c r="E51" s="442"/>
      <c r="F51" s="442">
        <v>3.6128632376299499E-2</v>
      </c>
      <c r="G51" s="442">
        <v>6.0375332360630612E-2</v>
      </c>
      <c r="H51" s="442">
        <v>8.183325742608763E-2</v>
      </c>
      <c r="I51" s="442"/>
      <c r="J51" s="442">
        <v>0.76596511404081313</v>
      </c>
      <c r="K51" s="442">
        <v>1.1187158181892276</v>
      </c>
      <c r="L51" s="442">
        <v>1.4685324431250009</v>
      </c>
      <c r="M51" s="442"/>
      <c r="N51" s="442">
        <v>1.2860685877361016</v>
      </c>
      <c r="O51" s="442">
        <v>1.6348872533218493</v>
      </c>
      <c r="P51" s="442">
        <v>1.8118173122603078</v>
      </c>
      <c r="Q51" s="442"/>
      <c r="R51" s="442">
        <v>0.36539739078723416</v>
      </c>
      <c r="S51" s="442">
        <v>0.36874615939193617</v>
      </c>
      <c r="T51" s="442">
        <v>0.36135361889856865</v>
      </c>
      <c r="U51" s="442"/>
      <c r="V51" s="442">
        <v>0.87675414440186783</v>
      </c>
      <c r="W51" s="442">
        <v>1.002225943187431</v>
      </c>
      <c r="X51" s="442">
        <v>1.058819481612381</v>
      </c>
      <c r="Y51" s="442"/>
      <c r="Z51" s="442">
        <v>1.8143126547562698</v>
      </c>
      <c r="AA51" s="442">
        <v>1.7047920195570025</v>
      </c>
      <c r="AB51" s="442">
        <v>1.6756606791028512</v>
      </c>
      <c r="AC51" s="442"/>
      <c r="AD51" s="442">
        <v>1.2539814247477015</v>
      </c>
      <c r="AE51" s="442">
        <v>1.1748767145499779</v>
      </c>
      <c r="AF51" s="442">
        <v>1.1437403029284192</v>
      </c>
      <c r="AG51" s="442"/>
      <c r="AH51" s="442">
        <v>0.69372783274323468</v>
      </c>
      <c r="AI51" s="442">
        <v>0.6370525321440238</v>
      </c>
      <c r="AJ51" s="442">
        <v>0.62506263343325963</v>
      </c>
      <c r="AK51" s="442"/>
      <c r="AL51" s="442">
        <v>0.28635464257025955</v>
      </c>
      <c r="AM51" s="442">
        <v>0.20289986873582677</v>
      </c>
      <c r="AN51" s="442">
        <v>0.23969650669665005</v>
      </c>
    </row>
    <row r="52" spans="1:40" x14ac:dyDescent="0.2">
      <c r="A52" s="15" t="str">
        <f t="shared" si="67"/>
        <v>Professional occupations</v>
      </c>
      <c r="B52" s="442">
        <f t="shared" ref="B52:B59" si="69">SUM(F52,J52,N52,R52,V52,Z52,AD52,AH52,AL52)</f>
        <v>8.2783406189192394</v>
      </c>
      <c r="C52" s="442">
        <f t="shared" ref="C52:C59" si="70">SUM(G52,K52,O52,S52,W52,AA52,AE52,AI52,AM52)</f>
        <v>8.8756292223854238</v>
      </c>
      <c r="D52" s="442">
        <f t="shared" ref="D52:D59" si="71">SUM(H52,L52,P52,T52,X52,AB52,AF52,AJ52,AN52)</f>
        <v>9.4740874342279948</v>
      </c>
      <c r="E52" s="442"/>
      <c r="F52" s="442">
        <v>9.1670965783882716E-2</v>
      </c>
      <c r="G52" s="442">
        <v>0.12104628176109725</v>
      </c>
      <c r="H52" s="442">
        <v>0.13993936429488904</v>
      </c>
      <c r="I52" s="442"/>
      <c r="J52" s="442">
        <v>1.2336327674977368</v>
      </c>
      <c r="K52" s="442">
        <v>1.730496843078027</v>
      </c>
      <c r="L52" s="442">
        <v>2.1362711604580622</v>
      </c>
      <c r="M52" s="442"/>
      <c r="N52" s="442">
        <v>2.0469968027505705</v>
      </c>
      <c r="O52" s="442">
        <v>2.3018314368729067</v>
      </c>
      <c r="P52" s="442">
        <v>2.3806835403532771</v>
      </c>
      <c r="Q52" s="442"/>
      <c r="R52" s="442">
        <v>0.22994272618934564</v>
      </c>
      <c r="S52" s="442">
        <v>0.1161326857024209</v>
      </c>
      <c r="T52" s="442">
        <v>8.961417505754303E-2</v>
      </c>
      <c r="U52" s="442"/>
      <c r="V52" s="442">
        <v>0.81597799186344766</v>
      </c>
      <c r="W52" s="442">
        <v>0.70885678163171328</v>
      </c>
      <c r="X52" s="442">
        <v>0.60057870876813435</v>
      </c>
      <c r="Y52" s="442"/>
      <c r="Z52" s="442">
        <v>2.0323983348297978</v>
      </c>
      <c r="AA52" s="442">
        <v>2.1344651749513486</v>
      </c>
      <c r="AB52" s="442">
        <v>2.3520595865970426</v>
      </c>
      <c r="AC52" s="442"/>
      <c r="AD52" s="442">
        <v>1.1753747766626466</v>
      </c>
      <c r="AE52" s="442">
        <v>1.1678436666210281</v>
      </c>
      <c r="AF52" s="442">
        <v>1.1679509441075595</v>
      </c>
      <c r="AG52" s="442"/>
      <c r="AH52" s="442">
        <v>0.46323466859292484</v>
      </c>
      <c r="AI52" s="442">
        <v>0.4294019808324594</v>
      </c>
      <c r="AJ52" s="442">
        <v>0.4274990205447271</v>
      </c>
      <c r="AK52" s="442"/>
      <c r="AL52" s="442">
        <v>0.18911158474888579</v>
      </c>
      <c r="AM52" s="442">
        <v>0.16555437093442293</v>
      </c>
      <c r="AN52" s="442">
        <v>0.17949093404676</v>
      </c>
    </row>
    <row r="53" spans="1:40" x14ac:dyDescent="0.2">
      <c r="A53" s="15" t="str">
        <f t="shared" si="67"/>
        <v>Associate professional and technical</v>
      </c>
      <c r="B53" s="442">
        <f t="shared" si="69"/>
        <v>5.8711051037928401</v>
      </c>
      <c r="C53" s="442">
        <f t="shared" si="70"/>
        <v>6.3274721297210528</v>
      </c>
      <c r="D53" s="442">
        <f t="shared" si="71"/>
        <v>6.7275096343945266</v>
      </c>
      <c r="E53" s="442"/>
      <c r="F53" s="442">
        <v>1.0123818509844968E-2</v>
      </c>
      <c r="G53" s="442">
        <v>1.5057693490027656E-2</v>
      </c>
      <c r="H53" s="442">
        <v>1.9407053102301335E-2</v>
      </c>
      <c r="I53" s="442"/>
      <c r="J53" s="442">
        <v>0.4944664845972373</v>
      </c>
      <c r="K53" s="442">
        <v>0.7348802622958478</v>
      </c>
      <c r="L53" s="442">
        <v>0.96011337060901003</v>
      </c>
      <c r="M53" s="442"/>
      <c r="N53" s="442">
        <v>1.0009452473649192</v>
      </c>
      <c r="O53" s="442">
        <v>1.2733097591864118</v>
      </c>
      <c r="P53" s="442">
        <v>1.3965763067857682</v>
      </c>
      <c r="Q53" s="442"/>
      <c r="R53" s="442">
        <v>0.41352444117269144</v>
      </c>
      <c r="S53" s="442">
        <v>0.55009039966494055</v>
      </c>
      <c r="T53" s="442">
        <v>0.61007880728982533</v>
      </c>
      <c r="U53" s="442"/>
      <c r="V53" s="442">
        <v>0.8260161164518024</v>
      </c>
      <c r="W53" s="442">
        <v>0.93307284254827649</v>
      </c>
      <c r="X53" s="442">
        <v>0.96819454623921819</v>
      </c>
      <c r="Y53" s="442"/>
      <c r="Z53" s="442">
        <v>1.1797650735672647</v>
      </c>
      <c r="AA53" s="442">
        <v>0.97408949218317753</v>
      </c>
      <c r="AB53" s="442">
        <v>0.82646314678426913</v>
      </c>
      <c r="AC53" s="442"/>
      <c r="AD53" s="442">
        <v>1.0393599945633258</v>
      </c>
      <c r="AE53" s="442">
        <v>0.98982227356740149</v>
      </c>
      <c r="AF53" s="442">
        <v>0.97120613062060523</v>
      </c>
      <c r="AG53" s="442"/>
      <c r="AH53" s="442">
        <v>0.76677535454433998</v>
      </c>
      <c r="AI53" s="442">
        <v>0.75209154018261326</v>
      </c>
      <c r="AJ53" s="442">
        <v>0.88912760636140387</v>
      </c>
      <c r="AK53" s="442"/>
      <c r="AL53" s="442">
        <v>0.14012857302141424</v>
      </c>
      <c r="AM53" s="442">
        <v>0.10505786660235575</v>
      </c>
      <c r="AN53" s="442">
        <v>8.6342666602124932E-2</v>
      </c>
    </row>
    <row r="54" spans="1:40" x14ac:dyDescent="0.2">
      <c r="A54" s="15" t="str">
        <f t="shared" si="67"/>
        <v>Administrative and secretarial</v>
      </c>
      <c r="B54" s="442">
        <f t="shared" si="69"/>
        <v>6.8806531987641675</v>
      </c>
      <c r="C54" s="442">
        <f t="shared" si="70"/>
        <v>6.3377862005182966</v>
      </c>
      <c r="D54" s="442">
        <f t="shared" si="71"/>
        <v>5.9346096239553434</v>
      </c>
      <c r="E54" s="442"/>
      <c r="F54" s="442">
        <v>4.3853149898082047E-2</v>
      </c>
      <c r="G54" s="442">
        <v>6.8636839285586421E-2</v>
      </c>
      <c r="H54" s="442">
        <v>7.3575282783987186E-2</v>
      </c>
      <c r="I54" s="442"/>
      <c r="J54" s="442">
        <v>0.25981587036959947</v>
      </c>
      <c r="K54" s="442">
        <v>0.32160317235548602</v>
      </c>
      <c r="L54" s="442">
        <v>0.3579847946245413</v>
      </c>
      <c r="M54" s="442"/>
      <c r="N54" s="442">
        <v>0.81857978027658995</v>
      </c>
      <c r="O54" s="442">
        <v>1.0596292073530849</v>
      </c>
      <c r="P54" s="442">
        <v>1.0951964957121851</v>
      </c>
      <c r="Q54" s="442"/>
      <c r="R54" s="442">
        <v>0.50289573141501731</v>
      </c>
      <c r="S54" s="442">
        <v>0.6522748028796731</v>
      </c>
      <c r="T54" s="442">
        <v>0.62902519945851232</v>
      </c>
      <c r="U54" s="442"/>
      <c r="V54" s="442">
        <v>0.28299837814356354</v>
      </c>
      <c r="W54" s="442">
        <v>0.37953165802308947</v>
      </c>
      <c r="X54" s="442">
        <v>0.36091336484506098</v>
      </c>
      <c r="Y54" s="442"/>
      <c r="Z54" s="442">
        <v>1.2237071857205764</v>
      </c>
      <c r="AA54" s="442">
        <v>0.99501661085555948</v>
      </c>
      <c r="AB54" s="442">
        <v>0.8573316906852928</v>
      </c>
      <c r="AC54" s="442"/>
      <c r="AD54" s="442">
        <v>1.2077491308206938</v>
      </c>
      <c r="AE54" s="442">
        <v>0.8005316247383224</v>
      </c>
      <c r="AF54" s="442">
        <v>0.51680602855917301</v>
      </c>
      <c r="AG54" s="442"/>
      <c r="AH54" s="442">
        <v>2.1317995026061718</v>
      </c>
      <c r="AI54" s="442">
        <v>1.8607516025697513</v>
      </c>
      <c r="AJ54" s="442">
        <v>2.0163958920441445</v>
      </c>
      <c r="AK54" s="442"/>
      <c r="AL54" s="442">
        <v>0.40925446951387251</v>
      </c>
      <c r="AM54" s="442">
        <v>0.19981068245774408</v>
      </c>
      <c r="AN54" s="442">
        <v>2.7380875242446156E-2</v>
      </c>
    </row>
    <row r="55" spans="1:40" x14ac:dyDescent="0.2">
      <c r="A55" s="15" t="str">
        <f t="shared" si="67"/>
        <v>Skilled trades occupations</v>
      </c>
      <c r="B55" s="442">
        <f t="shared" si="69"/>
        <v>58.147407031908529</v>
      </c>
      <c r="C55" s="442">
        <f t="shared" si="70"/>
        <v>58.063255787779255</v>
      </c>
      <c r="D55" s="442">
        <f t="shared" si="71"/>
        <v>57.723570307412807</v>
      </c>
      <c r="E55" s="442"/>
      <c r="F55" s="442">
        <v>9.3078817863435793E-3</v>
      </c>
      <c r="G55" s="442">
        <v>1.3822993358976632E-2</v>
      </c>
      <c r="H55" s="442">
        <v>1.7722519591014115E-2</v>
      </c>
      <c r="I55" s="442"/>
      <c r="J55" s="442">
        <v>0.4653591740577383</v>
      </c>
      <c r="K55" s="442">
        <v>0.70336334281734236</v>
      </c>
      <c r="L55" s="442">
        <v>0.87557667858457355</v>
      </c>
      <c r="M55" s="442"/>
      <c r="N55" s="442">
        <v>1.6970405994308728</v>
      </c>
      <c r="O55" s="442">
        <v>2.4199982451260511</v>
      </c>
      <c r="P55" s="442">
        <v>2.8129051039159307</v>
      </c>
      <c r="Q55" s="442"/>
      <c r="R55" s="442">
        <v>1.0336657967370857</v>
      </c>
      <c r="S55" s="442">
        <v>1.4737425601627361</v>
      </c>
      <c r="T55" s="442">
        <v>1.6846694043994246</v>
      </c>
      <c r="U55" s="442"/>
      <c r="V55" s="442">
        <v>2.6862594952447307</v>
      </c>
      <c r="W55" s="442">
        <v>3.5586800572853452</v>
      </c>
      <c r="X55" s="442">
        <v>3.9911368494957493</v>
      </c>
      <c r="Y55" s="442"/>
      <c r="Z55" s="442">
        <v>21.982296223355032</v>
      </c>
      <c r="AA55" s="442">
        <v>21.172010408283622</v>
      </c>
      <c r="AB55" s="442">
        <v>20.879922505384375</v>
      </c>
      <c r="AC55" s="442"/>
      <c r="AD55" s="442">
        <v>18.016554716536234</v>
      </c>
      <c r="AE55" s="442">
        <v>17.765867052899598</v>
      </c>
      <c r="AF55" s="442">
        <v>17.584053869716413</v>
      </c>
      <c r="AG55" s="442"/>
      <c r="AH55" s="442">
        <v>8.1960572088415766</v>
      </c>
      <c r="AI55" s="442">
        <v>8.1524582488673083</v>
      </c>
      <c r="AJ55" s="442">
        <v>8.2216753016650319</v>
      </c>
      <c r="AK55" s="442"/>
      <c r="AL55" s="442">
        <v>4.060865935918911</v>
      </c>
      <c r="AM55" s="442">
        <v>2.8033128789782769</v>
      </c>
      <c r="AN55" s="442">
        <v>1.6559080746602968</v>
      </c>
    </row>
    <row r="56" spans="1:40" x14ac:dyDescent="0.2">
      <c r="A56" s="15" t="str">
        <f t="shared" si="67"/>
        <v>Caring, leisure and other service</v>
      </c>
      <c r="B56" s="442">
        <f t="shared" si="69"/>
        <v>0.3271973016829095</v>
      </c>
      <c r="C56" s="442">
        <f t="shared" si="70"/>
        <v>0.34688304328000985</v>
      </c>
      <c r="D56" s="442">
        <f t="shared" si="71"/>
        <v>0.37820099177714062</v>
      </c>
      <c r="E56" s="442"/>
      <c r="F56" s="442">
        <v>2.6677311215048621E-5</v>
      </c>
      <c r="G56" s="442">
        <v>4.0811287445500608E-5</v>
      </c>
      <c r="H56" s="442">
        <v>4.4902482598790314E-5</v>
      </c>
      <c r="I56" s="442"/>
      <c r="J56" s="442">
        <v>8.9955736897091975E-3</v>
      </c>
      <c r="K56" s="442">
        <v>1.1070260711857158E-2</v>
      </c>
      <c r="L56" s="442">
        <v>1.1502083903922593E-2</v>
      </c>
      <c r="M56" s="442"/>
      <c r="N56" s="442">
        <v>9.6147339866403825E-3</v>
      </c>
      <c r="O56" s="442">
        <v>1.2438295850980075E-2</v>
      </c>
      <c r="P56" s="442">
        <v>1.1470743463673383E-2</v>
      </c>
      <c r="Q56" s="442"/>
      <c r="R56" s="442">
        <v>2.0540546640238251E-3</v>
      </c>
      <c r="S56" s="442">
        <v>2.4824045840199159E-3</v>
      </c>
      <c r="T56" s="442">
        <v>2.5263642510073092E-3</v>
      </c>
      <c r="U56" s="442"/>
      <c r="V56" s="442">
        <v>2.0850553532439739E-2</v>
      </c>
      <c r="W56" s="442">
        <v>2.9702888407408333E-2</v>
      </c>
      <c r="X56" s="442">
        <v>3.30084919200326E-2</v>
      </c>
      <c r="Y56" s="442"/>
      <c r="Z56" s="442">
        <v>0.12703304502731569</v>
      </c>
      <c r="AA56" s="442">
        <v>0.14071704694259843</v>
      </c>
      <c r="AB56" s="442">
        <v>0.16123615522894008</v>
      </c>
      <c r="AC56" s="442"/>
      <c r="AD56" s="442">
        <v>1.8976019588701688E-2</v>
      </c>
      <c r="AE56" s="442">
        <v>1.821588346707172E-2</v>
      </c>
      <c r="AF56" s="442">
        <v>1.8715562321787487E-2</v>
      </c>
      <c r="AG56" s="442"/>
      <c r="AH56" s="442">
        <v>0.1178334049327128</v>
      </c>
      <c r="AI56" s="442">
        <v>0.11185289792322817</v>
      </c>
      <c r="AJ56" s="442">
        <v>0.11882938247693978</v>
      </c>
      <c r="AK56" s="442"/>
      <c r="AL56" s="442">
        <v>2.1813238950151137E-2</v>
      </c>
      <c r="AM56" s="442">
        <v>2.0362554105400582E-2</v>
      </c>
      <c r="AN56" s="442">
        <v>2.0867305728238604E-2</v>
      </c>
    </row>
    <row r="57" spans="1:40" x14ac:dyDescent="0.2">
      <c r="A57" s="15" t="str">
        <f t="shared" si="67"/>
        <v>Sales and customer service</v>
      </c>
      <c r="B57" s="442">
        <f t="shared" si="69"/>
        <v>2.301488923322935</v>
      </c>
      <c r="C57" s="442">
        <f t="shared" si="70"/>
        <v>2.3947724534200661</v>
      </c>
      <c r="D57" s="442">
        <f t="shared" si="71"/>
        <v>2.492212909949798</v>
      </c>
      <c r="E57" s="442"/>
      <c r="F57" s="442">
        <v>2.4857685080973682E-3</v>
      </c>
      <c r="G57" s="442">
        <v>3.7889844314956196E-3</v>
      </c>
      <c r="H57" s="442">
        <v>4.6044729024197718E-3</v>
      </c>
      <c r="I57" s="442"/>
      <c r="J57" s="442">
        <v>8.2472643435453283E-2</v>
      </c>
      <c r="K57" s="442">
        <v>9.1372075687684642E-2</v>
      </c>
      <c r="L57" s="442">
        <v>9.096333879512554E-2</v>
      </c>
      <c r="M57" s="442"/>
      <c r="N57" s="442">
        <v>0.37335969582979961</v>
      </c>
      <c r="O57" s="442">
        <v>0.50657747387143415</v>
      </c>
      <c r="P57" s="442">
        <v>0.54634668746331705</v>
      </c>
      <c r="Q57" s="442"/>
      <c r="R57" s="442">
        <v>0.11616694346454064</v>
      </c>
      <c r="S57" s="442">
        <v>0.15618081168754966</v>
      </c>
      <c r="T57" s="442">
        <v>0.17560114136262117</v>
      </c>
      <c r="U57" s="442"/>
      <c r="V57" s="442">
        <v>9.9733111402820623E-2</v>
      </c>
      <c r="W57" s="442">
        <v>0.11787544805476978</v>
      </c>
      <c r="X57" s="442">
        <v>0.12181625774405881</v>
      </c>
      <c r="Y57" s="442"/>
      <c r="Z57" s="442">
        <v>0.7820423501452185</v>
      </c>
      <c r="AA57" s="442">
        <v>0.82278997092653006</v>
      </c>
      <c r="AB57" s="442">
        <v>0.92805204302214173</v>
      </c>
      <c r="AC57" s="442"/>
      <c r="AD57" s="442">
        <v>0.21796899573031189</v>
      </c>
      <c r="AE57" s="442">
        <v>0.14832417615969692</v>
      </c>
      <c r="AF57" s="442">
        <v>6.9552662794510667E-2</v>
      </c>
      <c r="AG57" s="442"/>
      <c r="AH57" s="442">
        <v>0.26882262845129395</v>
      </c>
      <c r="AI57" s="442">
        <v>0.21530502123666104</v>
      </c>
      <c r="AJ57" s="442">
        <v>0.18913262644571574</v>
      </c>
      <c r="AK57" s="442"/>
      <c r="AL57" s="442">
        <v>0.35843678635539883</v>
      </c>
      <c r="AM57" s="442">
        <v>0.33255849136424426</v>
      </c>
      <c r="AN57" s="442">
        <v>0.36614367941988774</v>
      </c>
    </row>
    <row r="58" spans="1:40" x14ac:dyDescent="0.2">
      <c r="A58" s="15" t="str">
        <f t="shared" si="67"/>
        <v>Process, plant and machine operatives</v>
      </c>
      <c r="B58" s="442">
        <f t="shared" si="69"/>
        <v>11.425787111931607</v>
      </c>
      <c r="C58" s="442">
        <f t="shared" si="70"/>
        <v>10.931966530193151</v>
      </c>
      <c r="D58" s="442">
        <f t="shared" si="71"/>
        <v>10.927495735715297</v>
      </c>
      <c r="E58" s="442"/>
      <c r="F58" s="442">
        <v>4.8775560011176979E-2</v>
      </c>
      <c r="G58" s="442">
        <v>7.795623813683937E-2</v>
      </c>
      <c r="H58" s="442">
        <v>0.10885563735117615</v>
      </c>
      <c r="I58" s="442"/>
      <c r="J58" s="442">
        <v>0.11681323479644591</v>
      </c>
      <c r="K58" s="442">
        <v>0.16645065000388007</v>
      </c>
      <c r="L58" s="442">
        <v>0.2165866931185533</v>
      </c>
      <c r="M58" s="442"/>
      <c r="N58" s="442">
        <v>0.12067895822291538</v>
      </c>
      <c r="O58" s="442">
        <v>0.14182668270666579</v>
      </c>
      <c r="P58" s="442">
        <v>0.15747859256334368</v>
      </c>
      <c r="Q58" s="442"/>
      <c r="R58" s="442">
        <v>0.10607476413168503</v>
      </c>
      <c r="S58" s="442">
        <v>0.16311945871043207</v>
      </c>
      <c r="T58" s="442">
        <v>0.19683454733371744</v>
      </c>
      <c r="U58" s="442"/>
      <c r="V58" s="442">
        <v>0.46832998540229737</v>
      </c>
      <c r="W58" s="442">
        <v>0.614145601970843</v>
      </c>
      <c r="X58" s="442">
        <v>0.70285799864190956</v>
      </c>
      <c r="Y58" s="442"/>
      <c r="Z58" s="442">
        <v>2.9124652691105632</v>
      </c>
      <c r="AA58" s="442">
        <v>2.9729251431210533</v>
      </c>
      <c r="AB58" s="442">
        <v>3.1509203521937477</v>
      </c>
      <c r="AC58" s="442"/>
      <c r="AD58" s="442">
        <v>4.3519684986373202</v>
      </c>
      <c r="AE58" s="442">
        <v>4.3530041918254136</v>
      </c>
      <c r="AF58" s="442">
        <v>4.54354214373764</v>
      </c>
      <c r="AG58" s="442"/>
      <c r="AH58" s="442">
        <v>2.5009430802610488</v>
      </c>
      <c r="AI58" s="442">
        <v>2.1151371281658009</v>
      </c>
      <c r="AJ58" s="442">
        <v>1.6368027981907216</v>
      </c>
      <c r="AK58" s="442"/>
      <c r="AL58" s="442">
        <v>0.79973776135815333</v>
      </c>
      <c r="AM58" s="442">
        <v>0.32740143555222301</v>
      </c>
      <c r="AN58" s="442">
        <v>0.21361697258448789</v>
      </c>
    </row>
    <row r="59" spans="1:40" x14ac:dyDescent="0.2">
      <c r="A59" s="15" t="str">
        <f t="shared" si="67"/>
        <v>Elementary occupations</v>
      </c>
      <c r="B59" s="442">
        <f t="shared" si="69"/>
        <v>6.4833302860683899</v>
      </c>
      <c r="C59" s="442">
        <f t="shared" si="70"/>
        <v>6.2076629919346287</v>
      </c>
      <c r="D59" s="442">
        <f t="shared" si="71"/>
        <v>5.9797971273715902</v>
      </c>
      <c r="E59" s="442"/>
      <c r="F59" s="442">
        <v>2.1908267278897715E-4</v>
      </c>
      <c r="G59" s="442">
        <v>3.5032242959311019E-4</v>
      </c>
      <c r="H59" s="442">
        <v>4.2704375701155278E-4</v>
      </c>
      <c r="I59" s="442"/>
      <c r="J59" s="442">
        <v>4.8884898115534349E-2</v>
      </c>
      <c r="K59" s="442">
        <v>7.1775079104067691E-2</v>
      </c>
      <c r="L59" s="442">
        <v>9.1044726888302466E-2</v>
      </c>
      <c r="M59" s="442"/>
      <c r="N59" s="442">
        <v>0.13916018008168321</v>
      </c>
      <c r="O59" s="442">
        <v>0.20287477117065364</v>
      </c>
      <c r="P59" s="442">
        <v>0.23443135871696702</v>
      </c>
      <c r="Q59" s="442"/>
      <c r="R59" s="442">
        <v>3.8834044468946387E-2</v>
      </c>
      <c r="S59" s="442">
        <v>5.0373273098104791E-2</v>
      </c>
      <c r="T59" s="442">
        <v>5.1757186514216132E-2</v>
      </c>
      <c r="U59" s="442"/>
      <c r="V59" s="442">
        <v>0.21245007940633237</v>
      </c>
      <c r="W59" s="442">
        <v>0.27694618794076098</v>
      </c>
      <c r="X59" s="442">
        <v>0.32023400651248835</v>
      </c>
      <c r="Y59" s="442"/>
      <c r="Z59" s="442">
        <v>1.5476758935280461</v>
      </c>
      <c r="AA59" s="442">
        <v>1.7125894275715219</v>
      </c>
      <c r="AB59" s="442">
        <v>1.9074886847968497</v>
      </c>
      <c r="AC59" s="442"/>
      <c r="AD59" s="442">
        <v>1.9749227205081801</v>
      </c>
      <c r="AE59" s="442">
        <v>1.9741343910424325</v>
      </c>
      <c r="AF59" s="442">
        <v>1.936889818419457</v>
      </c>
      <c r="AG59" s="442"/>
      <c r="AH59" s="442">
        <v>1.6316540167356479</v>
      </c>
      <c r="AI59" s="442">
        <v>1.4841728548569084</v>
      </c>
      <c r="AJ59" s="442">
        <v>1.2883618389741318</v>
      </c>
      <c r="AK59" s="442"/>
      <c r="AL59" s="442">
        <v>0.88952937055123049</v>
      </c>
      <c r="AM59" s="442">
        <v>0.43444668472058628</v>
      </c>
      <c r="AN59" s="442">
        <v>0.14916246279216569</v>
      </c>
    </row>
    <row r="60" spans="1:40" x14ac:dyDescent="0.2">
      <c r="B60" s="442"/>
      <c r="C60" s="442"/>
      <c r="D60" s="442"/>
      <c r="E60" s="442"/>
      <c r="F60" s="442"/>
      <c r="G60" s="442"/>
      <c r="H60" s="442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</row>
    <row r="61" spans="1:40" x14ac:dyDescent="0.2">
      <c r="A61" s="1" t="str">
        <f>name!C7</f>
        <v>Trade, accomod. and transport</v>
      </c>
      <c r="B61" s="444"/>
      <c r="C61" s="444"/>
      <c r="D61" s="444"/>
      <c r="E61" s="442"/>
      <c r="F61" s="442"/>
      <c r="G61" s="442"/>
      <c r="H61" s="442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42"/>
      <c r="AB61" s="442"/>
      <c r="AC61" s="442"/>
      <c r="AD61" s="442"/>
      <c r="AE61" s="442"/>
      <c r="AF61" s="442"/>
      <c r="AG61" s="442"/>
      <c r="AH61" s="442"/>
      <c r="AI61" s="442"/>
      <c r="AJ61" s="442"/>
      <c r="AK61" s="442"/>
      <c r="AL61" s="442"/>
      <c r="AM61" s="442"/>
      <c r="AN61" s="442"/>
    </row>
    <row r="62" spans="1:40" x14ac:dyDescent="0.2">
      <c r="A62" s="15" t="str">
        <f t="shared" ref="A62:A71" si="72">A8</f>
        <v>All occupations</v>
      </c>
      <c r="B62" s="443">
        <f>SUM(B63:B71)</f>
        <v>380.49400000702155</v>
      </c>
      <c r="C62" s="443">
        <f>SUM(C63:C71)</f>
        <v>381.17300000228749</v>
      </c>
      <c r="D62" s="443">
        <f>SUM(D63:D71)</f>
        <v>387.86900000181924</v>
      </c>
      <c r="E62" s="442"/>
      <c r="F62" s="443">
        <f>SUM(F63:F71)</f>
        <v>1.1573624301146217</v>
      </c>
      <c r="G62" s="443">
        <f>SUM(G63:G71)</f>
        <v>1.6227919326979927</v>
      </c>
      <c r="H62" s="443">
        <f>SUM(H63:H71)</f>
        <v>2.126850553991471</v>
      </c>
      <c r="I62" s="442"/>
      <c r="J62" s="443">
        <f>SUM(J63:J71)</f>
        <v>11.649924760045286</v>
      </c>
      <c r="K62" s="443">
        <f>SUM(K63:K71)</f>
        <v>16.296726014375555</v>
      </c>
      <c r="L62" s="443">
        <f>SUM(L63:L71)</f>
        <v>20.156349934039451</v>
      </c>
      <c r="M62" s="442"/>
      <c r="N62" s="443">
        <f>SUM(N63:N71)</f>
        <v>41.352762741107576</v>
      </c>
      <c r="O62" s="443">
        <f>SUM(O63:O71)</f>
        <v>56.491384134732733</v>
      </c>
      <c r="P62" s="443">
        <f>SUM(P63:P71)</f>
        <v>64.257039154729881</v>
      </c>
      <c r="Q62" s="442"/>
      <c r="R62" s="443">
        <f>SUM(R63:R71)</f>
        <v>13.661815637608173</v>
      </c>
      <c r="S62" s="443">
        <f>SUM(S63:S71)</f>
        <v>18.313702638910883</v>
      </c>
      <c r="T62" s="443">
        <f>SUM(T63:T71)</f>
        <v>20.483009576437809</v>
      </c>
      <c r="U62" s="442"/>
      <c r="V62" s="443">
        <f>SUM(V63:V71)</f>
        <v>15.483758150206787</v>
      </c>
      <c r="W62" s="443">
        <f>SUM(W63:W71)</f>
        <v>19.954418029155814</v>
      </c>
      <c r="X62" s="443">
        <f>SUM(X63:X71)</f>
        <v>22.262132245699821</v>
      </c>
      <c r="Y62" s="442"/>
      <c r="Z62" s="443">
        <f>SUM(Z63:Z71)</f>
        <v>89.406302424944585</v>
      </c>
      <c r="AA62" s="443">
        <f>SUM(AA63:AA71)</f>
        <v>87.788780351834632</v>
      </c>
      <c r="AB62" s="443">
        <f>SUM(AB63:AB71)</f>
        <v>90.591908212098488</v>
      </c>
      <c r="AC62" s="442"/>
      <c r="AD62" s="443">
        <f>SUM(AD63:AD71)</f>
        <v>101.34046692744188</v>
      </c>
      <c r="AE62" s="443">
        <f>SUM(AE63:AE71)</f>
        <v>96.700167503632471</v>
      </c>
      <c r="AF62" s="443">
        <f>SUM(AF63:AF71)</f>
        <v>93.918165984475536</v>
      </c>
      <c r="AG62" s="442"/>
      <c r="AH62" s="443">
        <f>SUM(AH63:AH71)</f>
        <v>73.781281855950482</v>
      </c>
      <c r="AI62" s="443">
        <f>SUM(AI63:AI71)</f>
        <v>62.246347747006759</v>
      </c>
      <c r="AJ62" s="443">
        <f>SUM(AJ63:AJ71)</f>
        <v>56.426463333842925</v>
      </c>
      <c r="AK62" s="442"/>
      <c r="AL62" s="443">
        <f>SUM(AL63:AL71)</f>
        <v>32.66032507960211</v>
      </c>
      <c r="AM62" s="443">
        <f>SUM(AM63:AM71)</f>
        <v>21.758681649940637</v>
      </c>
      <c r="AN62" s="443">
        <f>SUM(AN63:AN71)</f>
        <v>17.647081006503818</v>
      </c>
    </row>
    <row r="63" spans="1:40" x14ac:dyDescent="0.2">
      <c r="A63" s="15" t="str">
        <f t="shared" si="72"/>
        <v>Managers, directors and senior officials</v>
      </c>
      <c r="B63" s="442">
        <f>SUM(F63,J63,N63,R63,V63,Z63,AD63,AH63,AL63)</f>
        <v>47.372194333479733</v>
      </c>
      <c r="C63" s="442">
        <f t="shared" ref="C63:C71" si="73">SUM(G63,K63,O63,S63,W63,AA63,AE63,AI63,AM63)</f>
        <v>49.62671225576922</v>
      </c>
      <c r="D63" s="442">
        <f t="shared" ref="D63:D71" si="74">SUM(H63,L63,P63,T63,X63,AB63,AF63,AJ63,AN63)</f>
        <v>52.562565304485716</v>
      </c>
      <c r="E63" s="442"/>
      <c r="F63" s="442">
        <v>0.30936160349552499</v>
      </c>
      <c r="G63" s="442">
        <v>0.43335426356543683</v>
      </c>
      <c r="H63" s="442">
        <v>0.52779543938505091</v>
      </c>
      <c r="I63" s="442"/>
      <c r="J63" s="442">
        <v>2.645403411235618</v>
      </c>
      <c r="K63" s="442">
        <v>3.6171017424267413</v>
      </c>
      <c r="L63" s="442">
        <v>4.427980308564222</v>
      </c>
      <c r="M63" s="442"/>
      <c r="N63" s="442">
        <v>9.2805968214256058</v>
      </c>
      <c r="O63" s="442">
        <v>12.454471116872755</v>
      </c>
      <c r="P63" s="442">
        <v>13.978292960084808</v>
      </c>
      <c r="Q63" s="442"/>
      <c r="R63" s="442">
        <v>2.1477678904261395</v>
      </c>
      <c r="S63" s="442">
        <v>2.6841355562839526</v>
      </c>
      <c r="T63" s="442">
        <v>2.8414128126157308</v>
      </c>
      <c r="U63" s="442"/>
      <c r="V63" s="442">
        <v>2.9177666031545706</v>
      </c>
      <c r="W63" s="442">
        <v>3.4401873882945848</v>
      </c>
      <c r="X63" s="442">
        <v>3.5606014572663427</v>
      </c>
      <c r="Y63" s="442"/>
      <c r="Z63" s="442">
        <v>9.0807226194164361</v>
      </c>
      <c r="AA63" s="442">
        <v>8.4164349235550873</v>
      </c>
      <c r="AB63" s="442">
        <v>8.3591913034625058</v>
      </c>
      <c r="AC63" s="442"/>
      <c r="AD63" s="442">
        <v>10.932843268167952</v>
      </c>
      <c r="AE63" s="442">
        <v>10.358684812620783</v>
      </c>
      <c r="AF63" s="442">
        <v>10.489077200325498</v>
      </c>
      <c r="AG63" s="442"/>
      <c r="AH63" s="442">
        <v>7.7236749726309455</v>
      </c>
      <c r="AI63" s="442">
        <v>6.6465671989336164</v>
      </c>
      <c r="AJ63" s="442">
        <v>6.8168526848574489</v>
      </c>
      <c r="AK63" s="442"/>
      <c r="AL63" s="442">
        <v>2.3340571435269442</v>
      </c>
      <c r="AM63" s="442">
        <v>1.575775253216255</v>
      </c>
      <c r="AN63" s="442">
        <v>1.5613611379241119</v>
      </c>
    </row>
    <row r="64" spans="1:40" x14ac:dyDescent="0.2">
      <c r="A64" s="15" t="str">
        <f t="shared" si="72"/>
        <v>Professional occupations</v>
      </c>
      <c r="B64" s="442">
        <f t="shared" ref="B64:B71" si="75">SUM(F64,J64,N64,R64,V64,Z64,AD64,AH64,AL64)</f>
        <v>15.656887281574457</v>
      </c>
      <c r="C64" s="442">
        <f t="shared" si="73"/>
        <v>17.314958453552297</v>
      </c>
      <c r="D64" s="442">
        <f t="shared" si="74"/>
        <v>19.820671279514194</v>
      </c>
      <c r="E64" s="442"/>
      <c r="F64" s="442">
        <v>0.46033443455807538</v>
      </c>
      <c r="G64" s="442">
        <v>0.66939462115992687</v>
      </c>
      <c r="H64" s="442">
        <v>0.96429176382497805</v>
      </c>
      <c r="I64" s="442"/>
      <c r="J64" s="442">
        <v>1.6180187642343995</v>
      </c>
      <c r="K64" s="442">
        <v>2.2471948614601747</v>
      </c>
      <c r="L64" s="442">
        <v>2.7703629123827</v>
      </c>
      <c r="M64" s="442"/>
      <c r="N64" s="442">
        <v>3.7576596076945861</v>
      </c>
      <c r="O64" s="442">
        <v>4.4750635027608689</v>
      </c>
      <c r="P64" s="442">
        <v>4.8799650066772493</v>
      </c>
      <c r="Q64" s="442"/>
      <c r="R64" s="442">
        <v>1.3106988804318722</v>
      </c>
      <c r="S64" s="442">
        <v>1.7985292378522946</v>
      </c>
      <c r="T64" s="442">
        <v>2.3754505986655539</v>
      </c>
      <c r="U64" s="442"/>
      <c r="V64" s="442">
        <v>0.81562603968264413</v>
      </c>
      <c r="W64" s="442">
        <v>0.88702123884927664</v>
      </c>
      <c r="X64" s="442">
        <v>0.92051015114596957</v>
      </c>
      <c r="Y64" s="442"/>
      <c r="Z64" s="442">
        <v>3.128361956816752</v>
      </c>
      <c r="AA64" s="442">
        <v>3.1096646648672412</v>
      </c>
      <c r="AB64" s="442">
        <v>3.3649970376096103</v>
      </c>
      <c r="AC64" s="442"/>
      <c r="AD64" s="442">
        <v>2.3933704387803778</v>
      </c>
      <c r="AE64" s="442">
        <v>2.2439025391722955</v>
      </c>
      <c r="AF64" s="442">
        <v>2.2894687230889774</v>
      </c>
      <c r="AG64" s="442"/>
      <c r="AH64" s="442">
        <v>1.7012258050495956</v>
      </c>
      <c r="AI64" s="442">
        <v>1.4754920286248334</v>
      </c>
      <c r="AJ64" s="442">
        <v>1.6793939567447012</v>
      </c>
      <c r="AK64" s="442"/>
      <c r="AL64" s="442">
        <v>0.4715913543261544</v>
      </c>
      <c r="AM64" s="442">
        <v>0.40869575880538433</v>
      </c>
      <c r="AN64" s="442">
        <v>0.57623112937445586</v>
      </c>
    </row>
    <row r="65" spans="1:40" x14ac:dyDescent="0.2">
      <c r="A65" s="15" t="str">
        <f t="shared" si="72"/>
        <v>Associate professional and technical</v>
      </c>
      <c r="B65" s="442">
        <f t="shared" si="75"/>
        <v>20.556913364213528</v>
      </c>
      <c r="C65" s="442">
        <f t="shared" si="73"/>
        <v>21.880545037165902</v>
      </c>
      <c r="D65" s="442">
        <f t="shared" si="74"/>
        <v>23.477611891612881</v>
      </c>
      <c r="E65" s="442"/>
      <c r="F65" s="442">
        <v>0.11122507361421598</v>
      </c>
      <c r="G65" s="442">
        <v>0.15235405539899635</v>
      </c>
      <c r="H65" s="442">
        <v>0.18966777712934599</v>
      </c>
      <c r="I65" s="442"/>
      <c r="J65" s="442">
        <v>1.1720231448975396</v>
      </c>
      <c r="K65" s="442">
        <v>1.5507616501388573</v>
      </c>
      <c r="L65" s="442">
        <v>1.8416300234885663</v>
      </c>
      <c r="M65" s="442"/>
      <c r="N65" s="442">
        <v>4.0077833947106836</v>
      </c>
      <c r="O65" s="442">
        <v>5.2123830463393892</v>
      </c>
      <c r="P65" s="442">
        <v>5.8681362337234066</v>
      </c>
      <c r="Q65" s="442"/>
      <c r="R65" s="442">
        <v>0.89081504925719601</v>
      </c>
      <c r="S65" s="442">
        <v>1.1040145949973312</v>
      </c>
      <c r="T65" s="442">
        <v>1.1743409717670819</v>
      </c>
      <c r="U65" s="442"/>
      <c r="V65" s="442">
        <v>1.1456537101199864</v>
      </c>
      <c r="W65" s="442">
        <v>1.3872681074718907</v>
      </c>
      <c r="X65" s="442">
        <v>1.5249033247395998</v>
      </c>
      <c r="Y65" s="442"/>
      <c r="Z65" s="442">
        <v>4.8571294197318302</v>
      </c>
      <c r="AA65" s="442">
        <v>5.0092006374864653</v>
      </c>
      <c r="AB65" s="442">
        <v>5.4509169628810588</v>
      </c>
      <c r="AC65" s="442"/>
      <c r="AD65" s="442">
        <v>4.5424419087538261</v>
      </c>
      <c r="AE65" s="442">
        <v>4.3456726562547612</v>
      </c>
      <c r="AF65" s="442">
        <v>4.3787363646381054</v>
      </c>
      <c r="AG65" s="442"/>
      <c r="AH65" s="442">
        <v>2.9061142048966087</v>
      </c>
      <c r="AI65" s="442">
        <v>2.403424447458955</v>
      </c>
      <c r="AJ65" s="442">
        <v>2.2972942539612484</v>
      </c>
      <c r="AK65" s="442"/>
      <c r="AL65" s="442">
        <v>0.92372745823163771</v>
      </c>
      <c r="AM65" s="442">
        <v>0.71546584161925231</v>
      </c>
      <c r="AN65" s="442">
        <v>0.75198597928446886</v>
      </c>
    </row>
    <row r="66" spans="1:40" x14ac:dyDescent="0.2">
      <c r="A66" s="15" t="str">
        <f t="shared" si="72"/>
        <v>Administrative and secretarial</v>
      </c>
      <c r="B66" s="442">
        <f t="shared" si="75"/>
        <v>28.78780602616796</v>
      </c>
      <c r="C66" s="442">
        <f t="shared" si="73"/>
        <v>27.872844891189885</v>
      </c>
      <c r="D66" s="442">
        <f t="shared" si="74"/>
        <v>28.268686648683321</v>
      </c>
      <c r="E66" s="442"/>
      <c r="F66" s="442">
        <v>8.699260529073341E-2</v>
      </c>
      <c r="G66" s="442">
        <v>0.11017860258382606</v>
      </c>
      <c r="H66" s="442">
        <v>0.13500586063272688</v>
      </c>
      <c r="I66" s="442"/>
      <c r="J66" s="442">
        <v>1.2672688852140694</v>
      </c>
      <c r="K66" s="442">
        <v>1.6360067401136078</v>
      </c>
      <c r="L66" s="442">
        <v>2.0283914393382201</v>
      </c>
      <c r="M66" s="442"/>
      <c r="N66" s="442">
        <v>3.8037527542509491</v>
      </c>
      <c r="O66" s="442">
        <v>4.9106213555076419</v>
      </c>
      <c r="P66" s="442">
        <v>5.5999951830100132</v>
      </c>
      <c r="Q66" s="442"/>
      <c r="R66" s="442">
        <v>1.0393957180871056</v>
      </c>
      <c r="S66" s="442">
        <v>1.2513829101048393</v>
      </c>
      <c r="T66" s="442">
        <v>1.2946766140591821</v>
      </c>
      <c r="U66" s="442"/>
      <c r="V66" s="442">
        <v>1.2054969206721238</v>
      </c>
      <c r="W66" s="442">
        <v>1.4499332304286328</v>
      </c>
      <c r="X66" s="442">
        <v>1.7065384429117023</v>
      </c>
      <c r="Y66" s="442"/>
      <c r="Z66" s="442">
        <v>7.2073435525638958</v>
      </c>
      <c r="AA66" s="442">
        <v>6.8176111812289992</v>
      </c>
      <c r="AB66" s="442">
        <v>7.0838628648796567</v>
      </c>
      <c r="AC66" s="442"/>
      <c r="AD66" s="442">
        <v>8.779053347955303</v>
      </c>
      <c r="AE66" s="442">
        <v>8.2467801339555731</v>
      </c>
      <c r="AF66" s="442">
        <v>7.9433455719270549</v>
      </c>
      <c r="AG66" s="442"/>
      <c r="AH66" s="442">
        <v>4.5419557065208007</v>
      </c>
      <c r="AI66" s="442">
        <v>2.8788359007150657</v>
      </c>
      <c r="AJ66" s="442">
        <v>1.952632660125228</v>
      </c>
      <c r="AK66" s="442"/>
      <c r="AL66" s="442">
        <v>0.856546535612975</v>
      </c>
      <c r="AM66" s="442">
        <v>0.57149483655170064</v>
      </c>
      <c r="AN66" s="442">
        <v>0.52423801179953688</v>
      </c>
    </row>
    <row r="67" spans="1:40" x14ac:dyDescent="0.2">
      <c r="A67" s="15" t="str">
        <f t="shared" si="72"/>
        <v>Skilled trades occupations</v>
      </c>
      <c r="B67" s="442">
        <f t="shared" si="75"/>
        <v>45.866567894051606</v>
      </c>
      <c r="C67" s="442">
        <f t="shared" si="73"/>
        <v>42.821616173555007</v>
      </c>
      <c r="D67" s="442">
        <f t="shared" si="74"/>
        <v>40.413171297126027</v>
      </c>
      <c r="E67" s="442"/>
      <c r="F67" s="442">
        <v>2.1044200534756204E-2</v>
      </c>
      <c r="G67" s="442">
        <v>2.6923991515783091E-2</v>
      </c>
      <c r="H67" s="442">
        <v>3.0850767256192051E-2</v>
      </c>
      <c r="I67" s="442"/>
      <c r="J67" s="442">
        <v>0.68246821881216568</v>
      </c>
      <c r="K67" s="442">
        <v>0.94223513685836235</v>
      </c>
      <c r="L67" s="442">
        <v>1.1445101550759249</v>
      </c>
      <c r="M67" s="442"/>
      <c r="N67" s="442">
        <v>2.5120008910885594</v>
      </c>
      <c r="O67" s="442">
        <v>3.3500408868455613</v>
      </c>
      <c r="P67" s="442">
        <v>3.7428635112408317</v>
      </c>
      <c r="Q67" s="442"/>
      <c r="R67" s="442">
        <v>1.1263320971359951</v>
      </c>
      <c r="S67" s="442">
        <v>1.3404753770653555</v>
      </c>
      <c r="T67" s="442">
        <v>1.4100096964591637</v>
      </c>
      <c r="U67" s="442"/>
      <c r="V67" s="442">
        <v>1.816645317686771</v>
      </c>
      <c r="W67" s="442">
        <v>2.2633181388868975</v>
      </c>
      <c r="X67" s="442">
        <v>2.5118698076641963</v>
      </c>
      <c r="Y67" s="442"/>
      <c r="Z67" s="442">
        <v>13.960693764408326</v>
      </c>
      <c r="AA67" s="442">
        <v>13.558112330796288</v>
      </c>
      <c r="AB67" s="442">
        <v>13.827211268463886</v>
      </c>
      <c r="AC67" s="442"/>
      <c r="AD67" s="442">
        <v>11.917417412367595</v>
      </c>
      <c r="AE67" s="442">
        <v>9.782072735034367</v>
      </c>
      <c r="AF67" s="442">
        <v>8.071645820283841</v>
      </c>
      <c r="AG67" s="442"/>
      <c r="AH67" s="442">
        <v>9.5232888618923877</v>
      </c>
      <c r="AI67" s="442">
        <v>8.4941372026421931</v>
      </c>
      <c r="AJ67" s="442">
        <v>7.7709592701116872</v>
      </c>
      <c r="AK67" s="442"/>
      <c r="AL67" s="442">
        <v>4.3066771301250553</v>
      </c>
      <c r="AM67" s="442">
        <v>3.0643003739102022</v>
      </c>
      <c r="AN67" s="442">
        <v>1.9032510005702974</v>
      </c>
    </row>
    <row r="68" spans="1:40" x14ac:dyDescent="0.2">
      <c r="A68" s="15" t="str">
        <f t="shared" si="72"/>
        <v>Caring, leisure and other service</v>
      </c>
      <c r="B68" s="442">
        <f t="shared" si="75"/>
        <v>9.4691706501309589</v>
      </c>
      <c r="C68" s="442">
        <f t="shared" si="73"/>
        <v>10.156780303433244</v>
      </c>
      <c r="D68" s="442">
        <f t="shared" si="74"/>
        <v>11.200114411140923</v>
      </c>
      <c r="E68" s="442"/>
      <c r="F68" s="442">
        <v>1.1344878181755952E-2</v>
      </c>
      <c r="G68" s="442">
        <v>1.6342986505371662E-2</v>
      </c>
      <c r="H68" s="442">
        <v>1.9324393545838509E-2</v>
      </c>
      <c r="I68" s="442"/>
      <c r="J68" s="442">
        <v>0.17165862169090837</v>
      </c>
      <c r="K68" s="442">
        <v>0.25722471849792294</v>
      </c>
      <c r="L68" s="442">
        <v>0.33800694628826367</v>
      </c>
      <c r="M68" s="442"/>
      <c r="N68" s="442">
        <v>0.93123496778097725</v>
      </c>
      <c r="O68" s="442">
        <v>1.2208450831119126</v>
      </c>
      <c r="P68" s="442">
        <v>1.33037804264338</v>
      </c>
      <c r="Q68" s="442"/>
      <c r="R68" s="442">
        <v>0.79726735704315599</v>
      </c>
      <c r="S68" s="442">
        <v>1.1423628175858143</v>
      </c>
      <c r="T68" s="442">
        <v>1.295255670461765</v>
      </c>
      <c r="U68" s="442"/>
      <c r="V68" s="442">
        <v>0.69414078721907013</v>
      </c>
      <c r="W68" s="442">
        <v>0.97715678852835663</v>
      </c>
      <c r="X68" s="442">
        <v>1.099846895816345</v>
      </c>
      <c r="Y68" s="442"/>
      <c r="Z68" s="442">
        <v>1.6171005657976192</v>
      </c>
      <c r="AA68" s="442">
        <v>1.6329465858056844</v>
      </c>
      <c r="AB68" s="442">
        <v>1.7797106468115618</v>
      </c>
      <c r="AC68" s="442"/>
      <c r="AD68" s="442">
        <v>2.5143898537016365</v>
      </c>
      <c r="AE68" s="442">
        <v>2.5296102206189475</v>
      </c>
      <c r="AF68" s="442">
        <v>2.6722386073906734</v>
      </c>
      <c r="AG68" s="442"/>
      <c r="AH68" s="442">
        <v>1.8486269582352701</v>
      </c>
      <c r="AI68" s="442">
        <v>1.6914735606888434</v>
      </c>
      <c r="AJ68" s="442">
        <v>2.0619150085350619</v>
      </c>
      <c r="AK68" s="442"/>
      <c r="AL68" s="442">
        <v>0.8834066604805646</v>
      </c>
      <c r="AM68" s="442">
        <v>0.68881754209039148</v>
      </c>
      <c r="AN68" s="442">
        <v>0.60343819964803491</v>
      </c>
    </row>
    <row r="69" spans="1:40" x14ac:dyDescent="0.2">
      <c r="A69" s="15" t="str">
        <f t="shared" si="72"/>
        <v>Sales and customer service</v>
      </c>
      <c r="B69" s="442">
        <f t="shared" si="75"/>
        <v>85.748422425104977</v>
      </c>
      <c r="C69" s="442">
        <f t="shared" si="73"/>
        <v>82.463425425780045</v>
      </c>
      <c r="D69" s="442">
        <f t="shared" si="74"/>
        <v>79.474967221197872</v>
      </c>
      <c r="E69" s="442"/>
      <c r="F69" s="442">
        <v>7.9180993210449385E-2</v>
      </c>
      <c r="G69" s="442">
        <v>9.9790704432443908E-2</v>
      </c>
      <c r="H69" s="442">
        <v>0.11456607537124862</v>
      </c>
      <c r="I69" s="442"/>
      <c r="J69" s="442">
        <v>1.6173407060935043</v>
      </c>
      <c r="K69" s="442">
        <v>2.2631735664623758</v>
      </c>
      <c r="L69" s="442">
        <v>2.7006824691851801</v>
      </c>
      <c r="M69" s="442"/>
      <c r="N69" s="442">
        <v>7.4488669929412641</v>
      </c>
      <c r="O69" s="442">
        <v>10.356969238277017</v>
      </c>
      <c r="P69" s="442">
        <v>11.420756648638154</v>
      </c>
      <c r="Q69" s="442"/>
      <c r="R69" s="442">
        <v>2.4990852788725078</v>
      </c>
      <c r="S69" s="442">
        <v>3.4000618425934519</v>
      </c>
      <c r="T69" s="442">
        <v>3.6833143741962853</v>
      </c>
      <c r="U69" s="442"/>
      <c r="V69" s="442">
        <v>2.0221585388920453</v>
      </c>
      <c r="W69" s="442">
        <v>2.3873360206499634</v>
      </c>
      <c r="X69" s="442">
        <v>2.4181604071219591</v>
      </c>
      <c r="Y69" s="442"/>
      <c r="Z69" s="442">
        <v>23.710040541140749</v>
      </c>
      <c r="AA69" s="442">
        <v>23.86794254182071</v>
      </c>
      <c r="AB69" s="442">
        <v>24.560288338158443</v>
      </c>
      <c r="AC69" s="442"/>
      <c r="AD69" s="442">
        <v>24.072522568763187</v>
      </c>
      <c r="AE69" s="442">
        <v>23.254538111576625</v>
      </c>
      <c r="AF69" s="442">
        <v>22.246544159307064</v>
      </c>
      <c r="AG69" s="442"/>
      <c r="AH69" s="442">
        <v>16.729457532997714</v>
      </c>
      <c r="AI69" s="442">
        <v>13.131440633461002</v>
      </c>
      <c r="AJ69" s="442">
        <v>9.9461448728621438</v>
      </c>
      <c r="AK69" s="442"/>
      <c r="AL69" s="442">
        <v>7.5697692721935539</v>
      </c>
      <c r="AM69" s="442">
        <v>3.7021727665064663</v>
      </c>
      <c r="AN69" s="442">
        <v>2.3845098763573831</v>
      </c>
    </row>
    <row r="70" spans="1:40" x14ac:dyDescent="0.2">
      <c r="A70" s="15" t="str">
        <f t="shared" si="72"/>
        <v>Process, plant and machine operatives</v>
      </c>
      <c r="B70" s="442">
        <f t="shared" si="75"/>
        <v>32.370134170561755</v>
      </c>
      <c r="C70" s="442">
        <f t="shared" si="73"/>
        <v>31.01211002071198</v>
      </c>
      <c r="D70" s="442">
        <f t="shared" si="74"/>
        <v>31.006612478691931</v>
      </c>
      <c r="E70" s="442"/>
      <c r="F70" s="442">
        <v>6.3620065135245332E-2</v>
      </c>
      <c r="G70" s="442">
        <v>9.4728174617816074E-2</v>
      </c>
      <c r="H70" s="442">
        <v>0.12285836645607842</v>
      </c>
      <c r="I70" s="442"/>
      <c r="J70" s="442">
        <v>0.41368752550671639</v>
      </c>
      <c r="K70" s="442">
        <v>0.61932314841205138</v>
      </c>
      <c r="L70" s="442">
        <v>0.82330152533683509</v>
      </c>
      <c r="M70" s="442"/>
      <c r="N70" s="442">
        <v>1.5581311135844607</v>
      </c>
      <c r="O70" s="442">
        <v>2.1104790571222218</v>
      </c>
      <c r="P70" s="442">
        <v>2.4721027661125463</v>
      </c>
      <c r="Q70" s="442"/>
      <c r="R70" s="442">
        <v>0.62428947818669811</v>
      </c>
      <c r="S70" s="442">
        <v>0.81737146262665183</v>
      </c>
      <c r="T70" s="442">
        <v>0.95098278103094258</v>
      </c>
      <c r="U70" s="442"/>
      <c r="V70" s="442">
        <v>1.1238361839167317</v>
      </c>
      <c r="W70" s="442">
        <v>1.6396027617063376</v>
      </c>
      <c r="X70" s="442">
        <v>2.0149236654741483</v>
      </c>
      <c r="Y70" s="442"/>
      <c r="Z70" s="442">
        <v>6.1086031998457662</v>
      </c>
      <c r="AA70" s="442">
        <v>6.10441920288166</v>
      </c>
      <c r="AB70" s="442">
        <v>6.5977553803399482</v>
      </c>
      <c r="AC70" s="442"/>
      <c r="AD70" s="442">
        <v>9.4175358321459779</v>
      </c>
      <c r="AE70" s="442">
        <v>8.8179511411757048</v>
      </c>
      <c r="AF70" s="442">
        <v>8.5398194113596357</v>
      </c>
      <c r="AG70" s="442"/>
      <c r="AH70" s="442">
        <v>8.8848250405225446</v>
      </c>
      <c r="AI70" s="442">
        <v>8.0160141713480293</v>
      </c>
      <c r="AJ70" s="442">
        <v>7.601404482639829</v>
      </c>
      <c r="AK70" s="442"/>
      <c r="AL70" s="442">
        <v>4.1756057317176145</v>
      </c>
      <c r="AM70" s="442">
        <v>2.792220900821508</v>
      </c>
      <c r="AN70" s="442">
        <v>1.8834640999419663</v>
      </c>
    </row>
    <row r="71" spans="1:40" x14ac:dyDescent="0.2">
      <c r="A71" s="15" t="str">
        <f t="shared" si="72"/>
        <v>Elementary occupations</v>
      </c>
      <c r="B71" s="442">
        <f t="shared" si="75"/>
        <v>94.665903861736552</v>
      </c>
      <c r="C71" s="442">
        <f t="shared" si="73"/>
        <v>98.02400744112991</v>
      </c>
      <c r="D71" s="442">
        <f t="shared" si="74"/>
        <v>101.64459946936634</v>
      </c>
      <c r="E71" s="442"/>
      <c r="F71" s="442">
        <v>1.4258576093864996E-2</v>
      </c>
      <c r="G71" s="442">
        <v>1.972453291839173E-2</v>
      </c>
      <c r="H71" s="442">
        <v>2.2490110390011558E-2</v>
      </c>
      <c r="I71" s="442"/>
      <c r="J71" s="442">
        <v>2.0620554823603645</v>
      </c>
      <c r="K71" s="442">
        <v>3.1637044500054583</v>
      </c>
      <c r="L71" s="442">
        <v>4.0814841543795373</v>
      </c>
      <c r="M71" s="442"/>
      <c r="N71" s="442">
        <v>8.0527361976304963</v>
      </c>
      <c r="O71" s="442">
        <v>12.400510847895367</v>
      </c>
      <c r="P71" s="442">
        <v>14.964548802599488</v>
      </c>
      <c r="Q71" s="442"/>
      <c r="R71" s="442">
        <v>3.2261638881675032</v>
      </c>
      <c r="S71" s="442">
        <v>4.7753688398011942</v>
      </c>
      <c r="T71" s="442">
        <v>5.4575660571821025</v>
      </c>
      <c r="U71" s="442"/>
      <c r="V71" s="442">
        <v>3.7424340488628451</v>
      </c>
      <c r="W71" s="442">
        <v>5.5225943543398754</v>
      </c>
      <c r="X71" s="442">
        <v>6.5047780935595583</v>
      </c>
      <c r="Y71" s="442"/>
      <c r="Z71" s="442">
        <v>19.736306805223204</v>
      </c>
      <c r="AA71" s="442">
        <v>19.27244828339251</v>
      </c>
      <c r="AB71" s="442">
        <v>19.567974409491825</v>
      </c>
      <c r="AC71" s="442"/>
      <c r="AD71" s="442">
        <v>26.770892296806039</v>
      </c>
      <c r="AE71" s="442">
        <v>27.120955153223417</v>
      </c>
      <c r="AF71" s="442">
        <v>27.28729012615468</v>
      </c>
      <c r="AG71" s="442"/>
      <c r="AH71" s="442">
        <v>19.922112773204624</v>
      </c>
      <c r="AI71" s="442">
        <v>17.508962603134215</v>
      </c>
      <c r="AJ71" s="442">
        <v>16.29986614400557</v>
      </c>
      <c r="AK71" s="442"/>
      <c r="AL71" s="442">
        <v>11.138943793387609</v>
      </c>
      <c r="AM71" s="442">
        <v>8.2397383764194778</v>
      </c>
      <c r="AN71" s="442">
        <v>7.4586015716035643</v>
      </c>
    </row>
    <row r="72" spans="1:40" x14ac:dyDescent="0.2">
      <c r="B72" s="442"/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N72" s="442"/>
    </row>
    <row r="73" spans="1:40" x14ac:dyDescent="0.2">
      <c r="A73" s="1" t="str">
        <f>name!C8</f>
        <v>Business and other services</v>
      </c>
      <c r="B73" s="444"/>
      <c r="C73" s="444"/>
      <c r="D73" s="444"/>
      <c r="E73" s="442"/>
      <c r="F73" s="442"/>
      <c r="G73" s="442"/>
      <c r="H73" s="442"/>
      <c r="I73" s="442"/>
      <c r="J73" s="442"/>
      <c r="K73" s="442"/>
      <c r="L73" s="442"/>
      <c r="M73" s="442"/>
      <c r="N73" s="442"/>
      <c r="O73" s="442"/>
      <c r="P73" s="442"/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42"/>
      <c r="AC73" s="442"/>
      <c r="AD73" s="442"/>
      <c r="AE73" s="442"/>
      <c r="AF73" s="442"/>
      <c r="AG73" s="442"/>
      <c r="AH73" s="442"/>
      <c r="AI73" s="442"/>
      <c r="AJ73" s="442"/>
      <c r="AK73" s="442"/>
      <c r="AL73" s="442"/>
      <c r="AM73" s="442"/>
      <c r="AN73" s="442"/>
    </row>
    <row r="74" spans="1:40" x14ac:dyDescent="0.2">
      <c r="A74" s="15" t="str">
        <f t="shared" ref="A74:A83" si="76">A8</f>
        <v>All occupations</v>
      </c>
      <c r="B74" s="443">
        <f>SUM(B75:B83)</f>
        <v>336.15199999851615</v>
      </c>
      <c r="C74" s="443">
        <f>SUM(C75:C83)</f>
        <v>350.05099999922061</v>
      </c>
      <c r="D74" s="443">
        <f>SUM(D75:D83)</f>
        <v>358.32199999962597</v>
      </c>
      <c r="E74" s="442"/>
      <c r="F74" s="443">
        <f>SUM(F75:F83)</f>
        <v>4.4809805996877596</v>
      </c>
      <c r="G74" s="443">
        <f>SUM(G75:G83)</f>
        <v>5.7412404896212816</v>
      </c>
      <c r="H74" s="443">
        <f>SUM(H75:H83)</f>
        <v>6.724711546083733</v>
      </c>
      <c r="I74" s="442"/>
      <c r="J74" s="443">
        <f>SUM(J75:J83)</f>
        <v>37.221830529659819</v>
      </c>
      <c r="K74" s="443">
        <f>SUM(K75:K83)</f>
        <v>47.649197413327073</v>
      </c>
      <c r="L74" s="443">
        <f>SUM(L75:L83)</f>
        <v>55.696533444016069</v>
      </c>
      <c r="M74" s="442"/>
      <c r="N74" s="443">
        <f>SUM(N75:N83)</f>
        <v>77.972489265883681</v>
      </c>
      <c r="O74" s="443">
        <f>SUM(O75:O83)</f>
        <v>93.677313165318509</v>
      </c>
      <c r="P74" s="443">
        <f>SUM(P75:P83)</f>
        <v>101.05637905171494</v>
      </c>
      <c r="Q74" s="442"/>
      <c r="R74" s="443">
        <f>SUM(R75:R83)</f>
        <v>15.351066784548694</v>
      </c>
      <c r="S74" s="443">
        <f>SUM(S75:S83)</f>
        <v>18.635489783848591</v>
      </c>
      <c r="T74" s="443">
        <f>SUM(T75:T83)</f>
        <v>20.096569217932736</v>
      </c>
      <c r="U74" s="442"/>
      <c r="V74" s="443">
        <f>SUM(V75:V83)</f>
        <v>18.934980997420517</v>
      </c>
      <c r="W74" s="443">
        <f>SUM(W75:W83)</f>
        <v>22.425209710266486</v>
      </c>
      <c r="X74" s="443">
        <f>SUM(X75:X83)</f>
        <v>23.920924900083996</v>
      </c>
      <c r="Y74" s="442"/>
      <c r="Z74" s="443">
        <f>SUM(Z75:Z83)</f>
        <v>58.194151753761055</v>
      </c>
      <c r="AA74" s="443">
        <f>SUM(AA75:AA83)</f>
        <v>52.464632205273077</v>
      </c>
      <c r="AB74" s="443">
        <f>SUM(AB75:AB83)</f>
        <v>50.144512427313536</v>
      </c>
      <c r="AC74" s="442"/>
      <c r="AD74" s="443">
        <f>SUM(AD75:AD83)</f>
        <v>62.040752162045969</v>
      </c>
      <c r="AE74" s="443">
        <f>SUM(AE75:AE83)</f>
        <v>57.458040617130308</v>
      </c>
      <c r="AF74" s="443">
        <f>SUM(AF75:AF83)</f>
        <v>52.965666180443463</v>
      </c>
      <c r="AG74" s="442"/>
      <c r="AH74" s="443">
        <f>SUM(AH75:AH83)</f>
        <v>45.109882015261562</v>
      </c>
      <c r="AI74" s="443">
        <f>SUM(AI75:AI83)</f>
        <v>39.137895799862271</v>
      </c>
      <c r="AJ74" s="443">
        <f>SUM(AJ75:AJ83)</f>
        <v>35.423593916969985</v>
      </c>
      <c r="AK74" s="442"/>
      <c r="AL74" s="443">
        <f>SUM(AL75:AL83)</f>
        <v>16.845865890247097</v>
      </c>
      <c r="AM74" s="443">
        <f>SUM(AM75:AM83)</f>
        <v>12.861980814573011</v>
      </c>
      <c r="AN74" s="443">
        <f>SUM(AN75:AN83)</f>
        <v>12.29310931506755</v>
      </c>
    </row>
    <row r="75" spans="1:40" x14ac:dyDescent="0.2">
      <c r="A75" s="15" t="str">
        <f t="shared" si="76"/>
        <v>Managers, directors and senior officials</v>
      </c>
      <c r="B75" s="443">
        <f>SUM(F75,J75,N75,R75,V75,Z75,AD75,AH75,AL75)</f>
        <v>34.504087316287404</v>
      </c>
      <c r="C75" s="443">
        <f t="shared" ref="C75:C83" si="77">SUM(G75,K75,O75,S75,W75,AA75,AE75,AI75,AM75)</f>
        <v>37.973710401133289</v>
      </c>
      <c r="D75" s="443">
        <f t="shared" ref="D75:D83" si="78">SUM(H75,L75,P75,T75,X75,AB75,AF75,AJ75,AN75)</f>
        <v>40.461060356995276</v>
      </c>
      <c r="E75" s="442"/>
      <c r="F75" s="442">
        <v>0.60015637555025036</v>
      </c>
      <c r="G75" s="442">
        <v>0.81319512229161084</v>
      </c>
      <c r="H75" s="442">
        <v>0.99495336492984465</v>
      </c>
      <c r="I75" s="442"/>
      <c r="J75" s="442">
        <v>4.6249491475901721</v>
      </c>
      <c r="K75" s="442">
        <v>6.0581383950912491</v>
      </c>
      <c r="L75" s="442">
        <v>7.1549051120370164</v>
      </c>
      <c r="M75" s="442"/>
      <c r="N75" s="442">
        <v>10.342642999207314</v>
      </c>
      <c r="O75" s="442">
        <v>12.719272320828173</v>
      </c>
      <c r="P75" s="442">
        <v>13.890112941703988</v>
      </c>
      <c r="Q75" s="442"/>
      <c r="R75" s="442">
        <v>1.3311621369221722</v>
      </c>
      <c r="S75" s="442">
        <v>1.5333306803239375</v>
      </c>
      <c r="T75" s="442">
        <v>1.5739102861504195</v>
      </c>
      <c r="U75" s="442"/>
      <c r="V75" s="442">
        <v>2.5126609693015167</v>
      </c>
      <c r="W75" s="442">
        <v>3.0665537007565398</v>
      </c>
      <c r="X75" s="442">
        <v>3.3287115306604451</v>
      </c>
      <c r="Y75" s="442"/>
      <c r="Z75" s="442">
        <v>5.60265674101184</v>
      </c>
      <c r="AA75" s="442">
        <v>5.1282383638904827</v>
      </c>
      <c r="AB75" s="442">
        <v>4.790013941328426</v>
      </c>
      <c r="AC75" s="442"/>
      <c r="AD75" s="442">
        <v>4.9395923328702143</v>
      </c>
      <c r="AE75" s="442">
        <v>4.5527645779288823</v>
      </c>
      <c r="AF75" s="442">
        <v>4.3113812109391052</v>
      </c>
      <c r="AG75" s="442"/>
      <c r="AH75" s="442">
        <v>3.3086995148860998</v>
      </c>
      <c r="AI75" s="442">
        <v>3.0295867873671121</v>
      </c>
      <c r="AJ75" s="442">
        <v>3.1430897560969231</v>
      </c>
      <c r="AK75" s="442"/>
      <c r="AL75" s="442">
        <v>1.2415670989478291</v>
      </c>
      <c r="AM75" s="442">
        <v>1.0726304526553014</v>
      </c>
      <c r="AN75" s="442">
        <v>1.2739822131491143</v>
      </c>
    </row>
    <row r="76" spans="1:40" x14ac:dyDescent="0.2">
      <c r="A76" s="15" t="str">
        <f t="shared" si="76"/>
        <v>Professional occupations</v>
      </c>
      <c r="B76" s="443">
        <f t="shared" ref="B76:B83" si="79">SUM(F76,J76,N76,R76,V76,Z76,AD76,AH76,AL76)</f>
        <v>52.799599035782968</v>
      </c>
      <c r="C76" s="443">
        <f t="shared" si="77"/>
        <v>57.886927627292842</v>
      </c>
      <c r="D76" s="443">
        <f>SUM(H76,L76,P76,T76,X76,AB76,AF76,AJ76,AN76)</f>
        <v>61.933898349804878</v>
      </c>
      <c r="E76" s="442"/>
      <c r="F76" s="442">
        <v>2.1409751699420476</v>
      </c>
      <c r="G76" s="442">
        <v>2.6100651386384359</v>
      </c>
      <c r="H76" s="442">
        <v>2.9777114900220787</v>
      </c>
      <c r="I76" s="442"/>
      <c r="J76" s="442">
        <v>13.517573060272618</v>
      </c>
      <c r="K76" s="442">
        <v>16.8066180894605</v>
      </c>
      <c r="L76" s="442">
        <v>19.258132049545864</v>
      </c>
      <c r="M76" s="442"/>
      <c r="N76" s="442">
        <v>19.782776857737517</v>
      </c>
      <c r="O76" s="442">
        <v>22.053228782703545</v>
      </c>
      <c r="P76" s="442">
        <v>22.754985436940718</v>
      </c>
      <c r="Q76" s="442"/>
      <c r="R76" s="442">
        <v>1.8204761224318393</v>
      </c>
      <c r="S76" s="442">
        <v>2.0148001273713212</v>
      </c>
      <c r="T76" s="442">
        <v>2.144681746938172</v>
      </c>
      <c r="U76" s="442"/>
      <c r="V76" s="442">
        <v>3.1398915457021883</v>
      </c>
      <c r="W76" s="442">
        <v>3.520543255241388</v>
      </c>
      <c r="X76" s="442">
        <v>3.6281481266201627</v>
      </c>
      <c r="Y76" s="442"/>
      <c r="Z76" s="442">
        <v>5.2225997899586831</v>
      </c>
      <c r="AA76" s="442">
        <v>4.5688132941877964</v>
      </c>
      <c r="AB76" s="442">
        <v>4.4003072216023433</v>
      </c>
      <c r="AC76" s="442"/>
      <c r="AD76" s="442">
        <v>3.9433064958336446</v>
      </c>
      <c r="AE76" s="442">
        <v>3.5052588062116135</v>
      </c>
      <c r="AF76" s="442">
        <v>3.63955512388188</v>
      </c>
      <c r="AG76" s="442"/>
      <c r="AH76" s="442">
        <v>2.5563884933420935</v>
      </c>
      <c r="AI76" s="442">
        <v>2.157105558672558</v>
      </c>
      <c r="AJ76" s="442">
        <v>2.1850202271114649</v>
      </c>
      <c r="AK76" s="442"/>
      <c r="AL76" s="442">
        <v>0.67561150056233132</v>
      </c>
      <c r="AM76" s="442">
        <v>0.65049457480568396</v>
      </c>
      <c r="AN76" s="442">
        <v>0.94535692714219821</v>
      </c>
    </row>
    <row r="77" spans="1:40" x14ac:dyDescent="0.2">
      <c r="A77" s="15" t="str">
        <f t="shared" si="76"/>
        <v>Associate professional and technical</v>
      </c>
      <c r="B77" s="443">
        <f t="shared" si="79"/>
        <v>61.29254905260666</v>
      </c>
      <c r="C77" s="443">
        <f t="shared" si="77"/>
        <v>66.625061829357264</v>
      </c>
      <c r="D77" s="443">
        <f t="shared" si="78"/>
        <v>70.228045029081471</v>
      </c>
      <c r="E77" s="442"/>
      <c r="F77" s="442">
        <v>1.0376799539018082</v>
      </c>
      <c r="G77" s="442">
        <v>1.3698798811014867</v>
      </c>
      <c r="H77" s="442">
        <v>1.6320487219494968</v>
      </c>
      <c r="I77" s="442"/>
      <c r="J77" s="442">
        <v>10.525677228908309</v>
      </c>
      <c r="K77" s="442">
        <v>13.541350234737505</v>
      </c>
      <c r="L77" s="442">
        <v>15.849858251505449</v>
      </c>
      <c r="M77" s="442"/>
      <c r="N77" s="442">
        <v>20.882567797833584</v>
      </c>
      <c r="O77" s="442">
        <v>24.718842203894933</v>
      </c>
      <c r="P77" s="442">
        <v>26.328769629816954</v>
      </c>
      <c r="Q77" s="442"/>
      <c r="R77" s="442">
        <v>3.1448623795250965</v>
      </c>
      <c r="S77" s="442">
        <v>3.8144516752091184</v>
      </c>
      <c r="T77" s="442">
        <v>4.1566042410341826</v>
      </c>
      <c r="U77" s="442"/>
      <c r="V77" s="442">
        <v>3.6055843240509926</v>
      </c>
      <c r="W77" s="442">
        <v>3.999491406786011</v>
      </c>
      <c r="X77" s="442">
        <v>4.1404263021489154</v>
      </c>
      <c r="Y77" s="442"/>
      <c r="Z77" s="442">
        <v>8.8808171800179796</v>
      </c>
      <c r="AA77" s="442">
        <v>7.8838450603030976</v>
      </c>
      <c r="AB77" s="442">
        <v>7.2479033827335808</v>
      </c>
      <c r="AC77" s="442"/>
      <c r="AD77" s="442">
        <v>6.8909318473658701</v>
      </c>
      <c r="AE77" s="442">
        <v>5.8969147263603876</v>
      </c>
      <c r="AF77" s="442">
        <v>5.2826994473519298</v>
      </c>
      <c r="AG77" s="442"/>
      <c r="AH77" s="442">
        <v>4.8286772617588429</v>
      </c>
      <c r="AI77" s="442">
        <v>3.9562395760420337</v>
      </c>
      <c r="AJ77" s="442">
        <v>3.5817511279405476</v>
      </c>
      <c r="AK77" s="442"/>
      <c r="AL77" s="442">
        <v>1.4957510792441819</v>
      </c>
      <c r="AM77" s="442">
        <v>1.4440470649226802</v>
      </c>
      <c r="AN77" s="442">
        <v>2.0079839246004081</v>
      </c>
    </row>
    <row r="78" spans="1:40" x14ac:dyDescent="0.2">
      <c r="A78" s="15" t="str">
        <f t="shared" si="76"/>
        <v>Administrative and secretarial</v>
      </c>
      <c r="B78" s="443">
        <f t="shared" si="79"/>
        <v>70.0074251071064</v>
      </c>
      <c r="C78" s="443">
        <f t="shared" si="77"/>
        <v>67.251375562062364</v>
      </c>
      <c r="D78" s="443">
        <f t="shared" si="78"/>
        <v>64.837726127093049</v>
      </c>
      <c r="E78" s="442"/>
      <c r="F78" s="442">
        <v>0.37760917882321204</v>
      </c>
      <c r="G78" s="442">
        <v>0.49979261563300392</v>
      </c>
      <c r="H78" s="442">
        <v>0.59493585657032466</v>
      </c>
      <c r="I78" s="442"/>
      <c r="J78" s="442">
        <v>4.579675827144138</v>
      </c>
      <c r="K78" s="442">
        <v>5.7545988771648728</v>
      </c>
      <c r="L78" s="442">
        <v>6.9094317910799985</v>
      </c>
      <c r="M78" s="442"/>
      <c r="N78" s="442">
        <v>14.460573147414651</v>
      </c>
      <c r="O78" s="442">
        <v>17.646022029013491</v>
      </c>
      <c r="P78" s="442">
        <v>19.814092141371646</v>
      </c>
      <c r="Q78" s="442"/>
      <c r="R78" s="442">
        <v>3.7996795749479593</v>
      </c>
      <c r="S78" s="442">
        <v>4.3848136430453781</v>
      </c>
      <c r="T78" s="442">
        <v>4.7314605403278183</v>
      </c>
      <c r="U78" s="442"/>
      <c r="V78" s="442">
        <v>4.1319446957507768</v>
      </c>
      <c r="W78" s="442">
        <v>4.9131493121673007</v>
      </c>
      <c r="X78" s="442">
        <v>5.3281681177890929</v>
      </c>
      <c r="Y78" s="442"/>
      <c r="Z78" s="442">
        <v>13.714135809295568</v>
      </c>
      <c r="AA78" s="442">
        <v>11.419158400364056</v>
      </c>
      <c r="AB78" s="442">
        <v>10.915920244219206</v>
      </c>
      <c r="AC78" s="442"/>
      <c r="AD78" s="442">
        <v>15.939657588994844</v>
      </c>
      <c r="AE78" s="442">
        <v>13.418979822922653</v>
      </c>
      <c r="AF78" s="442">
        <v>10.55045238625063</v>
      </c>
      <c r="AG78" s="442"/>
      <c r="AH78" s="442">
        <v>9.6622354041319909</v>
      </c>
      <c r="AI78" s="442">
        <v>6.5260273934852666</v>
      </c>
      <c r="AJ78" s="442">
        <v>3.3305627080283036</v>
      </c>
      <c r="AK78" s="442"/>
      <c r="AL78" s="442">
        <v>3.3419138806032538</v>
      </c>
      <c r="AM78" s="442">
        <v>2.6888334682663571</v>
      </c>
      <c r="AN78" s="442">
        <v>2.6627023414560291</v>
      </c>
    </row>
    <row r="79" spans="1:40" x14ac:dyDescent="0.2">
      <c r="A79" s="15" t="str">
        <f t="shared" si="76"/>
        <v>Skilled trades occupations</v>
      </c>
      <c r="B79" s="443">
        <f t="shared" si="79"/>
        <v>16.297920429077386</v>
      </c>
      <c r="C79" s="443">
        <f t="shared" si="77"/>
        <v>16.498537377946956</v>
      </c>
      <c r="D79" s="443">
        <f t="shared" si="78"/>
        <v>16.312800308626585</v>
      </c>
      <c r="E79" s="442"/>
      <c r="F79" s="442">
        <v>6.6411771447632773E-2</v>
      </c>
      <c r="G79" s="442">
        <v>9.2084199631316907E-2</v>
      </c>
      <c r="H79" s="442">
        <v>0.1155185824633265</v>
      </c>
      <c r="I79" s="442"/>
      <c r="J79" s="442">
        <v>0.75221300467326901</v>
      </c>
      <c r="K79" s="442">
        <v>0.95067307054658801</v>
      </c>
      <c r="L79" s="442">
        <v>1.0654962507066521</v>
      </c>
      <c r="M79" s="442"/>
      <c r="N79" s="442">
        <v>2.0705604091060836</v>
      </c>
      <c r="O79" s="442">
        <v>2.4759490085746036</v>
      </c>
      <c r="P79" s="442">
        <v>2.6393702014936404</v>
      </c>
      <c r="Q79" s="442"/>
      <c r="R79" s="442">
        <v>0.88233626080241534</v>
      </c>
      <c r="S79" s="442">
        <v>1.1443101702104426</v>
      </c>
      <c r="T79" s="442">
        <v>1.2667199579228372</v>
      </c>
      <c r="U79" s="442"/>
      <c r="V79" s="442">
        <v>1.0683638941168003</v>
      </c>
      <c r="W79" s="442">
        <v>1.1540602258147445</v>
      </c>
      <c r="X79" s="442">
        <v>1.1941499236063697</v>
      </c>
      <c r="Y79" s="442"/>
      <c r="Z79" s="442">
        <v>4.2834195085775031</v>
      </c>
      <c r="AA79" s="442">
        <v>4.1817620269624305</v>
      </c>
      <c r="AB79" s="442">
        <v>3.9280614642887248</v>
      </c>
      <c r="AC79" s="442"/>
      <c r="AD79" s="442">
        <v>3.4386194997569923</v>
      </c>
      <c r="AE79" s="442">
        <v>3.1578195973029661</v>
      </c>
      <c r="AF79" s="442">
        <v>2.9224335107411048</v>
      </c>
      <c r="AG79" s="442"/>
      <c r="AH79" s="442">
        <v>2.2004335720633468</v>
      </c>
      <c r="AI79" s="442">
        <v>2.0232321971816591</v>
      </c>
      <c r="AJ79" s="442">
        <v>1.8655223508542049</v>
      </c>
      <c r="AK79" s="442"/>
      <c r="AL79" s="442">
        <v>1.5355625085333429</v>
      </c>
      <c r="AM79" s="442">
        <v>1.3186468817222032</v>
      </c>
      <c r="AN79" s="442">
        <v>1.3155280665497278</v>
      </c>
    </row>
    <row r="80" spans="1:40" x14ac:dyDescent="0.2">
      <c r="A80" s="15" t="str">
        <f t="shared" si="76"/>
        <v>Caring, leisure and other service</v>
      </c>
      <c r="B80" s="443">
        <f t="shared" si="79"/>
        <v>30.265061146218745</v>
      </c>
      <c r="C80" s="443">
        <f t="shared" si="77"/>
        <v>30.945162591262438</v>
      </c>
      <c r="D80" s="443">
        <f t="shared" si="78"/>
        <v>31.182211843062738</v>
      </c>
      <c r="E80" s="442"/>
      <c r="F80" s="442">
        <v>2.660678726053135E-2</v>
      </c>
      <c r="G80" s="442">
        <v>3.5577210912235896E-2</v>
      </c>
      <c r="H80" s="442">
        <v>4.0169533046360957E-2</v>
      </c>
      <c r="I80" s="442"/>
      <c r="J80" s="442">
        <v>0.97674339577274549</v>
      </c>
      <c r="K80" s="442">
        <v>1.2919846464093241</v>
      </c>
      <c r="L80" s="442">
        <v>1.4753689021484224</v>
      </c>
      <c r="M80" s="442"/>
      <c r="N80" s="442">
        <v>3.204939038023634</v>
      </c>
      <c r="O80" s="442">
        <v>4.5653708148391079</v>
      </c>
      <c r="P80" s="442">
        <v>5.052550824029284</v>
      </c>
      <c r="Q80" s="442"/>
      <c r="R80" s="442">
        <v>1.9431684616795337</v>
      </c>
      <c r="S80" s="442">
        <v>2.5593473096632038</v>
      </c>
      <c r="T80" s="442">
        <v>2.678711622764661</v>
      </c>
      <c r="U80" s="442"/>
      <c r="V80" s="442">
        <v>1.7272652713327401</v>
      </c>
      <c r="W80" s="442">
        <v>2.3714425031793342</v>
      </c>
      <c r="X80" s="442">
        <v>2.5832504780764673</v>
      </c>
      <c r="Y80" s="442"/>
      <c r="Z80" s="442">
        <v>8.4426940327898095</v>
      </c>
      <c r="AA80" s="442">
        <v>7.7772955953699441</v>
      </c>
      <c r="AB80" s="442">
        <v>7.7526553775398348</v>
      </c>
      <c r="AC80" s="442"/>
      <c r="AD80" s="442">
        <v>7.5547494733457814</v>
      </c>
      <c r="AE80" s="442">
        <v>6.9629802576903437</v>
      </c>
      <c r="AF80" s="442">
        <v>6.1514835600230109</v>
      </c>
      <c r="AG80" s="442"/>
      <c r="AH80" s="442">
        <v>4.9451742351855215</v>
      </c>
      <c r="AI80" s="442">
        <v>4.3467951324205529</v>
      </c>
      <c r="AJ80" s="442">
        <v>4.459305659955473</v>
      </c>
      <c r="AK80" s="442"/>
      <c r="AL80" s="442">
        <v>1.4437204508284427</v>
      </c>
      <c r="AM80" s="442">
        <v>1.0343691207783905</v>
      </c>
      <c r="AN80" s="442">
        <v>0.9887158854792284</v>
      </c>
    </row>
    <row r="81" spans="1:40" x14ac:dyDescent="0.2">
      <c r="A81" s="15" t="str">
        <f t="shared" si="76"/>
        <v>Sales and customer service</v>
      </c>
      <c r="B81" s="443">
        <f t="shared" si="79"/>
        <v>26.91170622154398</v>
      </c>
      <c r="C81" s="443">
        <f t="shared" si="77"/>
        <v>28.133746698868833</v>
      </c>
      <c r="D81" s="443">
        <f t="shared" si="78"/>
        <v>29.519667337875269</v>
      </c>
      <c r="E81" s="442"/>
      <c r="F81" s="442">
        <v>0.13519975821337632</v>
      </c>
      <c r="G81" s="442">
        <v>0.18013226313943356</v>
      </c>
      <c r="H81" s="442">
        <v>0.20528270279564489</v>
      </c>
      <c r="I81" s="442"/>
      <c r="J81" s="442">
        <v>1.1372682435390227</v>
      </c>
      <c r="K81" s="442">
        <v>1.4893320750517007</v>
      </c>
      <c r="L81" s="442">
        <v>1.7443725631363238</v>
      </c>
      <c r="M81" s="442"/>
      <c r="N81" s="442">
        <v>4.6616273195720144</v>
      </c>
      <c r="O81" s="442">
        <v>5.8652721804703933</v>
      </c>
      <c r="P81" s="442">
        <v>6.5056315140366321</v>
      </c>
      <c r="Q81" s="442"/>
      <c r="R81" s="442">
        <v>1.191504329741879</v>
      </c>
      <c r="S81" s="442">
        <v>1.5287465506793616</v>
      </c>
      <c r="T81" s="442">
        <v>1.7659749938230347</v>
      </c>
      <c r="U81" s="442"/>
      <c r="V81" s="442">
        <v>1.7242752049801113</v>
      </c>
      <c r="W81" s="442">
        <v>2.1058734309470761</v>
      </c>
      <c r="X81" s="442">
        <v>2.3070374750085691</v>
      </c>
      <c r="Y81" s="442"/>
      <c r="Z81" s="442">
        <v>6.0703599974992484</v>
      </c>
      <c r="AA81" s="442">
        <v>5.7358145654764803</v>
      </c>
      <c r="AB81" s="442">
        <v>5.6777902372845359</v>
      </c>
      <c r="AC81" s="442"/>
      <c r="AD81" s="442">
        <v>7.1441909083863937</v>
      </c>
      <c r="AE81" s="442">
        <v>7.1031330383174085</v>
      </c>
      <c r="AF81" s="442">
        <v>7.2589397923774008</v>
      </c>
      <c r="AG81" s="442"/>
      <c r="AH81" s="442">
        <v>3.5854613510849487</v>
      </c>
      <c r="AI81" s="442">
        <v>3.017884365829381</v>
      </c>
      <c r="AJ81" s="442">
        <v>2.8610744751411712</v>
      </c>
      <c r="AK81" s="442"/>
      <c r="AL81" s="442">
        <v>1.2618191085269905</v>
      </c>
      <c r="AM81" s="442">
        <v>1.1075582289575963</v>
      </c>
      <c r="AN81" s="442">
        <v>1.1935635842719547</v>
      </c>
    </row>
    <row r="82" spans="1:40" x14ac:dyDescent="0.2">
      <c r="A82" s="15" t="str">
        <f t="shared" si="76"/>
        <v>Process, plant and machine operatives</v>
      </c>
      <c r="B82" s="443">
        <f t="shared" si="79"/>
        <v>7.622267213957965</v>
      </c>
      <c r="C82" s="443">
        <f t="shared" si="77"/>
        <v>7.5859949945872911</v>
      </c>
      <c r="D82" s="443">
        <f t="shared" si="78"/>
        <v>7.3103421021760546</v>
      </c>
      <c r="E82" s="442"/>
      <c r="F82" s="442">
        <v>2.7678718316430654E-2</v>
      </c>
      <c r="G82" s="442">
        <v>3.6974300150076266E-2</v>
      </c>
      <c r="H82" s="442">
        <v>3.9147029411878129E-2</v>
      </c>
      <c r="I82" s="442"/>
      <c r="J82" s="442">
        <v>0.23475275626679226</v>
      </c>
      <c r="K82" s="442">
        <v>0.31522850555003906</v>
      </c>
      <c r="L82" s="442">
        <v>0.3660510008966974</v>
      </c>
      <c r="M82" s="442"/>
      <c r="N82" s="442">
        <v>0.55927811037597519</v>
      </c>
      <c r="O82" s="442">
        <v>0.69093347482631384</v>
      </c>
      <c r="P82" s="442">
        <v>0.73976370035620753</v>
      </c>
      <c r="Q82" s="442"/>
      <c r="R82" s="442">
        <v>0.20856267008300311</v>
      </c>
      <c r="S82" s="442">
        <v>0.24418988343930581</v>
      </c>
      <c r="T82" s="442">
        <v>0.25772519851573483</v>
      </c>
      <c r="U82" s="442"/>
      <c r="V82" s="442">
        <v>0.255495396383219</v>
      </c>
      <c r="W82" s="442">
        <v>0.33033992110020965</v>
      </c>
      <c r="X82" s="442">
        <v>0.38179364056254084</v>
      </c>
      <c r="Y82" s="442"/>
      <c r="Z82" s="442">
        <v>1.6848138126768053</v>
      </c>
      <c r="AA82" s="442">
        <v>1.7767946043689602</v>
      </c>
      <c r="AB82" s="442">
        <v>1.8322124775005566</v>
      </c>
      <c r="AC82" s="442"/>
      <c r="AD82" s="442">
        <v>1.7379077231329054</v>
      </c>
      <c r="AE82" s="442">
        <v>1.71096100328971</v>
      </c>
      <c r="AF82" s="442">
        <v>1.7164818357341955</v>
      </c>
      <c r="AG82" s="442"/>
      <c r="AH82" s="442">
        <v>1.6404083868450234</v>
      </c>
      <c r="AI82" s="442">
        <v>1.4495611923756386</v>
      </c>
      <c r="AJ82" s="442">
        <v>1.1684497517908876</v>
      </c>
      <c r="AK82" s="442"/>
      <c r="AL82" s="442">
        <v>1.2733696398778112</v>
      </c>
      <c r="AM82" s="442">
        <v>1.0310121094870379</v>
      </c>
      <c r="AN82" s="442">
        <v>0.80871746740735484</v>
      </c>
    </row>
    <row r="83" spans="1:40" x14ac:dyDescent="0.2">
      <c r="A83" s="48" t="str">
        <f t="shared" si="76"/>
        <v>Elementary occupations</v>
      </c>
      <c r="B83" s="446">
        <f t="shared" si="79"/>
        <v>36.451384475934653</v>
      </c>
      <c r="C83" s="446">
        <f t="shared" si="77"/>
        <v>37.150482916709322</v>
      </c>
      <c r="D83" s="446">
        <f t="shared" si="78"/>
        <v>36.536248544910677</v>
      </c>
      <c r="E83" s="446"/>
      <c r="F83" s="446">
        <v>6.8662886232469883E-2</v>
      </c>
      <c r="G83" s="446">
        <v>0.10353975812368185</v>
      </c>
      <c r="H83" s="446">
        <v>0.12494426489477733</v>
      </c>
      <c r="I83" s="446"/>
      <c r="J83" s="446">
        <v>0.87297786549275769</v>
      </c>
      <c r="K83" s="446">
        <v>1.4412735193152941</v>
      </c>
      <c r="L83" s="446">
        <v>1.8729175229596464</v>
      </c>
      <c r="M83" s="446"/>
      <c r="N83" s="446">
        <v>2.0075235866129022</v>
      </c>
      <c r="O83" s="446">
        <v>2.9424223501679427</v>
      </c>
      <c r="P83" s="446">
        <v>3.3311026619658657</v>
      </c>
      <c r="Q83" s="446"/>
      <c r="R83" s="446">
        <v>1.0293148484147971</v>
      </c>
      <c r="S83" s="446">
        <v>1.4114997439065253</v>
      </c>
      <c r="T83" s="446">
        <v>1.5207806304558715</v>
      </c>
      <c r="U83" s="446"/>
      <c r="V83" s="446">
        <v>0.76949969580217603</v>
      </c>
      <c r="W83" s="446">
        <v>0.96375595427388194</v>
      </c>
      <c r="X83" s="446">
        <v>1.0292393056114273</v>
      </c>
      <c r="Y83" s="446"/>
      <c r="Z83" s="446">
        <v>4.2926548819336174</v>
      </c>
      <c r="AA83" s="446">
        <v>3.9929102943498296</v>
      </c>
      <c r="AB83" s="446">
        <v>3.5996480808163329</v>
      </c>
      <c r="AC83" s="446"/>
      <c r="AD83" s="446">
        <v>10.451796292359324</v>
      </c>
      <c r="AE83" s="446">
        <v>11.149228787106338</v>
      </c>
      <c r="AF83" s="446">
        <v>11.132239313144208</v>
      </c>
      <c r="AG83" s="446"/>
      <c r="AH83" s="446">
        <v>12.382403795963695</v>
      </c>
      <c r="AI83" s="446">
        <v>12.63146359648807</v>
      </c>
      <c r="AJ83" s="446">
        <v>12.828817860051013</v>
      </c>
      <c r="AK83" s="446"/>
      <c r="AL83" s="446">
        <v>4.5765506231229125</v>
      </c>
      <c r="AM83" s="446">
        <v>2.514388912977759</v>
      </c>
      <c r="AN83" s="446">
        <v>1.0965589050115334</v>
      </c>
    </row>
    <row r="84" spans="1:40" x14ac:dyDescent="0.2">
      <c r="B84" s="36"/>
      <c r="C84" s="36"/>
      <c r="D84" s="36"/>
    </row>
    <row r="85" spans="1:40" ht="15.75" x14ac:dyDescent="0.25">
      <c r="A85" s="23" t="str">
        <f>CONCATENATE(A1," (Continued)")</f>
        <v>Basic Table 1  Employment by Industry Sector, Occupation Group and Qualification, 2017-2027, Wales (Continued)</v>
      </c>
    </row>
    <row r="86" spans="1:40" ht="12.75" customHeight="1" x14ac:dyDescent="0.25">
      <c r="A86" s="23"/>
    </row>
    <row r="87" spans="1:40" ht="12.75" customHeight="1" x14ac:dyDescent="0.25">
      <c r="A87" s="23"/>
    </row>
    <row r="88" spans="1:40" ht="26.25" customHeight="1" x14ac:dyDescent="0.2">
      <c r="A88" s="98"/>
      <c r="B88" s="98"/>
      <c r="C88" s="99" t="str">
        <f>B4</f>
        <v>All qualifications</v>
      </c>
      <c r="D88" s="98"/>
      <c r="E88" s="98"/>
      <c r="F88" s="98"/>
      <c r="G88" s="100" t="str">
        <f>F4</f>
        <v>RQF8 Doctorate</v>
      </c>
      <c r="H88" s="98"/>
      <c r="I88" s="98"/>
      <c r="J88" s="98"/>
      <c r="K88" s="100" t="str">
        <f>J4</f>
        <v>RQF7 Other higher degree</v>
      </c>
      <c r="L88" s="98"/>
      <c r="M88" s="98"/>
      <c r="N88" s="525" t="str">
        <f>N4</f>
        <v>RQF6 First degree</v>
      </c>
      <c r="O88" s="525"/>
      <c r="P88" s="525"/>
      <c r="Q88" s="98"/>
      <c r="R88" s="525" t="str">
        <f>R4</f>
        <v>RQF5 Foundation degree;Nursing;Teaching</v>
      </c>
      <c r="S88" s="525"/>
      <c r="T88" s="525"/>
      <c r="U88" s="98"/>
      <c r="V88" s="525" t="str">
        <f>V4</f>
        <v>RQF4 HE below degree level</v>
      </c>
      <c r="W88" s="525"/>
      <c r="X88" s="525"/>
      <c r="Y88" s="98"/>
      <c r="Z88" s="525" t="str">
        <f>Z4</f>
        <v>RQF3 A level &amp; equivalent</v>
      </c>
      <c r="AA88" s="525"/>
      <c r="AB88" s="525"/>
      <c r="AC88" s="98"/>
      <c r="AD88" s="525" t="str">
        <f>AD4</f>
        <v>RQF2 GCSE(A-C) &amp; equivalent</v>
      </c>
      <c r="AE88" s="525"/>
      <c r="AF88" s="525"/>
      <c r="AG88" s="98"/>
      <c r="AH88" s="525" t="str">
        <f>AH4</f>
        <v>RQF1 GCSE(below grade C) &amp; equivalent</v>
      </c>
      <c r="AI88" s="525"/>
      <c r="AJ88" s="525"/>
      <c r="AK88" s="98"/>
      <c r="AL88" s="98"/>
      <c r="AM88" s="100" t="str">
        <f>AL4</f>
        <v>No Qualification</v>
      </c>
      <c r="AN88" s="98"/>
    </row>
    <row r="89" spans="1:40" x14ac:dyDescent="0.2">
      <c r="A89" s="48"/>
      <c r="B89" s="51">
        <f>B5</f>
        <v>2017</v>
      </c>
      <c r="C89" s="51">
        <f>C5</f>
        <v>2022</v>
      </c>
      <c r="D89" s="51">
        <f>D5</f>
        <v>2027</v>
      </c>
      <c r="E89" s="48"/>
      <c r="F89" s="40">
        <f>B89</f>
        <v>2017</v>
      </c>
      <c r="G89" s="40">
        <f>C89</f>
        <v>2022</v>
      </c>
      <c r="H89" s="40">
        <f>D89</f>
        <v>2027</v>
      </c>
      <c r="I89" s="48"/>
      <c r="J89" s="40">
        <f>B89</f>
        <v>2017</v>
      </c>
      <c r="K89" s="40">
        <f>C89</f>
        <v>2022</v>
      </c>
      <c r="L89" s="40">
        <f>D89</f>
        <v>2027</v>
      </c>
      <c r="M89" s="48"/>
      <c r="N89" s="40">
        <f>B89</f>
        <v>2017</v>
      </c>
      <c r="O89" s="40">
        <f>C89</f>
        <v>2022</v>
      </c>
      <c r="P89" s="40">
        <f>D89</f>
        <v>2027</v>
      </c>
      <c r="Q89" s="48"/>
      <c r="R89" s="40">
        <f>F89</f>
        <v>2017</v>
      </c>
      <c r="S89" s="40">
        <f>G89</f>
        <v>2022</v>
      </c>
      <c r="T89" s="40">
        <f>H89</f>
        <v>2027</v>
      </c>
      <c r="U89" s="48"/>
      <c r="V89" s="40">
        <f>J89</f>
        <v>2017</v>
      </c>
      <c r="W89" s="40">
        <f>K89</f>
        <v>2022</v>
      </c>
      <c r="X89" s="40">
        <f>L89</f>
        <v>2027</v>
      </c>
      <c r="Y89" s="48"/>
      <c r="Z89" s="40">
        <f>N89</f>
        <v>2017</v>
      </c>
      <c r="AA89" s="40">
        <f>O89</f>
        <v>2022</v>
      </c>
      <c r="AB89" s="40">
        <f>P89</f>
        <v>2027</v>
      </c>
      <c r="AC89" s="48"/>
      <c r="AD89" s="40">
        <f>R89</f>
        <v>2017</v>
      </c>
      <c r="AE89" s="40">
        <f>S89</f>
        <v>2022</v>
      </c>
      <c r="AF89" s="40">
        <f>T89</f>
        <v>2027</v>
      </c>
      <c r="AG89" s="48"/>
      <c r="AH89" s="40">
        <f>V89</f>
        <v>2017</v>
      </c>
      <c r="AI89" s="40">
        <f>W89</f>
        <v>2022</v>
      </c>
      <c r="AJ89" s="40">
        <f>X89</f>
        <v>2027</v>
      </c>
      <c r="AK89" s="48"/>
      <c r="AL89" s="40">
        <f>Z89</f>
        <v>2017</v>
      </c>
      <c r="AM89" s="40">
        <f>AA89</f>
        <v>2022</v>
      </c>
      <c r="AN89" s="40">
        <f>AB89</f>
        <v>2027</v>
      </c>
    </row>
    <row r="90" spans="1:40" x14ac:dyDescent="0.2">
      <c r="B90" s="36"/>
      <c r="C90" s="36"/>
      <c r="D90" s="36"/>
    </row>
    <row r="91" spans="1:40" x14ac:dyDescent="0.2">
      <c r="A91" s="1" t="str">
        <f>name!C9</f>
        <v>Non-marketed services</v>
      </c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</row>
    <row r="92" spans="1:40" x14ac:dyDescent="0.2">
      <c r="A92" s="15" t="str">
        <f t="shared" ref="A92:A101" si="80">A8</f>
        <v>All occupations</v>
      </c>
      <c r="B92" s="443">
        <f>SUM(B93:B101)</f>
        <v>477.63299999399891</v>
      </c>
      <c r="C92" s="443">
        <f>SUM(C93:C101)</f>
        <v>484.94600000094124</v>
      </c>
      <c r="D92" s="443">
        <f>SUM(D93:D101)</f>
        <v>497.82900000125335</v>
      </c>
      <c r="E92" s="442"/>
      <c r="F92" s="443">
        <f>SUM(F93:F101)</f>
        <v>16.651516748220175</v>
      </c>
      <c r="G92" s="443">
        <f>SUM(G93:G101)</f>
        <v>19.740669624141653</v>
      </c>
      <c r="H92" s="443">
        <f>SUM(H93:H101)</f>
        <v>22.646637420330261</v>
      </c>
      <c r="I92" s="442"/>
      <c r="J92" s="443">
        <f>SUM(J93:J101)</f>
        <v>84.860311073613616</v>
      </c>
      <c r="K92" s="443">
        <f>SUM(K93:K101)</f>
        <v>96.991663379657396</v>
      </c>
      <c r="L92" s="443">
        <f>SUM(L93:L101)</f>
        <v>107.44557132526765</v>
      </c>
      <c r="M92" s="442"/>
      <c r="N92" s="443">
        <f>SUM(N93:N101)</f>
        <v>108.92537831012753</v>
      </c>
      <c r="O92" s="443">
        <f>SUM(O93:O101)</f>
        <v>126.75564051168124</v>
      </c>
      <c r="P92" s="443">
        <f>SUM(P93:P101)</f>
        <v>135.79696594126037</v>
      </c>
      <c r="Q92" s="442"/>
      <c r="R92" s="443">
        <f>SUM(R93:R101)</f>
        <v>46.904277312019623</v>
      </c>
      <c r="S92" s="443">
        <f>SUM(S93:S101)</f>
        <v>40.938500173302657</v>
      </c>
      <c r="T92" s="443">
        <f>SUM(T93:T101)</f>
        <v>35.274043285259374</v>
      </c>
      <c r="U92" s="442"/>
      <c r="V92" s="443">
        <f>SUM(V93:V101)</f>
        <v>18.055360841892224</v>
      </c>
      <c r="W92" s="443">
        <f>SUM(W93:W101)</f>
        <v>20.014035227762303</v>
      </c>
      <c r="X92" s="443">
        <f>SUM(X93:X101)</f>
        <v>20.672424716780156</v>
      </c>
      <c r="Y92" s="442"/>
      <c r="Z92" s="443">
        <f>SUM(Z93:Z101)</f>
        <v>92.630442519393526</v>
      </c>
      <c r="AA92" s="443">
        <f>SUM(AA93:AA101)</f>
        <v>90.885500812349449</v>
      </c>
      <c r="AB92" s="443">
        <f>SUM(AB93:AB101)</f>
        <v>99.253843428179593</v>
      </c>
      <c r="AC92" s="442"/>
      <c r="AD92" s="443">
        <f>SUM(AD93:AD101)</f>
        <v>73.454372440125866</v>
      </c>
      <c r="AE92" s="443">
        <f>SUM(AE93:AE101)</f>
        <v>66.821945897419113</v>
      </c>
      <c r="AF92" s="443">
        <f>SUM(AF93:AF101)</f>
        <v>59.710324555196188</v>
      </c>
      <c r="AG92" s="442"/>
      <c r="AH92" s="443">
        <f>SUM(AH93:AH101)</f>
        <v>29.788311724494204</v>
      </c>
      <c r="AI92" s="443">
        <f>SUM(AI93:AI101)</f>
        <v>18.922223648064445</v>
      </c>
      <c r="AJ92" s="443">
        <f>SUM(AJ93:AJ101)</f>
        <v>13.778973440622462</v>
      </c>
      <c r="AK92" s="442"/>
      <c r="AL92" s="443">
        <f>SUM(AL93:AL101)</f>
        <v>6.3630290241120893</v>
      </c>
      <c r="AM92" s="443">
        <f>SUM(AM93:AM101)</f>
        <v>3.8758207265630311</v>
      </c>
      <c r="AN92" s="443">
        <f>SUM(AN93:AN101)</f>
        <v>3.2502158883572045</v>
      </c>
    </row>
    <row r="93" spans="1:40" x14ac:dyDescent="0.2">
      <c r="A93" s="15" t="str">
        <f t="shared" si="80"/>
        <v>Managers, directors and senior officials</v>
      </c>
      <c r="B93" s="443">
        <f>SUM(F93,J93,N93,R93,V93,Z93,AD93,AH93,AL93)</f>
        <v>16.028150564658642</v>
      </c>
      <c r="C93" s="443">
        <f t="shared" ref="C93:D93" si="81">SUM(G93,K93,O93,S93,W93,AA93,AE93,AI93,AM93)</f>
        <v>16.80721753228406</v>
      </c>
      <c r="D93" s="443">
        <f t="shared" si="81"/>
        <v>17.38224133016244</v>
      </c>
      <c r="E93" s="442"/>
      <c r="F93" s="442">
        <v>0.31473991727301892</v>
      </c>
      <c r="G93" s="442">
        <v>0.39399617973736895</v>
      </c>
      <c r="H93" s="442">
        <v>0.47280844506150577</v>
      </c>
      <c r="I93" s="442"/>
      <c r="J93" s="442">
        <v>3.0265233561284757</v>
      </c>
      <c r="K93" s="442">
        <v>3.5168161382639918</v>
      </c>
      <c r="L93" s="442">
        <v>3.842061174705059</v>
      </c>
      <c r="M93" s="442"/>
      <c r="N93" s="442">
        <v>4.4175169050659955</v>
      </c>
      <c r="O93" s="442">
        <v>5.1156160111887132</v>
      </c>
      <c r="P93" s="442">
        <v>5.5406119182666078</v>
      </c>
      <c r="Q93" s="442"/>
      <c r="R93" s="442">
        <v>2.5717702575999164</v>
      </c>
      <c r="S93" s="442">
        <v>2.8507524386476013</v>
      </c>
      <c r="T93" s="442">
        <v>3.0023260520703321</v>
      </c>
      <c r="U93" s="442"/>
      <c r="V93" s="442">
        <v>0.77627964185969833</v>
      </c>
      <c r="W93" s="442">
        <v>0.76482147001870737</v>
      </c>
      <c r="X93" s="442">
        <v>0.73768698351991535</v>
      </c>
      <c r="Y93" s="442"/>
      <c r="Z93" s="442">
        <v>2.7282999514004747</v>
      </c>
      <c r="AA93" s="442">
        <v>2.3698064464972224</v>
      </c>
      <c r="AB93" s="442">
        <v>2.2175997495436279</v>
      </c>
      <c r="AC93" s="442"/>
      <c r="AD93" s="442">
        <v>1.3249664794149487</v>
      </c>
      <c r="AE93" s="442">
        <v>1.122682528456155</v>
      </c>
      <c r="AF93" s="442">
        <v>0.93547614666105483</v>
      </c>
      <c r="AG93" s="442"/>
      <c r="AH93" s="442">
        <v>0.52475948394834604</v>
      </c>
      <c r="AI93" s="442">
        <v>0.37534852698402188</v>
      </c>
      <c r="AJ93" s="442">
        <v>0.2927977788709511</v>
      </c>
      <c r="AK93" s="442"/>
      <c r="AL93" s="442">
        <v>0.3432945719677703</v>
      </c>
      <c r="AM93" s="442">
        <v>0.29737779249027552</v>
      </c>
      <c r="AN93" s="442">
        <v>0.34087308146338591</v>
      </c>
    </row>
    <row r="94" spans="1:40" x14ac:dyDescent="0.2">
      <c r="A94" s="15" t="str">
        <f t="shared" si="80"/>
        <v>Professional occupations</v>
      </c>
      <c r="B94" s="443">
        <f t="shared" ref="B94:B101" si="82">SUM(F94,J94,N94,R94,V94,Z94,AD94,AH94,AL94)</f>
        <v>193.87879875331168</v>
      </c>
      <c r="C94" s="443">
        <f t="shared" ref="C94:C101" si="83">SUM(G94,K94,O94,S94,W94,AA94,AE94,AI94,AM94)</f>
        <v>202.76731931760131</v>
      </c>
      <c r="D94" s="443">
        <f t="shared" ref="D94:D101" si="84">SUM(H94,L94,P94,T94,X94,AB94,AF94,AJ94,AN94)</f>
        <v>215.3005934043419</v>
      </c>
      <c r="E94" s="443"/>
      <c r="F94" s="442">
        <v>15.191281904931238</v>
      </c>
      <c r="G94" s="442">
        <v>17.914492441178393</v>
      </c>
      <c r="H94" s="442">
        <v>20.514361571862864</v>
      </c>
      <c r="I94" s="442"/>
      <c r="J94" s="442">
        <v>65.653609779627544</v>
      </c>
      <c r="K94" s="442">
        <v>73.90536242987865</v>
      </c>
      <c r="L94" s="442">
        <v>81.464423896317811</v>
      </c>
      <c r="M94" s="442"/>
      <c r="N94" s="442">
        <v>63.082960523559336</v>
      </c>
      <c r="O94" s="442">
        <v>70.961346378403988</v>
      </c>
      <c r="P94" s="442">
        <v>75.276937645395478</v>
      </c>
      <c r="Q94" s="442"/>
      <c r="R94" s="442">
        <v>18.734544929316421</v>
      </c>
      <c r="S94" s="442">
        <v>11.490649261912633</v>
      </c>
      <c r="T94" s="442">
        <v>6.4619186918929916</v>
      </c>
      <c r="U94" s="442"/>
      <c r="V94" s="442">
        <v>3.4896224723159928</v>
      </c>
      <c r="W94" s="442">
        <v>3.5285832497151901</v>
      </c>
      <c r="X94" s="442">
        <v>3.7219210225660753</v>
      </c>
      <c r="Y94" s="442"/>
      <c r="Z94" s="442">
        <v>12.788007914041298</v>
      </c>
      <c r="AA94" s="442">
        <v>12.31049389452226</v>
      </c>
      <c r="AB94" s="442">
        <v>14.396196719771103</v>
      </c>
      <c r="AC94" s="442"/>
      <c r="AD94" s="442">
        <v>8.5919452958745257</v>
      </c>
      <c r="AE94" s="442">
        <v>7.7889508756424206</v>
      </c>
      <c r="AF94" s="442">
        <v>7.9411342445822948</v>
      </c>
      <c r="AG94" s="442"/>
      <c r="AH94" s="442">
        <v>5.6918704185048359</v>
      </c>
      <c r="AI94" s="442">
        <v>4.3235378211092881</v>
      </c>
      <c r="AJ94" s="442">
        <v>4.8639854813147494</v>
      </c>
      <c r="AK94" s="442"/>
      <c r="AL94" s="442">
        <v>0.6549555151405011</v>
      </c>
      <c r="AM94" s="442">
        <v>0.54390296523845572</v>
      </c>
      <c r="AN94" s="442">
        <v>0.65971413063850903</v>
      </c>
    </row>
    <row r="95" spans="1:40" x14ac:dyDescent="0.2">
      <c r="A95" s="15" t="str">
        <f t="shared" si="80"/>
        <v>Associate professional and technical</v>
      </c>
      <c r="B95" s="443">
        <f t="shared" si="82"/>
        <v>68.822874480794567</v>
      </c>
      <c r="C95" s="443">
        <f t="shared" si="83"/>
        <v>70.582321513671545</v>
      </c>
      <c r="D95" s="443">
        <f t="shared" si="84"/>
        <v>72.327640451115556</v>
      </c>
      <c r="E95" s="443"/>
      <c r="F95" s="442">
        <v>0.59896878375576357</v>
      </c>
      <c r="G95" s="442">
        <v>0.75402608157643869</v>
      </c>
      <c r="H95" s="442">
        <v>0.88507697684442366</v>
      </c>
      <c r="I95" s="442"/>
      <c r="J95" s="442">
        <v>9.0702366913372465</v>
      </c>
      <c r="K95" s="442">
        <v>10.814499328005283</v>
      </c>
      <c r="L95" s="442">
        <v>12.209399321224364</v>
      </c>
      <c r="M95" s="442"/>
      <c r="N95" s="442">
        <v>20.439692271219364</v>
      </c>
      <c r="O95" s="442">
        <v>24.77202685802547</v>
      </c>
      <c r="P95" s="442">
        <v>27.37708363022184</v>
      </c>
      <c r="Q95" s="442"/>
      <c r="R95" s="442">
        <v>10.127135963943637</v>
      </c>
      <c r="S95" s="442">
        <v>9.1607662393878844</v>
      </c>
      <c r="T95" s="442">
        <v>7.993404231368471</v>
      </c>
      <c r="U95" s="442"/>
      <c r="V95" s="442">
        <v>3.6222487969684072</v>
      </c>
      <c r="W95" s="442">
        <v>3.719735066207988</v>
      </c>
      <c r="X95" s="442">
        <v>3.8250664216707824</v>
      </c>
      <c r="Y95" s="442"/>
      <c r="Z95" s="442">
        <v>11.417531066628747</v>
      </c>
      <c r="AA95" s="442">
        <v>10.337208313438991</v>
      </c>
      <c r="AB95" s="442">
        <v>10.234788616185725</v>
      </c>
      <c r="AC95" s="442"/>
      <c r="AD95" s="442">
        <v>8.1950561333604917</v>
      </c>
      <c r="AE95" s="442">
        <v>6.9056461107823006</v>
      </c>
      <c r="AF95" s="442">
        <v>6.0146417144811357</v>
      </c>
      <c r="AG95" s="442"/>
      <c r="AH95" s="442">
        <v>4.7077552291067679</v>
      </c>
      <c r="AI95" s="442">
        <v>3.6347449064725645</v>
      </c>
      <c r="AJ95" s="442">
        <v>3.2841097132144843</v>
      </c>
      <c r="AK95" s="442"/>
      <c r="AL95" s="442">
        <v>0.64424954447414273</v>
      </c>
      <c r="AM95" s="442">
        <v>0.48366860977462961</v>
      </c>
      <c r="AN95" s="442">
        <v>0.50406982590432259</v>
      </c>
    </row>
    <row r="96" spans="1:40" x14ac:dyDescent="0.2">
      <c r="A96" s="15" t="str">
        <f t="shared" si="80"/>
        <v>Administrative and secretarial</v>
      </c>
      <c r="B96" s="443">
        <f t="shared" si="82"/>
        <v>43.577994497125928</v>
      </c>
      <c r="C96" s="443">
        <f t="shared" si="83"/>
        <v>36.657346600158718</v>
      </c>
      <c r="D96" s="443">
        <f t="shared" si="84"/>
        <v>29.343780661175501</v>
      </c>
      <c r="E96" s="443"/>
      <c r="F96" s="442">
        <v>0.30861655399253407</v>
      </c>
      <c r="G96" s="442">
        <v>0.36848626086282549</v>
      </c>
      <c r="H96" s="442">
        <v>0.41812621837270508</v>
      </c>
      <c r="I96" s="442"/>
      <c r="J96" s="442">
        <v>2.5587022183701684</v>
      </c>
      <c r="K96" s="442">
        <v>2.7177902469477564</v>
      </c>
      <c r="L96" s="442">
        <v>2.8253055139319376</v>
      </c>
      <c r="M96" s="442"/>
      <c r="N96" s="442">
        <v>7.1705115266924881</v>
      </c>
      <c r="O96" s="442">
        <v>7.8297887927104108</v>
      </c>
      <c r="P96" s="442">
        <v>8.3494824433724801</v>
      </c>
      <c r="Q96" s="442"/>
      <c r="R96" s="442">
        <v>3.8528697144716615</v>
      </c>
      <c r="S96" s="442">
        <v>4.2650484440858367</v>
      </c>
      <c r="T96" s="442">
        <v>4.6711334693378177</v>
      </c>
      <c r="U96" s="442"/>
      <c r="V96" s="442">
        <v>2.629480150014734</v>
      </c>
      <c r="W96" s="442">
        <v>2.5912427543985062</v>
      </c>
      <c r="X96" s="442">
        <v>2.5781478260762869</v>
      </c>
      <c r="Y96" s="442"/>
      <c r="Z96" s="442">
        <v>10.142252223742361</v>
      </c>
      <c r="AA96" s="442">
        <v>8.151861313552148</v>
      </c>
      <c r="AB96" s="442">
        <v>7.1590365649497718</v>
      </c>
      <c r="AC96" s="442"/>
      <c r="AD96" s="442">
        <v>9.5576049694264995</v>
      </c>
      <c r="AE96" s="442">
        <v>6.7920217112625227</v>
      </c>
      <c r="AF96" s="442">
        <v>2.5560250043440771</v>
      </c>
      <c r="AG96" s="442"/>
      <c r="AH96" s="442">
        <v>6.391208413301575</v>
      </c>
      <c r="AI96" s="442">
        <v>3.4849345223031718</v>
      </c>
      <c r="AJ96" s="442">
        <v>0.75101056929921028</v>
      </c>
      <c r="AK96" s="442"/>
      <c r="AL96" s="442">
        <v>0.96674872711390247</v>
      </c>
      <c r="AM96" s="442">
        <v>0.45617255403554291</v>
      </c>
      <c r="AN96" s="442">
        <v>3.5513051491215739E-2</v>
      </c>
    </row>
    <row r="97" spans="1:40" x14ac:dyDescent="0.2">
      <c r="A97" s="15" t="str">
        <f t="shared" si="80"/>
        <v>Skilled trades occupations</v>
      </c>
      <c r="B97" s="443">
        <f t="shared" si="82"/>
        <v>5.8932782892180589</v>
      </c>
      <c r="C97" s="443">
        <f t="shared" si="83"/>
        <v>5.0560786972772611</v>
      </c>
      <c r="D97" s="443">
        <f t="shared" si="84"/>
        <v>4.3066184169327322</v>
      </c>
      <c r="E97" s="442"/>
      <c r="F97" s="442">
        <v>4.8762699476957647E-2</v>
      </c>
      <c r="G97" s="442">
        <v>5.4882996264837218E-2</v>
      </c>
      <c r="H97" s="442">
        <v>5.850820636220775E-2</v>
      </c>
      <c r="I97" s="442"/>
      <c r="J97" s="442">
        <v>0.1463141800698699</v>
      </c>
      <c r="K97" s="442">
        <v>0.16841007122255719</v>
      </c>
      <c r="L97" s="442">
        <v>0.18033701598159035</v>
      </c>
      <c r="M97" s="442"/>
      <c r="N97" s="442">
        <v>0.76501749348781656</v>
      </c>
      <c r="O97" s="442">
        <v>0.86818959482828895</v>
      </c>
      <c r="P97" s="442">
        <v>0.91791159650207343</v>
      </c>
      <c r="Q97" s="442"/>
      <c r="R97" s="442">
        <v>0.22692773983340384</v>
      </c>
      <c r="S97" s="442">
        <v>0.2504066679153879</v>
      </c>
      <c r="T97" s="442">
        <v>0.26369830369434327</v>
      </c>
      <c r="U97" s="442"/>
      <c r="V97" s="442">
        <v>0.22474482679585303</v>
      </c>
      <c r="W97" s="442">
        <v>0.22161445014079367</v>
      </c>
      <c r="X97" s="442">
        <v>0.22070420499643936</v>
      </c>
      <c r="Y97" s="442"/>
      <c r="Z97" s="442">
        <v>1.3724534364660774</v>
      </c>
      <c r="AA97" s="442">
        <v>1.0363144246577469</v>
      </c>
      <c r="AB97" s="442">
        <v>0.79858836860849314</v>
      </c>
      <c r="AC97" s="442"/>
      <c r="AD97" s="442">
        <v>1.8650963811012951</v>
      </c>
      <c r="AE97" s="442">
        <v>1.5168854275361843</v>
      </c>
      <c r="AF97" s="442">
        <v>1.069464171856374</v>
      </c>
      <c r="AG97" s="442"/>
      <c r="AH97" s="442">
        <v>0.92596264349865021</v>
      </c>
      <c r="AI97" s="442">
        <v>0.72517500893245201</v>
      </c>
      <c r="AJ97" s="442">
        <v>0.66031003579937531</v>
      </c>
      <c r="AK97" s="442"/>
      <c r="AL97" s="442">
        <v>0.31799888848813557</v>
      </c>
      <c r="AM97" s="442">
        <v>0.21420005577901258</v>
      </c>
      <c r="AN97" s="442">
        <v>0.13709651313183555</v>
      </c>
    </row>
    <row r="98" spans="1:40" x14ac:dyDescent="0.2">
      <c r="A98" s="15" t="str">
        <f t="shared" si="80"/>
        <v>Caring, leisure and other service</v>
      </c>
      <c r="B98" s="443">
        <f t="shared" si="82"/>
        <v>122.43118041856677</v>
      </c>
      <c r="C98" s="443">
        <f t="shared" si="83"/>
        <v>129.84661543077814</v>
      </c>
      <c r="D98" s="443">
        <f t="shared" si="84"/>
        <v>139.46620867942121</v>
      </c>
      <c r="E98" s="442"/>
      <c r="F98" s="442">
        <v>7.8049967307027165E-2</v>
      </c>
      <c r="G98" s="442">
        <v>0.10840318179040456</v>
      </c>
      <c r="H98" s="442">
        <v>0.12954019467952857</v>
      </c>
      <c r="I98" s="442"/>
      <c r="J98" s="442">
        <v>3.6126434598343207</v>
      </c>
      <c r="K98" s="442">
        <v>4.9564604622641246</v>
      </c>
      <c r="L98" s="442">
        <v>5.948194962879036</v>
      </c>
      <c r="M98" s="442"/>
      <c r="N98" s="442">
        <v>11.052179899177988</v>
      </c>
      <c r="O98" s="442">
        <v>14.921084143897975</v>
      </c>
      <c r="P98" s="442">
        <v>15.94997119535048</v>
      </c>
      <c r="Q98" s="442"/>
      <c r="R98" s="442">
        <v>10.080030027339427</v>
      </c>
      <c r="S98" s="442">
        <v>11.500225771720986</v>
      </c>
      <c r="T98" s="442">
        <v>11.432072581679904</v>
      </c>
      <c r="U98" s="442"/>
      <c r="V98" s="442">
        <v>6.1061606130787291</v>
      </c>
      <c r="W98" s="442">
        <v>7.7352061886843071</v>
      </c>
      <c r="X98" s="442">
        <v>8.0124655277351913</v>
      </c>
      <c r="Y98" s="442"/>
      <c r="Z98" s="442">
        <v>48.715193324950555</v>
      </c>
      <c r="AA98" s="442">
        <v>51.796127972009813</v>
      </c>
      <c r="AB98" s="442">
        <v>59.90118332620515</v>
      </c>
      <c r="AC98" s="442"/>
      <c r="AD98" s="442">
        <v>36.265507914351041</v>
      </c>
      <c r="AE98" s="442">
        <v>35.963464049815904</v>
      </c>
      <c r="AF98" s="442">
        <v>36.011683528721846</v>
      </c>
      <c r="AG98" s="442"/>
      <c r="AH98" s="442">
        <v>5.8427751347057404</v>
      </c>
      <c r="AI98" s="442">
        <v>2.3944841486423325</v>
      </c>
      <c r="AJ98" s="442">
        <v>1.6034572755991285</v>
      </c>
      <c r="AK98" s="442"/>
      <c r="AL98" s="442">
        <v>0.67864007782193803</v>
      </c>
      <c r="AM98" s="442">
        <v>0.4711595119522855</v>
      </c>
      <c r="AN98" s="442">
        <v>0.47764008657094703</v>
      </c>
    </row>
    <row r="99" spans="1:40" x14ac:dyDescent="0.2">
      <c r="A99" s="15" t="str">
        <f t="shared" si="80"/>
        <v>Sales and customer service</v>
      </c>
      <c r="B99" s="443">
        <f t="shared" si="82"/>
        <v>5.6600026011989026</v>
      </c>
      <c r="C99" s="443">
        <f t="shared" si="83"/>
        <v>5.5935108684519808</v>
      </c>
      <c r="D99" s="443">
        <f>SUM(H99,L99,P99,T99,X99,AB99,AF99,AJ99,AN99)</f>
        <v>5.5750940821066406</v>
      </c>
      <c r="E99" s="442"/>
      <c r="F99" s="442">
        <v>3.1499261878602178E-2</v>
      </c>
      <c r="G99" s="442">
        <v>3.5926966496169027E-2</v>
      </c>
      <c r="H99" s="442">
        <v>3.9351472935978189E-2</v>
      </c>
      <c r="I99" s="442"/>
      <c r="J99" s="442">
        <v>0.53666255618329128</v>
      </c>
      <c r="K99" s="442">
        <v>0.60758326182677491</v>
      </c>
      <c r="L99" s="442">
        <v>0.64409393630676914</v>
      </c>
      <c r="M99" s="442"/>
      <c r="N99" s="442">
        <v>1.1481977475723806</v>
      </c>
      <c r="O99" s="442">
        <v>1.2937414024110152</v>
      </c>
      <c r="P99" s="442">
        <v>1.3597719234449237</v>
      </c>
      <c r="Q99" s="442"/>
      <c r="R99" s="442">
        <v>0.63558468983922178</v>
      </c>
      <c r="S99" s="442">
        <v>0.62053995418843699</v>
      </c>
      <c r="T99" s="442">
        <v>0.55304197919846165</v>
      </c>
      <c r="U99" s="442"/>
      <c r="V99" s="442">
        <v>0.3677829451318666</v>
      </c>
      <c r="W99" s="442">
        <v>0.42304968604864196</v>
      </c>
      <c r="X99" s="442">
        <v>0.4686497612131989</v>
      </c>
      <c r="Y99" s="442"/>
      <c r="Z99" s="442">
        <v>1.3019710754332328</v>
      </c>
      <c r="AA99" s="442">
        <v>1.2419803630244215</v>
      </c>
      <c r="AB99" s="442">
        <v>1.3500279479183048</v>
      </c>
      <c r="AC99" s="442"/>
      <c r="AD99" s="442">
        <v>1.0928988341008878</v>
      </c>
      <c r="AE99" s="442">
        <v>0.9443889752476966</v>
      </c>
      <c r="AF99" s="442">
        <v>0.73153598046410839</v>
      </c>
      <c r="AG99" s="442"/>
      <c r="AH99" s="442">
        <v>0.39350515240605877</v>
      </c>
      <c r="AI99" s="442">
        <v>0.2859994514705439</v>
      </c>
      <c r="AJ99" s="442">
        <v>0.28193710177068454</v>
      </c>
      <c r="AK99" s="442"/>
      <c r="AL99" s="442">
        <v>0.1519003386533605</v>
      </c>
      <c r="AM99" s="442">
        <v>0.14030080773828008</v>
      </c>
      <c r="AN99" s="442">
        <v>0.14668397885421164</v>
      </c>
    </row>
    <row r="100" spans="1:40" x14ac:dyDescent="0.2">
      <c r="A100" s="15" t="str">
        <f t="shared" si="80"/>
        <v>Process, plant and machine operatives</v>
      </c>
      <c r="B100" s="443">
        <f t="shared" si="82"/>
        <v>5.447906459519551</v>
      </c>
      <c r="C100" s="443">
        <f t="shared" si="83"/>
        <v>5.0904560304724189</v>
      </c>
      <c r="D100" s="443">
        <f t="shared" si="84"/>
        <v>4.615063916769798</v>
      </c>
      <c r="E100" s="442"/>
      <c r="F100" s="442">
        <v>6.4715890611613591E-2</v>
      </c>
      <c r="G100" s="442">
        <v>8.6108143853378741E-2</v>
      </c>
      <c r="H100" s="442">
        <v>9.9390368670843651E-2</v>
      </c>
      <c r="I100" s="442"/>
      <c r="J100" s="442">
        <v>0.12676826707619082</v>
      </c>
      <c r="K100" s="442">
        <v>0.16015398128157141</v>
      </c>
      <c r="L100" s="442">
        <v>0.18028938114494591</v>
      </c>
      <c r="M100" s="442"/>
      <c r="N100" s="442">
        <v>0.30432840617499385</v>
      </c>
      <c r="O100" s="442">
        <v>0.33747695043852161</v>
      </c>
      <c r="P100" s="442">
        <v>0.33791059824162395</v>
      </c>
      <c r="Q100" s="442"/>
      <c r="R100" s="442">
        <v>0.16041999213820438</v>
      </c>
      <c r="S100" s="442">
        <v>0.18147377813099716</v>
      </c>
      <c r="T100" s="442">
        <v>0.20116859360745545</v>
      </c>
      <c r="U100" s="442"/>
      <c r="V100" s="442">
        <v>0.42005983295715765</v>
      </c>
      <c r="W100" s="442">
        <v>0.52878499431279469</v>
      </c>
      <c r="X100" s="442">
        <v>0.57478991199697871</v>
      </c>
      <c r="Y100" s="442"/>
      <c r="Z100" s="442">
        <v>1.4035631596952152</v>
      </c>
      <c r="AA100" s="442">
        <v>1.3572715112238176</v>
      </c>
      <c r="AB100" s="442">
        <v>1.2891322128400151</v>
      </c>
      <c r="AC100" s="442"/>
      <c r="AD100" s="442">
        <v>1.4575500434088835</v>
      </c>
      <c r="AE100" s="442">
        <v>1.2621181233405276</v>
      </c>
      <c r="AF100" s="442">
        <v>1.0646649757349638</v>
      </c>
      <c r="AG100" s="442"/>
      <c r="AH100" s="442">
        <v>1.1941933013657569</v>
      </c>
      <c r="AI100" s="442">
        <v>0.95834012933280577</v>
      </c>
      <c r="AJ100" s="442">
        <v>0.71448382300044777</v>
      </c>
      <c r="AK100" s="442"/>
      <c r="AL100" s="442">
        <v>0.31630756609153471</v>
      </c>
      <c r="AM100" s="442">
        <v>0.21872841855800385</v>
      </c>
      <c r="AN100" s="442">
        <v>0.15323405153252317</v>
      </c>
    </row>
    <row r="101" spans="1:40" x14ac:dyDescent="0.2">
      <c r="A101" s="48" t="str">
        <f t="shared" si="80"/>
        <v>Elementary occupations</v>
      </c>
      <c r="B101" s="446">
        <f t="shared" si="82"/>
        <v>15.892813929604765</v>
      </c>
      <c r="C101" s="446">
        <f t="shared" si="83"/>
        <v>12.545134010245878</v>
      </c>
      <c r="D101" s="446">
        <f t="shared" si="84"/>
        <v>9.5117590592275096</v>
      </c>
      <c r="E101" s="446"/>
      <c r="F101" s="446">
        <v>1.4881768993424596E-2</v>
      </c>
      <c r="G101" s="446">
        <v>2.4347372381836062E-2</v>
      </c>
      <c r="H101" s="446">
        <v>2.947396554020475E-2</v>
      </c>
      <c r="I101" s="446"/>
      <c r="J101" s="446">
        <v>0.12885056498652145</v>
      </c>
      <c r="K101" s="446">
        <v>0.1445874599667028</v>
      </c>
      <c r="L101" s="446">
        <v>0.15146612277613244</v>
      </c>
      <c r="M101" s="446"/>
      <c r="N101" s="446">
        <v>0.54497353717716601</v>
      </c>
      <c r="O101" s="446">
        <v>0.65637037977684443</v>
      </c>
      <c r="P101" s="446">
        <v>0.68728499046485636</v>
      </c>
      <c r="Q101" s="446"/>
      <c r="R101" s="446">
        <v>0.51499399753773401</v>
      </c>
      <c r="S101" s="446">
        <v>0.6186376173128868</v>
      </c>
      <c r="T101" s="446">
        <v>0.69527938240960241</v>
      </c>
      <c r="U101" s="446"/>
      <c r="V101" s="446">
        <v>0.41898156276978382</v>
      </c>
      <c r="W101" s="446">
        <v>0.50099736823537766</v>
      </c>
      <c r="X101" s="446">
        <v>0.5329930570052861</v>
      </c>
      <c r="Y101" s="446"/>
      <c r="Z101" s="446">
        <v>2.761170367035569</v>
      </c>
      <c r="AA101" s="446">
        <v>2.2844365734230268</v>
      </c>
      <c r="AB101" s="446">
        <v>1.9072899221574078</v>
      </c>
      <c r="AC101" s="446"/>
      <c r="AD101" s="446">
        <v>5.1037463890872923</v>
      </c>
      <c r="AE101" s="446">
        <v>4.5257880953353915</v>
      </c>
      <c r="AF101" s="446">
        <v>3.385698788350334</v>
      </c>
      <c r="AG101" s="446"/>
      <c r="AH101" s="446">
        <v>4.1162819476564723</v>
      </c>
      <c r="AI101" s="446">
        <v>2.7396591328172661</v>
      </c>
      <c r="AJ101" s="446">
        <v>1.3268816617534318</v>
      </c>
      <c r="AK101" s="446"/>
      <c r="AL101" s="446">
        <v>2.2889337943608035</v>
      </c>
      <c r="AM101" s="446">
        <v>1.0503100109965458</v>
      </c>
      <c r="AN101" s="446">
        <v>0.79539116877025395</v>
      </c>
    </row>
  </sheetData>
  <mergeCells count="23">
    <mergeCell ref="B4:D4"/>
    <mergeCell ref="V4:X4"/>
    <mergeCell ref="R4:T4"/>
    <mergeCell ref="N4:P4"/>
    <mergeCell ref="J4:L4"/>
    <mergeCell ref="F4:H4"/>
    <mergeCell ref="N46:P46"/>
    <mergeCell ref="R46:T46"/>
    <mergeCell ref="V46:X46"/>
    <mergeCell ref="Z46:AB46"/>
    <mergeCell ref="N88:P88"/>
    <mergeCell ref="R88:T88"/>
    <mergeCell ref="V88:X88"/>
    <mergeCell ref="AL4:AN4"/>
    <mergeCell ref="AD46:AF46"/>
    <mergeCell ref="AH46:AJ46"/>
    <mergeCell ref="AL46:AN46"/>
    <mergeCell ref="Z4:AB4"/>
    <mergeCell ref="AD88:AF88"/>
    <mergeCell ref="Z88:AB88"/>
    <mergeCell ref="AH88:AJ88"/>
    <mergeCell ref="AD4:AF4"/>
    <mergeCell ref="AH4:AJ4"/>
  </mergeCells>
  <phoneticPr fontId="5" type="noConversion"/>
  <pageMargins left="0.74803149606299213" right="0.74803149606299213" top="0.59055118110236227" bottom="0.59055118110236227" header="0.51181102362204722" footer="0.51181102362204722"/>
  <pageSetup paperSize="9" scale="44" orientation="landscape" r:id="rId1"/>
  <headerFooter alignWithMargins="0"/>
  <rowBreaks count="1" manualBreakCount="1">
    <brk id="42" max="39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CT177"/>
  <sheetViews>
    <sheetView showGridLines="0" zoomScale="85" zoomScaleNormal="85" workbookViewId="0">
      <selection sqref="A1:J1"/>
    </sheetView>
  </sheetViews>
  <sheetFormatPr defaultColWidth="9.140625" defaultRowHeight="12.75" x14ac:dyDescent="0.2"/>
  <cols>
    <col min="1" max="1" width="54.7109375" style="227" customWidth="1"/>
    <col min="2" max="6" width="8" style="227" customWidth="1"/>
    <col min="7" max="7" width="6.7109375" style="227" customWidth="1"/>
    <col min="8" max="10" width="10.7109375" style="227" customWidth="1"/>
    <col min="11" max="11" width="9.140625" style="227" customWidth="1"/>
    <col min="12" max="12" width="17.5703125" style="227" customWidth="1"/>
    <col min="13" max="17" width="8" style="227" customWidth="1"/>
    <col min="18" max="18" width="6.7109375" style="227" customWidth="1"/>
    <col min="19" max="21" width="10.7109375" style="227" customWidth="1"/>
    <col min="22" max="22" width="9.140625" style="227"/>
    <col min="23" max="23" width="17.7109375" style="227" customWidth="1"/>
    <col min="24" max="28" width="8" style="227" customWidth="1"/>
    <col min="29" max="29" width="6.7109375" style="227" customWidth="1"/>
    <col min="30" max="32" width="10.7109375" style="286" customWidth="1"/>
    <col min="33" max="33" width="9.140625" style="227"/>
    <col min="34" max="34" width="17.7109375" style="286" customWidth="1"/>
    <col min="35" max="39" width="7" style="286" customWidth="1"/>
    <col min="40" max="40" width="6.7109375" style="286" customWidth="1"/>
    <col min="41" max="43" width="10.7109375" style="286" customWidth="1"/>
    <col min="44" max="44" width="9.140625" style="227" customWidth="1"/>
    <col min="45" max="45" width="17.7109375" style="286" customWidth="1"/>
    <col min="46" max="50" width="8" style="286" customWidth="1"/>
    <col min="51" max="51" width="6.7109375" style="286" customWidth="1"/>
    <col min="52" max="54" width="10.7109375" style="286" customWidth="1"/>
    <col min="55" max="55" width="9.140625" style="227"/>
    <col min="56" max="56" width="17.7109375" style="286" customWidth="1"/>
    <col min="57" max="61" width="8" style="286" customWidth="1"/>
    <col min="62" max="62" width="6.7109375" style="286" customWidth="1"/>
    <col min="63" max="65" width="10.7109375" style="286" customWidth="1"/>
    <col min="66" max="66" width="9.140625" style="227"/>
    <col min="67" max="67" width="17.7109375" style="286" customWidth="1"/>
    <col min="68" max="72" width="8" style="286" customWidth="1"/>
    <col min="73" max="73" width="6.7109375" style="286" customWidth="1"/>
    <col min="74" max="76" width="10.7109375" style="286" customWidth="1"/>
    <col min="77" max="77" width="9.140625" style="227"/>
    <col min="78" max="78" width="17.5703125" style="227" customWidth="1"/>
    <col min="79" max="83" width="8" style="227" customWidth="1"/>
    <col min="84" max="84" width="5.85546875" style="227" customWidth="1"/>
    <col min="85" max="87" width="10.7109375" style="286" customWidth="1"/>
    <col min="88" max="88" width="5.85546875" style="227" customWidth="1"/>
    <col min="89" max="89" width="17.7109375" style="286" customWidth="1"/>
    <col min="90" max="94" width="8" style="286" customWidth="1"/>
    <col min="95" max="95" width="6.85546875" style="286" customWidth="1"/>
    <col min="96" max="98" width="10.7109375" style="286" customWidth="1"/>
    <col min="99" max="16384" width="9.140625" style="227"/>
  </cols>
  <sheetData>
    <row r="1" spans="1:98" ht="49.5" customHeight="1" x14ac:dyDescent="0.2">
      <c r="A1" s="528" t="str">
        <f>CONCATENATE("Basic Table 2  Employment Change by Occupation and Replacement Demand, ",name!F4,", ",B$6,"-",F$6,", ",Info!B5)</f>
        <v>Basic Table 2  Employment Change by Occupation and Replacement Demand, RQF8 Doctorate, 2007-2027, Wales</v>
      </c>
      <c r="B1" s="528"/>
      <c r="C1" s="528"/>
      <c r="D1" s="528"/>
      <c r="E1" s="528"/>
      <c r="F1" s="528"/>
      <c r="G1" s="528"/>
      <c r="H1" s="528"/>
      <c r="I1" s="528"/>
      <c r="J1" s="528"/>
      <c r="L1" s="528" t="str">
        <f>CONCATENATE("Basic Table 2.1  Employment Change by Occupation and Replacement Demand, ",name!F5,", ",M$6,"-",Q$6,", ",Info!B5)</f>
        <v>Basic Table 2.1  Employment Change by Occupation and Replacement Demand, RQF7 Other higher degree, 2007-2027, Wales</v>
      </c>
      <c r="M1" s="528"/>
      <c r="N1" s="528"/>
      <c r="O1" s="528"/>
      <c r="P1" s="528"/>
      <c r="Q1" s="528"/>
      <c r="R1" s="528"/>
      <c r="S1" s="528"/>
      <c r="T1" s="528"/>
      <c r="U1" s="528"/>
      <c r="W1" s="528" t="str">
        <f>CONCATENATE("Basic Table 2.2  Employment Change by Occupation and Replacement Demand, ",name!F6,", ",X$6,"-",AB$6,", ",Info!B5)</f>
        <v>Basic Table 2.2  Employment Change by Occupation and Replacement Demand, RQF6 First degree, 2007-2027, Wales</v>
      </c>
      <c r="X1" s="528"/>
      <c r="Y1" s="528"/>
      <c r="Z1" s="528"/>
      <c r="AA1" s="528"/>
      <c r="AB1" s="528"/>
      <c r="AC1" s="528"/>
      <c r="AD1" s="528"/>
      <c r="AE1" s="528"/>
      <c r="AF1" s="528"/>
      <c r="AH1" s="528" t="str">
        <f>CONCATENATE("Basic Table 2.3  Employment Change by Occupation and Replacement Demand, ",name!F7,", ",AI$6,"-",AM$6,", ",Info!B5)</f>
        <v>Basic Table 2.3  Employment Change by Occupation and Replacement Demand, RQF5 Foundation degree;Nursing;Teaching, 2007-2027, Wales</v>
      </c>
      <c r="AI1" s="528"/>
      <c r="AJ1" s="528"/>
      <c r="AK1" s="528"/>
      <c r="AL1" s="528"/>
      <c r="AM1" s="528"/>
      <c r="AN1" s="528"/>
      <c r="AO1" s="528"/>
      <c r="AP1" s="528"/>
      <c r="AQ1" s="528"/>
      <c r="AS1" s="528" t="str">
        <f>CONCATENATE("Basic Table 2.4  Employment Change by Occupation and Replacement Demand, ",name!F8,", ",AT$6,"-",AX$6,", ",Info!B5)</f>
        <v>Basic Table 2.4  Employment Change by Occupation and Replacement Demand, RQF4 HE below degree level, 2007-2027, Wales</v>
      </c>
      <c r="AT1" s="528"/>
      <c r="AU1" s="528"/>
      <c r="AV1" s="528"/>
      <c r="AW1" s="528"/>
      <c r="AX1" s="528"/>
      <c r="AY1" s="528"/>
      <c r="AZ1" s="528"/>
      <c r="BA1" s="528"/>
      <c r="BB1" s="528"/>
      <c r="BD1" s="528" t="str">
        <f>CONCATENATE("Basic Table 2.5  Employment Change by Occupation and Replacement Demand, ",name!F9,", ",BE$6,"-",BI$6,", ",Info!B5)</f>
        <v>Basic Table 2.5  Employment Change by Occupation and Replacement Demand, RQF3 A level &amp; equivalent, 2007-2027, Wales</v>
      </c>
      <c r="BE1" s="528"/>
      <c r="BF1" s="528"/>
      <c r="BG1" s="528"/>
      <c r="BH1" s="528"/>
      <c r="BI1" s="528"/>
      <c r="BJ1" s="528"/>
      <c r="BK1" s="528"/>
      <c r="BL1" s="528"/>
      <c r="BM1" s="528"/>
      <c r="BO1" s="528" t="str">
        <f>CONCATENATE("Basic Table 2.6  Employment Change by Occupation and Replacement Demand, ",name!F10,", ",BP$6,"-",BT$6,", ",Info!B5)</f>
        <v>Basic Table 2.6  Employment Change by Occupation and Replacement Demand, RQF2 GCSE(A-C) &amp; equivalent, 2007-2027, Wales</v>
      </c>
      <c r="BP1" s="528"/>
      <c r="BQ1" s="528"/>
      <c r="BR1" s="528"/>
      <c r="BS1" s="528"/>
      <c r="BT1" s="528"/>
      <c r="BU1" s="528"/>
      <c r="BV1" s="528"/>
      <c r="BW1" s="528"/>
      <c r="BX1" s="528"/>
      <c r="BZ1" s="528" t="str">
        <f>CONCATENATE("Basic Table 2.7  Employment Change by Occupation and Replacement Demand, ",name!F11,", ",CA$6,"-",CE$6,", ",Info!B5)</f>
        <v>Basic Table 2.7  Employment Change by Occupation and Replacement Demand, RQF1 GCSE(below grade C) &amp; equivalent, 2007-2027, Wales</v>
      </c>
      <c r="CA1" s="528"/>
      <c r="CB1" s="528"/>
      <c r="CC1" s="528"/>
      <c r="CD1" s="528"/>
      <c r="CE1" s="528"/>
      <c r="CF1" s="528"/>
      <c r="CG1" s="528"/>
      <c r="CH1" s="528"/>
      <c r="CI1" s="528"/>
      <c r="CK1" s="528" t="str">
        <f>CONCATENATE("Basic Table 2.8  Employment Change by Occupation and Replacement Demand, ",name!F12,", ",CL$6,"-",CP$6,", ",Info!B5)</f>
        <v>Basic Table 2.8  Employment Change by Occupation and Replacement Demand, No Qualification, 2007-2027, Wales</v>
      </c>
      <c r="CL1" s="528"/>
      <c r="CM1" s="528"/>
      <c r="CN1" s="528"/>
      <c r="CO1" s="528"/>
      <c r="CP1" s="528"/>
      <c r="CQ1" s="528"/>
      <c r="CR1" s="528"/>
      <c r="CS1" s="528"/>
      <c r="CT1" s="528"/>
    </row>
    <row r="2" spans="1:98" ht="12.75" customHeight="1" x14ac:dyDescent="0.2">
      <c r="A2" s="112"/>
      <c r="L2" s="112"/>
      <c r="W2" s="112"/>
      <c r="AH2" s="112"/>
      <c r="AS2" s="112"/>
      <c r="BD2" s="112"/>
      <c r="BO2" s="112"/>
      <c r="BZ2" s="112"/>
      <c r="CA2" s="286"/>
      <c r="CB2" s="286"/>
      <c r="CC2" s="286"/>
      <c r="CD2" s="286"/>
      <c r="CE2" s="286"/>
      <c r="CF2" s="286"/>
      <c r="CK2" s="112"/>
    </row>
    <row r="3" spans="1:98" x14ac:dyDescent="0.2">
      <c r="F3" s="19" t="s">
        <v>35</v>
      </c>
      <c r="J3" s="19" t="s">
        <v>35</v>
      </c>
      <c r="Q3" s="19" t="s">
        <v>35</v>
      </c>
      <c r="U3" s="19" t="s">
        <v>35</v>
      </c>
      <c r="AB3" s="19" t="s">
        <v>35</v>
      </c>
      <c r="AF3" s="19" t="s">
        <v>35</v>
      </c>
      <c r="AM3" s="19" t="s">
        <v>35</v>
      </c>
      <c r="AQ3" s="19" t="s">
        <v>35</v>
      </c>
      <c r="AX3" s="19" t="s">
        <v>35</v>
      </c>
      <c r="BB3" s="19" t="s">
        <v>35</v>
      </c>
      <c r="BI3" s="19" t="s">
        <v>35</v>
      </c>
      <c r="BM3" s="19" t="s">
        <v>35</v>
      </c>
      <c r="BT3" s="19" t="s">
        <v>35</v>
      </c>
      <c r="BX3" s="19" t="s">
        <v>35</v>
      </c>
      <c r="BZ3" s="286"/>
      <c r="CA3" s="286"/>
      <c r="CB3" s="286"/>
      <c r="CC3" s="286"/>
      <c r="CD3" s="286"/>
      <c r="CE3" s="19" t="s">
        <v>35</v>
      </c>
      <c r="CF3" s="286"/>
      <c r="CI3" s="19" t="s">
        <v>35</v>
      </c>
      <c r="CP3" s="19" t="s">
        <v>35</v>
      </c>
      <c r="CT3" s="19" t="s">
        <v>35</v>
      </c>
    </row>
    <row r="4" spans="1:98" x14ac:dyDescent="0.2">
      <c r="A4" s="41"/>
      <c r="B4" s="41"/>
      <c r="C4" s="41"/>
      <c r="D4" s="41"/>
      <c r="E4" s="41"/>
      <c r="F4" s="41"/>
      <c r="H4" s="32" t="str">
        <f>CONCATENATE(D6,"-",F6)</f>
        <v>2017-2027</v>
      </c>
      <c r="I4" s="41"/>
      <c r="J4" s="41"/>
      <c r="L4" s="41"/>
      <c r="M4" s="41"/>
      <c r="N4" s="41"/>
      <c r="O4" s="41"/>
      <c r="P4" s="41"/>
      <c r="Q4" s="41"/>
      <c r="S4" s="32" t="str">
        <f>H4</f>
        <v>2017-2027</v>
      </c>
      <c r="T4" s="41"/>
      <c r="U4" s="41"/>
      <c r="W4" s="41"/>
      <c r="X4" s="41"/>
      <c r="Y4" s="41"/>
      <c r="Z4" s="41"/>
      <c r="AA4" s="41"/>
      <c r="AB4" s="41"/>
      <c r="AD4" s="32" t="str">
        <f>S4</f>
        <v>2017-2027</v>
      </c>
      <c r="AE4" s="41"/>
      <c r="AF4" s="41"/>
      <c r="AH4" s="41"/>
      <c r="AI4" s="41"/>
      <c r="AJ4" s="41"/>
      <c r="AK4" s="41"/>
      <c r="AL4" s="41"/>
      <c r="AM4" s="41"/>
      <c r="AO4" s="32" t="str">
        <f>AD4</f>
        <v>2017-2027</v>
      </c>
      <c r="AP4" s="41"/>
      <c r="AQ4" s="41"/>
      <c r="AS4" s="41"/>
      <c r="AT4" s="41"/>
      <c r="AU4" s="41"/>
      <c r="AV4" s="41"/>
      <c r="AW4" s="41"/>
      <c r="AX4" s="41"/>
      <c r="AZ4" s="32" t="str">
        <f>AO4</f>
        <v>2017-2027</v>
      </c>
      <c r="BA4" s="41"/>
      <c r="BB4" s="41"/>
      <c r="BD4" s="41"/>
      <c r="BE4" s="41"/>
      <c r="BF4" s="41"/>
      <c r="BG4" s="41"/>
      <c r="BH4" s="41"/>
      <c r="BI4" s="41"/>
      <c r="BK4" s="32" t="str">
        <f>AZ4</f>
        <v>2017-2027</v>
      </c>
      <c r="BL4" s="41"/>
      <c r="BM4" s="41"/>
      <c r="BO4" s="41"/>
      <c r="BP4" s="41"/>
      <c r="BQ4" s="41"/>
      <c r="BR4" s="41"/>
      <c r="BS4" s="41"/>
      <c r="BT4" s="41"/>
      <c r="BV4" s="32" t="str">
        <f>BK4</f>
        <v>2017-2027</v>
      </c>
      <c r="BW4" s="41"/>
      <c r="BX4" s="41"/>
      <c r="BZ4" s="41"/>
      <c r="CA4" s="41"/>
      <c r="CB4" s="41"/>
      <c r="CC4" s="41"/>
      <c r="CD4" s="41"/>
      <c r="CE4" s="41"/>
      <c r="CF4" s="286"/>
      <c r="CG4" s="32" t="str">
        <f>BV4</f>
        <v>2017-2027</v>
      </c>
      <c r="CH4" s="41"/>
      <c r="CI4" s="41"/>
      <c r="CK4" s="41"/>
      <c r="CL4" s="41"/>
      <c r="CM4" s="41"/>
      <c r="CN4" s="41"/>
      <c r="CO4" s="41"/>
      <c r="CP4" s="41"/>
      <c r="CR4" s="32" t="str">
        <f>CG4</f>
        <v>2017-2027</v>
      </c>
      <c r="CS4" s="41"/>
      <c r="CT4" s="41"/>
    </row>
    <row r="5" spans="1:98" x14ac:dyDescent="0.2">
      <c r="H5" s="19" t="s">
        <v>29</v>
      </c>
      <c r="I5" s="19" t="s">
        <v>30</v>
      </c>
      <c r="J5" s="19" t="s">
        <v>32</v>
      </c>
      <c r="S5" s="19" t="s">
        <v>29</v>
      </c>
      <c r="T5" s="19" t="s">
        <v>30</v>
      </c>
      <c r="U5" s="19" t="s">
        <v>32</v>
      </c>
      <c r="AD5" s="19" t="s">
        <v>29</v>
      </c>
      <c r="AE5" s="19" t="s">
        <v>30</v>
      </c>
      <c r="AF5" s="19" t="s">
        <v>32</v>
      </c>
      <c r="AO5" s="19" t="s">
        <v>29</v>
      </c>
      <c r="AP5" s="19" t="s">
        <v>30</v>
      </c>
      <c r="AQ5" s="19" t="s">
        <v>32</v>
      </c>
      <c r="AZ5" s="19" t="s">
        <v>29</v>
      </c>
      <c r="BA5" s="19" t="s">
        <v>30</v>
      </c>
      <c r="BB5" s="19" t="s">
        <v>32</v>
      </c>
      <c r="BK5" s="19" t="s">
        <v>29</v>
      </c>
      <c r="BL5" s="19" t="s">
        <v>30</v>
      </c>
      <c r="BM5" s="19" t="s">
        <v>32</v>
      </c>
      <c r="BV5" s="19" t="s">
        <v>29</v>
      </c>
      <c r="BW5" s="19" t="s">
        <v>30</v>
      </c>
      <c r="BX5" s="19" t="s">
        <v>32</v>
      </c>
      <c r="BZ5" s="286"/>
      <c r="CA5" s="286"/>
      <c r="CB5" s="286"/>
      <c r="CC5" s="286"/>
      <c r="CD5" s="286"/>
      <c r="CE5" s="286"/>
      <c r="CF5" s="286"/>
      <c r="CG5" s="19" t="s">
        <v>29</v>
      </c>
      <c r="CH5" s="19" t="s">
        <v>30</v>
      </c>
      <c r="CI5" s="19" t="s">
        <v>32</v>
      </c>
      <c r="CR5" s="19" t="s">
        <v>29</v>
      </c>
      <c r="CS5" s="19" t="s">
        <v>30</v>
      </c>
      <c r="CT5" s="19" t="s">
        <v>32</v>
      </c>
    </row>
    <row r="6" spans="1:98" x14ac:dyDescent="0.2">
      <c r="A6" s="78" t="s">
        <v>13</v>
      </c>
      <c r="B6" s="40">
        <v>2007</v>
      </c>
      <c r="C6" s="40">
        <v>2012</v>
      </c>
      <c r="D6" s="40">
        <v>2017</v>
      </c>
      <c r="E6" s="40">
        <v>2022</v>
      </c>
      <c r="F6" s="40">
        <v>2027</v>
      </c>
      <c r="H6" s="75" t="s">
        <v>18</v>
      </c>
      <c r="I6" s="75" t="s">
        <v>31</v>
      </c>
      <c r="J6" s="75" t="s">
        <v>33</v>
      </c>
      <c r="L6" s="78" t="s">
        <v>13</v>
      </c>
      <c r="M6" s="40">
        <f>B6</f>
        <v>2007</v>
      </c>
      <c r="N6" s="40">
        <f t="shared" ref="N6:Q6" si="0">C6</f>
        <v>2012</v>
      </c>
      <c r="O6" s="40">
        <f t="shared" si="0"/>
        <v>2017</v>
      </c>
      <c r="P6" s="40">
        <f t="shared" si="0"/>
        <v>2022</v>
      </c>
      <c r="Q6" s="40">
        <f t="shared" si="0"/>
        <v>2027</v>
      </c>
      <c r="S6" s="75" t="s">
        <v>18</v>
      </c>
      <c r="T6" s="75" t="s">
        <v>31</v>
      </c>
      <c r="U6" s="75" t="s">
        <v>33</v>
      </c>
      <c r="W6" s="78" t="s">
        <v>13</v>
      </c>
      <c r="X6" s="40">
        <f>M6</f>
        <v>2007</v>
      </c>
      <c r="Y6" s="40">
        <f t="shared" ref="Y6:AB6" si="1">N6</f>
        <v>2012</v>
      </c>
      <c r="Z6" s="40">
        <f t="shared" si="1"/>
        <v>2017</v>
      </c>
      <c r="AA6" s="40">
        <f t="shared" si="1"/>
        <v>2022</v>
      </c>
      <c r="AB6" s="40">
        <f t="shared" si="1"/>
        <v>2027</v>
      </c>
      <c r="AD6" s="75" t="s">
        <v>18</v>
      </c>
      <c r="AE6" s="75" t="s">
        <v>31</v>
      </c>
      <c r="AF6" s="75" t="s">
        <v>33</v>
      </c>
      <c r="AH6" s="78" t="s">
        <v>13</v>
      </c>
      <c r="AI6" s="40">
        <f>X6</f>
        <v>2007</v>
      </c>
      <c r="AJ6" s="40">
        <f t="shared" ref="AJ6" si="2">Y6</f>
        <v>2012</v>
      </c>
      <c r="AK6" s="40">
        <f t="shared" ref="AK6" si="3">Z6</f>
        <v>2017</v>
      </c>
      <c r="AL6" s="40">
        <f t="shared" ref="AL6" si="4">AA6</f>
        <v>2022</v>
      </c>
      <c r="AM6" s="40">
        <f t="shared" ref="AM6" si="5">AB6</f>
        <v>2027</v>
      </c>
      <c r="AO6" s="75" t="s">
        <v>18</v>
      </c>
      <c r="AP6" s="75" t="s">
        <v>31</v>
      </c>
      <c r="AQ6" s="75" t="s">
        <v>33</v>
      </c>
      <c r="AS6" s="78" t="s">
        <v>13</v>
      </c>
      <c r="AT6" s="40">
        <f>AI6</f>
        <v>2007</v>
      </c>
      <c r="AU6" s="40">
        <f t="shared" ref="AU6" si="6">AJ6</f>
        <v>2012</v>
      </c>
      <c r="AV6" s="40">
        <f t="shared" ref="AV6" si="7">AK6</f>
        <v>2017</v>
      </c>
      <c r="AW6" s="40">
        <f t="shared" ref="AW6" si="8">AL6</f>
        <v>2022</v>
      </c>
      <c r="AX6" s="40">
        <f t="shared" ref="AX6" si="9">AM6</f>
        <v>2027</v>
      </c>
      <c r="AZ6" s="75" t="s">
        <v>18</v>
      </c>
      <c r="BA6" s="75" t="s">
        <v>31</v>
      </c>
      <c r="BB6" s="75" t="s">
        <v>33</v>
      </c>
      <c r="BD6" s="78" t="s">
        <v>13</v>
      </c>
      <c r="BE6" s="40">
        <f>AT6</f>
        <v>2007</v>
      </c>
      <c r="BF6" s="40">
        <f t="shared" ref="BF6" si="10">AU6</f>
        <v>2012</v>
      </c>
      <c r="BG6" s="40">
        <f t="shared" ref="BG6" si="11">AV6</f>
        <v>2017</v>
      </c>
      <c r="BH6" s="40">
        <f t="shared" ref="BH6" si="12">AW6</f>
        <v>2022</v>
      </c>
      <c r="BI6" s="40">
        <f t="shared" ref="BI6" si="13">AX6</f>
        <v>2027</v>
      </c>
      <c r="BK6" s="75" t="s">
        <v>18</v>
      </c>
      <c r="BL6" s="75" t="s">
        <v>31</v>
      </c>
      <c r="BM6" s="75" t="s">
        <v>33</v>
      </c>
      <c r="BO6" s="78" t="s">
        <v>13</v>
      </c>
      <c r="BP6" s="40">
        <f>BE6</f>
        <v>2007</v>
      </c>
      <c r="BQ6" s="40">
        <f t="shared" ref="BQ6" si="14">BF6</f>
        <v>2012</v>
      </c>
      <c r="BR6" s="40">
        <f t="shared" ref="BR6" si="15">BG6</f>
        <v>2017</v>
      </c>
      <c r="BS6" s="40">
        <f t="shared" ref="BS6" si="16">BH6</f>
        <v>2022</v>
      </c>
      <c r="BT6" s="40">
        <f t="shared" ref="BT6" si="17">BI6</f>
        <v>2027</v>
      </c>
      <c r="BV6" s="75" t="s">
        <v>18</v>
      </c>
      <c r="BW6" s="75" t="s">
        <v>31</v>
      </c>
      <c r="BX6" s="75" t="s">
        <v>33</v>
      </c>
      <c r="BZ6" s="78" t="s">
        <v>13</v>
      </c>
      <c r="CA6" s="40">
        <f>BP6</f>
        <v>2007</v>
      </c>
      <c r="CB6" s="40">
        <f t="shared" ref="CB6" si="18">BQ6</f>
        <v>2012</v>
      </c>
      <c r="CC6" s="40">
        <f t="shared" ref="CC6" si="19">BR6</f>
        <v>2017</v>
      </c>
      <c r="CD6" s="40">
        <f t="shared" ref="CD6" si="20">BS6</f>
        <v>2022</v>
      </c>
      <c r="CE6" s="40">
        <f t="shared" ref="CE6" si="21">BT6</f>
        <v>2027</v>
      </c>
      <c r="CF6" s="286"/>
      <c r="CG6" s="75" t="s">
        <v>18</v>
      </c>
      <c r="CH6" s="75" t="s">
        <v>31</v>
      </c>
      <c r="CI6" s="75" t="s">
        <v>33</v>
      </c>
      <c r="CK6" s="78" t="s">
        <v>13</v>
      </c>
      <c r="CL6" s="40">
        <f>CA6</f>
        <v>2007</v>
      </c>
      <c r="CM6" s="40">
        <f t="shared" ref="CM6" si="22">CB6</f>
        <v>2012</v>
      </c>
      <c r="CN6" s="40">
        <f t="shared" ref="CN6" si="23">CC6</f>
        <v>2017</v>
      </c>
      <c r="CO6" s="40">
        <f t="shared" ref="CO6" si="24">CD6</f>
        <v>2022</v>
      </c>
      <c r="CP6" s="40">
        <f t="shared" ref="CP6" si="25">CE6</f>
        <v>2027</v>
      </c>
      <c r="CR6" s="75" t="s">
        <v>18</v>
      </c>
      <c r="CS6" s="75" t="s">
        <v>31</v>
      </c>
      <c r="CT6" s="75" t="s">
        <v>33</v>
      </c>
    </row>
    <row r="7" spans="1:98" x14ac:dyDescent="0.2">
      <c r="BZ7" s="286"/>
      <c r="CA7" s="286"/>
      <c r="CB7" s="286"/>
      <c r="CC7" s="286"/>
      <c r="CD7" s="286"/>
      <c r="CE7" s="286"/>
      <c r="CF7" s="286"/>
    </row>
    <row r="8" spans="1:98" x14ac:dyDescent="0.2">
      <c r="A8" s="12" t="str">
        <f>name!D4</f>
        <v xml:space="preserve"> 11 Corporate managers and directors</v>
      </c>
      <c r="B8" s="84">
        <v>0.81171165930031008</v>
      </c>
      <c r="C8" s="84">
        <v>0.58414012544804816</v>
      </c>
      <c r="D8" s="84">
        <v>0.96060313506145878</v>
      </c>
      <c r="E8" s="84">
        <v>1.2494990912533053</v>
      </c>
      <c r="F8" s="84">
        <v>1.4990008087325957</v>
      </c>
      <c r="G8" s="12"/>
      <c r="H8" s="84">
        <f>F8-D8</f>
        <v>0.53839767367113689</v>
      </c>
      <c r="I8" s="84">
        <f>'RD T1'!E35</f>
        <v>0.36846586555088201</v>
      </c>
      <c r="J8" s="84">
        <f>SUM(H8:I8)</f>
        <v>0.9068635392220189</v>
      </c>
      <c r="L8" s="18" t="str">
        <f>A8</f>
        <v xml:space="preserve"> 11 Corporate managers and directors</v>
      </c>
      <c r="M8" s="84">
        <v>6.2166895495104892</v>
      </c>
      <c r="N8" s="84">
        <v>5.4438374948783723</v>
      </c>
      <c r="O8" s="84">
        <v>9.0883648292283628</v>
      </c>
      <c r="P8" s="84">
        <v>11.59344345846772</v>
      </c>
      <c r="Q8" s="84">
        <v>13.654494347289804</v>
      </c>
      <c r="R8" s="12"/>
      <c r="S8" s="84">
        <f>Q8-O8</f>
        <v>4.566129518061441</v>
      </c>
      <c r="T8" s="84">
        <f>'RD T1'!E63</f>
        <v>3.5729435065490356</v>
      </c>
      <c r="U8" s="84">
        <f>SUM(S8:T8)</f>
        <v>8.139073024610477</v>
      </c>
      <c r="W8" s="18" t="str">
        <f>A8</f>
        <v xml:space="preserve"> 11 Corporate managers and directors</v>
      </c>
      <c r="X8" s="84">
        <v>13.237749434318355</v>
      </c>
      <c r="Y8" s="84">
        <v>17.025116925586353</v>
      </c>
      <c r="Z8" s="84">
        <v>20.773683414307659</v>
      </c>
      <c r="AA8" s="84">
        <v>25.624278993981992</v>
      </c>
      <c r="AB8" s="84">
        <v>28.099351754274387</v>
      </c>
      <c r="AC8" s="84"/>
      <c r="AD8" s="84">
        <f>AB8-Z8</f>
        <v>7.3256683399667288</v>
      </c>
      <c r="AE8" s="84">
        <f>'RD T1'!E91</f>
        <v>10.250079987270366</v>
      </c>
      <c r="AF8" s="84">
        <f>SUM(AD8:AE8)</f>
        <v>17.575748327237093</v>
      </c>
      <c r="AH8" s="18" t="str">
        <f>L8</f>
        <v xml:space="preserve"> 11 Corporate managers and directors</v>
      </c>
      <c r="AI8" s="84">
        <v>3.857572394001088</v>
      </c>
      <c r="AJ8" s="84">
        <v>4.1057835714095567</v>
      </c>
      <c r="AK8" s="84">
        <v>4.5695853498285439</v>
      </c>
      <c r="AL8" s="84">
        <v>5.1255359534585869</v>
      </c>
      <c r="AM8" s="84">
        <v>5.3254484858647455</v>
      </c>
      <c r="AN8" s="84"/>
      <c r="AO8" s="84">
        <f>AM8-AK8</f>
        <v>0.75586313603620159</v>
      </c>
      <c r="AP8" s="84">
        <f>'RD T1'!E119</f>
        <v>1.9083852586736092</v>
      </c>
      <c r="AQ8" s="84">
        <f>SUM(AO8:AP8)</f>
        <v>2.6642483947098108</v>
      </c>
      <c r="AS8" s="18" t="str">
        <f>W8</f>
        <v xml:space="preserve"> 11 Corporate managers and directors</v>
      </c>
      <c r="AT8" s="84">
        <v>5.2877241709753573</v>
      </c>
      <c r="AU8" s="84">
        <v>5.3775607164192323</v>
      </c>
      <c r="AV8" s="84">
        <v>5.9638238260868999</v>
      </c>
      <c r="AW8" s="84">
        <v>6.7606150869856103</v>
      </c>
      <c r="AX8" s="84">
        <v>7.075023317654888</v>
      </c>
      <c r="AY8" s="84"/>
      <c r="AZ8" s="84">
        <f>AX8-AV8</f>
        <v>1.1111994915679881</v>
      </c>
      <c r="BA8" s="84">
        <f>'RD T1'!E147</f>
        <v>2.4929715694508716</v>
      </c>
      <c r="BB8" s="84">
        <f>SUM(AZ8:BA8)</f>
        <v>3.6041710610188598</v>
      </c>
      <c r="BD8" s="18" t="str">
        <f>AH8</f>
        <v xml:space="preserve"> 11 Corporate managers and directors</v>
      </c>
      <c r="BE8" s="84">
        <v>12.345079784633887</v>
      </c>
      <c r="BF8" s="84">
        <v>12.306187898463257</v>
      </c>
      <c r="BG8" s="84">
        <v>13.97595679337579</v>
      </c>
      <c r="BH8" s="84">
        <v>13.053535852597978</v>
      </c>
      <c r="BI8" s="84">
        <v>12.912428716074096</v>
      </c>
      <c r="BJ8" s="84"/>
      <c r="BK8" s="84">
        <f>BI8-BG8</f>
        <v>-1.0635280773016937</v>
      </c>
      <c r="BL8" s="84">
        <f>'RD T1'!E175</f>
        <v>4.0664336589039838</v>
      </c>
      <c r="BM8" s="84">
        <f>SUM(BK8:BL8)</f>
        <v>3.00290558160229</v>
      </c>
      <c r="BO8" s="18" t="str">
        <f>AS8</f>
        <v xml:space="preserve"> 11 Corporate managers and directors</v>
      </c>
      <c r="BP8" s="84">
        <v>11.667066679508633</v>
      </c>
      <c r="BQ8" s="84">
        <v>10.758371790113241</v>
      </c>
      <c r="BR8" s="84">
        <v>11.26854288028037</v>
      </c>
      <c r="BS8" s="84">
        <v>10.107494421088749</v>
      </c>
      <c r="BT8" s="84">
        <v>9.5559869873915613</v>
      </c>
      <c r="BU8" s="84"/>
      <c r="BV8" s="84">
        <f>BT8-BR8</f>
        <v>-1.7125558928888083</v>
      </c>
      <c r="BW8" s="84">
        <f>'RD T1'!E203</f>
        <v>3.3764549011525835</v>
      </c>
      <c r="BX8" s="84">
        <f>SUM(BV8:BW8)</f>
        <v>1.6638990082637752</v>
      </c>
      <c r="BZ8" s="18" t="str">
        <f>BD8</f>
        <v xml:space="preserve"> 11 Corporate managers and directors</v>
      </c>
      <c r="CA8" s="84">
        <v>6.8327228320887103</v>
      </c>
      <c r="CB8" s="84">
        <v>6.3868004552211177</v>
      </c>
      <c r="CC8" s="84">
        <v>7.1396985417921597</v>
      </c>
      <c r="CD8" s="84">
        <v>6.4030380026430285</v>
      </c>
      <c r="CE8" s="84">
        <v>6.7190808978723382</v>
      </c>
      <c r="CF8" s="84"/>
      <c r="CG8" s="84">
        <f>CE8-CC8</f>
        <v>-0.42061764391982148</v>
      </c>
      <c r="CH8" s="84">
        <f>'RD T1'!E231</f>
        <v>1.972974335615659</v>
      </c>
      <c r="CI8" s="84">
        <f>SUM(CG8:CH8)</f>
        <v>1.5523566916958376</v>
      </c>
      <c r="CK8" s="18" t="str">
        <f>BO8</f>
        <v xml:space="preserve"> 11 Corporate managers and directors</v>
      </c>
      <c r="CL8" s="84">
        <v>2.5347641689045615</v>
      </c>
      <c r="CM8" s="84">
        <v>1.9439239702423408</v>
      </c>
      <c r="CN8" s="84">
        <v>2.0870388652202632</v>
      </c>
      <c r="CO8" s="84">
        <v>1.6873693888060468</v>
      </c>
      <c r="CP8" s="84">
        <v>1.9468136136275245</v>
      </c>
      <c r="CQ8" s="84"/>
      <c r="CR8" s="84">
        <f>CP8-CN8</f>
        <v>-0.14022525159273869</v>
      </c>
      <c r="CS8" s="84">
        <f>'RD T1'!E259</f>
        <v>0.3983697146460255</v>
      </c>
      <c r="CT8" s="84">
        <f>SUM(CR8:CS8)</f>
        <v>0.25814446305328681</v>
      </c>
    </row>
    <row r="9" spans="1:98" x14ac:dyDescent="0.2">
      <c r="A9" s="12" t="str">
        <f>name!D5</f>
        <v xml:space="preserve"> 12 Other managers and proprietors</v>
      </c>
      <c r="B9" s="84">
        <v>0.10172043117775584</v>
      </c>
      <c r="C9" s="84">
        <v>0.31461678806399263</v>
      </c>
      <c r="D9" s="84">
        <v>0.53593233830796416</v>
      </c>
      <c r="E9" s="84">
        <v>0.74346636834785085</v>
      </c>
      <c r="F9" s="84">
        <v>0.88714938333898274</v>
      </c>
      <c r="H9" s="84">
        <f t="shared" ref="H9:H34" si="26">F9-D9</f>
        <v>0.35121704503101858</v>
      </c>
      <c r="I9" s="84">
        <f>'RD T1'!E36</f>
        <v>0.26106234751059432</v>
      </c>
      <c r="J9" s="84">
        <f t="shared" ref="J9:J32" si="27">SUM(H9:I9)</f>
        <v>0.6122793925416129</v>
      </c>
      <c r="L9" s="18" t="str">
        <f t="shared" ref="L9:L32" si="28">A9</f>
        <v xml:space="preserve"> 12 Other managers and proprietors</v>
      </c>
      <c r="M9" s="84">
        <v>1.8685071661724495</v>
      </c>
      <c r="N9" s="84">
        <v>2.1106870831457867</v>
      </c>
      <c r="O9" s="84">
        <v>3.7191175781388655</v>
      </c>
      <c r="P9" s="84">
        <v>4.9866388683720917</v>
      </c>
      <c r="Q9" s="84">
        <v>5.8966551158982483</v>
      </c>
      <c r="S9" s="84">
        <f t="shared" ref="S9:S34" si="29">Q9-O9</f>
        <v>2.1775375377593829</v>
      </c>
      <c r="T9" s="84">
        <f>'RD T1'!E64</f>
        <v>1.7835223220703027</v>
      </c>
      <c r="U9" s="84">
        <f t="shared" ref="U9:U32" si="30">SUM(S9:T9)</f>
        <v>3.9610598598296853</v>
      </c>
      <c r="W9" s="18" t="str">
        <f t="shared" ref="W9:W32" si="31">A9</f>
        <v xml:space="preserve"> 12 Other managers and proprietors</v>
      </c>
      <c r="X9" s="84">
        <v>4.2985058057898957</v>
      </c>
      <c r="Y9" s="84">
        <v>6.8332323929055718</v>
      </c>
      <c r="Z9" s="84">
        <v>8.517196657056564</v>
      </c>
      <c r="AA9" s="84">
        <v>11.051913403258002</v>
      </c>
      <c r="AB9" s="84">
        <v>12.132563877902911</v>
      </c>
      <c r="AC9" s="84"/>
      <c r="AD9" s="84">
        <f t="shared" ref="AD9:AD32" si="32">AB9-Z9</f>
        <v>3.6153672208463465</v>
      </c>
      <c r="AE9" s="84">
        <f>'RD T1'!E92</f>
        <v>5.054212125362664</v>
      </c>
      <c r="AF9" s="84">
        <f t="shared" ref="AF9:AF32" si="33">SUM(AD9:AE9)</f>
        <v>8.6695793462090105</v>
      </c>
      <c r="AH9" s="18" t="str">
        <f t="shared" ref="AH9:AH32" si="34">L9</f>
        <v xml:space="preserve"> 12 Other managers and proprietors</v>
      </c>
      <c r="AI9" s="84">
        <v>2.0743233712911904</v>
      </c>
      <c r="AJ9" s="84">
        <v>2.3673013856377261</v>
      </c>
      <c r="AK9" s="84">
        <v>2.7252058502807022</v>
      </c>
      <c r="AL9" s="84">
        <v>3.3770481368207625</v>
      </c>
      <c r="AM9" s="84">
        <v>3.5839054097497591</v>
      </c>
      <c r="AN9" s="84"/>
      <c r="AO9" s="84">
        <f t="shared" ref="AO9:AO32" si="35">AM9-AK9</f>
        <v>0.85869955946905696</v>
      </c>
      <c r="AP9" s="84">
        <f>'RD T1'!E120</f>
        <v>1.4856167851014137</v>
      </c>
      <c r="AQ9" s="84">
        <f t="shared" ref="AQ9:AQ32" si="36">SUM(AO9:AP9)</f>
        <v>2.3443163445704709</v>
      </c>
      <c r="AS9" s="18" t="str">
        <f t="shared" ref="AS9:AS32" si="37">W9</f>
        <v xml:space="preserve"> 12 Other managers and proprietors</v>
      </c>
      <c r="AT9" s="84">
        <v>1.9840917153674835</v>
      </c>
      <c r="AU9" s="84">
        <v>2.4260093888071301</v>
      </c>
      <c r="AV9" s="84">
        <v>2.8428326051361248</v>
      </c>
      <c r="AW9" s="84">
        <v>3.4687977459396397</v>
      </c>
      <c r="AX9" s="84">
        <v>3.6437870470226832</v>
      </c>
      <c r="AY9" s="84"/>
      <c r="AZ9" s="84">
        <f t="shared" ref="AZ9:AZ32" si="38">AX9-AV9</f>
        <v>0.8009544418865584</v>
      </c>
      <c r="BA9" s="84">
        <f>'RD T1'!E148</f>
        <v>1.4713444837849439</v>
      </c>
      <c r="BB9" s="84">
        <f t="shared" ref="BB9:BB32" si="39">SUM(AZ9:BA9)</f>
        <v>2.2722989256715023</v>
      </c>
      <c r="BD9" s="18" t="str">
        <f t="shared" ref="BD9:BD32" si="40">AH9</f>
        <v xml:space="preserve"> 12 Other managers and proprietors</v>
      </c>
      <c r="BE9" s="84">
        <v>7.0648376608060994</v>
      </c>
      <c r="BF9" s="84">
        <v>7.334014825915447</v>
      </c>
      <c r="BG9" s="84">
        <v>8.0574021205860547</v>
      </c>
      <c r="BH9" s="84">
        <v>7.2229297720043721</v>
      </c>
      <c r="BI9" s="84">
        <v>6.8219849311262584</v>
      </c>
      <c r="BJ9" s="84"/>
      <c r="BK9" s="84">
        <f t="shared" ref="BK9:BK32" si="41">BI9-BG9</f>
        <v>-1.2354171894597963</v>
      </c>
      <c r="BL9" s="84">
        <f>'RD T1'!E176</f>
        <v>2.5127336976992658</v>
      </c>
      <c r="BM9" s="84">
        <f t="shared" ref="BM9:BM32" si="42">SUM(BK9:BL9)</f>
        <v>1.2773165082394695</v>
      </c>
      <c r="BO9" s="18" t="str">
        <f t="shared" ref="BO9:BO32" si="43">AS9</f>
        <v xml:space="preserve"> 12 Other managers and proprietors</v>
      </c>
      <c r="BP9" s="84">
        <v>7.9817841271008882</v>
      </c>
      <c r="BQ9" s="84">
        <v>8.4344749279231515</v>
      </c>
      <c r="BR9" s="84">
        <v>9.5344728119065163</v>
      </c>
      <c r="BS9" s="84">
        <v>9.2175297327093784</v>
      </c>
      <c r="BT9" s="84">
        <v>9.1940323529955545</v>
      </c>
      <c r="BU9" s="84"/>
      <c r="BV9" s="84">
        <f t="shared" ref="BV9:BV32" si="44">BT9-BR9</f>
        <v>-0.34044045891096175</v>
      </c>
      <c r="BW9" s="84">
        <f>'RD T1'!E204</f>
        <v>3.6879625626960078</v>
      </c>
      <c r="BX9" s="84">
        <f t="shared" ref="BX9:BX32" si="45">SUM(BV9:BW9)</f>
        <v>3.347522103785046</v>
      </c>
      <c r="BZ9" s="18" t="str">
        <f t="shared" ref="BZ9:BZ32" si="46">BD9</f>
        <v xml:space="preserve"> 12 Other managers and proprietors</v>
      </c>
      <c r="CA9" s="84">
        <v>5.1436628502007977</v>
      </c>
      <c r="CB9" s="84">
        <v>5.2645545325860912</v>
      </c>
      <c r="CC9" s="84">
        <v>6.3686946322645843</v>
      </c>
      <c r="CD9" s="84">
        <v>5.3346915498708851</v>
      </c>
      <c r="CE9" s="84">
        <v>5.0420481585950059</v>
      </c>
      <c r="CF9" s="84"/>
      <c r="CG9" s="84">
        <f t="shared" ref="CG9:CG32" si="47">CE9-CC9</f>
        <v>-1.3266464736695784</v>
      </c>
      <c r="CH9" s="84">
        <f>'RD T1'!E232</f>
        <v>1.7179050183006379</v>
      </c>
      <c r="CI9" s="84">
        <f t="shared" ref="CI9:CI32" si="48">SUM(CG9:CH9)</f>
        <v>0.39125854463105947</v>
      </c>
      <c r="CK9" s="18" t="str">
        <f t="shared" ref="CK9:CK32" si="49">BO9</f>
        <v xml:space="preserve"> 12 Other managers and proprietors</v>
      </c>
      <c r="CL9" s="84">
        <v>3.0574768583485477</v>
      </c>
      <c r="CM9" s="84">
        <v>3.0517946242030329</v>
      </c>
      <c r="CN9" s="84">
        <v>3.2615682098289702</v>
      </c>
      <c r="CO9" s="84">
        <v>2.4925831489316121</v>
      </c>
      <c r="CP9" s="84">
        <v>2.728800226457111</v>
      </c>
      <c r="CQ9" s="84"/>
      <c r="CR9" s="84">
        <f t="shared" ref="CR9:CR32" si="50">CP9-CN9</f>
        <v>-0.53276798337185927</v>
      </c>
      <c r="CS9" s="84">
        <f>'RD T1'!E260</f>
        <v>0.64164536313069465</v>
      </c>
      <c r="CT9" s="84">
        <f t="shared" ref="CT9:CT32" si="51">SUM(CR9:CS9)</f>
        <v>0.10887737975883538</v>
      </c>
    </row>
    <row r="10" spans="1:98" x14ac:dyDescent="0.2">
      <c r="A10" s="12" t="str">
        <f>name!D6</f>
        <v xml:space="preserve"> 21 Science, research, engineering and technology professionals</v>
      </c>
      <c r="B10" s="84">
        <v>1.7038497322120618</v>
      </c>
      <c r="C10" s="84">
        <v>1.5799755006485525</v>
      </c>
      <c r="D10" s="84">
        <v>2.5663956230162617</v>
      </c>
      <c r="E10" s="84">
        <v>3.1060530510103628</v>
      </c>
      <c r="F10" s="84">
        <v>3.4854857586533576</v>
      </c>
      <c r="G10" s="13"/>
      <c r="H10" s="84">
        <f t="shared" si="26"/>
        <v>0.91909013563709596</v>
      </c>
      <c r="I10" s="84">
        <f>'RD T1'!E37</f>
        <v>0.68716671514422012</v>
      </c>
      <c r="J10" s="84">
        <f t="shared" si="27"/>
        <v>1.6062568507813162</v>
      </c>
      <c r="L10" s="18" t="str">
        <f t="shared" si="28"/>
        <v xml:space="preserve"> 21 Science, research, engineering and technology professionals</v>
      </c>
      <c r="M10" s="84">
        <v>6.1848077281279341</v>
      </c>
      <c r="N10" s="84">
        <v>5.6411566368925303</v>
      </c>
      <c r="O10" s="84">
        <v>9.9387418202930888</v>
      </c>
      <c r="P10" s="84">
        <v>12.300757593893579</v>
      </c>
      <c r="Q10" s="84">
        <v>14.133852875930884</v>
      </c>
      <c r="R10" s="13"/>
      <c r="S10" s="84">
        <f t="shared" si="29"/>
        <v>4.1951110556377955</v>
      </c>
      <c r="T10" s="84">
        <f>'RD T1'!E65</f>
        <v>2.8158645475495825</v>
      </c>
      <c r="U10" s="84">
        <f t="shared" si="30"/>
        <v>7.0109756031873776</v>
      </c>
      <c r="W10" s="18" t="str">
        <f t="shared" si="31"/>
        <v xml:space="preserve"> 21 Science, research, engineering and technology professionals</v>
      </c>
      <c r="X10" s="84">
        <v>11.413519916297481</v>
      </c>
      <c r="Y10" s="84">
        <v>14.033871247158647</v>
      </c>
      <c r="Z10" s="84">
        <v>16.03685334374066</v>
      </c>
      <c r="AA10" s="84">
        <v>17.492978685766058</v>
      </c>
      <c r="AB10" s="84">
        <v>18.03088953507228</v>
      </c>
      <c r="AC10" s="84"/>
      <c r="AD10" s="84">
        <f t="shared" si="32"/>
        <v>1.9940361913316202</v>
      </c>
      <c r="AE10" s="84">
        <f>'RD T1'!E93</f>
        <v>4.8677518509497073</v>
      </c>
      <c r="AF10" s="84">
        <f t="shared" si="33"/>
        <v>6.8617880422813275</v>
      </c>
      <c r="AH10" s="18" t="str">
        <f t="shared" si="34"/>
        <v xml:space="preserve"> 21 Science, research, engineering and technology professionals</v>
      </c>
      <c r="AI10" s="84">
        <v>1.7944745973991063</v>
      </c>
      <c r="AJ10" s="84">
        <v>1.7950405650284718</v>
      </c>
      <c r="AK10" s="84">
        <v>1.7668742556194115</v>
      </c>
      <c r="AL10" s="84">
        <v>1.8234505889854593</v>
      </c>
      <c r="AM10" s="84">
        <v>1.8742895899729319</v>
      </c>
      <c r="AN10" s="84"/>
      <c r="AO10" s="84">
        <f t="shared" si="35"/>
        <v>0.10741533435352046</v>
      </c>
      <c r="AP10" s="84">
        <f>'RD T1'!E121</f>
        <v>0.48952466880550999</v>
      </c>
      <c r="AQ10" s="84">
        <f t="shared" si="36"/>
        <v>0.5969400031590304</v>
      </c>
      <c r="AS10" s="18" t="str">
        <f t="shared" si="37"/>
        <v xml:space="preserve"> 21 Science, research, engineering and technology professionals</v>
      </c>
      <c r="AT10" s="84">
        <v>4.3226699579843961</v>
      </c>
      <c r="AU10" s="84">
        <v>4.5007224753256949</v>
      </c>
      <c r="AV10" s="84">
        <v>4.6206596188503646</v>
      </c>
      <c r="AW10" s="84">
        <v>4.685152889149701</v>
      </c>
      <c r="AX10" s="84">
        <v>4.5565566842507268</v>
      </c>
      <c r="AY10" s="84"/>
      <c r="AZ10" s="84">
        <f t="shared" si="38"/>
        <v>-6.4102934599637784E-2</v>
      </c>
      <c r="BA10" s="84">
        <f>'RD T1'!E149</f>
        <v>1.178806584702863</v>
      </c>
      <c r="BB10" s="84">
        <f t="shared" si="39"/>
        <v>1.1147036501032253</v>
      </c>
      <c r="BD10" s="18" t="str">
        <f t="shared" si="40"/>
        <v xml:space="preserve"> 21 Science, research, engineering and technology professionals</v>
      </c>
      <c r="BE10" s="84">
        <v>5.9834821366162716</v>
      </c>
      <c r="BF10" s="84">
        <v>5.7064837097431003</v>
      </c>
      <c r="BG10" s="84">
        <v>6.2016025531874437</v>
      </c>
      <c r="BH10" s="84">
        <v>5.2471841194527915</v>
      </c>
      <c r="BI10" s="84">
        <v>4.6862858190238068</v>
      </c>
      <c r="BJ10" s="84"/>
      <c r="BK10" s="84">
        <f t="shared" si="41"/>
        <v>-1.5153167341636369</v>
      </c>
      <c r="BL10" s="84">
        <f>'RD T1'!E177</f>
        <v>1.1116785985141493</v>
      </c>
      <c r="BM10" s="84">
        <f t="shared" si="42"/>
        <v>-0.40363813564948758</v>
      </c>
      <c r="BO10" s="18" t="str">
        <f t="shared" si="43"/>
        <v xml:space="preserve"> 21 Science, research, engineering and technology professionals</v>
      </c>
      <c r="BP10" s="84">
        <v>4.724179412246202</v>
      </c>
      <c r="BQ10" s="84">
        <v>4.2941571472363043</v>
      </c>
      <c r="BR10" s="84">
        <v>4.5029359557783692</v>
      </c>
      <c r="BS10" s="84">
        <v>3.8406544395080027</v>
      </c>
      <c r="BT10" s="84">
        <v>3.6712373027050624</v>
      </c>
      <c r="BU10" s="84"/>
      <c r="BV10" s="84">
        <f t="shared" si="44"/>
        <v>-0.83169865307330682</v>
      </c>
      <c r="BW10" s="84">
        <f>'RD T1'!E205</f>
        <v>0.98272665727229958</v>
      </c>
      <c r="BX10" s="84">
        <f t="shared" si="45"/>
        <v>0.15102800419899276</v>
      </c>
      <c r="BZ10" s="18" t="str">
        <f t="shared" si="46"/>
        <v xml:space="preserve"> 21 Science, research, engineering and technology professionals</v>
      </c>
      <c r="CA10" s="84">
        <v>2.5654505753097649</v>
      </c>
      <c r="CB10" s="84">
        <v>2.2339396099816398</v>
      </c>
      <c r="CC10" s="84">
        <v>2.6154031168182503</v>
      </c>
      <c r="CD10" s="84">
        <v>2.2169316543048727</v>
      </c>
      <c r="CE10" s="84">
        <v>2.0030247645167298</v>
      </c>
      <c r="CF10" s="84"/>
      <c r="CG10" s="84">
        <f t="shared" si="47"/>
        <v>-0.61237835230152049</v>
      </c>
      <c r="CH10" s="84">
        <f>'RD T1'!E233</f>
        <v>0.47631125402803765</v>
      </c>
      <c r="CI10" s="84">
        <f t="shared" si="48"/>
        <v>-0.13606709827348284</v>
      </c>
      <c r="CK10" s="18" t="str">
        <f t="shared" si="49"/>
        <v xml:space="preserve"> 21 Science, research, engineering and technology professionals</v>
      </c>
      <c r="CL10" s="84">
        <v>0.7116284605503812</v>
      </c>
      <c r="CM10" s="84">
        <v>0.52510781835823817</v>
      </c>
      <c r="CN10" s="84">
        <v>0.70190170228417992</v>
      </c>
      <c r="CO10" s="84">
        <v>0.6176615583673345</v>
      </c>
      <c r="CP10" s="84">
        <v>0.79643964718829663</v>
      </c>
      <c r="CQ10" s="84"/>
      <c r="CR10" s="84">
        <f t="shared" si="50"/>
        <v>9.4537944904116711E-2</v>
      </c>
      <c r="CS10" s="84">
        <f>'RD T1'!E261</f>
        <v>0.12639171579492792</v>
      </c>
      <c r="CT10" s="84">
        <f t="shared" si="51"/>
        <v>0.22092966069904463</v>
      </c>
    </row>
    <row r="11" spans="1:98" x14ac:dyDescent="0.2">
      <c r="A11" s="12" t="str">
        <f>name!D7</f>
        <v xml:space="preserve"> 22 Health professionals</v>
      </c>
      <c r="B11" s="84">
        <v>2.880233410855475</v>
      </c>
      <c r="C11" s="84">
        <v>3.7499576863274178</v>
      </c>
      <c r="D11" s="84">
        <v>7.0758120609665367</v>
      </c>
      <c r="E11" s="84">
        <v>8.940538268017125</v>
      </c>
      <c r="F11" s="84">
        <v>10.789602224402024</v>
      </c>
      <c r="G11" s="13"/>
      <c r="H11" s="84">
        <f t="shared" si="26"/>
        <v>3.7137901634354877</v>
      </c>
      <c r="I11" s="84">
        <f>'RD T1'!E38</f>
        <v>2.6295775193628534</v>
      </c>
      <c r="J11" s="84">
        <f t="shared" si="27"/>
        <v>6.3433676827983412</v>
      </c>
      <c r="L11" s="18" t="str">
        <f t="shared" si="28"/>
        <v xml:space="preserve"> 22 Health professionals</v>
      </c>
      <c r="M11" s="84">
        <v>10.242688856390519</v>
      </c>
      <c r="N11" s="84">
        <v>9.7206298472901977</v>
      </c>
      <c r="O11" s="84">
        <v>17.218644175600517</v>
      </c>
      <c r="P11" s="84">
        <v>20.681132648514037</v>
      </c>
      <c r="Q11" s="84">
        <v>23.677405965257361</v>
      </c>
      <c r="R11" s="13"/>
      <c r="S11" s="84">
        <f t="shared" si="29"/>
        <v>6.4587617896568439</v>
      </c>
      <c r="T11" s="84">
        <f>'RD T1'!E66</f>
        <v>6.4774044123815386</v>
      </c>
      <c r="U11" s="84">
        <f t="shared" si="30"/>
        <v>12.936166202038383</v>
      </c>
      <c r="W11" s="18" t="str">
        <f t="shared" si="31"/>
        <v xml:space="preserve"> 22 Health professionals</v>
      </c>
      <c r="X11" s="84">
        <v>18.381844884046508</v>
      </c>
      <c r="Y11" s="84">
        <v>25.536652212174509</v>
      </c>
      <c r="Z11" s="84">
        <v>34.049416818545311</v>
      </c>
      <c r="AA11" s="84">
        <v>42.134934922188663</v>
      </c>
      <c r="AB11" s="84">
        <v>46.875880851503901</v>
      </c>
      <c r="AC11" s="84"/>
      <c r="AD11" s="84">
        <f t="shared" si="32"/>
        <v>12.82646403295859</v>
      </c>
      <c r="AE11" s="84">
        <f>'RD T1'!E94</f>
        <v>17.032338176544343</v>
      </c>
      <c r="AF11" s="84">
        <f t="shared" si="33"/>
        <v>29.858802209502933</v>
      </c>
      <c r="AH11" s="18" t="str">
        <f t="shared" si="34"/>
        <v xml:space="preserve"> 22 Health professionals</v>
      </c>
      <c r="AI11" s="84">
        <v>19.102385214851601</v>
      </c>
      <c r="AJ11" s="84">
        <v>17.722427402524584</v>
      </c>
      <c r="AK11" s="84">
        <v>16.187733888589253</v>
      </c>
      <c r="AL11" s="84">
        <v>11.370775455303873</v>
      </c>
      <c r="AM11" s="84">
        <v>7.2043179355589491</v>
      </c>
      <c r="AN11" s="84"/>
      <c r="AO11" s="84">
        <f t="shared" si="35"/>
        <v>-8.9834159530303044</v>
      </c>
      <c r="AP11" s="84">
        <f>'RD T1'!E122</f>
        <v>3.2996306903538812</v>
      </c>
      <c r="AQ11" s="84">
        <f t="shared" si="36"/>
        <v>-5.6837852626764231</v>
      </c>
      <c r="AS11" s="18" t="str">
        <f t="shared" si="37"/>
        <v xml:space="preserve"> 22 Health professionals</v>
      </c>
      <c r="AT11" s="84">
        <v>1.5194043205414329</v>
      </c>
      <c r="AU11" s="84">
        <v>1.8140166383300544</v>
      </c>
      <c r="AV11" s="84">
        <v>2.0918486969481549</v>
      </c>
      <c r="AW11" s="84">
        <v>2.3436288776886931</v>
      </c>
      <c r="AX11" s="84">
        <v>2.616666107124515</v>
      </c>
      <c r="AY11" s="84"/>
      <c r="AZ11" s="84">
        <f t="shared" si="38"/>
        <v>0.52481741017636008</v>
      </c>
      <c r="BA11" s="84">
        <f>'RD T1'!E150</f>
        <v>0.86029096168084729</v>
      </c>
      <c r="BB11" s="84">
        <f t="shared" si="39"/>
        <v>1.3851083718572075</v>
      </c>
      <c r="BD11" s="18" t="str">
        <f t="shared" si="40"/>
        <v xml:space="preserve"> 22 Health professionals</v>
      </c>
      <c r="BE11" s="84">
        <v>5.608819335595884</v>
      </c>
      <c r="BF11" s="84">
        <v>6.4657940343750333</v>
      </c>
      <c r="BG11" s="84">
        <v>9.326409959813585</v>
      </c>
      <c r="BH11" s="84">
        <v>9.641838173991756</v>
      </c>
      <c r="BI11" s="84">
        <v>11.579971218004793</v>
      </c>
      <c r="BJ11" s="84"/>
      <c r="BK11" s="84">
        <f t="shared" si="41"/>
        <v>2.2535612581912083</v>
      </c>
      <c r="BL11" s="84">
        <f>'RD T1'!E178</f>
        <v>3.7541782508011101</v>
      </c>
      <c r="BM11" s="84">
        <f t="shared" si="42"/>
        <v>6.0077395089923185</v>
      </c>
      <c r="BO11" s="18" t="str">
        <f t="shared" si="43"/>
        <v xml:space="preserve"> 22 Health professionals</v>
      </c>
      <c r="BP11" s="84">
        <v>4.7574409045288801</v>
      </c>
      <c r="BQ11" s="84">
        <v>5.7610405953704253</v>
      </c>
      <c r="BR11" s="84">
        <v>6.3725419184576673</v>
      </c>
      <c r="BS11" s="84">
        <v>6.0344088742981361</v>
      </c>
      <c r="BT11" s="84">
        <v>6.0226644262491478</v>
      </c>
      <c r="BU11" s="84"/>
      <c r="BV11" s="84">
        <f t="shared" si="44"/>
        <v>-0.34987749220851949</v>
      </c>
      <c r="BW11" s="84">
        <f>'RD T1'!E206</f>
        <v>2.0720409784772138</v>
      </c>
      <c r="BX11" s="84">
        <f t="shared" si="45"/>
        <v>1.7221634862686943</v>
      </c>
      <c r="BZ11" s="18" t="str">
        <f t="shared" si="46"/>
        <v xml:space="preserve"> 22 Health professionals</v>
      </c>
      <c r="CA11" s="84">
        <v>3.0531479939553439</v>
      </c>
      <c r="CB11" s="84">
        <v>2.8640606830322191</v>
      </c>
      <c r="CC11" s="84">
        <v>3.7795016192012976</v>
      </c>
      <c r="CD11" s="84">
        <v>2.8684023022560456</v>
      </c>
      <c r="CE11" s="84">
        <v>3.1148812659368166</v>
      </c>
      <c r="CF11" s="84"/>
      <c r="CG11" s="84">
        <f t="shared" si="47"/>
        <v>-0.66462035326448099</v>
      </c>
      <c r="CH11" s="84">
        <f>'RD T1'!E234</f>
        <v>0.85288925861033071</v>
      </c>
      <c r="CI11" s="84">
        <f t="shared" si="48"/>
        <v>0.18826890534584972</v>
      </c>
      <c r="CK11" s="18" t="str">
        <f t="shared" si="49"/>
        <v xml:space="preserve"> 22 Health professionals</v>
      </c>
      <c r="CL11" s="84">
        <v>0.37236046010856361</v>
      </c>
      <c r="CM11" s="84">
        <v>0.29782658387880573</v>
      </c>
      <c r="CN11" s="84">
        <v>0.33753315810623785</v>
      </c>
      <c r="CO11" s="84">
        <v>0.31932848658996338</v>
      </c>
      <c r="CP11" s="84">
        <v>0.49038373689307674</v>
      </c>
      <c r="CQ11" s="84"/>
      <c r="CR11" s="84">
        <f t="shared" si="50"/>
        <v>0.15285057878683889</v>
      </c>
      <c r="CS11" s="84">
        <f>'RD T1'!E262</f>
        <v>8.3591111926931513E-2</v>
      </c>
      <c r="CT11" s="84">
        <f t="shared" si="51"/>
        <v>0.23644169071377041</v>
      </c>
    </row>
    <row r="12" spans="1:98" x14ac:dyDescent="0.2">
      <c r="A12" s="12" t="str">
        <f>name!D8</f>
        <v xml:space="preserve"> 23 Teaching and educational professionals</v>
      </c>
      <c r="B12" s="84">
        <v>4.9194414269701401</v>
      </c>
      <c r="C12" s="84">
        <v>5.6428761318645995</v>
      </c>
      <c r="D12" s="84">
        <v>8.1804071417823501</v>
      </c>
      <c r="E12" s="84">
        <v>9.1911996639244027</v>
      </c>
      <c r="F12" s="84">
        <v>10.260738252372306</v>
      </c>
      <c r="G12" s="13"/>
      <c r="H12" s="84">
        <f t="shared" si="26"/>
        <v>2.080331110589956</v>
      </c>
      <c r="I12" s="84">
        <f>'RD T1'!E39</f>
        <v>2.9102535008095138</v>
      </c>
      <c r="J12" s="84">
        <f t="shared" si="27"/>
        <v>4.9905846113994698</v>
      </c>
      <c r="L12" s="18" t="str">
        <f t="shared" si="28"/>
        <v xml:space="preserve"> 23 Teaching and educational professionals</v>
      </c>
      <c r="M12" s="84">
        <v>30.500916029544229</v>
      </c>
      <c r="N12" s="84">
        <v>31.949149870655638</v>
      </c>
      <c r="O12" s="84">
        <v>46.290992750313578</v>
      </c>
      <c r="P12" s="84">
        <v>51.527888973432354</v>
      </c>
      <c r="Q12" s="84">
        <v>56.768126987124731</v>
      </c>
      <c r="R12" s="13"/>
      <c r="S12" s="84">
        <f t="shared" si="29"/>
        <v>10.477134236811153</v>
      </c>
      <c r="T12" s="84">
        <f>'RD T1'!E67</f>
        <v>17.11689784772544</v>
      </c>
      <c r="U12" s="84">
        <f t="shared" si="30"/>
        <v>27.594032084536593</v>
      </c>
      <c r="W12" s="18" t="str">
        <f t="shared" si="31"/>
        <v xml:space="preserve"> 23 Teaching and educational professionals</v>
      </c>
      <c r="X12" s="84">
        <v>21.377361929034077</v>
      </c>
      <c r="Y12" s="84">
        <v>29.149181957980272</v>
      </c>
      <c r="Z12" s="84">
        <v>25.206457423792934</v>
      </c>
      <c r="AA12" s="84">
        <v>24.079308015793863</v>
      </c>
      <c r="AB12" s="84">
        <v>23.103021882727912</v>
      </c>
      <c r="AC12" s="84"/>
      <c r="AD12" s="84">
        <f t="shared" si="32"/>
        <v>-2.1034355410650214</v>
      </c>
      <c r="AE12" s="84">
        <f>'RD T1'!E95</f>
        <v>9.2042358056694376</v>
      </c>
      <c r="AF12" s="84">
        <f t="shared" si="33"/>
        <v>7.1008002646044162</v>
      </c>
      <c r="AH12" s="18" t="str">
        <f t="shared" si="34"/>
        <v xml:space="preserve"> 23 Teaching and educational professionals</v>
      </c>
      <c r="AI12" s="84">
        <v>7.8946649292455291</v>
      </c>
      <c r="AJ12" s="84">
        <v>6.9608032976897851</v>
      </c>
      <c r="AK12" s="84">
        <v>3.1103316550965756</v>
      </c>
      <c r="AL12" s="84">
        <v>1.6149587876107152</v>
      </c>
      <c r="AM12" s="84">
        <v>1.6170206627397359</v>
      </c>
      <c r="AN12" s="84"/>
      <c r="AO12" s="84">
        <f t="shared" si="35"/>
        <v>-1.4933109923568397</v>
      </c>
      <c r="AP12" s="84">
        <f>'RD T1'!E123</f>
        <v>0.46938900375814707</v>
      </c>
      <c r="AQ12" s="84">
        <f t="shared" si="36"/>
        <v>-1.0239219885986928</v>
      </c>
      <c r="AS12" s="18" t="str">
        <f t="shared" si="37"/>
        <v xml:space="preserve"> 23 Teaching and educational professionals</v>
      </c>
      <c r="AT12" s="84">
        <v>0.94550924669314074</v>
      </c>
      <c r="AU12" s="84">
        <v>1.1387370322339225</v>
      </c>
      <c r="AV12" s="84">
        <v>0.79384526182301862</v>
      </c>
      <c r="AW12" s="84">
        <v>0.80462688396505122</v>
      </c>
      <c r="AX12" s="84">
        <v>0.83363704611222678</v>
      </c>
      <c r="AY12" s="84"/>
      <c r="AZ12" s="84">
        <f t="shared" si="38"/>
        <v>3.9791784289208154E-2</v>
      </c>
      <c r="BA12" s="84">
        <f>'RD T1'!E151</f>
        <v>0.29058772906735392</v>
      </c>
      <c r="BB12" s="84">
        <f t="shared" si="39"/>
        <v>0.33037951335656207</v>
      </c>
      <c r="BD12" s="18" t="str">
        <f t="shared" si="40"/>
        <v xml:space="preserve"> 23 Teaching and educational professionals</v>
      </c>
      <c r="BE12" s="84">
        <v>2.8430368113563778</v>
      </c>
      <c r="BF12" s="84">
        <v>3.7916816971996603</v>
      </c>
      <c r="BG12" s="84">
        <v>4.08107607975706</v>
      </c>
      <c r="BH12" s="84">
        <v>3.8200629801732884</v>
      </c>
      <c r="BI12" s="84">
        <v>4.5507560056422127</v>
      </c>
      <c r="BJ12" s="84"/>
      <c r="BK12" s="84">
        <f t="shared" si="41"/>
        <v>0.46967992588515273</v>
      </c>
      <c r="BL12" s="84">
        <f>'RD T1'!E179</f>
        <v>1.2812001454508337</v>
      </c>
      <c r="BM12" s="84">
        <f t="shared" si="42"/>
        <v>1.7508800713359864</v>
      </c>
      <c r="BO12" s="18" t="str">
        <f t="shared" si="43"/>
        <v xml:space="preserve"> 23 Teaching and educational professionals</v>
      </c>
      <c r="BP12" s="84">
        <v>3.1008785443520908</v>
      </c>
      <c r="BQ12" s="84">
        <v>2.7746241259569535</v>
      </c>
      <c r="BR12" s="84">
        <v>2.9538683432068527</v>
      </c>
      <c r="BS12" s="84">
        <v>2.9888818696985209</v>
      </c>
      <c r="BT12" s="84">
        <v>3.633514403982911</v>
      </c>
      <c r="BU12" s="84"/>
      <c r="BV12" s="84">
        <f t="shared" si="44"/>
        <v>0.67964606077605838</v>
      </c>
      <c r="BW12" s="84">
        <f>'RD T1'!E207</f>
        <v>1.1281124120154757</v>
      </c>
      <c r="BX12" s="84">
        <f t="shared" si="45"/>
        <v>1.8077584727915341</v>
      </c>
      <c r="BZ12" s="18" t="str">
        <f t="shared" si="46"/>
        <v xml:space="preserve"> 23 Teaching and educational professionals</v>
      </c>
      <c r="CA12" s="84">
        <v>1.9803509349656634</v>
      </c>
      <c r="CB12" s="84">
        <v>1.9910689192305495</v>
      </c>
      <c r="CC12" s="84">
        <v>2.4830464895393494</v>
      </c>
      <c r="CD12" s="84">
        <v>2.0564221399153118</v>
      </c>
      <c r="CE12" s="84">
        <v>2.7444114059908009</v>
      </c>
      <c r="CF12" s="84"/>
      <c r="CG12" s="84">
        <f t="shared" si="47"/>
        <v>0.26136491645145155</v>
      </c>
      <c r="CH12" s="84">
        <f>'RD T1'!E235</f>
        <v>0.70891472308948211</v>
      </c>
      <c r="CI12" s="84">
        <f t="shared" si="48"/>
        <v>0.97027963954093366</v>
      </c>
      <c r="CK12" s="18" t="str">
        <f t="shared" si="49"/>
        <v xml:space="preserve"> 23 Teaching and educational professionals</v>
      </c>
      <c r="CL12" s="84">
        <v>0.35541438824677507</v>
      </c>
      <c r="CM12" s="84">
        <v>0.42611707966542856</v>
      </c>
      <c r="CN12" s="84">
        <v>0.61129173712473706</v>
      </c>
      <c r="CO12" s="84">
        <v>0.55589367472431406</v>
      </c>
      <c r="CP12" s="84">
        <v>0.74949759066839738</v>
      </c>
      <c r="CQ12" s="84"/>
      <c r="CR12" s="84">
        <f t="shared" si="50"/>
        <v>0.13820585354366033</v>
      </c>
      <c r="CS12" s="84">
        <f>'RD T1'!E263</f>
        <v>0.1586307847570366</v>
      </c>
      <c r="CT12" s="84">
        <f t="shared" si="51"/>
        <v>0.29683663830069695</v>
      </c>
    </row>
    <row r="13" spans="1:98" x14ac:dyDescent="0.2">
      <c r="A13" s="12" t="str">
        <f>name!D9</f>
        <v xml:space="preserve"> 24 Business, media and public service professionals</v>
      </c>
      <c r="B13" s="84">
        <v>0.71854915861004176</v>
      </c>
      <c r="C13" s="84">
        <v>0.50924619453795794</v>
      </c>
      <c r="D13" s="84">
        <v>0.88743943092299471</v>
      </c>
      <c r="E13" s="84">
        <v>1.1470161055914494</v>
      </c>
      <c r="F13" s="84">
        <v>1.3406136163984248</v>
      </c>
      <c r="G13" s="13"/>
      <c r="H13" s="84">
        <f t="shared" si="26"/>
        <v>0.45317418547543009</v>
      </c>
      <c r="I13" s="84">
        <f>'RD T1'!E40</f>
        <v>0.34033875114069201</v>
      </c>
      <c r="J13" s="84">
        <f t="shared" si="27"/>
        <v>0.7935129366161221</v>
      </c>
      <c r="L13" s="18" t="str">
        <f t="shared" si="28"/>
        <v xml:space="preserve"> 24 Business, media and public service professionals</v>
      </c>
      <c r="M13" s="84">
        <v>7.9030939927281327</v>
      </c>
      <c r="N13" s="84">
        <v>6.9570366204467176</v>
      </c>
      <c r="O13" s="84">
        <v>11.672584895273346</v>
      </c>
      <c r="P13" s="84">
        <v>14.150963385829321</v>
      </c>
      <c r="Q13" s="84">
        <v>15.604974991208104</v>
      </c>
      <c r="R13" s="13"/>
      <c r="S13" s="84">
        <f t="shared" si="29"/>
        <v>3.9323900959347586</v>
      </c>
      <c r="T13" s="84">
        <f>'RD T1'!E68</f>
        <v>4.2952886530714229</v>
      </c>
      <c r="U13" s="84">
        <f t="shared" si="30"/>
        <v>8.2276787490061807</v>
      </c>
      <c r="W13" s="18" t="str">
        <f t="shared" si="31"/>
        <v xml:space="preserve"> 24 Business, media and public service professionals</v>
      </c>
      <c r="X13" s="84">
        <v>13.873004920618774</v>
      </c>
      <c r="Y13" s="84">
        <v>15.816202845289187</v>
      </c>
      <c r="Z13" s="84">
        <v>18.114001326572957</v>
      </c>
      <c r="AA13" s="84">
        <v>21.133554285229259</v>
      </c>
      <c r="AB13" s="84">
        <v>22.271957611498937</v>
      </c>
      <c r="AC13" s="84"/>
      <c r="AD13" s="84">
        <f t="shared" si="32"/>
        <v>4.1579562849259801</v>
      </c>
      <c r="AE13" s="84">
        <f>'RD T1'!E96</f>
        <v>7.9710332917034874</v>
      </c>
      <c r="AF13" s="84">
        <f t="shared" si="33"/>
        <v>12.128989576629468</v>
      </c>
      <c r="AH13" s="18" t="str">
        <f t="shared" si="34"/>
        <v xml:space="preserve"> 24 Business, media and public service professionals</v>
      </c>
      <c r="AI13" s="84">
        <v>3.4485582807362953</v>
      </c>
      <c r="AJ13" s="84">
        <v>2.3895690031817689</v>
      </c>
      <c r="AK13" s="84">
        <v>1.5764074208825658</v>
      </c>
      <c r="AL13" s="84">
        <v>1.2181800606582607</v>
      </c>
      <c r="AM13" s="84">
        <v>1.0296766007617655</v>
      </c>
      <c r="AN13" s="84"/>
      <c r="AO13" s="84">
        <f t="shared" si="35"/>
        <v>-0.54673082012080032</v>
      </c>
      <c r="AP13" s="84">
        <f>'RD T1'!E124</f>
        <v>0.34494993835819998</v>
      </c>
      <c r="AQ13" s="84">
        <f t="shared" si="36"/>
        <v>-0.20178088176260034</v>
      </c>
      <c r="AS13" s="18" t="str">
        <f t="shared" si="37"/>
        <v xml:space="preserve"> 24 Business, media and public service professionals</v>
      </c>
      <c r="AT13" s="84">
        <v>2.6245009960011103</v>
      </c>
      <c r="AU13" s="84">
        <v>2.4959986098189422</v>
      </c>
      <c r="AV13" s="84">
        <v>2.4962261499430847</v>
      </c>
      <c r="AW13" s="84">
        <v>2.6666682153995476</v>
      </c>
      <c r="AX13" s="84">
        <v>2.711566830958938</v>
      </c>
      <c r="AY13" s="84"/>
      <c r="AZ13" s="84">
        <f t="shared" si="38"/>
        <v>0.21534068101585335</v>
      </c>
      <c r="BA13" s="84">
        <f>'RD T1'!E152</f>
        <v>0.89909002693153506</v>
      </c>
      <c r="BB13" s="84">
        <f t="shared" si="39"/>
        <v>1.1144307079473883</v>
      </c>
      <c r="BD13" s="18" t="str">
        <f t="shared" si="40"/>
        <v xml:space="preserve"> 24 Business, media and public service professionals</v>
      </c>
      <c r="BE13" s="84">
        <v>5.3454589346886312</v>
      </c>
      <c r="BF13" s="84">
        <v>5.2318509387699974</v>
      </c>
      <c r="BG13" s="84">
        <v>5.9373043065207094</v>
      </c>
      <c r="BH13" s="84">
        <v>5.5591798250234108</v>
      </c>
      <c r="BI13" s="84">
        <v>5.6288910083574475</v>
      </c>
      <c r="BJ13" s="84"/>
      <c r="BK13" s="84">
        <f t="shared" si="41"/>
        <v>-0.30841329816326191</v>
      </c>
      <c r="BL13" s="84">
        <f>'RD T1'!E180</f>
        <v>1.6539410196913342</v>
      </c>
      <c r="BM13" s="84">
        <f t="shared" si="42"/>
        <v>1.3455277215280723</v>
      </c>
      <c r="BO13" s="18" t="str">
        <f t="shared" si="43"/>
        <v xml:space="preserve"> 24 Business, media and public service professionals</v>
      </c>
      <c r="BP13" s="84">
        <v>4.9462441925475762</v>
      </c>
      <c r="BQ13" s="84">
        <v>4.0202742954212827</v>
      </c>
      <c r="BR13" s="84">
        <v>3.8623469329412345</v>
      </c>
      <c r="BS13" s="84">
        <v>3.3472324764645229</v>
      </c>
      <c r="BT13" s="84">
        <v>3.2064627741737053</v>
      </c>
      <c r="BU13" s="84"/>
      <c r="BV13" s="84">
        <f t="shared" si="44"/>
        <v>-0.65588415876752926</v>
      </c>
      <c r="BW13" s="84">
        <f>'RD T1'!E208</f>
        <v>1.0179649481961865</v>
      </c>
      <c r="BX13" s="84">
        <f t="shared" si="45"/>
        <v>0.36208078942865729</v>
      </c>
      <c r="BZ13" s="18" t="str">
        <f t="shared" si="46"/>
        <v xml:space="preserve"> 24 Business, media and public service professionals</v>
      </c>
      <c r="CA13" s="84">
        <v>2.3445012073475393</v>
      </c>
      <c r="CB13" s="84">
        <v>2.1229157522698769</v>
      </c>
      <c r="CC13" s="84">
        <v>2.567215301248408</v>
      </c>
      <c r="CD13" s="84">
        <v>2.1929261787558212</v>
      </c>
      <c r="CE13" s="84">
        <v>2.2667904617576338</v>
      </c>
      <c r="CF13" s="84"/>
      <c r="CG13" s="84">
        <f t="shared" si="47"/>
        <v>-0.30042483949077425</v>
      </c>
      <c r="CH13" s="84">
        <f>'RD T1'!E236</f>
        <v>0.60781480557793643</v>
      </c>
      <c r="CI13" s="84">
        <f t="shared" si="48"/>
        <v>0.30738996608716218</v>
      </c>
      <c r="CK13" s="18" t="str">
        <f t="shared" si="49"/>
        <v xml:space="preserve"> 24 Business, media and public service professionals</v>
      </c>
      <c r="CL13" s="84">
        <v>0.63766113643558453</v>
      </c>
      <c r="CM13" s="84">
        <v>0.50750480796119524</v>
      </c>
      <c r="CN13" s="84">
        <v>0.71667323018362661</v>
      </c>
      <c r="CO13" s="84">
        <v>0.63997607845148863</v>
      </c>
      <c r="CP13" s="84">
        <v>0.83363598525202698</v>
      </c>
      <c r="CQ13" s="84"/>
      <c r="CR13" s="84">
        <f t="shared" si="50"/>
        <v>0.11696275506840037</v>
      </c>
      <c r="CS13" s="84">
        <f>'RD T1'!E264</f>
        <v>0.16010099020567917</v>
      </c>
      <c r="CT13" s="84">
        <f t="shared" si="51"/>
        <v>0.27706374527407951</v>
      </c>
    </row>
    <row r="14" spans="1:98" x14ac:dyDescent="0.2">
      <c r="A14" s="12" t="str">
        <f>name!D10</f>
        <v xml:space="preserve"> 31 Science, engineering and technology associate professionals</v>
      </c>
      <c r="B14" s="84">
        <v>0.33680934677340507</v>
      </c>
      <c r="C14" s="84">
        <v>0.25378644663682343</v>
      </c>
      <c r="D14" s="84">
        <v>0.44435822189549046</v>
      </c>
      <c r="E14" s="84">
        <v>0.55134354882064984</v>
      </c>
      <c r="F14" s="84">
        <v>0.64345730789831612</v>
      </c>
      <c r="G14" s="13"/>
      <c r="H14" s="84">
        <f t="shared" si="26"/>
        <v>0.19909908600282566</v>
      </c>
      <c r="I14" s="84">
        <f>'RD T1'!E41</f>
        <v>0.1422358001799725</v>
      </c>
      <c r="J14" s="84">
        <f t="shared" si="27"/>
        <v>0.34133488618279817</v>
      </c>
      <c r="L14" s="18" t="str">
        <f t="shared" si="28"/>
        <v xml:space="preserve"> 31 Science, engineering and technology associate professionals</v>
      </c>
      <c r="M14" s="84">
        <v>2.0187165139620116</v>
      </c>
      <c r="N14" s="84">
        <v>1.6054006432862415</v>
      </c>
      <c r="O14" s="84">
        <v>2.9118450070734521</v>
      </c>
      <c r="P14" s="84">
        <v>3.568990354581691</v>
      </c>
      <c r="Q14" s="84">
        <v>4.1143741030423868</v>
      </c>
      <c r="R14" s="13"/>
      <c r="S14" s="84">
        <f t="shared" si="29"/>
        <v>1.2025290959689348</v>
      </c>
      <c r="T14" s="84">
        <f>'RD T1'!E69</f>
        <v>0.86676105680143822</v>
      </c>
      <c r="U14" s="84">
        <f t="shared" si="30"/>
        <v>2.0692901527703729</v>
      </c>
      <c r="W14" s="18" t="str">
        <f t="shared" si="31"/>
        <v xml:space="preserve"> 31 Science, engineering and technology associate professionals</v>
      </c>
      <c r="X14" s="84">
        <v>4.463941424030156</v>
      </c>
      <c r="Y14" s="84">
        <v>5.1994699951466536</v>
      </c>
      <c r="Z14" s="84">
        <v>6.5897570343337453</v>
      </c>
      <c r="AA14" s="84">
        <v>7.3581966326449626</v>
      </c>
      <c r="AB14" s="84">
        <v>7.8423179057732417</v>
      </c>
      <c r="AC14" s="84"/>
      <c r="AD14" s="84">
        <f t="shared" si="32"/>
        <v>1.2525608714394965</v>
      </c>
      <c r="AE14" s="84">
        <f>'RD T1'!E97</f>
        <v>2.2055101842467355</v>
      </c>
      <c r="AF14" s="84">
        <f t="shared" si="33"/>
        <v>3.458071055686232</v>
      </c>
      <c r="AH14" s="18" t="str">
        <f t="shared" si="34"/>
        <v xml:space="preserve"> 31 Science, engineering and technology associate professionals</v>
      </c>
      <c r="AI14" s="84">
        <v>0.87826171470325587</v>
      </c>
      <c r="AJ14" s="84">
        <v>1.0426842059683341</v>
      </c>
      <c r="AK14" s="84">
        <v>1.1030841863281684</v>
      </c>
      <c r="AL14" s="84">
        <v>1.3093927384507973</v>
      </c>
      <c r="AM14" s="84">
        <v>1.4326090509141725</v>
      </c>
      <c r="AN14" s="84"/>
      <c r="AO14" s="84">
        <f t="shared" si="35"/>
        <v>0.32952486458600405</v>
      </c>
      <c r="AP14" s="84">
        <f>'RD T1'!E125</f>
        <v>0.41917460656248995</v>
      </c>
      <c r="AQ14" s="84">
        <f t="shared" si="36"/>
        <v>0.748699471148494</v>
      </c>
      <c r="AS14" s="18" t="str">
        <f t="shared" si="37"/>
        <v xml:space="preserve"> 31 Science, engineering and technology associate professionals</v>
      </c>
      <c r="AT14" s="84">
        <v>3.3371580302595674</v>
      </c>
      <c r="AU14" s="84">
        <v>2.9304058245133926</v>
      </c>
      <c r="AV14" s="84">
        <v>2.6507716779483506</v>
      </c>
      <c r="AW14" s="84">
        <v>2.6367611476511397</v>
      </c>
      <c r="AX14" s="84">
        <v>2.5890583380532042</v>
      </c>
      <c r="AY14" s="84"/>
      <c r="AZ14" s="84">
        <f t="shared" si="38"/>
        <v>-6.171333989514638E-2</v>
      </c>
      <c r="BA14" s="84">
        <f>'RD T1'!E153</f>
        <v>0.67882861068022382</v>
      </c>
      <c r="BB14" s="84">
        <f t="shared" si="39"/>
        <v>0.61711527078507744</v>
      </c>
      <c r="BD14" s="18" t="str">
        <f t="shared" si="40"/>
        <v xml:space="preserve"> 31 Science, engineering and technology associate professionals</v>
      </c>
      <c r="BE14" s="84">
        <v>5.480670302847404</v>
      </c>
      <c r="BF14" s="84">
        <v>4.7061453446176476</v>
      </c>
      <c r="BG14" s="84">
        <v>4.5412908847677222</v>
      </c>
      <c r="BH14" s="84">
        <v>3.6844482052894705</v>
      </c>
      <c r="BI14" s="84">
        <v>2.8649213422143553</v>
      </c>
      <c r="BJ14" s="84"/>
      <c r="BK14" s="84">
        <f t="shared" si="41"/>
        <v>-1.6763695425533669</v>
      </c>
      <c r="BL14" s="84">
        <f>'RD T1'!E181</f>
        <v>0.85848991473610625</v>
      </c>
      <c r="BM14" s="84">
        <f t="shared" si="42"/>
        <v>-0.81787962781726065</v>
      </c>
      <c r="BO14" s="18" t="str">
        <f t="shared" si="43"/>
        <v xml:space="preserve"> 31 Science, engineering and technology associate professionals</v>
      </c>
      <c r="BP14" s="84">
        <v>4.1404732862261415</v>
      </c>
      <c r="BQ14" s="84">
        <v>3.7476247984363096</v>
      </c>
      <c r="BR14" s="84">
        <v>3.6288322988924118</v>
      </c>
      <c r="BS14" s="84">
        <v>3.0794723094638292</v>
      </c>
      <c r="BT14" s="84">
        <v>2.788759315732539</v>
      </c>
      <c r="BU14" s="84"/>
      <c r="BV14" s="84">
        <f t="shared" si="44"/>
        <v>-0.84007298315987278</v>
      </c>
      <c r="BW14" s="84">
        <f>'RD T1'!E209</f>
        <v>0.81433006348402426</v>
      </c>
      <c r="BX14" s="84">
        <f t="shared" si="45"/>
        <v>-2.5742919675848519E-2</v>
      </c>
      <c r="BZ14" s="18" t="str">
        <f t="shared" si="46"/>
        <v xml:space="preserve"> 31 Science, engineering and technology associate professionals</v>
      </c>
      <c r="CA14" s="84">
        <v>2.6852671101606393</v>
      </c>
      <c r="CB14" s="84">
        <v>2.1910356387249794</v>
      </c>
      <c r="CC14" s="84">
        <v>2.7298184385891835</v>
      </c>
      <c r="CD14" s="84">
        <v>2.4317236771247757</v>
      </c>
      <c r="CE14" s="84">
        <v>2.3879829788746574</v>
      </c>
      <c r="CF14" s="84"/>
      <c r="CG14" s="84">
        <f t="shared" si="47"/>
        <v>-0.34183545971452611</v>
      </c>
      <c r="CH14" s="84">
        <f>'RD T1'!E237</f>
        <v>0.60509960907859417</v>
      </c>
      <c r="CI14" s="84">
        <f t="shared" si="48"/>
        <v>0.26326414936406806</v>
      </c>
      <c r="CK14" s="18" t="str">
        <f t="shared" si="49"/>
        <v xml:space="preserve"> 31 Science, engineering and technology associate professionals</v>
      </c>
      <c r="CL14" s="84">
        <v>0.62791102386537667</v>
      </c>
      <c r="CM14" s="84">
        <v>0.40568870465777068</v>
      </c>
      <c r="CN14" s="84">
        <v>0.55331892407796002</v>
      </c>
      <c r="CO14" s="84">
        <v>0.51346625000599466</v>
      </c>
      <c r="CP14" s="84">
        <v>0.62754679240885425</v>
      </c>
      <c r="CQ14" s="84"/>
      <c r="CR14" s="84">
        <f t="shared" si="50"/>
        <v>7.4227868330894231E-2</v>
      </c>
      <c r="CS14" s="84">
        <f>'RD T1'!E265</f>
        <v>0.12468026089392528</v>
      </c>
      <c r="CT14" s="84">
        <f t="shared" si="51"/>
        <v>0.19890812922481951</v>
      </c>
    </row>
    <row r="15" spans="1:98" x14ac:dyDescent="0.2">
      <c r="A15" s="12" t="str">
        <f>name!D11</f>
        <v xml:space="preserve"> 32 Health and social care associate professionals</v>
      </c>
      <c r="B15" s="84">
        <v>0.12049946226188862</v>
      </c>
      <c r="C15" s="84">
        <v>7.7955930804228926E-2</v>
      </c>
      <c r="D15" s="84">
        <v>0.11846407209723968</v>
      </c>
      <c r="E15" s="84">
        <v>0.15321436612602685</v>
      </c>
      <c r="F15" s="84">
        <v>0.17937885645805293</v>
      </c>
      <c r="G15" s="13"/>
      <c r="H15" s="84">
        <f t="shared" si="26"/>
        <v>6.0914784360813254E-2</v>
      </c>
      <c r="I15" s="84">
        <f>'RD T1'!E42</f>
        <v>5.4374797236523241E-2</v>
      </c>
      <c r="J15" s="84">
        <f t="shared" si="27"/>
        <v>0.11528958159733649</v>
      </c>
      <c r="L15" s="18" t="str">
        <f t="shared" si="28"/>
        <v xml:space="preserve"> 32 Health and social care associate professionals</v>
      </c>
      <c r="M15" s="84">
        <v>2.1389019299654257</v>
      </c>
      <c r="N15" s="84">
        <v>1.9813038284462066</v>
      </c>
      <c r="O15" s="84">
        <v>3.8424483636691202</v>
      </c>
      <c r="P15" s="84">
        <v>4.8546791434277701</v>
      </c>
      <c r="Q15" s="84">
        <v>5.8428233046972444</v>
      </c>
      <c r="R15" s="13"/>
      <c r="S15" s="84">
        <f t="shared" si="29"/>
        <v>2.0003749410281242</v>
      </c>
      <c r="T15" s="84">
        <f>'RD T1'!E70</f>
        <v>1.6822902126970816</v>
      </c>
      <c r="U15" s="84">
        <f t="shared" si="30"/>
        <v>3.682665153725206</v>
      </c>
      <c r="W15" s="18" t="str">
        <f t="shared" si="31"/>
        <v xml:space="preserve"> 32 Health and social care associate professionals</v>
      </c>
      <c r="X15" s="84">
        <v>5.6409551031338108</v>
      </c>
      <c r="Y15" s="84">
        <v>7.6230646225056704</v>
      </c>
      <c r="Z15" s="84">
        <v>10.771197675282158</v>
      </c>
      <c r="AA15" s="84">
        <v>13.87250227325462</v>
      </c>
      <c r="AB15" s="84">
        <v>15.891562951061282</v>
      </c>
      <c r="AC15" s="84"/>
      <c r="AD15" s="84">
        <f t="shared" si="32"/>
        <v>5.1203652757791236</v>
      </c>
      <c r="AE15" s="84">
        <f>'RD T1'!E98</f>
        <v>5.9938702375650577</v>
      </c>
      <c r="AF15" s="84">
        <f t="shared" si="33"/>
        <v>11.11423551334418</v>
      </c>
      <c r="AH15" s="18" t="str">
        <f t="shared" si="34"/>
        <v xml:space="preserve"> 32 Health and social care associate professionals</v>
      </c>
      <c r="AI15" s="84">
        <v>7.2788749331740741</v>
      </c>
      <c r="AJ15" s="84">
        <v>6.9469731624602886</v>
      </c>
      <c r="AK15" s="84">
        <v>6.9279534742598301</v>
      </c>
      <c r="AL15" s="84">
        <v>5.6682820250707495</v>
      </c>
      <c r="AM15" s="84">
        <v>4.4162282082126909</v>
      </c>
      <c r="AN15" s="84"/>
      <c r="AO15" s="84">
        <f t="shared" si="35"/>
        <v>-2.5117252660471392</v>
      </c>
      <c r="AP15" s="84">
        <f>'RD T1'!E126</f>
        <v>1.7626106909566879</v>
      </c>
      <c r="AQ15" s="84">
        <f t="shared" si="36"/>
        <v>-0.74911457509045132</v>
      </c>
      <c r="AS15" s="18" t="str">
        <f t="shared" si="37"/>
        <v xml:space="preserve"> 32 Health and social care associate professionals</v>
      </c>
      <c r="AT15" s="84">
        <v>0.73686580718968853</v>
      </c>
      <c r="AU15" s="84">
        <v>0.97863218798451124</v>
      </c>
      <c r="AV15" s="84">
        <v>1.2005623920069088</v>
      </c>
      <c r="AW15" s="84">
        <v>1.3985439635927921</v>
      </c>
      <c r="AX15" s="84">
        <v>1.5309496515390049</v>
      </c>
      <c r="AY15" s="84"/>
      <c r="AZ15" s="84">
        <f t="shared" si="38"/>
        <v>0.33038725953209602</v>
      </c>
      <c r="BA15" s="84">
        <f>'RD T1'!E154</f>
        <v>0.54477150192148727</v>
      </c>
      <c r="BB15" s="84">
        <f t="shared" si="39"/>
        <v>0.87515876145358329</v>
      </c>
      <c r="BD15" s="18" t="str">
        <f t="shared" si="40"/>
        <v xml:space="preserve"> 32 Health and social care associate professionals</v>
      </c>
      <c r="BE15" s="84">
        <v>2.6397920390036287</v>
      </c>
      <c r="BF15" s="84">
        <v>2.7824708268540235</v>
      </c>
      <c r="BG15" s="84">
        <v>3.8241894533700367</v>
      </c>
      <c r="BH15" s="84">
        <v>3.8797920672873754</v>
      </c>
      <c r="BI15" s="84">
        <v>4.4930425506307579</v>
      </c>
      <c r="BJ15" s="84"/>
      <c r="BK15" s="84">
        <f t="shared" si="41"/>
        <v>0.66885309726072117</v>
      </c>
      <c r="BL15" s="84">
        <f>'RD T1'!E182</f>
        <v>1.4763293668544137</v>
      </c>
      <c r="BM15" s="84">
        <f t="shared" si="42"/>
        <v>2.1451824641151349</v>
      </c>
      <c r="BO15" s="18" t="str">
        <f t="shared" si="43"/>
        <v xml:space="preserve"> 32 Health and social care associate professionals</v>
      </c>
      <c r="BP15" s="84">
        <v>2.1144424274718889</v>
      </c>
      <c r="BQ15" s="84">
        <v>2.5584254138834566</v>
      </c>
      <c r="BR15" s="84">
        <v>2.8742694919127594</v>
      </c>
      <c r="BS15" s="84">
        <v>2.7267266577075038</v>
      </c>
      <c r="BT15" s="84">
        <v>2.6977420603057838</v>
      </c>
      <c r="BU15" s="84"/>
      <c r="BV15" s="84">
        <f t="shared" si="44"/>
        <v>-0.17652743160697559</v>
      </c>
      <c r="BW15" s="84">
        <f>'RD T1'!E210</f>
        <v>0.97529253984894393</v>
      </c>
      <c r="BX15" s="84">
        <f t="shared" si="45"/>
        <v>0.79876510824196834</v>
      </c>
      <c r="BZ15" s="18" t="str">
        <f t="shared" si="46"/>
        <v xml:space="preserve"> 32 Health and social care associate professionals</v>
      </c>
      <c r="CA15" s="84">
        <v>1.1785031593738944</v>
      </c>
      <c r="CB15" s="84">
        <v>1.1842578991745836</v>
      </c>
      <c r="CC15" s="84">
        <v>1.5183133609867887</v>
      </c>
      <c r="CD15" s="84">
        <v>1.1608591813661822</v>
      </c>
      <c r="CE15" s="84">
        <v>1.0890175152858639</v>
      </c>
      <c r="CF15" s="84"/>
      <c r="CG15" s="84">
        <f t="shared" si="47"/>
        <v>-0.42929584570092483</v>
      </c>
      <c r="CH15" s="84">
        <f>'RD T1'!E238</f>
        <v>0.33356087523611727</v>
      </c>
      <c r="CI15" s="84">
        <f t="shared" si="48"/>
        <v>-9.5734970464807556E-2</v>
      </c>
      <c r="CK15" s="18" t="str">
        <f t="shared" si="49"/>
        <v xml:space="preserve"> 32 Health and social care associate professionals</v>
      </c>
      <c r="CL15" s="84">
        <v>0.17240223401754659</v>
      </c>
      <c r="CM15" s="84">
        <v>0.13808587250464235</v>
      </c>
      <c r="CN15" s="84">
        <v>0.15923251568791766</v>
      </c>
      <c r="CO15" s="84">
        <v>0.14404101820307968</v>
      </c>
      <c r="CP15" s="84">
        <v>0.19560851204592603</v>
      </c>
      <c r="CQ15" s="84"/>
      <c r="CR15" s="84">
        <f t="shared" si="50"/>
        <v>3.6375996358008367E-2</v>
      </c>
      <c r="CS15" s="84">
        <f>'RD T1'!E266</f>
        <v>3.8662889103511539E-2</v>
      </c>
      <c r="CT15" s="84">
        <f t="shared" si="51"/>
        <v>7.5038885461519905E-2</v>
      </c>
    </row>
    <row r="16" spans="1:98" x14ac:dyDescent="0.2">
      <c r="A16" s="12" t="str">
        <f>name!D12</f>
        <v xml:space="preserve"> 33 Protective service occupations</v>
      </c>
      <c r="B16" s="84">
        <v>3.1759076436000712E-2</v>
      </c>
      <c r="C16" s="84">
        <v>3.9192323723720487E-2</v>
      </c>
      <c r="D16" s="84">
        <v>6.2270945974041578E-2</v>
      </c>
      <c r="E16" s="84">
        <v>8.221236338692503E-2</v>
      </c>
      <c r="F16" s="84">
        <v>0.10017725153008859</v>
      </c>
      <c r="G16" s="13"/>
      <c r="H16" s="84">
        <f t="shared" si="26"/>
        <v>3.7906305556047015E-2</v>
      </c>
      <c r="I16" s="84">
        <f>'RD T1'!E43</f>
        <v>1.8373107831337984E-2</v>
      </c>
      <c r="J16" s="84">
        <f t="shared" si="27"/>
        <v>5.6279413387384999E-2</v>
      </c>
      <c r="L16" s="18" t="str">
        <f t="shared" si="28"/>
        <v xml:space="preserve"> 33 Protective service occupations</v>
      </c>
      <c r="M16" s="84">
        <v>0.72573889261863433</v>
      </c>
      <c r="N16" s="84">
        <v>0.61751900042611862</v>
      </c>
      <c r="O16" s="84">
        <v>1.0141317886015824</v>
      </c>
      <c r="P16" s="84">
        <v>1.2543157426064901</v>
      </c>
      <c r="Q16" s="84">
        <v>1.4951451913491003</v>
      </c>
      <c r="R16" s="13"/>
      <c r="S16" s="84">
        <f t="shared" si="29"/>
        <v>0.48101340274751792</v>
      </c>
      <c r="T16" s="84">
        <f>'RD T1'!E71</f>
        <v>0.22922857671927072</v>
      </c>
      <c r="U16" s="84">
        <f t="shared" si="30"/>
        <v>0.71024197946678869</v>
      </c>
      <c r="W16" s="18" t="str">
        <f t="shared" si="31"/>
        <v xml:space="preserve"> 33 Protective service occupations</v>
      </c>
      <c r="X16" s="84">
        <v>2.7459772755685035</v>
      </c>
      <c r="Y16" s="84">
        <v>3.3642840801237708</v>
      </c>
      <c r="Z16" s="84">
        <v>4.0635718921187278</v>
      </c>
      <c r="AA16" s="84">
        <v>4.8938062577059975</v>
      </c>
      <c r="AB16" s="84">
        <v>5.2893023642751613</v>
      </c>
      <c r="AC16" s="84"/>
      <c r="AD16" s="84">
        <f t="shared" si="32"/>
        <v>1.2257304721564335</v>
      </c>
      <c r="AE16" s="84">
        <f>'RD T1'!E99</f>
        <v>1.359356653462952</v>
      </c>
      <c r="AF16" s="84">
        <f t="shared" si="33"/>
        <v>2.5850871256193857</v>
      </c>
      <c r="AH16" s="18" t="str">
        <f t="shared" si="34"/>
        <v xml:space="preserve"> 33 Protective service occupations</v>
      </c>
      <c r="AI16" s="84">
        <v>0.78176441378953176</v>
      </c>
      <c r="AJ16" s="84">
        <v>0.95102256664319684</v>
      </c>
      <c r="AK16" s="84">
        <v>1.1026994424070435</v>
      </c>
      <c r="AL16" s="84">
        <v>1.2410837310365055</v>
      </c>
      <c r="AM16" s="84">
        <v>1.3067799566209146</v>
      </c>
      <c r="AN16" s="84"/>
      <c r="AO16" s="84">
        <f t="shared" si="35"/>
        <v>0.20408051421387108</v>
      </c>
      <c r="AP16" s="84">
        <f>'RD T1'!E127</f>
        <v>0.30715053708995804</v>
      </c>
      <c r="AQ16" s="84">
        <f t="shared" si="36"/>
        <v>0.51123105130382918</v>
      </c>
      <c r="AS16" s="18" t="str">
        <f t="shared" si="37"/>
        <v xml:space="preserve"> 33 Protective service occupations</v>
      </c>
      <c r="AT16" s="84">
        <v>1.1280552235901371</v>
      </c>
      <c r="AU16" s="84">
        <v>1.0402433631559023</v>
      </c>
      <c r="AV16" s="84">
        <v>0.9523965729555216</v>
      </c>
      <c r="AW16" s="84">
        <v>0.90245671418181539</v>
      </c>
      <c r="AX16" s="84">
        <v>0.84498958996186047</v>
      </c>
      <c r="AY16" s="84"/>
      <c r="AZ16" s="84">
        <f t="shared" si="38"/>
        <v>-0.10740698299366114</v>
      </c>
      <c r="BA16" s="84">
        <f>'RD T1'!E155</f>
        <v>0.20945640035023574</v>
      </c>
      <c r="BB16" s="84">
        <f t="shared" si="39"/>
        <v>0.10204941735657461</v>
      </c>
      <c r="BD16" s="18" t="str">
        <f t="shared" si="40"/>
        <v xml:space="preserve"> 33 Protective service occupations</v>
      </c>
      <c r="BE16" s="84">
        <v>4.5804506963057143</v>
      </c>
      <c r="BF16" s="84">
        <v>3.6276143996923076</v>
      </c>
      <c r="BG16" s="84">
        <v>3.2836646485741539</v>
      </c>
      <c r="BH16" s="84">
        <v>2.7232262816522952</v>
      </c>
      <c r="BI16" s="84">
        <v>2.2547540592484792</v>
      </c>
      <c r="BJ16" s="84"/>
      <c r="BK16" s="84">
        <f t="shared" si="41"/>
        <v>-1.0289105893256747</v>
      </c>
      <c r="BL16" s="84">
        <f>'RD T1'!E183</f>
        <v>0.43890557750182047</v>
      </c>
      <c r="BM16" s="84">
        <f t="shared" si="42"/>
        <v>-0.59000501182385423</v>
      </c>
      <c r="BO16" s="18" t="str">
        <f t="shared" si="43"/>
        <v xml:space="preserve"> 33 Protective service occupations</v>
      </c>
      <c r="BP16" s="84">
        <v>4.8921227599884851</v>
      </c>
      <c r="BQ16" s="84">
        <v>4.0307500419927891</v>
      </c>
      <c r="BR16" s="84">
        <v>3.8323981862638812</v>
      </c>
      <c r="BS16" s="84">
        <v>3.1400066395188864</v>
      </c>
      <c r="BT16" s="84">
        <v>2.6869168556648391</v>
      </c>
      <c r="BU16" s="84"/>
      <c r="BV16" s="84">
        <f t="shared" si="44"/>
        <v>-1.1454813305990421</v>
      </c>
      <c r="BW16" s="84">
        <f>'RD T1'!E211</f>
        <v>0.65013484843922953</v>
      </c>
      <c r="BX16" s="84">
        <f t="shared" si="45"/>
        <v>-0.49534648215981258</v>
      </c>
      <c r="BZ16" s="18" t="str">
        <f t="shared" si="46"/>
        <v xml:space="preserve"> 33 Protective service occupations</v>
      </c>
      <c r="CA16" s="84">
        <v>2.7421259526022439</v>
      </c>
      <c r="CB16" s="84">
        <v>2.065559246466353</v>
      </c>
      <c r="CC16" s="84">
        <v>2.0832112601881891</v>
      </c>
      <c r="CD16" s="84">
        <v>1.7170379456516676</v>
      </c>
      <c r="CE16" s="84">
        <v>1.6851469283878473</v>
      </c>
      <c r="CF16" s="84"/>
      <c r="CG16" s="84">
        <f t="shared" si="47"/>
        <v>-0.39806433180034184</v>
      </c>
      <c r="CH16" s="84">
        <f>'RD T1'!E239</f>
        <v>0.37899164304455163</v>
      </c>
      <c r="CI16" s="84">
        <f t="shared" si="48"/>
        <v>-1.9072688755790213E-2</v>
      </c>
      <c r="CK16" s="18" t="str">
        <f t="shared" si="49"/>
        <v xml:space="preserve"> 33 Protective service occupations</v>
      </c>
      <c r="CL16" s="84">
        <v>0.56557960570483123</v>
      </c>
      <c r="CM16" s="84">
        <v>0.35272456560246501</v>
      </c>
      <c r="CN16" s="84">
        <v>0.32148379053759729</v>
      </c>
      <c r="CO16" s="84">
        <v>0.21718541402559147</v>
      </c>
      <c r="CP16" s="84">
        <v>0.14881318649402223</v>
      </c>
      <c r="CQ16" s="84"/>
      <c r="CR16" s="84">
        <f t="shared" si="50"/>
        <v>-0.17267060404357507</v>
      </c>
      <c r="CS16" s="84">
        <f>'RD T1'!E267</f>
        <v>2.9351644773036187E-2</v>
      </c>
      <c r="CT16" s="84">
        <f t="shared" si="51"/>
        <v>-0.14331895927053889</v>
      </c>
    </row>
    <row r="17" spans="1:98" x14ac:dyDescent="0.2">
      <c r="A17" s="12" t="str">
        <f>name!D13</f>
        <v xml:space="preserve"> 34 Culture, media and sports occupations</v>
      </c>
      <c r="B17" s="84">
        <v>0.17881022398773824</v>
      </c>
      <c r="C17" s="84">
        <v>0.17217971484810679</v>
      </c>
      <c r="D17" s="84">
        <v>0.40854061406460174</v>
      </c>
      <c r="E17" s="84">
        <v>0.53827440761837408</v>
      </c>
      <c r="F17" s="84">
        <v>0.61987810012853106</v>
      </c>
      <c r="G17" s="13"/>
      <c r="H17" s="84">
        <f t="shared" si="26"/>
        <v>0.21133748606392933</v>
      </c>
      <c r="I17" s="84">
        <f>'RD T1'!E44</f>
        <v>0.18297053272963232</v>
      </c>
      <c r="J17" s="84">
        <f t="shared" si="27"/>
        <v>0.39430801879356164</v>
      </c>
      <c r="L17" s="18" t="str">
        <f t="shared" si="28"/>
        <v xml:space="preserve"> 34 Culture, media and sports occupations</v>
      </c>
      <c r="M17" s="84">
        <v>2.0192715402514576</v>
      </c>
      <c r="N17" s="84">
        <v>2.616713711987714</v>
      </c>
      <c r="O17" s="84">
        <v>5.0441260927945057</v>
      </c>
      <c r="P17" s="84">
        <v>6.1126081394386427</v>
      </c>
      <c r="Q17" s="84">
        <v>6.6082481382225762</v>
      </c>
      <c r="R17" s="13"/>
      <c r="S17" s="84">
        <f t="shared" si="29"/>
        <v>1.5641220454280704</v>
      </c>
      <c r="T17" s="84">
        <f>'RD T1'!E72</f>
        <v>1.8973217010342849</v>
      </c>
      <c r="U17" s="84">
        <f t="shared" si="30"/>
        <v>3.4614437464623551</v>
      </c>
      <c r="W17" s="18" t="str">
        <f t="shared" si="31"/>
        <v xml:space="preserve"> 34 Culture, media and sports occupations</v>
      </c>
      <c r="X17" s="84">
        <v>5.4910678458212807</v>
      </c>
      <c r="Y17" s="84">
        <v>8.1394086542297792</v>
      </c>
      <c r="Z17" s="84">
        <v>9.7860677486467438</v>
      </c>
      <c r="AA17" s="84">
        <v>11.303992866714077</v>
      </c>
      <c r="AB17" s="84">
        <v>11.743295473869624</v>
      </c>
      <c r="AC17" s="84"/>
      <c r="AD17" s="84">
        <f t="shared" si="32"/>
        <v>1.9572277252228805</v>
      </c>
      <c r="AE17" s="84">
        <f>'RD T1'!E100</f>
        <v>3.9177642059969213</v>
      </c>
      <c r="AF17" s="84">
        <f t="shared" si="33"/>
        <v>5.8749919312198013</v>
      </c>
      <c r="AH17" s="18" t="str">
        <f t="shared" si="34"/>
        <v xml:space="preserve"> 34 Culture, media and sports occupations</v>
      </c>
      <c r="AI17" s="84">
        <v>0.88596718729016499</v>
      </c>
      <c r="AJ17" s="84">
        <v>1.2194810841153201</v>
      </c>
      <c r="AK17" s="84">
        <v>1.0806788428097973</v>
      </c>
      <c r="AL17" s="84">
        <v>1.2292360445907498</v>
      </c>
      <c r="AM17" s="84">
        <v>1.2693660207455717</v>
      </c>
      <c r="AN17" s="84"/>
      <c r="AO17" s="84">
        <f t="shared" si="35"/>
        <v>0.18868717793577439</v>
      </c>
      <c r="AP17" s="84">
        <f>'RD T1'!E128</f>
        <v>0.40938427739334415</v>
      </c>
      <c r="AQ17" s="84">
        <f t="shared" si="36"/>
        <v>0.59807145532911854</v>
      </c>
      <c r="AS17" s="18" t="str">
        <f t="shared" si="37"/>
        <v xml:space="preserve"> 34 Culture, media and sports occupations</v>
      </c>
      <c r="AT17" s="84">
        <v>1.2679615494990344</v>
      </c>
      <c r="AU17" s="84">
        <v>1.587263156425049</v>
      </c>
      <c r="AV17" s="84">
        <v>1.6687465859020827</v>
      </c>
      <c r="AW17" s="84">
        <v>1.8605182693806412</v>
      </c>
      <c r="AX17" s="84">
        <v>1.9372663695777168</v>
      </c>
      <c r="AY17" s="84"/>
      <c r="AZ17" s="84">
        <f t="shared" si="38"/>
        <v>0.26851978367563412</v>
      </c>
      <c r="BA17" s="84">
        <f>'RD T1'!E156</f>
        <v>0.61373940208395461</v>
      </c>
      <c r="BB17" s="84">
        <f t="shared" si="39"/>
        <v>0.88225918575958873</v>
      </c>
      <c r="BD17" s="18" t="str">
        <f t="shared" si="40"/>
        <v xml:space="preserve"> 34 Culture, media and sports occupations</v>
      </c>
      <c r="BE17" s="84">
        <v>2.9684269660904907</v>
      </c>
      <c r="BF17" s="84">
        <v>3.4167044197525431</v>
      </c>
      <c r="BG17" s="84">
        <v>3.6790382424573291</v>
      </c>
      <c r="BH17" s="84">
        <v>3.4078146216545004</v>
      </c>
      <c r="BI17" s="84">
        <v>3.3059130716923151</v>
      </c>
      <c r="BJ17" s="84"/>
      <c r="BK17" s="84">
        <f t="shared" si="41"/>
        <v>-0.37312517076501406</v>
      </c>
      <c r="BL17" s="84">
        <f>'RD T1'!E184</f>
        <v>0.92473184332491321</v>
      </c>
      <c r="BM17" s="84">
        <f t="shared" si="42"/>
        <v>0.55160667255989915</v>
      </c>
      <c r="BO17" s="18" t="str">
        <f t="shared" si="43"/>
        <v xml:space="preserve"> 34 Culture, media and sports occupations</v>
      </c>
      <c r="BP17" s="84">
        <v>2.7927569589290155</v>
      </c>
      <c r="BQ17" s="84">
        <v>2.1091226008034933</v>
      </c>
      <c r="BR17" s="84">
        <v>1.927164401525467</v>
      </c>
      <c r="BS17" s="84">
        <v>1.560669107170781</v>
      </c>
      <c r="BT17" s="84">
        <v>1.2813422621267612</v>
      </c>
      <c r="BU17" s="84"/>
      <c r="BV17" s="84">
        <f t="shared" si="44"/>
        <v>-0.64582213939870581</v>
      </c>
      <c r="BW17" s="84">
        <f>'RD T1'!E212</f>
        <v>0.42248197704758728</v>
      </c>
      <c r="BX17" s="84">
        <f t="shared" si="45"/>
        <v>-0.22334016235111853</v>
      </c>
      <c r="BZ17" s="18" t="str">
        <f t="shared" si="46"/>
        <v xml:space="preserve"> 34 Culture, media and sports occupations</v>
      </c>
      <c r="CA17" s="84">
        <v>1.3869028684906808</v>
      </c>
      <c r="CB17" s="84">
        <v>1.5407930969444936</v>
      </c>
      <c r="CC17" s="84">
        <v>1.7273572041183831</v>
      </c>
      <c r="CD17" s="84">
        <v>1.3119500696241513</v>
      </c>
      <c r="CE17" s="84">
        <v>1.0820238148435053</v>
      </c>
      <c r="CF17" s="84"/>
      <c r="CG17" s="84">
        <f t="shared" si="47"/>
        <v>-0.64533338927487782</v>
      </c>
      <c r="CH17" s="84">
        <f>'RD T1'!E240</f>
        <v>0.33037613860763138</v>
      </c>
      <c r="CI17" s="84">
        <f t="shared" si="48"/>
        <v>-0.31495725066724645</v>
      </c>
      <c r="CK17" s="18" t="str">
        <f t="shared" si="49"/>
        <v xml:space="preserve"> 34 Culture, media and sports occupations</v>
      </c>
      <c r="CL17" s="84">
        <v>0.31500648294808825</v>
      </c>
      <c r="CM17" s="84">
        <v>0.44433303518204148</v>
      </c>
      <c r="CN17" s="84">
        <v>0.73200628376544119</v>
      </c>
      <c r="CO17" s="84">
        <v>0.72165494224520021</v>
      </c>
      <c r="CP17" s="84">
        <v>1.0402592216796207</v>
      </c>
      <c r="CQ17" s="84"/>
      <c r="CR17" s="84">
        <f t="shared" si="50"/>
        <v>0.30825293791417951</v>
      </c>
      <c r="CS17" s="84">
        <f>'RD T1'!E268</f>
        <v>0.18968153048126735</v>
      </c>
      <c r="CT17" s="84">
        <f t="shared" si="51"/>
        <v>0.49793446839544686</v>
      </c>
    </row>
    <row r="18" spans="1:98" x14ac:dyDescent="0.2">
      <c r="A18" s="12" t="str">
        <f>name!D14</f>
        <v xml:space="preserve"> 35 Business and public service associate professionals</v>
      </c>
      <c r="B18" s="84">
        <v>0.69142003885804093</v>
      </c>
      <c r="C18" s="84">
        <v>0.5362896464453516</v>
      </c>
      <c r="D18" s="84">
        <v>0.98958680651842412</v>
      </c>
      <c r="E18" s="84">
        <v>1.3197564745916937</v>
      </c>
      <c r="F18" s="84">
        <v>1.5972446512119227</v>
      </c>
      <c r="G18" s="13"/>
      <c r="H18" s="84">
        <f t="shared" si="26"/>
        <v>0.60765784469349859</v>
      </c>
      <c r="I18" s="84">
        <f>'RD T1'!E45</f>
        <v>0.35619099200898907</v>
      </c>
      <c r="J18" s="84">
        <f t="shared" si="27"/>
        <v>0.96384883670248767</v>
      </c>
      <c r="L18" s="18" t="str">
        <f t="shared" si="28"/>
        <v xml:space="preserve"> 35 Business and public service associate professionals</v>
      </c>
      <c r="M18" s="84">
        <v>6.2768149990352438</v>
      </c>
      <c r="N18" s="84">
        <v>5.7043372365229947</v>
      </c>
      <c r="O18" s="84">
        <v>9.9488023709004985</v>
      </c>
      <c r="P18" s="84">
        <v>12.783621935599211</v>
      </c>
      <c r="Q18" s="84">
        <v>15.003598140294411</v>
      </c>
      <c r="R18" s="13"/>
      <c r="S18" s="84">
        <f t="shared" si="29"/>
        <v>5.0547957693939125</v>
      </c>
      <c r="T18" s="84">
        <f>'RD T1'!E73</f>
        <v>3.7560513275717193</v>
      </c>
      <c r="U18" s="84">
        <f t="shared" si="30"/>
        <v>8.810847096965631</v>
      </c>
      <c r="W18" s="18" t="str">
        <f t="shared" si="31"/>
        <v xml:space="preserve"> 35 Business and public service associate professionals</v>
      </c>
      <c r="X18" s="84">
        <v>14.186583792660507</v>
      </c>
      <c r="Y18" s="84">
        <v>16.111325126075002</v>
      </c>
      <c r="Z18" s="84">
        <v>18.874598117974333</v>
      </c>
      <c r="AA18" s="84">
        <v>22.861540889912995</v>
      </c>
      <c r="AB18" s="84">
        <v>24.680074294219224</v>
      </c>
      <c r="AC18" s="84"/>
      <c r="AD18" s="84">
        <f t="shared" si="32"/>
        <v>5.8054761762448912</v>
      </c>
      <c r="AE18" s="84">
        <f>'RD T1'!E101</f>
        <v>8.0700660557550172</v>
      </c>
      <c r="AF18" s="84">
        <f t="shared" si="33"/>
        <v>13.875542231999908</v>
      </c>
      <c r="AH18" s="18" t="str">
        <f t="shared" si="34"/>
        <v xml:space="preserve"> 35 Business and public service associate professionals</v>
      </c>
      <c r="AI18" s="84">
        <v>4.1830075475171586</v>
      </c>
      <c r="AJ18" s="84">
        <v>4.8428599887255084</v>
      </c>
      <c r="AK18" s="84">
        <v>5.2537023142027435</v>
      </c>
      <c r="AL18" s="84">
        <v>6.250136119141759</v>
      </c>
      <c r="AM18" s="84">
        <v>6.6514044615197552</v>
      </c>
      <c r="AN18" s="84"/>
      <c r="AO18" s="84">
        <f t="shared" si="35"/>
        <v>1.3977021473170117</v>
      </c>
      <c r="AP18" s="84">
        <f>'RD T1'!E129</f>
        <v>2.1035142974375249</v>
      </c>
      <c r="AQ18" s="84">
        <f t="shared" si="36"/>
        <v>3.5012164447545366</v>
      </c>
      <c r="AS18" s="18" t="str">
        <f t="shared" si="37"/>
        <v xml:space="preserve"> 35 Business and public service associate professionals</v>
      </c>
      <c r="AT18" s="84">
        <v>4.4031273540906488</v>
      </c>
      <c r="AU18" s="84">
        <v>4.286938912861685</v>
      </c>
      <c r="AV18" s="84">
        <v>4.4701121683773151</v>
      </c>
      <c r="AW18" s="84">
        <v>5.1316515778232263</v>
      </c>
      <c r="AX18" s="84">
        <v>5.4685685019280772</v>
      </c>
      <c r="AY18" s="84"/>
      <c r="AZ18" s="84">
        <f t="shared" si="38"/>
        <v>0.99845633355076213</v>
      </c>
      <c r="BA18" s="84">
        <f>'RD T1'!E157</f>
        <v>1.6830088142681918</v>
      </c>
      <c r="BB18" s="84">
        <f t="shared" si="39"/>
        <v>2.6814651478189537</v>
      </c>
      <c r="BD18" s="18" t="str">
        <f t="shared" si="40"/>
        <v xml:space="preserve"> 35 Business and public service associate professionals</v>
      </c>
      <c r="BE18" s="84">
        <v>12.746312161117441</v>
      </c>
      <c r="BF18" s="84">
        <v>12.545868213333177</v>
      </c>
      <c r="BG18" s="84">
        <v>14.507289726074132</v>
      </c>
      <c r="BH18" s="84">
        <v>13.77986775007022</v>
      </c>
      <c r="BI18" s="84">
        <v>14.010524393809948</v>
      </c>
      <c r="BJ18" s="84"/>
      <c r="BK18" s="84">
        <f t="shared" si="41"/>
        <v>-0.49676533226418407</v>
      </c>
      <c r="BL18" s="84">
        <f>'RD T1'!E185</f>
        <v>4.0361975535098171</v>
      </c>
      <c r="BM18" s="84">
        <f t="shared" si="42"/>
        <v>3.5394322212456331</v>
      </c>
      <c r="BO18" s="18" t="str">
        <f t="shared" si="43"/>
        <v xml:space="preserve"> 35 Business and public service associate professionals</v>
      </c>
      <c r="BP18" s="84">
        <v>12.60372732458289</v>
      </c>
      <c r="BQ18" s="84">
        <v>10.630451281388291</v>
      </c>
      <c r="BR18" s="84">
        <v>10.680626403622739</v>
      </c>
      <c r="BS18" s="84">
        <v>9.5819956338459118</v>
      </c>
      <c r="BT18" s="84">
        <v>8.875307683967085</v>
      </c>
      <c r="BU18" s="84"/>
      <c r="BV18" s="84">
        <f t="shared" si="44"/>
        <v>-1.8053187196556539</v>
      </c>
      <c r="BW18" s="84">
        <f>'RD T1'!E213</f>
        <v>2.8038168121365188</v>
      </c>
      <c r="BX18" s="84">
        <f t="shared" si="45"/>
        <v>0.99849809248086485</v>
      </c>
      <c r="BZ18" s="18" t="str">
        <f t="shared" si="46"/>
        <v xml:space="preserve"> 35 Business and public service associate professionals</v>
      </c>
      <c r="CA18" s="84">
        <v>7.1583868643067587</v>
      </c>
      <c r="CB18" s="84">
        <v>5.7309977729600821</v>
      </c>
      <c r="CC18" s="84">
        <v>6.3986676327547523</v>
      </c>
      <c r="CD18" s="84">
        <v>5.1221163242130832</v>
      </c>
      <c r="CE18" s="84">
        <v>4.675545952705459</v>
      </c>
      <c r="CF18" s="84"/>
      <c r="CG18" s="84">
        <f t="shared" si="47"/>
        <v>-1.7231216800492932</v>
      </c>
      <c r="CH18" s="84">
        <f>'RD T1'!E241</f>
        <v>1.268014704034256</v>
      </c>
      <c r="CI18" s="84">
        <f t="shared" si="48"/>
        <v>-0.45510697601503725</v>
      </c>
      <c r="CK18" s="18" t="str">
        <f t="shared" si="49"/>
        <v xml:space="preserve"> 35 Business and public service associate professionals</v>
      </c>
      <c r="CL18" s="84">
        <v>1.8132225349425626</v>
      </c>
      <c r="CM18" s="84">
        <v>1.3480786942395573</v>
      </c>
      <c r="CN18" s="84">
        <v>1.7894716126642241</v>
      </c>
      <c r="CO18" s="84">
        <v>1.4710718016409736</v>
      </c>
      <c r="CP18" s="84">
        <v>1.7201448542868913</v>
      </c>
      <c r="CQ18" s="84"/>
      <c r="CR18" s="84">
        <f t="shared" si="50"/>
        <v>-6.9326758377332709E-2</v>
      </c>
      <c r="CS18" s="84">
        <f>'RD T1'!E269</f>
        <v>0.3323340332948459</v>
      </c>
      <c r="CT18" s="84">
        <f t="shared" si="51"/>
        <v>0.26300727491751319</v>
      </c>
    </row>
    <row r="19" spans="1:98" x14ac:dyDescent="0.2">
      <c r="A19" s="12" t="str">
        <f>name!D15</f>
        <v xml:space="preserve"> 41 Administrative occupations</v>
      </c>
      <c r="B19" s="84">
        <v>0.5455044109468864</v>
      </c>
      <c r="C19" s="84">
        <v>0.43584321191069803</v>
      </c>
      <c r="D19" s="84">
        <v>0.77436558648912557</v>
      </c>
      <c r="E19" s="84">
        <v>1.0006136942747119</v>
      </c>
      <c r="F19" s="84">
        <v>1.167430997419785</v>
      </c>
      <c r="G19" s="13"/>
      <c r="H19" s="84">
        <f t="shared" si="26"/>
        <v>0.39306541093065939</v>
      </c>
      <c r="I19" s="84">
        <f>'RD T1'!E46</f>
        <v>0.29396626795371894</v>
      </c>
      <c r="J19" s="84">
        <f t="shared" si="27"/>
        <v>0.68703167888437833</v>
      </c>
      <c r="L19" s="18" t="str">
        <f t="shared" si="28"/>
        <v xml:space="preserve"> 41 Administrative occupations</v>
      </c>
      <c r="M19" s="84">
        <v>4.9417054430128378</v>
      </c>
      <c r="N19" s="84">
        <v>4.6570906041670197</v>
      </c>
      <c r="O19" s="84">
        <v>7.827783463990369</v>
      </c>
      <c r="P19" s="84">
        <v>9.6948426717086171</v>
      </c>
      <c r="Q19" s="84">
        <v>11.393874928585609</v>
      </c>
      <c r="R19" s="13"/>
      <c r="S19" s="84">
        <f t="shared" si="29"/>
        <v>3.5660914645952397</v>
      </c>
      <c r="T19" s="84">
        <f>'RD T1'!E74</f>
        <v>3.0119910102590604</v>
      </c>
      <c r="U19" s="84">
        <f t="shared" si="30"/>
        <v>6.5780824748543001</v>
      </c>
      <c r="W19" s="18" t="str">
        <f t="shared" si="31"/>
        <v xml:space="preserve"> 41 Administrative occupations</v>
      </c>
      <c r="X19" s="84">
        <v>16.255938532387383</v>
      </c>
      <c r="Y19" s="84">
        <v>20.448329178851406</v>
      </c>
      <c r="Z19" s="84">
        <v>23.747562437644206</v>
      </c>
      <c r="AA19" s="84">
        <v>28.960167823677871</v>
      </c>
      <c r="AB19" s="84">
        <v>32.147201231404509</v>
      </c>
      <c r="AC19" s="84"/>
      <c r="AD19" s="84">
        <f t="shared" si="32"/>
        <v>8.3996387937603032</v>
      </c>
      <c r="AE19" s="84">
        <f>'RD T1'!E102</f>
        <v>11.165951063615513</v>
      </c>
      <c r="AF19" s="84">
        <f t="shared" si="33"/>
        <v>19.565589857375816</v>
      </c>
      <c r="AH19" s="18" t="str">
        <f t="shared" si="34"/>
        <v xml:space="preserve"> 41 Administrative occupations</v>
      </c>
      <c r="AI19" s="84">
        <v>5.5414185147022881</v>
      </c>
      <c r="AJ19" s="84">
        <v>7.2272305106723076</v>
      </c>
      <c r="AK19" s="84">
        <v>7.9027137261923404</v>
      </c>
      <c r="AL19" s="84">
        <v>9.3366068569963474</v>
      </c>
      <c r="AM19" s="84">
        <v>10.068312026012791</v>
      </c>
      <c r="AN19" s="84"/>
      <c r="AO19" s="84">
        <f t="shared" si="35"/>
        <v>2.1655982998204504</v>
      </c>
      <c r="AP19" s="84">
        <f>'RD T1'!E130</f>
        <v>3.8221357677646655</v>
      </c>
      <c r="AQ19" s="84">
        <f t="shared" si="36"/>
        <v>5.9877340675851158</v>
      </c>
      <c r="AS19" s="18" t="str">
        <f t="shared" si="37"/>
        <v xml:space="preserve"> 41 Administrative occupations</v>
      </c>
      <c r="AT19" s="84">
        <v>6.6434627158032358</v>
      </c>
      <c r="AU19" s="84">
        <v>7.2108173993462357</v>
      </c>
      <c r="AV19" s="84">
        <v>7.7098912778591968</v>
      </c>
      <c r="AW19" s="84">
        <v>9.0703682303837798</v>
      </c>
      <c r="AX19" s="84">
        <v>9.8612893740920864</v>
      </c>
      <c r="AY19" s="84"/>
      <c r="AZ19" s="84">
        <f t="shared" si="38"/>
        <v>2.1513980962328896</v>
      </c>
      <c r="BA19" s="84">
        <f>'RD T1'!E158</f>
        <v>3.488998967394521</v>
      </c>
      <c r="BB19" s="84">
        <f t="shared" si="39"/>
        <v>5.640397063627411</v>
      </c>
      <c r="BD19" s="18" t="str">
        <f t="shared" si="40"/>
        <v xml:space="preserve"> 41 Administrative occupations</v>
      </c>
      <c r="BE19" s="84">
        <v>28.29868598343365</v>
      </c>
      <c r="BF19" s="84">
        <v>26.295331999584519</v>
      </c>
      <c r="BG19" s="84">
        <v>27.914874125546667</v>
      </c>
      <c r="BH19" s="84">
        <v>24.624033618812632</v>
      </c>
      <c r="BI19" s="84">
        <v>24.304547452988707</v>
      </c>
      <c r="BJ19" s="84"/>
      <c r="BK19" s="84">
        <f t="shared" si="41"/>
        <v>-3.6103266725579601</v>
      </c>
      <c r="BL19" s="84">
        <f>'RD T1'!E186</f>
        <v>8.1365552520943165</v>
      </c>
      <c r="BM19" s="84">
        <f t="shared" si="42"/>
        <v>4.5262285795363564</v>
      </c>
      <c r="BO19" s="18" t="str">
        <f t="shared" si="43"/>
        <v xml:space="preserve"> 41 Administrative occupations</v>
      </c>
      <c r="BP19" s="84">
        <v>37.815568893600798</v>
      </c>
      <c r="BQ19" s="84">
        <v>33.194331336308579</v>
      </c>
      <c r="BR19" s="84">
        <v>30.756913754098818</v>
      </c>
      <c r="BS19" s="84">
        <v>26.679910514178012</v>
      </c>
      <c r="BT19" s="84">
        <v>21.584790321842316</v>
      </c>
      <c r="BU19" s="84"/>
      <c r="BV19" s="84">
        <f t="shared" si="44"/>
        <v>-9.1721234322565017</v>
      </c>
      <c r="BW19" s="84">
        <f>'RD T1'!E214</f>
        <v>8.195480372138972</v>
      </c>
      <c r="BX19" s="84">
        <f t="shared" si="45"/>
        <v>-0.97664306011752977</v>
      </c>
      <c r="BZ19" s="18" t="str">
        <f t="shared" si="46"/>
        <v xml:space="preserve"> 41 Administrative occupations</v>
      </c>
      <c r="CA19" s="84">
        <v>22.110908472702459</v>
      </c>
      <c r="CB19" s="84">
        <v>16.600089386972709</v>
      </c>
      <c r="CC19" s="84">
        <v>16.542666500887609</v>
      </c>
      <c r="CD19" s="84">
        <v>11.236437859886918</v>
      </c>
      <c r="CE19" s="84">
        <v>6.8901127126362729</v>
      </c>
      <c r="CF19" s="84"/>
      <c r="CG19" s="84">
        <f t="shared" si="47"/>
        <v>-9.6525537882513355</v>
      </c>
      <c r="CH19" s="84">
        <f>'RD T1'!E242</f>
        <v>2.7027924493451616</v>
      </c>
      <c r="CI19" s="84">
        <f t="shared" si="48"/>
        <v>-6.9497613389061739</v>
      </c>
      <c r="CK19" s="18" t="str">
        <f t="shared" si="49"/>
        <v xml:space="preserve"> 41 Administrative occupations</v>
      </c>
      <c r="CL19" s="84">
        <v>6.6082037828139581</v>
      </c>
      <c r="CM19" s="84">
        <v>3.8601586655229854</v>
      </c>
      <c r="CN19" s="84">
        <v>4.3445636371915191</v>
      </c>
      <c r="CO19" s="84">
        <v>3.0687584270392905</v>
      </c>
      <c r="CP19" s="84">
        <v>2.590679000646984</v>
      </c>
      <c r="CQ19" s="84"/>
      <c r="CR19" s="84">
        <f t="shared" si="50"/>
        <v>-1.7538846365445351</v>
      </c>
      <c r="CS19" s="84">
        <f>'RD T1'!E270</f>
        <v>0.63190960454333356</v>
      </c>
      <c r="CT19" s="84">
        <f t="shared" si="51"/>
        <v>-1.1219750320012016</v>
      </c>
    </row>
    <row r="20" spans="1:98" x14ac:dyDescent="0.2">
      <c r="A20" s="12" t="str">
        <f>name!D16</f>
        <v xml:space="preserve"> 42 Secretarial and related occupations</v>
      </c>
      <c r="B20" s="84">
        <v>2.2608930161859456E-2</v>
      </c>
      <c r="C20" s="84">
        <v>3.4795941910204804E-2</v>
      </c>
      <c r="D20" s="84">
        <v>8.2913965011895838E-2</v>
      </c>
      <c r="E20" s="84">
        <v>9.52692204908442E-2</v>
      </c>
      <c r="F20" s="84">
        <v>0.10850096201376523</v>
      </c>
      <c r="G20" s="13"/>
      <c r="H20" s="84">
        <f t="shared" si="26"/>
        <v>2.5586997001869394E-2</v>
      </c>
      <c r="I20" s="84">
        <f>'RD T1'!E47</f>
        <v>3.6661933045951701E-2</v>
      </c>
      <c r="J20" s="84">
        <f t="shared" si="27"/>
        <v>6.2248930047821095E-2</v>
      </c>
      <c r="L20" s="18" t="str">
        <f t="shared" si="28"/>
        <v xml:space="preserve"> 42 Secretarial and related occupations</v>
      </c>
      <c r="M20" s="84">
        <v>0.7024166531795093</v>
      </c>
      <c r="N20" s="84">
        <v>0.82877065589915522</v>
      </c>
      <c r="O20" s="84">
        <v>1.327980060919979</v>
      </c>
      <c r="P20" s="84">
        <v>1.3532102187604209</v>
      </c>
      <c r="Q20" s="84">
        <v>1.4249540736025037</v>
      </c>
      <c r="R20" s="13"/>
      <c r="S20" s="84">
        <f t="shared" si="29"/>
        <v>9.6974012682524702E-2</v>
      </c>
      <c r="T20" s="84">
        <f>'RD T1'!E75</f>
        <v>0.4784284640759805</v>
      </c>
      <c r="U20" s="84">
        <f t="shared" si="30"/>
        <v>0.5754024767585052</v>
      </c>
      <c r="W20" s="18" t="str">
        <f t="shared" si="31"/>
        <v xml:space="preserve"> 42 Secretarial and related occupations</v>
      </c>
      <c r="X20" s="84">
        <v>3.0648404234741986</v>
      </c>
      <c r="Y20" s="84">
        <v>4.0241432235868926</v>
      </c>
      <c r="Z20" s="84">
        <v>4.2992823018371666</v>
      </c>
      <c r="AA20" s="84">
        <v>4.6146697641151171</v>
      </c>
      <c r="AB20" s="84">
        <v>4.909686199871401</v>
      </c>
      <c r="AC20" s="84"/>
      <c r="AD20" s="84">
        <f t="shared" si="32"/>
        <v>0.61040389803423434</v>
      </c>
      <c r="AE20" s="84">
        <f>'RD T1'!E103</f>
        <v>2.0367362646496483</v>
      </c>
      <c r="AF20" s="84">
        <f t="shared" si="33"/>
        <v>2.6471401626838826</v>
      </c>
      <c r="AH20" s="18" t="str">
        <f t="shared" si="34"/>
        <v xml:space="preserve"> 42 Secretarial and related occupations</v>
      </c>
      <c r="AI20" s="84">
        <v>1.7637067634564196</v>
      </c>
      <c r="AJ20" s="84">
        <v>1.8964953597837031</v>
      </c>
      <c r="AK20" s="84">
        <v>1.7617158709151288</v>
      </c>
      <c r="AL20" s="84">
        <v>1.7426323276613296</v>
      </c>
      <c r="AM20" s="84">
        <v>1.7677509948934353</v>
      </c>
      <c r="AN20" s="84"/>
      <c r="AO20" s="84">
        <f t="shared" si="35"/>
        <v>6.0351239783065225E-3</v>
      </c>
      <c r="AP20" s="84">
        <f>'RD T1'!E131</f>
        <v>0.74926605144529235</v>
      </c>
      <c r="AQ20" s="84">
        <f t="shared" si="36"/>
        <v>0.75530117542359887</v>
      </c>
      <c r="AS20" s="18" t="str">
        <f t="shared" si="37"/>
        <v xml:space="preserve"> 42 Secretarial and related occupations</v>
      </c>
      <c r="AT20" s="84">
        <v>1.5832421976888049</v>
      </c>
      <c r="AU20" s="84">
        <v>1.5823682514617656</v>
      </c>
      <c r="AV20" s="84">
        <v>1.3530326499130951</v>
      </c>
      <c r="AW20" s="84">
        <v>1.2262795496751155</v>
      </c>
      <c r="AX20" s="84">
        <v>1.1460270653033293</v>
      </c>
      <c r="AY20" s="84"/>
      <c r="AZ20" s="84">
        <f t="shared" si="38"/>
        <v>-0.20700558460976581</v>
      </c>
      <c r="BA20" s="84">
        <f>'RD T1'!E159</f>
        <v>0.48556651747466772</v>
      </c>
      <c r="BB20" s="84">
        <f t="shared" si="39"/>
        <v>0.27856093286490191</v>
      </c>
      <c r="BD20" s="18" t="str">
        <f t="shared" si="40"/>
        <v xml:space="preserve"> 42 Secretarial and related occupations</v>
      </c>
      <c r="BE20" s="84">
        <v>7.3287551610836212</v>
      </c>
      <c r="BF20" s="84">
        <v>7.1436178021900272</v>
      </c>
      <c r="BG20" s="84">
        <v>6.9151466130675097</v>
      </c>
      <c r="BH20" s="84">
        <v>5.0644696945206427</v>
      </c>
      <c r="BI20" s="84">
        <v>4.020090772778345</v>
      </c>
      <c r="BJ20" s="84"/>
      <c r="BK20" s="84">
        <f t="shared" si="41"/>
        <v>-2.8950558402891646</v>
      </c>
      <c r="BL20" s="84">
        <f>'RD T1'!E187</f>
        <v>1.7267443608721902</v>
      </c>
      <c r="BM20" s="84">
        <f t="shared" si="42"/>
        <v>-1.1683114794169744</v>
      </c>
      <c r="BO20" s="18" t="str">
        <f t="shared" si="43"/>
        <v xml:space="preserve"> 42 Secretarial and related occupations</v>
      </c>
      <c r="BP20" s="84">
        <v>12.989455185578858</v>
      </c>
      <c r="BQ20" s="84">
        <v>10.018274410113284</v>
      </c>
      <c r="BR20" s="84">
        <v>7.601508661735247</v>
      </c>
      <c r="BS20" s="84">
        <v>5.201777528712908</v>
      </c>
      <c r="BT20" s="84">
        <v>2.3686408926237728</v>
      </c>
      <c r="BU20" s="84"/>
      <c r="BV20" s="84">
        <f t="shared" si="44"/>
        <v>-5.2328677691114738</v>
      </c>
      <c r="BW20" s="84">
        <f>'RD T1'!E215</f>
        <v>1.5952360847944236</v>
      </c>
      <c r="BX20" s="84">
        <f t="shared" si="45"/>
        <v>-3.63763168431705</v>
      </c>
      <c r="BZ20" s="18" t="str">
        <f t="shared" si="46"/>
        <v xml:space="preserve"> 42 Secretarial and related occupations</v>
      </c>
      <c r="CA20" s="84">
        <v>9.3727689421705342</v>
      </c>
      <c r="CB20" s="84">
        <v>7.5546614883415319</v>
      </c>
      <c r="CC20" s="84">
        <v>7.8120832068974906</v>
      </c>
      <c r="CD20" s="84">
        <v>4.5480730494983392</v>
      </c>
      <c r="CE20" s="84">
        <v>1.8523598162780108</v>
      </c>
      <c r="CF20" s="84"/>
      <c r="CG20" s="84">
        <f t="shared" si="47"/>
        <v>-5.9597233906194802</v>
      </c>
      <c r="CH20" s="84">
        <f>'RD T1'!E243</f>
        <v>1.190065842870065</v>
      </c>
      <c r="CI20" s="84">
        <f t="shared" si="48"/>
        <v>-4.7696575477494152</v>
      </c>
      <c r="CK20" s="18" t="str">
        <f t="shared" si="49"/>
        <v xml:space="preserve"> 42 Secretarial and related occupations</v>
      </c>
      <c r="CL20" s="84">
        <v>2.2306642415324851</v>
      </c>
      <c r="CM20" s="84">
        <v>1.5472171005925581</v>
      </c>
      <c r="CN20" s="84">
        <v>1.9566276387075456</v>
      </c>
      <c r="CO20" s="84">
        <v>1.4007553239709107</v>
      </c>
      <c r="CP20" s="84">
        <v>1.1251777883991818</v>
      </c>
      <c r="CQ20" s="84"/>
      <c r="CR20" s="84">
        <f t="shared" si="50"/>
        <v>-0.83144985030836382</v>
      </c>
      <c r="CS20" s="84">
        <f>'RD T1'!E271</f>
        <v>0.37210803447987223</v>
      </c>
      <c r="CT20" s="84">
        <f t="shared" si="51"/>
        <v>-0.4593418158284916</v>
      </c>
    </row>
    <row r="21" spans="1:98" x14ac:dyDescent="0.2">
      <c r="A21" s="12" t="str">
        <f>name!D17</f>
        <v xml:space="preserve"> 51 Skilled agricultural and related trades</v>
      </c>
      <c r="B21" s="84">
        <v>1.0279079715725717E-3</v>
      </c>
      <c r="C21" s="84">
        <v>9.6477584058005258E-2</v>
      </c>
      <c r="D21" s="84">
        <v>0.24883355599289622</v>
      </c>
      <c r="E21" s="84">
        <v>0.32983596541745769</v>
      </c>
      <c r="F21" s="84">
        <v>0.41365414298812375</v>
      </c>
      <c r="G21" s="13"/>
      <c r="H21" s="84">
        <f t="shared" si="26"/>
        <v>0.16482058699522753</v>
      </c>
      <c r="I21" s="84">
        <f>'RD T1'!E48</f>
        <v>0.1356964248168592</v>
      </c>
      <c r="J21" s="84">
        <f t="shared" si="27"/>
        <v>0.30051701181208673</v>
      </c>
      <c r="L21" s="18" t="str">
        <f t="shared" si="28"/>
        <v xml:space="preserve"> 51 Skilled agricultural and related trades</v>
      </c>
      <c r="M21" s="84">
        <v>0.39791953835873539</v>
      </c>
      <c r="N21" s="84">
        <v>0.38372138680907808</v>
      </c>
      <c r="O21" s="84">
        <v>0.7731277721592722</v>
      </c>
      <c r="P21" s="84">
        <v>0.76200155761719079</v>
      </c>
      <c r="Q21" s="84">
        <v>0.88646649174853476</v>
      </c>
      <c r="R21" s="13"/>
      <c r="S21" s="84">
        <f t="shared" si="29"/>
        <v>0.11333871958926256</v>
      </c>
      <c r="T21" s="84">
        <f>'RD T1'!E76</f>
        <v>0.20352706394352779</v>
      </c>
      <c r="U21" s="84">
        <f t="shared" si="30"/>
        <v>0.31686578353279038</v>
      </c>
      <c r="W21" s="18" t="str">
        <f t="shared" si="31"/>
        <v xml:space="preserve"> 51 Skilled agricultural and related trades</v>
      </c>
      <c r="X21" s="84">
        <v>2.1152962462577198</v>
      </c>
      <c r="Y21" s="84">
        <v>3.2490523440937409</v>
      </c>
      <c r="Z21" s="84">
        <v>5.8349780453844513</v>
      </c>
      <c r="AA21" s="84">
        <v>7.5222226736279083</v>
      </c>
      <c r="AB21" s="84">
        <v>8.5309530811848688</v>
      </c>
      <c r="AC21" s="84"/>
      <c r="AD21" s="84">
        <f t="shared" si="32"/>
        <v>2.6959750358004175</v>
      </c>
      <c r="AE21" s="84">
        <f>'RD T1'!E104</f>
        <v>3.1388896344365484</v>
      </c>
      <c r="AF21" s="84">
        <f t="shared" si="33"/>
        <v>5.834864670236966</v>
      </c>
      <c r="AH21" s="18" t="str">
        <f t="shared" si="34"/>
        <v xml:space="preserve"> 51 Skilled agricultural and related trades</v>
      </c>
      <c r="AI21" s="84">
        <v>1.2711209106276911</v>
      </c>
      <c r="AJ21" s="84">
        <v>1.5246746836951419</v>
      </c>
      <c r="AK21" s="84">
        <v>2.5257969305538155</v>
      </c>
      <c r="AL21" s="84">
        <v>3.2533730621423187</v>
      </c>
      <c r="AM21" s="84">
        <v>3.6618309303673571</v>
      </c>
      <c r="AN21" s="84"/>
      <c r="AO21" s="84">
        <f t="shared" si="35"/>
        <v>1.1360339998135416</v>
      </c>
      <c r="AP21" s="84">
        <f>'RD T1'!E132</f>
        <v>1.4503146709590673</v>
      </c>
      <c r="AQ21" s="84">
        <f t="shared" si="36"/>
        <v>2.5863486707726091</v>
      </c>
      <c r="AS21" s="18" t="str">
        <f t="shared" si="37"/>
        <v xml:space="preserve"> 51 Skilled agricultural and related trades</v>
      </c>
      <c r="AT21" s="84">
        <v>1.74972932211573</v>
      </c>
      <c r="AU21" s="84">
        <v>2.2642671376886905</v>
      </c>
      <c r="AV21" s="84">
        <v>3.8232786785632613</v>
      </c>
      <c r="AW21" s="84">
        <v>4.6086720701420418</v>
      </c>
      <c r="AX21" s="84">
        <v>5.1200906568858171</v>
      </c>
      <c r="AY21" s="84"/>
      <c r="AZ21" s="84">
        <f t="shared" si="38"/>
        <v>1.2968119783225558</v>
      </c>
      <c r="BA21" s="84">
        <f>'RD T1'!E160</f>
        <v>1.8257170330473358</v>
      </c>
      <c r="BB21" s="84">
        <f t="shared" si="39"/>
        <v>3.1225290113698918</v>
      </c>
      <c r="BD21" s="18" t="str">
        <f t="shared" si="40"/>
        <v xml:space="preserve"> 51 Skilled agricultural and related trades</v>
      </c>
      <c r="BE21" s="84">
        <v>4.6181694358308158</v>
      </c>
      <c r="BF21" s="84">
        <v>4.3158398645216076</v>
      </c>
      <c r="BG21" s="84">
        <v>7.0234540234482399</v>
      </c>
      <c r="BH21" s="84">
        <v>6.6386186242238505</v>
      </c>
      <c r="BI21" s="84">
        <v>6.666685989052743</v>
      </c>
      <c r="BJ21" s="84"/>
      <c r="BK21" s="84">
        <f t="shared" si="41"/>
        <v>-0.35676803439549687</v>
      </c>
      <c r="BL21" s="84">
        <f>'RD T1'!E188</f>
        <v>2.2984758894629302</v>
      </c>
      <c r="BM21" s="84">
        <f t="shared" si="42"/>
        <v>1.9417078550674334</v>
      </c>
      <c r="BO21" s="18" t="str">
        <f t="shared" si="43"/>
        <v xml:space="preserve"> 51 Skilled agricultural and related trades</v>
      </c>
      <c r="BP21" s="84">
        <v>6.3827191272390085</v>
      </c>
      <c r="BQ21" s="84">
        <v>6.7272892424674602</v>
      </c>
      <c r="BR21" s="84">
        <v>10.057528624960627</v>
      </c>
      <c r="BS21" s="84">
        <v>9.1979995752684296</v>
      </c>
      <c r="BT21" s="84">
        <v>8.8359974269585884</v>
      </c>
      <c r="BU21" s="84"/>
      <c r="BV21" s="84">
        <f t="shared" si="44"/>
        <v>-1.2215311980020385</v>
      </c>
      <c r="BW21" s="84">
        <f>'RD T1'!E216</f>
        <v>3.3052513322450414</v>
      </c>
      <c r="BX21" s="84">
        <f t="shared" si="45"/>
        <v>2.083720134243003</v>
      </c>
      <c r="BZ21" s="18" t="str">
        <f t="shared" si="46"/>
        <v xml:space="preserve"> 51 Skilled agricultural and related trades</v>
      </c>
      <c r="CA21" s="84">
        <v>4.6225909960904099</v>
      </c>
      <c r="CB21" s="84">
        <v>4.8520392609226715</v>
      </c>
      <c r="CC21" s="84">
        <v>7.7112233126185723</v>
      </c>
      <c r="CD21" s="84">
        <v>6.9162390713722166</v>
      </c>
      <c r="CE21" s="84">
        <v>6.2916118678408397</v>
      </c>
      <c r="CF21" s="84"/>
      <c r="CG21" s="84">
        <f t="shared" si="47"/>
        <v>-1.4196114447777326</v>
      </c>
      <c r="CH21" s="84">
        <f>'RD T1'!E244</f>
        <v>2.0712300189242154</v>
      </c>
      <c r="CI21" s="84">
        <f t="shared" si="48"/>
        <v>0.65161857414648283</v>
      </c>
      <c r="CK21" s="18" t="str">
        <f t="shared" si="49"/>
        <v xml:space="preserve"> 51 Skilled agricultural and related trades</v>
      </c>
      <c r="CL21" s="84">
        <v>5.8537097616954297</v>
      </c>
      <c r="CM21" s="84">
        <v>4.4392717103943653</v>
      </c>
      <c r="CN21" s="84">
        <v>6.6437716368485749</v>
      </c>
      <c r="CO21" s="84">
        <v>4.7493736193727196</v>
      </c>
      <c r="CP21" s="84">
        <v>3.1550848824558031</v>
      </c>
      <c r="CQ21" s="84"/>
      <c r="CR21" s="84">
        <f t="shared" si="50"/>
        <v>-3.4886867543927718</v>
      </c>
      <c r="CS21" s="84">
        <f>'RD T1'!E272</f>
        <v>0.96989574092055097</v>
      </c>
      <c r="CT21" s="84">
        <f t="shared" si="51"/>
        <v>-2.5187910134722209</v>
      </c>
    </row>
    <row r="22" spans="1:98" x14ac:dyDescent="0.2">
      <c r="A22" s="12" t="str">
        <f>name!D18</f>
        <v xml:space="preserve"> 52 Skilled metal, electrical and electronic trades</v>
      </c>
      <c r="B22" s="84">
        <v>3.5250450156402303E-2</v>
      </c>
      <c r="C22" s="84">
        <v>3.7613138877538844E-2</v>
      </c>
      <c r="D22" s="84">
        <v>5.6259681172828563E-2</v>
      </c>
      <c r="E22" s="84">
        <v>7.8097924471767985E-2</v>
      </c>
      <c r="F22" s="84">
        <v>0.10017556835177606</v>
      </c>
      <c r="G22" s="13"/>
      <c r="H22" s="84">
        <f t="shared" si="26"/>
        <v>4.3915887178947496E-2</v>
      </c>
      <c r="I22" s="84">
        <f>'RD T1'!E49</f>
        <v>1.831872755397395E-2</v>
      </c>
      <c r="J22" s="84">
        <f t="shared" si="27"/>
        <v>6.2234614732921446E-2</v>
      </c>
      <c r="L22" s="18" t="str">
        <f t="shared" si="28"/>
        <v xml:space="preserve"> 52 Skilled metal, electrical and electronic trades</v>
      </c>
      <c r="M22" s="84">
        <v>0.48781660917868164</v>
      </c>
      <c r="N22" s="84">
        <v>0.73023046957230331</v>
      </c>
      <c r="O22" s="84">
        <v>1.1146490093624413</v>
      </c>
      <c r="P22" s="84">
        <v>1.4460516446467175</v>
      </c>
      <c r="Q22" s="84">
        <v>1.693602429338309</v>
      </c>
      <c r="R22" s="13"/>
      <c r="S22" s="84">
        <f t="shared" si="29"/>
        <v>0.57895341997586769</v>
      </c>
      <c r="T22" s="84">
        <f>'RD T1'!E77</f>
        <v>0.36493357672418769</v>
      </c>
      <c r="U22" s="84">
        <f t="shared" si="30"/>
        <v>0.94388699670005538</v>
      </c>
      <c r="W22" s="18" t="str">
        <f t="shared" si="31"/>
        <v xml:space="preserve"> 52 Skilled metal, electrical and electronic trades</v>
      </c>
      <c r="X22" s="84">
        <v>2.2947513268915705</v>
      </c>
      <c r="Y22" s="84">
        <v>2.6990131183887587</v>
      </c>
      <c r="Z22" s="84">
        <v>3.1021677152495446</v>
      </c>
      <c r="AA22" s="84">
        <v>3.8179604496949731</v>
      </c>
      <c r="AB22" s="84">
        <v>4.1886276509579812</v>
      </c>
      <c r="AC22" s="84"/>
      <c r="AD22" s="84">
        <f t="shared" si="32"/>
        <v>1.0864599357084366</v>
      </c>
      <c r="AE22" s="84">
        <f>'RD T1'!E105</f>
        <v>1.2703496484082799</v>
      </c>
      <c r="AF22" s="84">
        <f t="shared" si="33"/>
        <v>2.3568095841167165</v>
      </c>
      <c r="AH22" s="18" t="str">
        <f t="shared" si="34"/>
        <v xml:space="preserve"> 52 Skilled metal, electrical and electronic trades</v>
      </c>
      <c r="AI22" s="84">
        <v>0.81029757491526666</v>
      </c>
      <c r="AJ22" s="84">
        <v>1.0269155767397666</v>
      </c>
      <c r="AK22" s="84">
        <v>1.131627726234834</v>
      </c>
      <c r="AL22" s="84">
        <v>1.321912994832217</v>
      </c>
      <c r="AM22" s="84">
        <v>1.4076793806594019</v>
      </c>
      <c r="AN22" s="84"/>
      <c r="AO22" s="84">
        <f t="shared" si="35"/>
        <v>0.27605165442456792</v>
      </c>
      <c r="AP22" s="84">
        <f>'RD T1'!E133</f>
        <v>0.40788830421075989</v>
      </c>
      <c r="AQ22" s="84">
        <f t="shared" si="36"/>
        <v>0.68393995863532786</v>
      </c>
      <c r="AS22" s="18" t="str">
        <f t="shared" si="37"/>
        <v xml:space="preserve"> 52 Skilled metal, electrical and electronic trades</v>
      </c>
      <c r="AT22" s="84">
        <v>4.5492368763994797</v>
      </c>
      <c r="AU22" s="84">
        <v>4.5984736928688301</v>
      </c>
      <c r="AV22" s="84">
        <v>5.1300192739996051</v>
      </c>
      <c r="AW22" s="84">
        <v>6.0166186596196152</v>
      </c>
      <c r="AX22" s="84">
        <v>6.40951206572334</v>
      </c>
      <c r="AY22" s="84"/>
      <c r="AZ22" s="84">
        <f t="shared" si="38"/>
        <v>1.2794927917237349</v>
      </c>
      <c r="BA22" s="84">
        <f>'RD T1'!E161</f>
        <v>1.8496213560262504</v>
      </c>
      <c r="BB22" s="84">
        <f t="shared" si="39"/>
        <v>3.1291141477499851</v>
      </c>
      <c r="BD22" s="18" t="str">
        <f t="shared" si="40"/>
        <v xml:space="preserve"> 52 Skilled metal, electrical and electronic trades</v>
      </c>
      <c r="BE22" s="84">
        <v>26.198808098285241</v>
      </c>
      <c r="BF22" s="84">
        <v>23.169539007681973</v>
      </c>
      <c r="BG22" s="84">
        <v>25.556886306433181</v>
      </c>
      <c r="BH22" s="84">
        <v>23.369320624363333</v>
      </c>
      <c r="BI22" s="84">
        <v>22.155482291043651</v>
      </c>
      <c r="BJ22" s="84"/>
      <c r="BK22" s="84">
        <f t="shared" si="41"/>
        <v>-3.4014040153895309</v>
      </c>
      <c r="BL22" s="84">
        <f>'RD T1'!E189</f>
        <v>5.546906736465874</v>
      </c>
      <c r="BM22" s="84">
        <f t="shared" si="42"/>
        <v>2.1455027210763431</v>
      </c>
      <c r="BO22" s="18" t="str">
        <f t="shared" si="43"/>
        <v xml:space="preserve"> 52 Skilled metal, electrical and electronic trades</v>
      </c>
      <c r="BP22" s="84">
        <v>16.432763791903362</v>
      </c>
      <c r="BQ22" s="84">
        <v>14.357187196445075</v>
      </c>
      <c r="BR22" s="84">
        <v>14.653509272329392</v>
      </c>
      <c r="BS22" s="84">
        <v>12.202710739211765</v>
      </c>
      <c r="BT22" s="84">
        <v>10.608402701782198</v>
      </c>
      <c r="BU22" s="84"/>
      <c r="BV22" s="84">
        <f t="shared" si="44"/>
        <v>-4.045106570547194</v>
      </c>
      <c r="BW22" s="84">
        <f>'RD T1'!E217</f>
        <v>3.1966457283629399</v>
      </c>
      <c r="BX22" s="84">
        <f t="shared" si="45"/>
        <v>-0.8484608421842541</v>
      </c>
      <c r="BZ22" s="18" t="str">
        <f t="shared" si="46"/>
        <v xml:space="preserve"> 52 Skilled metal, electrical and electronic trades</v>
      </c>
      <c r="CA22" s="84">
        <v>8.8982918165165916</v>
      </c>
      <c r="CB22" s="84">
        <v>6.9363070837823138</v>
      </c>
      <c r="CC22" s="84">
        <v>6.9098267440912533</v>
      </c>
      <c r="CD22" s="84">
        <v>5.8968255923790851</v>
      </c>
      <c r="CE22" s="84">
        <v>5.0171003532059206</v>
      </c>
      <c r="CF22" s="84"/>
      <c r="CG22" s="84">
        <f t="shared" si="47"/>
        <v>-1.8927263908853327</v>
      </c>
      <c r="CH22" s="84">
        <f>'RD T1'!E245</f>
        <v>1.4262200460188827</v>
      </c>
      <c r="CI22" s="84">
        <f t="shared" si="48"/>
        <v>-0.46650634486644993</v>
      </c>
      <c r="CK22" s="18" t="str">
        <f t="shared" si="49"/>
        <v xml:space="preserve"> 52 Skilled metal, electrical and electronic trades</v>
      </c>
      <c r="CL22" s="84">
        <v>4.8718819503104598</v>
      </c>
      <c r="CM22" s="84">
        <v>2.9409252235486028</v>
      </c>
      <c r="CN22" s="84">
        <v>2.6433813848856187</v>
      </c>
      <c r="CO22" s="84">
        <v>1.7161704542715557</v>
      </c>
      <c r="CP22" s="84">
        <v>1.2360692420299013</v>
      </c>
      <c r="CQ22" s="84"/>
      <c r="CR22" s="84">
        <f t="shared" si="50"/>
        <v>-1.4073121428557174</v>
      </c>
      <c r="CS22" s="84">
        <f>'RD T1'!E273</f>
        <v>0.33694734829275902</v>
      </c>
      <c r="CT22" s="84">
        <f t="shared" si="51"/>
        <v>-1.0703647945629584</v>
      </c>
    </row>
    <row r="23" spans="1:98" x14ac:dyDescent="0.2">
      <c r="A23" s="12" t="str">
        <f>name!D19</f>
        <v xml:space="preserve"> 53 Skilled construction and building trades</v>
      </c>
      <c r="B23" s="84">
        <v>9.4043902908805665E-3</v>
      </c>
      <c r="C23" s="84">
        <v>1.1238194131063983E-2</v>
      </c>
      <c r="D23" s="84">
        <v>1.5227818009140279E-2</v>
      </c>
      <c r="E23" s="84">
        <v>1.9988330069122491E-2</v>
      </c>
      <c r="F23" s="84">
        <v>2.2557589778028877E-2</v>
      </c>
      <c r="G23" s="13"/>
      <c r="H23" s="84">
        <f t="shared" si="26"/>
        <v>7.3297717688885974E-3</v>
      </c>
      <c r="I23" s="84">
        <f>'RD T1'!E50</f>
        <v>4.4274090706179414E-3</v>
      </c>
      <c r="J23" s="84">
        <f t="shared" si="27"/>
        <v>1.175718083950654E-2</v>
      </c>
      <c r="L23" s="18" t="str">
        <f t="shared" si="28"/>
        <v xml:space="preserve"> 53 Skilled construction and building trades</v>
      </c>
      <c r="M23" s="84">
        <v>0.73930303641596717</v>
      </c>
      <c r="N23" s="84">
        <v>0.28622088591330991</v>
      </c>
      <c r="O23" s="84">
        <v>0.53010915298153827</v>
      </c>
      <c r="P23" s="84">
        <v>0.80496747557887316</v>
      </c>
      <c r="Q23" s="84">
        <v>1.0101839307412481</v>
      </c>
      <c r="R23" s="13"/>
      <c r="S23" s="84">
        <f t="shared" si="29"/>
        <v>0.48007477775970986</v>
      </c>
      <c r="T23" s="84">
        <f>'RD T1'!E78</f>
        <v>0.21291122575730567</v>
      </c>
      <c r="U23" s="84">
        <f t="shared" si="30"/>
        <v>0.69298600351701556</v>
      </c>
      <c r="W23" s="18" t="str">
        <f t="shared" si="31"/>
        <v xml:space="preserve"> 53 Skilled construction and building trades</v>
      </c>
      <c r="X23" s="84">
        <v>1.4526731101031476</v>
      </c>
      <c r="Y23" s="84">
        <v>1.6149300555058126</v>
      </c>
      <c r="Z23" s="84">
        <v>1.8360713441851719</v>
      </c>
      <c r="AA23" s="84">
        <v>2.5198836164506395</v>
      </c>
      <c r="AB23" s="84">
        <v>2.836419540207995</v>
      </c>
      <c r="AC23" s="84"/>
      <c r="AD23" s="84">
        <f t="shared" si="32"/>
        <v>1.0003481960228231</v>
      </c>
      <c r="AE23" s="84">
        <f>'RD T1'!E106</f>
        <v>0.86014023345030333</v>
      </c>
      <c r="AF23" s="84">
        <f t="shared" si="33"/>
        <v>1.8604884294731265</v>
      </c>
      <c r="AH23" s="18" t="str">
        <f t="shared" si="34"/>
        <v xml:space="preserve"> 53 Skilled construction and building trades</v>
      </c>
      <c r="AI23" s="84">
        <v>0.91313558377623427</v>
      </c>
      <c r="AJ23" s="84">
        <v>0.95922568826563892</v>
      </c>
      <c r="AK23" s="84">
        <v>1.2481849014478217</v>
      </c>
      <c r="AL23" s="84">
        <v>1.7924473216792574</v>
      </c>
      <c r="AM23" s="84">
        <v>2.0019073547652599</v>
      </c>
      <c r="AN23" s="84"/>
      <c r="AO23" s="84">
        <f t="shared" si="35"/>
        <v>0.75372245331743826</v>
      </c>
      <c r="AP23" s="84">
        <f>'RD T1'!E134</f>
        <v>0.64764553069669484</v>
      </c>
      <c r="AQ23" s="84">
        <f t="shared" si="36"/>
        <v>1.4013679840141331</v>
      </c>
      <c r="AS23" s="18" t="str">
        <f t="shared" si="37"/>
        <v xml:space="preserve"> 53 Skilled construction and building trades</v>
      </c>
      <c r="AT23" s="84">
        <v>1.7700957694642736</v>
      </c>
      <c r="AU23" s="84">
        <v>1.5529587594730845</v>
      </c>
      <c r="AV23" s="84">
        <v>1.9477014331164393</v>
      </c>
      <c r="AW23" s="84">
        <v>2.6530952840755955</v>
      </c>
      <c r="AX23" s="84">
        <v>2.9383437300046555</v>
      </c>
      <c r="AY23" s="84"/>
      <c r="AZ23" s="84">
        <f t="shared" si="38"/>
        <v>0.99064229688821626</v>
      </c>
      <c r="BA23" s="84">
        <f>'RD T1'!E162</f>
        <v>0.94241879884396973</v>
      </c>
      <c r="BB23" s="84">
        <f t="shared" si="39"/>
        <v>1.9330610957321861</v>
      </c>
      <c r="BD23" s="18" t="str">
        <f t="shared" si="40"/>
        <v xml:space="preserve"> 53 Skilled construction and building trades</v>
      </c>
      <c r="BE23" s="84">
        <v>22.027276687585044</v>
      </c>
      <c r="BF23" s="84">
        <v>17.307775798522297</v>
      </c>
      <c r="BG23" s="84">
        <v>19.303276347386806</v>
      </c>
      <c r="BH23" s="84">
        <v>18.830175552151893</v>
      </c>
      <c r="BI23" s="84">
        <v>18.429747914695941</v>
      </c>
      <c r="BJ23" s="84"/>
      <c r="BK23" s="84">
        <f t="shared" si="41"/>
        <v>-0.87352843269086478</v>
      </c>
      <c r="BL23" s="84">
        <f>'RD T1'!E190</f>
        <v>4.7338629602040632</v>
      </c>
      <c r="BM23" s="84">
        <f t="shared" si="42"/>
        <v>3.8603345275131984</v>
      </c>
      <c r="BO23" s="18" t="str">
        <f t="shared" si="43"/>
        <v xml:space="preserve"> 53 Skilled construction and building trades</v>
      </c>
      <c r="BP23" s="84">
        <v>17.545961420632786</v>
      </c>
      <c r="BQ23" s="84">
        <v>14.355928500941916</v>
      </c>
      <c r="BR23" s="84">
        <v>17.547084355894896</v>
      </c>
      <c r="BS23" s="84">
        <v>17.940635330674162</v>
      </c>
      <c r="BT23" s="84">
        <v>17.953913501179319</v>
      </c>
      <c r="BU23" s="84"/>
      <c r="BV23" s="84">
        <f t="shared" si="44"/>
        <v>0.40682914528442282</v>
      </c>
      <c r="BW23" s="84">
        <f>'RD T1'!E218</f>
        <v>5.5034561924920329</v>
      </c>
      <c r="BX23" s="84">
        <f t="shared" si="45"/>
        <v>5.9102853377764557</v>
      </c>
      <c r="BZ23" s="18" t="str">
        <f t="shared" si="46"/>
        <v xml:space="preserve"> 53 Skilled construction and building trades</v>
      </c>
      <c r="CA23" s="84">
        <v>9.0057723784704073</v>
      </c>
      <c r="CB23" s="84">
        <v>7.5185172996491776</v>
      </c>
      <c r="CC23" s="84">
        <v>8.5856651223326388</v>
      </c>
      <c r="CD23" s="84">
        <v>8.641765755783176</v>
      </c>
      <c r="CE23" s="84">
        <v>8.6242209403393133</v>
      </c>
      <c r="CF23" s="84"/>
      <c r="CG23" s="84">
        <f t="shared" si="47"/>
        <v>3.8555818006674514E-2</v>
      </c>
      <c r="CH23" s="84">
        <f>'RD T1'!E246</f>
        <v>2.3853081029007233</v>
      </c>
      <c r="CI23" s="84">
        <f t="shared" si="48"/>
        <v>2.4238639209073978</v>
      </c>
      <c r="CK23" s="18" t="str">
        <f t="shared" si="49"/>
        <v xml:space="preserve"> 53 Skilled construction and building trades</v>
      </c>
      <c r="CL23" s="84">
        <v>8.7107636301985867</v>
      </c>
      <c r="CM23" s="84">
        <v>4.7151921358580546</v>
      </c>
      <c r="CN23" s="84">
        <v>4.5937425598648405</v>
      </c>
      <c r="CO23" s="84">
        <v>3.2380966528081441</v>
      </c>
      <c r="CP23" s="84">
        <v>2.0473636764682848</v>
      </c>
      <c r="CQ23" s="84"/>
      <c r="CR23" s="84">
        <f t="shared" si="50"/>
        <v>-2.5463788833965557</v>
      </c>
      <c r="CS23" s="84">
        <f>'RD T1'!E274</f>
        <v>0.57561181424119845</v>
      </c>
      <c r="CT23" s="84">
        <f t="shared" si="51"/>
        <v>-1.9707670691553574</v>
      </c>
    </row>
    <row r="24" spans="1:98" x14ac:dyDescent="0.2">
      <c r="A24" s="12" t="str">
        <f>name!D20</f>
        <v xml:space="preserve"> 54 Textiles, printing and other skilled trades</v>
      </c>
      <c r="B24" s="84">
        <v>1.2592741610112581E-2</v>
      </c>
      <c r="C24" s="84">
        <v>7.5697912540361581E-2</v>
      </c>
      <c r="D24" s="84">
        <v>0.11737758039730749</v>
      </c>
      <c r="E24" s="84">
        <v>0.15208181098347101</v>
      </c>
      <c r="F24" s="84">
        <v>0.17883082999590436</v>
      </c>
      <c r="G24" s="13"/>
      <c r="H24" s="84">
        <f t="shared" si="26"/>
        <v>6.1453249598596868E-2</v>
      </c>
      <c r="I24" s="84">
        <f>'RD T1'!E51</f>
        <v>4.0210861837953069E-2</v>
      </c>
      <c r="J24" s="84">
        <f t="shared" si="27"/>
        <v>0.10166411143654994</v>
      </c>
      <c r="L24" s="18" t="str">
        <f t="shared" si="28"/>
        <v xml:space="preserve"> 54 Textiles, printing and other skilled trades</v>
      </c>
      <c r="M24" s="84">
        <v>0.66148350095710662</v>
      </c>
      <c r="N24" s="84">
        <v>0.64669042870126447</v>
      </c>
      <c r="O24" s="84">
        <v>1.1047448289814938</v>
      </c>
      <c r="P24" s="84">
        <v>1.4244419931411136</v>
      </c>
      <c r="Q24" s="84">
        <v>1.6083815416191154</v>
      </c>
      <c r="R24" s="13"/>
      <c r="S24" s="84">
        <f t="shared" si="29"/>
        <v>0.50363671263762155</v>
      </c>
      <c r="T24" s="84">
        <f>'RD T1'!E79</f>
        <v>0.41168852516663873</v>
      </c>
      <c r="U24" s="84">
        <f t="shared" si="30"/>
        <v>0.91532523780426023</v>
      </c>
      <c r="W24" s="18" t="str">
        <f t="shared" si="31"/>
        <v xml:space="preserve"> 54 Textiles, printing and other skilled trades</v>
      </c>
      <c r="X24" s="84">
        <v>1.8507930244993538</v>
      </c>
      <c r="Y24" s="84">
        <v>2.8216535254347348</v>
      </c>
      <c r="Z24" s="84">
        <v>3.357623085733481</v>
      </c>
      <c r="AA24" s="84">
        <v>4.3660232696754129</v>
      </c>
      <c r="AB24" s="84">
        <v>4.739549645840607</v>
      </c>
      <c r="AC24" s="84"/>
      <c r="AD24" s="84">
        <f t="shared" si="32"/>
        <v>1.381926560107126</v>
      </c>
      <c r="AE24" s="84">
        <f>'RD T1'!E107</f>
        <v>1.5599022149009856</v>
      </c>
      <c r="AF24" s="84">
        <f t="shared" si="33"/>
        <v>2.9418287750081116</v>
      </c>
      <c r="AH24" s="18" t="str">
        <f t="shared" si="34"/>
        <v xml:space="preserve"> 54 Textiles, printing and other skilled trades</v>
      </c>
      <c r="AI24" s="84">
        <v>1.0608824762530664</v>
      </c>
      <c r="AJ24" s="84">
        <v>1.0971318101818599</v>
      </c>
      <c r="AK24" s="84">
        <v>1.1367078598061664</v>
      </c>
      <c r="AL24" s="84">
        <v>1.3293416893396153</v>
      </c>
      <c r="AM24" s="84">
        <v>1.3590620225512511</v>
      </c>
      <c r="AN24" s="84"/>
      <c r="AO24" s="84">
        <f t="shared" si="35"/>
        <v>0.22235416274508468</v>
      </c>
      <c r="AP24" s="84">
        <f>'RD T1'!E135</f>
        <v>0.48005597656102744</v>
      </c>
      <c r="AQ24" s="84">
        <f t="shared" si="36"/>
        <v>0.70241013930611218</v>
      </c>
      <c r="AS24" s="18" t="str">
        <f t="shared" si="37"/>
        <v xml:space="preserve"> 54 Textiles, printing and other skilled trades</v>
      </c>
      <c r="AT24" s="84">
        <v>1.0566464178258932</v>
      </c>
      <c r="AU24" s="84">
        <v>1.2849647506715673</v>
      </c>
      <c r="AV24" s="84">
        <v>1.4426262661243772</v>
      </c>
      <c r="AW24" s="84">
        <v>1.7261920708006901</v>
      </c>
      <c r="AX24" s="84">
        <v>1.814134650604686</v>
      </c>
      <c r="AY24" s="84"/>
      <c r="AZ24" s="84">
        <f t="shared" si="38"/>
        <v>0.37150838448030887</v>
      </c>
      <c r="BA24" s="84">
        <f>'RD T1'!E163</f>
        <v>0.57622563450979547</v>
      </c>
      <c r="BB24" s="84">
        <f t="shared" si="39"/>
        <v>0.94773401899010434</v>
      </c>
      <c r="BD24" s="18" t="str">
        <f t="shared" si="40"/>
        <v xml:space="preserve"> 54 Textiles, printing and other skilled trades</v>
      </c>
      <c r="BE24" s="84">
        <v>9.4791266979196553</v>
      </c>
      <c r="BF24" s="84">
        <v>10.040013162763456</v>
      </c>
      <c r="BG24" s="84">
        <v>11.113591759880309</v>
      </c>
      <c r="BH24" s="84">
        <v>11.062090945021907</v>
      </c>
      <c r="BI24" s="84">
        <v>11.205096521878065</v>
      </c>
      <c r="BJ24" s="84"/>
      <c r="BK24" s="84">
        <f t="shared" si="41"/>
        <v>9.1504761997756034E-2</v>
      </c>
      <c r="BL24" s="84">
        <f>'RD T1'!E191</f>
        <v>2.9643948475061057</v>
      </c>
      <c r="BM24" s="84">
        <f t="shared" si="42"/>
        <v>3.0558996095038617</v>
      </c>
      <c r="BO24" s="18" t="str">
        <f t="shared" si="43"/>
        <v xml:space="preserve"> 54 Textiles, printing and other skilled trades</v>
      </c>
      <c r="BP24" s="84">
        <v>10.701278677211667</v>
      </c>
      <c r="BQ24" s="84">
        <v>11.829408757299371</v>
      </c>
      <c r="BR24" s="84">
        <v>11.627635527862285</v>
      </c>
      <c r="BS24" s="84">
        <v>9.5144386987556206</v>
      </c>
      <c r="BT24" s="84">
        <v>7.3956619263117664</v>
      </c>
      <c r="BU24" s="84"/>
      <c r="BV24" s="84">
        <f t="shared" si="44"/>
        <v>-4.2319736015505187</v>
      </c>
      <c r="BW24" s="84">
        <f>'RD T1'!E219</f>
        <v>2.4947716989479254</v>
      </c>
      <c r="BX24" s="84">
        <f t="shared" si="45"/>
        <v>-1.7372019026025933</v>
      </c>
      <c r="BZ24" s="18" t="str">
        <f t="shared" si="46"/>
        <v xml:space="preserve"> 54 Textiles, printing and other skilled trades</v>
      </c>
      <c r="CA24" s="84">
        <v>8.2644030839441776</v>
      </c>
      <c r="CB24" s="84">
        <v>8.8015199517231864</v>
      </c>
      <c r="CC24" s="84">
        <v>9.8189588584338896</v>
      </c>
      <c r="CD24" s="84">
        <v>8.7031981500420645</v>
      </c>
      <c r="CE24" s="84">
        <v>7.9639012666434885</v>
      </c>
      <c r="CF24" s="84"/>
      <c r="CG24" s="84">
        <f t="shared" si="47"/>
        <v>-1.8550575917904011</v>
      </c>
      <c r="CH24" s="84">
        <f>'RD T1'!E247</f>
        <v>2.1108372081210569</v>
      </c>
      <c r="CI24" s="84">
        <f t="shared" si="48"/>
        <v>0.25577961633065582</v>
      </c>
      <c r="CK24" s="18" t="str">
        <f t="shared" si="49"/>
        <v xml:space="preserve"> 54 Textiles, printing and other skilled trades</v>
      </c>
      <c r="CL24" s="84">
        <v>5.7646079749703132</v>
      </c>
      <c r="CM24" s="84">
        <v>4.3616891300307987</v>
      </c>
      <c r="CN24" s="84">
        <v>4.3932676484711264</v>
      </c>
      <c r="CO24" s="84">
        <v>3.1508080005984169</v>
      </c>
      <c r="CP24" s="84">
        <v>1.8769802054404761</v>
      </c>
      <c r="CQ24" s="84"/>
      <c r="CR24" s="84">
        <f t="shared" si="50"/>
        <v>-2.5162874430306506</v>
      </c>
      <c r="CS24" s="84">
        <f>'RD T1'!E275</f>
        <v>0.56368389285048337</v>
      </c>
      <c r="CT24" s="84">
        <f t="shared" si="51"/>
        <v>-1.9526035501801671</v>
      </c>
    </row>
    <row r="25" spans="1:98" x14ac:dyDescent="0.2">
      <c r="A25" s="12" t="str">
        <f>name!D21</f>
        <v xml:space="preserve"> 61 Caring personal service occupations</v>
      </c>
      <c r="B25" s="84">
        <v>9.504889960440234E-2</v>
      </c>
      <c r="C25" s="84">
        <v>4.8997876306738124E-2</v>
      </c>
      <c r="D25" s="84">
        <v>9.35640805764026E-2</v>
      </c>
      <c r="E25" s="84">
        <v>0.12604688248831972</v>
      </c>
      <c r="F25" s="84">
        <v>0.1490833841881106</v>
      </c>
      <c r="G25" s="13"/>
      <c r="H25" s="84">
        <f t="shared" si="26"/>
        <v>5.5519303611707996E-2</v>
      </c>
      <c r="I25" s="84">
        <f>'RD T1'!E52</f>
        <v>4.0818927873211397E-2</v>
      </c>
      <c r="J25" s="84">
        <f t="shared" si="27"/>
        <v>9.6338231484919393E-2</v>
      </c>
      <c r="L25" s="18" t="str">
        <f t="shared" si="28"/>
        <v xml:space="preserve"> 61 Caring personal service occupations</v>
      </c>
      <c r="M25" s="84">
        <v>2.2930624564483715</v>
      </c>
      <c r="N25" s="84">
        <v>2.2810219892975683</v>
      </c>
      <c r="O25" s="84">
        <v>4.1904593597581057</v>
      </c>
      <c r="P25" s="84">
        <v>5.8043975798221439</v>
      </c>
      <c r="Q25" s="84">
        <v>6.9958627236510376</v>
      </c>
      <c r="R25" s="13"/>
      <c r="S25" s="84">
        <f t="shared" si="29"/>
        <v>2.8054033638929319</v>
      </c>
      <c r="T25" s="84">
        <f>'RD T1'!E80</f>
        <v>2.0002258470377172</v>
      </c>
      <c r="U25" s="84">
        <f t="shared" si="30"/>
        <v>4.8056292109306487</v>
      </c>
      <c r="W25" s="18" t="str">
        <f t="shared" si="31"/>
        <v xml:space="preserve"> 61 Caring personal service occupations</v>
      </c>
      <c r="X25" s="84">
        <v>6.6276054775682178</v>
      </c>
      <c r="Y25" s="84">
        <v>9.7435336364546252</v>
      </c>
      <c r="Z25" s="84">
        <v>12.817547918318022</v>
      </c>
      <c r="AA25" s="84">
        <v>17.534065450707498</v>
      </c>
      <c r="AB25" s="84">
        <v>18.808004525992391</v>
      </c>
      <c r="AC25" s="84"/>
      <c r="AD25" s="84">
        <f t="shared" si="32"/>
        <v>5.9904566076743695</v>
      </c>
      <c r="AE25" s="84">
        <f>'RD T1'!E108</f>
        <v>7.676702837270013</v>
      </c>
      <c r="AF25" s="84">
        <f t="shared" si="33"/>
        <v>13.667159444944382</v>
      </c>
      <c r="AH25" s="18" t="str">
        <f t="shared" si="34"/>
        <v xml:space="preserve"> 61 Caring personal service occupations</v>
      </c>
      <c r="AI25" s="84">
        <v>7.7193866851731574</v>
      </c>
      <c r="AJ25" s="84">
        <v>9.9026207245561206</v>
      </c>
      <c r="AK25" s="84">
        <v>11.306321334044078</v>
      </c>
      <c r="AL25" s="84">
        <v>13.266607774065344</v>
      </c>
      <c r="AM25" s="84">
        <v>13.35297069244575</v>
      </c>
      <c r="AN25" s="84"/>
      <c r="AO25" s="84">
        <f t="shared" si="35"/>
        <v>2.0466493584016714</v>
      </c>
      <c r="AP25" s="84">
        <f>'RD T1'!E136</f>
        <v>5.244522179669362</v>
      </c>
      <c r="AQ25" s="84">
        <f t="shared" si="36"/>
        <v>7.2911715380710334</v>
      </c>
      <c r="AS25" s="18" t="str">
        <f t="shared" si="37"/>
        <v xml:space="preserve"> 61 Caring personal service occupations</v>
      </c>
      <c r="AT25" s="84">
        <v>3.6459273499020273</v>
      </c>
      <c r="AU25" s="84">
        <v>5.2681179866077033</v>
      </c>
      <c r="AV25" s="84">
        <v>6.5388461716834581</v>
      </c>
      <c r="AW25" s="84">
        <v>8.3714302212946166</v>
      </c>
      <c r="AX25" s="84">
        <v>8.722639005377065</v>
      </c>
      <c r="AY25" s="84"/>
      <c r="AZ25" s="84">
        <f t="shared" si="38"/>
        <v>2.183792833693607</v>
      </c>
      <c r="BA25" s="84">
        <f>'RD T1'!E164</f>
        <v>3.4331870855064843</v>
      </c>
      <c r="BB25" s="84">
        <f t="shared" si="39"/>
        <v>5.6169799192000909</v>
      </c>
      <c r="BD25" s="18" t="str">
        <f t="shared" si="40"/>
        <v xml:space="preserve"> 61 Caring personal service occupations</v>
      </c>
      <c r="BE25" s="84">
        <v>25.967380418926478</v>
      </c>
      <c r="BF25" s="84">
        <v>34.525697274181368</v>
      </c>
      <c r="BG25" s="84">
        <v>50.974756082113139</v>
      </c>
      <c r="BH25" s="84">
        <v>54.398526781500813</v>
      </c>
      <c r="BI25" s="84">
        <v>63.116149635905458</v>
      </c>
      <c r="BJ25" s="84"/>
      <c r="BK25" s="84">
        <f t="shared" si="41"/>
        <v>12.141393553792319</v>
      </c>
      <c r="BL25" s="84">
        <f>'RD T1'!E192</f>
        <v>20.818104098935557</v>
      </c>
      <c r="BM25" s="84">
        <f t="shared" si="42"/>
        <v>32.959497652727876</v>
      </c>
      <c r="BO25" s="18" t="str">
        <f t="shared" si="43"/>
        <v xml:space="preserve"> 61 Caring personal service occupations</v>
      </c>
      <c r="BP25" s="84">
        <v>31.311507400510383</v>
      </c>
      <c r="BQ25" s="84">
        <v>33.180214228186756</v>
      </c>
      <c r="BR25" s="84">
        <v>38.437573268366329</v>
      </c>
      <c r="BS25" s="84">
        <v>38.372526102988999</v>
      </c>
      <c r="BT25" s="84">
        <v>38.88676485223646</v>
      </c>
      <c r="BU25" s="84"/>
      <c r="BV25" s="84">
        <f t="shared" si="44"/>
        <v>0.44919158387013169</v>
      </c>
      <c r="BW25" s="84">
        <f>'RD T1'!E220</f>
        <v>13.257251242502498</v>
      </c>
      <c r="BX25" s="84">
        <f t="shared" si="45"/>
        <v>13.70644282637263</v>
      </c>
      <c r="BZ25" s="18" t="str">
        <f t="shared" si="46"/>
        <v xml:space="preserve"> 61 Caring personal service occupations</v>
      </c>
      <c r="CA25" s="84">
        <v>15.15341637819443</v>
      </c>
      <c r="CB25" s="84">
        <v>10.991121859668997</v>
      </c>
      <c r="CC25" s="84">
        <v>8.2377642460591733</v>
      </c>
      <c r="CD25" s="84">
        <v>5.0113711156878002</v>
      </c>
      <c r="CE25" s="84">
        <v>4.882716560645604</v>
      </c>
      <c r="CF25" s="84"/>
      <c r="CG25" s="84">
        <f t="shared" si="47"/>
        <v>-3.3550476854135693</v>
      </c>
      <c r="CH25" s="84">
        <f>'RD T1'!E248</f>
        <v>1.2198186280690304</v>
      </c>
      <c r="CI25" s="84">
        <f t="shared" si="48"/>
        <v>-2.1352290573445387</v>
      </c>
      <c r="CK25" s="18" t="str">
        <f t="shared" si="49"/>
        <v xml:space="preserve"> 61 Caring personal service occupations</v>
      </c>
      <c r="CL25" s="84">
        <v>6.3746236373875034</v>
      </c>
      <c r="CM25" s="84">
        <v>2.8407316367749478</v>
      </c>
      <c r="CN25" s="84">
        <v>1.437355017095137</v>
      </c>
      <c r="CO25" s="84">
        <v>1.2284875505717432</v>
      </c>
      <c r="CP25" s="84">
        <v>1.4587847782738042</v>
      </c>
      <c r="CQ25" s="84"/>
      <c r="CR25" s="84">
        <f t="shared" si="50"/>
        <v>2.1429761178667128E-2</v>
      </c>
      <c r="CS25" s="84">
        <f>'RD T1'!E276</f>
        <v>0.22049587657089489</v>
      </c>
      <c r="CT25" s="84">
        <f t="shared" si="51"/>
        <v>0.24192563774956202</v>
      </c>
    </row>
    <row r="26" spans="1:98" x14ac:dyDescent="0.2">
      <c r="A26" s="12" t="str">
        <f>name!D22</f>
        <v xml:space="preserve"> 62 Leisure, travel and related personal service occupations</v>
      </c>
      <c r="B26" s="84">
        <v>1.6117121327944118E-2</v>
      </c>
      <c r="C26" s="84">
        <v>3.1712520317267838E-2</v>
      </c>
      <c r="D26" s="84">
        <v>5.8483405213738203E-2</v>
      </c>
      <c r="E26" s="84">
        <v>7.5067095017236227E-2</v>
      </c>
      <c r="F26" s="84">
        <v>7.924937716624636E-2</v>
      </c>
      <c r="G26" s="13"/>
      <c r="H26" s="84">
        <f t="shared" si="26"/>
        <v>2.0765971952508157E-2</v>
      </c>
      <c r="I26" s="84">
        <f>'RD T1'!E53</f>
        <v>2.3130023020577577E-2</v>
      </c>
      <c r="J26" s="84">
        <f t="shared" si="27"/>
        <v>4.3895994973085731E-2</v>
      </c>
      <c r="L26" s="18" t="str">
        <f t="shared" si="28"/>
        <v xml:space="preserve"> 62 Leisure, travel and related personal service occupations</v>
      </c>
      <c r="M26" s="84">
        <v>0.28382900770039027</v>
      </c>
      <c r="N26" s="84">
        <v>0.42451559469133543</v>
      </c>
      <c r="O26" s="84">
        <v>0.66135725860429329</v>
      </c>
      <c r="P26" s="84">
        <v>0.8122090385509132</v>
      </c>
      <c r="Q26" s="84">
        <v>0.88067262212971154</v>
      </c>
      <c r="R26" s="13"/>
      <c r="S26" s="84">
        <f t="shared" si="29"/>
        <v>0.21931536352541825</v>
      </c>
      <c r="T26" s="84">
        <f>'RD T1'!E81</f>
        <v>0.26249334748518377</v>
      </c>
      <c r="U26" s="84">
        <f t="shared" si="30"/>
        <v>0.48180871101060202</v>
      </c>
      <c r="W26" s="18" t="str">
        <f t="shared" si="31"/>
        <v xml:space="preserve"> 62 Leisure, travel and related personal service occupations</v>
      </c>
      <c r="X26" s="84">
        <v>1.4254944951812567</v>
      </c>
      <c r="Y26" s="84">
        <v>2.2057949874131202</v>
      </c>
      <c r="Z26" s="84">
        <v>2.7779357532729616</v>
      </c>
      <c r="AA26" s="84">
        <v>3.6665668521167794</v>
      </c>
      <c r="AB26" s="84">
        <v>3.9881111354803092</v>
      </c>
      <c r="AC26" s="84"/>
      <c r="AD26" s="84">
        <f t="shared" si="32"/>
        <v>1.2101753822073475</v>
      </c>
      <c r="AE26" s="84">
        <f>'RD T1'!E109</f>
        <v>1.5270451870834854</v>
      </c>
      <c r="AF26" s="84">
        <f t="shared" si="33"/>
        <v>2.7372205692908329</v>
      </c>
      <c r="AH26" s="18" t="str">
        <f t="shared" si="34"/>
        <v xml:space="preserve"> 62 Leisure, travel and related personal service occupations</v>
      </c>
      <c r="AI26" s="84">
        <v>0.92971492145593271</v>
      </c>
      <c r="AJ26" s="84">
        <v>1.3340856701042056</v>
      </c>
      <c r="AK26" s="84">
        <v>1.7558994506171897</v>
      </c>
      <c r="AL26" s="84">
        <v>2.2684126802088755</v>
      </c>
      <c r="AM26" s="84">
        <v>2.4215496584237366</v>
      </c>
      <c r="AN26" s="84"/>
      <c r="AO26" s="84">
        <f t="shared" si="35"/>
        <v>0.66565020780654693</v>
      </c>
      <c r="AP26" s="84">
        <f>'RD T1'!E137</f>
        <v>0.9463700908847128</v>
      </c>
      <c r="AQ26" s="84">
        <f t="shared" si="36"/>
        <v>1.6120202986912597</v>
      </c>
      <c r="AS26" s="18" t="str">
        <f t="shared" si="37"/>
        <v xml:space="preserve"> 62 Leisure, travel and related personal service occupations</v>
      </c>
      <c r="AT26" s="84">
        <v>1.4108201629262143</v>
      </c>
      <c r="AU26" s="84">
        <v>1.8338280143556043</v>
      </c>
      <c r="AV26" s="84">
        <v>2.4987155554972689</v>
      </c>
      <c r="AW26" s="84">
        <v>3.3925211550378758</v>
      </c>
      <c r="AX26" s="84">
        <v>3.7433081962388499</v>
      </c>
      <c r="AY26" s="84"/>
      <c r="AZ26" s="84">
        <f t="shared" si="38"/>
        <v>1.244592640741581</v>
      </c>
      <c r="BA26" s="84">
        <f>'RD T1'!E165</f>
        <v>1.432033134767603</v>
      </c>
      <c r="BB26" s="84">
        <f t="shared" si="39"/>
        <v>2.676625775509184</v>
      </c>
      <c r="BD26" s="18" t="str">
        <f t="shared" si="40"/>
        <v xml:space="preserve"> 62 Leisure, travel and related personal service occupations</v>
      </c>
      <c r="BE26" s="84">
        <v>5.9999926571725259</v>
      </c>
      <c r="BF26" s="84">
        <v>7.2025042946376896</v>
      </c>
      <c r="BG26" s="84">
        <v>8.7657384322388108</v>
      </c>
      <c r="BH26" s="84">
        <v>7.6788550993558804</v>
      </c>
      <c r="BI26" s="84">
        <v>7.2501937268647847</v>
      </c>
      <c r="BJ26" s="84"/>
      <c r="BK26" s="84">
        <f t="shared" si="41"/>
        <v>-1.5155447053740261</v>
      </c>
      <c r="BL26" s="84">
        <f>'RD T1'!E193</f>
        <v>2.3697865340873943</v>
      </c>
      <c r="BM26" s="84">
        <f t="shared" si="42"/>
        <v>0.85424182871336818</v>
      </c>
      <c r="BO26" s="18" t="str">
        <f t="shared" si="43"/>
        <v xml:space="preserve"> 62 Leisure, travel and related personal service occupations</v>
      </c>
      <c r="BP26" s="84">
        <v>9.5920665785511705</v>
      </c>
      <c r="BQ26" s="84">
        <v>8.2475682147654332</v>
      </c>
      <c r="BR26" s="84">
        <v>9.0503421521512273</v>
      </c>
      <c r="BS26" s="84">
        <v>8.2801349378229787</v>
      </c>
      <c r="BT26" s="84">
        <v>7.3454687243949524</v>
      </c>
      <c r="BU26" s="84"/>
      <c r="BV26" s="84">
        <f t="shared" si="44"/>
        <v>-1.7048734277562749</v>
      </c>
      <c r="BW26" s="84">
        <f>'RD T1'!E221</f>
        <v>2.6605421578001627</v>
      </c>
      <c r="BX26" s="84">
        <f t="shared" si="45"/>
        <v>0.95566873004388775</v>
      </c>
      <c r="BZ26" s="18" t="str">
        <f t="shared" si="46"/>
        <v xml:space="preserve"> 62 Leisure, travel and related personal service occupations</v>
      </c>
      <c r="CA26" s="84">
        <v>4.1714843335373359</v>
      </c>
      <c r="CB26" s="84">
        <v>4.7957721950607786</v>
      </c>
      <c r="CC26" s="84">
        <v>6.2221540537974578</v>
      </c>
      <c r="CD26" s="84">
        <v>5.4295455295754973</v>
      </c>
      <c r="CE26" s="84">
        <v>5.4503230224671766</v>
      </c>
      <c r="CF26" s="84"/>
      <c r="CG26" s="84">
        <f t="shared" si="47"/>
        <v>-0.77183103133028119</v>
      </c>
      <c r="CH26" s="84">
        <f>'RD T1'!E249</f>
        <v>1.5457273079571223</v>
      </c>
      <c r="CI26" s="84">
        <f t="shared" si="48"/>
        <v>0.77389627662684113</v>
      </c>
      <c r="CK26" s="18" t="str">
        <f t="shared" si="49"/>
        <v xml:space="preserve"> 62 Leisure, travel and related personal service occupations</v>
      </c>
      <c r="CL26" s="84">
        <v>3.1316522544643535</v>
      </c>
      <c r="CM26" s="84">
        <v>2.1606539159839437</v>
      </c>
      <c r="CN26" s="84">
        <v>2.2913573385458976</v>
      </c>
      <c r="CO26" s="84">
        <v>1.6103285288045843</v>
      </c>
      <c r="CP26" s="84">
        <v>1.2634012532376215</v>
      </c>
      <c r="CQ26" s="84"/>
      <c r="CR26" s="84">
        <f t="shared" si="50"/>
        <v>-1.0279560853082761</v>
      </c>
      <c r="CS26" s="84">
        <f>'RD T1'!E277</f>
        <v>0.33000499766444324</v>
      </c>
      <c r="CT26" s="84">
        <f t="shared" si="51"/>
        <v>-0.69795108764383285</v>
      </c>
    </row>
    <row r="27" spans="1:98" x14ac:dyDescent="0.2">
      <c r="A27" s="12" t="str">
        <f>name!D23</f>
        <v xml:space="preserve"> 71 Sales occupations</v>
      </c>
      <c r="B27" s="84">
        <v>4.9936543302874385E-2</v>
      </c>
      <c r="C27" s="84">
        <v>8.1591513666624232E-2</v>
      </c>
      <c r="D27" s="84">
        <v>0.16458373075121746</v>
      </c>
      <c r="E27" s="84">
        <v>0.19650341983996705</v>
      </c>
      <c r="F27" s="84">
        <v>0.2117693318454944</v>
      </c>
      <c r="G27" s="13"/>
      <c r="H27" s="84">
        <f t="shared" si="26"/>
        <v>4.7185601094276941E-2</v>
      </c>
      <c r="I27" s="84">
        <f>'RD T1'!E54</f>
        <v>5.7740792528951902E-2</v>
      </c>
      <c r="J27" s="84">
        <f t="shared" si="27"/>
        <v>0.10492639362322884</v>
      </c>
      <c r="L27" s="18" t="str">
        <f t="shared" si="28"/>
        <v xml:space="preserve"> 71 Sales occupations</v>
      </c>
      <c r="M27" s="84">
        <v>1.9405985661664642</v>
      </c>
      <c r="N27" s="84">
        <v>1.5392128199607376</v>
      </c>
      <c r="O27" s="84">
        <v>2.5166898439515686</v>
      </c>
      <c r="P27" s="84">
        <v>3.2576284264976163</v>
      </c>
      <c r="Q27" s="84">
        <v>3.7428592626518395</v>
      </c>
      <c r="R27" s="13"/>
      <c r="S27" s="84">
        <f t="shared" si="29"/>
        <v>1.226169418700271</v>
      </c>
      <c r="T27" s="84">
        <f>'RD T1'!E82</f>
        <v>0.9373065622658564</v>
      </c>
      <c r="U27" s="84">
        <f t="shared" si="30"/>
        <v>2.1634759809661275</v>
      </c>
      <c r="W27" s="18" t="str">
        <f t="shared" si="31"/>
        <v xml:space="preserve"> 71 Sales occupations</v>
      </c>
      <c r="X27" s="84">
        <v>5.5826480470601361</v>
      </c>
      <c r="Y27" s="84">
        <v>8.9809612373055785</v>
      </c>
      <c r="Z27" s="84">
        <v>9.9903986793064252</v>
      </c>
      <c r="AA27" s="84">
        <v>13.118164123650164</v>
      </c>
      <c r="AB27" s="84">
        <v>14.414571038296049</v>
      </c>
      <c r="AC27" s="84"/>
      <c r="AD27" s="84">
        <f t="shared" si="32"/>
        <v>4.4241723589896242</v>
      </c>
      <c r="AE27" s="84">
        <f>'RD T1'!E110</f>
        <v>5.1155463881102001</v>
      </c>
      <c r="AF27" s="84">
        <f t="shared" si="33"/>
        <v>9.5397187470998244</v>
      </c>
      <c r="AH27" s="18" t="str">
        <f t="shared" si="34"/>
        <v xml:space="preserve"> 71 Sales occupations</v>
      </c>
      <c r="AI27" s="84">
        <v>2.6298508774444112</v>
      </c>
      <c r="AJ27" s="84">
        <v>3.418795149624239</v>
      </c>
      <c r="AK27" s="84">
        <v>3.5648009212603906</v>
      </c>
      <c r="AL27" s="84">
        <v>4.4831108093062921</v>
      </c>
      <c r="AM27" s="84">
        <v>4.856358709371654</v>
      </c>
      <c r="AN27" s="84"/>
      <c r="AO27" s="84">
        <f t="shared" si="35"/>
        <v>1.2915577881112634</v>
      </c>
      <c r="AP27" s="84">
        <f>'RD T1'!E138</f>
        <v>1.8032235569267034</v>
      </c>
      <c r="AQ27" s="84">
        <f t="shared" si="36"/>
        <v>3.0947813450379669</v>
      </c>
      <c r="AS27" s="18" t="str">
        <f t="shared" si="37"/>
        <v xml:space="preserve"> 71 Sales occupations</v>
      </c>
      <c r="AT27" s="84">
        <v>2.5965006324681754</v>
      </c>
      <c r="AU27" s="84">
        <v>2.8642495071163849</v>
      </c>
      <c r="AV27" s="84">
        <v>2.7159045270871838</v>
      </c>
      <c r="AW27" s="84">
        <v>3.1371216693295922</v>
      </c>
      <c r="AX27" s="84">
        <v>3.2731985623862969</v>
      </c>
      <c r="AY27" s="84"/>
      <c r="AZ27" s="84">
        <f t="shared" si="38"/>
        <v>0.55729403529911314</v>
      </c>
      <c r="BA27" s="84">
        <f>'RD T1'!E166</f>
        <v>1.0988486271472113</v>
      </c>
      <c r="BB27" s="84">
        <f t="shared" si="39"/>
        <v>1.6561426624463245</v>
      </c>
      <c r="BD27" s="18" t="str">
        <f t="shared" si="40"/>
        <v xml:space="preserve"> 71 Sales occupations</v>
      </c>
      <c r="BE27" s="84">
        <v>25.16891342358279</v>
      </c>
      <c r="BF27" s="84">
        <v>25.187538594124113</v>
      </c>
      <c r="BG27" s="84">
        <v>25.668752816705698</v>
      </c>
      <c r="BH27" s="84">
        <v>25.374059323680132</v>
      </c>
      <c r="BI27" s="84">
        <v>25.805049223363035</v>
      </c>
      <c r="BJ27" s="84"/>
      <c r="BK27" s="84">
        <f t="shared" si="41"/>
        <v>0.13629640665733689</v>
      </c>
      <c r="BL27" s="84">
        <f>'RD T1'!E194</f>
        <v>8.440471144142494</v>
      </c>
      <c r="BM27" s="84">
        <f t="shared" si="42"/>
        <v>8.5767675507998309</v>
      </c>
      <c r="BO27" s="18" t="str">
        <f t="shared" si="43"/>
        <v xml:space="preserve"> 71 Sales occupations</v>
      </c>
      <c r="BP27" s="84">
        <v>36.824676917484425</v>
      </c>
      <c r="BQ27" s="84">
        <v>31.222801543898907</v>
      </c>
      <c r="BR27" s="84">
        <v>25.883221728710382</v>
      </c>
      <c r="BS27" s="84">
        <v>24.418044646548669</v>
      </c>
      <c r="BT27" s="84">
        <v>22.747496777836368</v>
      </c>
      <c r="BU27" s="84"/>
      <c r="BV27" s="84">
        <f t="shared" si="44"/>
        <v>-3.1357249508740139</v>
      </c>
      <c r="BW27" s="84">
        <f>'RD T1'!E222</f>
        <v>8.4001477905237518</v>
      </c>
      <c r="BX27" s="84">
        <f t="shared" si="45"/>
        <v>5.2644228396497379</v>
      </c>
      <c r="BZ27" s="18" t="str">
        <f t="shared" si="46"/>
        <v xml:space="preserve"> 71 Sales occupations</v>
      </c>
      <c r="CA27" s="84">
        <v>21.289394557950171</v>
      </c>
      <c r="CB27" s="84">
        <v>18.598928877988122</v>
      </c>
      <c r="CC27" s="84">
        <v>17.823498433078807</v>
      </c>
      <c r="CD27" s="84">
        <v>13.892466664410097</v>
      </c>
      <c r="CE27" s="84">
        <v>10.447706389593787</v>
      </c>
      <c r="CF27" s="84"/>
      <c r="CG27" s="84">
        <f t="shared" si="47"/>
        <v>-7.3757920434850206</v>
      </c>
      <c r="CH27" s="84">
        <f>'RD T1'!E250</f>
        <v>3.5423389249940866</v>
      </c>
      <c r="CI27" s="84">
        <f t="shared" si="48"/>
        <v>-3.833453118490934</v>
      </c>
      <c r="CK27" s="18" t="str">
        <f t="shared" si="49"/>
        <v xml:space="preserve"> 71 Sales occupations</v>
      </c>
      <c r="CL27" s="84">
        <v>13.642278024148647</v>
      </c>
      <c r="CM27" s="84">
        <v>9.1357656401316252</v>
      </c>
      <c r="CN27" s="84">
        <v>8.4008074569518136</v>
      </c>
      <c r="CO27" s="84">
        <v>4.3447479882919033</v>
      </c>
      <c r="CP27" s="84">
        <v>2.9163177555882074</v>
      </c>
      <c r="CQ27" s="84"/>
      <c r="CR27" s="84">
        <f t="shared" si="50"/>
        <v>-5.4844897013636063</v>
      </c>
      <c r="CS27" s="84">
        <f>'RD T1'!E278</f>
        <v>0.82447703948625006</v>
      </c>
      <c r="CT27" s="84">
        <f t="shared" si="51"/>
        <v>-4.6600126618773565</v>
      </c>
    </row>
    <row r="28" spans="1:98" x14ac:dyDescent="0.2">
      <c r="A28" s="12" t="str">
        <f>name!D24</f>
        <v xml:space="preserve"> 72 Customer service occupations</v>
      </c>
      <c r="B28" s="84">
        <v>5.3615690754438693E-2</v>
      </c>
      <c r="C28" s="84">
        <v>5.7624235456186217E-2</v>
      </c>
      <c r="D28" s="84">
        <v>0.10953145469431032</v>
      </c>
      <c r="E28" s="84">
        <v>0.15244570142912053</v>
      </c>
      <c r="F28" s="84">
        <v>0.18199252180467157</v>
      </c>
      <c r="G28" s="13"/>
      <c r="H28" s="84">
        <f t="shared" si="26"/>
        <v>7.2461067110361252E-2</v>
      </c>
      <c r="I28" s="84">
        <f>'RD T1'!E55</f>
        <v>3.9000430407372222E-2</v>
      </c>
      <c r="J28" s="84">
        <f t="shared" si="27"/>
        <v>0.11146149751773347</v>
      </c>
      <c r="L28" s="18" t="str">
        <f t="shared" si="28"/>
        <v xml:space="preserve"> 72 Customer service occupations</v>
      </c>
      <c r="M28" s="84">
        <v>0.70724408155199703</v>
      </c>
      <c r="N28" s="84">
        <v>0.63591821044284758</v>
      </c>
      <c r="O28" s="84">
        <v>1.1330266506140407</v>
      </c>
      <c r="P28" s="84">
        <v>1.5381467566795064</v>
      </c>
      <c r="Q28" s="84">
        <v>1.8219449370847431</v>
      </c>
      <c r="R28" s="13"/>
      <c r="S28" s="84">
        <f t="shared" si="29"/>
        <v>0.68891828647070241</v>
      </c>
      <c r="T28" s="84">
        <f>'RD T1'!E83</f>
        <v>0.43512432376493865</v>
      </c>
      <c r="U28" s="84">
        <f t="shared" si="30"/>
        <v>1.1240426102356411</v>
      </c>
      <c r="W28" s="18" t="str">
        <f t="shared" si="31"/>
        <v xml:space="preserve"> 72 Customer service occupations</v>
      </c>
      <c r="X28" s="84">
        <v>2.6977489734601403</v>
      </c>
      <c r="Y28" s="84">
        <v>3.4665259377409177</v>
      </c>
      <c r="Z28" s="84">
        <v>4.4968328923338357</v>
      </c>
      <c r="AA28" s="84">
        <v>5.9258115976773427</v>
      </c>
      <c r="AB28" s="84">
        <v>6.5018637266785051</v>
      </c>
      <c r="AC28" s="84"/>
      <c r="AD28" s="84">
        <f t="shared" si="32"/>
        <v>2.0050308343446694</v>
      </c>
      <c r="AE28" s="84">
        <f>'RD T1'!E111</f>
        <v>2.0251923816907698</v>
      </c>
      <c r="AF28" s="84">
        <f t="shared" si="33"/>
        <v>4.0302232160354396</v>
      </c>
      <c r="AH28" s="18" t="str">
        <f t="shared" si="34"/>
        <v xml:space="preserve"> 72 Customer service occupations</v>
      </c>
      <c r="AI28" s="84">
        <v>0.81242256668698709</v>
      </c>
      <c r="AJ28" s="84">
        <v>1.0160249561848218</v>
      </c>
      <c r="AK28" s="84">
        <v>1.2026692384994804</v>
      </c>
      <c r="AL28" s="84">
        <v>1.6351176988439313</v>
      </c>
      <c r="AM28" s="84">
        <v>1.7837023455704057</v>
      </c>
      <c r="AN28" s="84"/>
      <c r="AO28" s="84">
        <f t="shared" si="35"/>
        <v>0.58103310707092537</v>
      </c>
      <c r="AP28" s="84">
        <f>'RD T1'!E139</f>
        <v>0.59683595771362863</v>
      </c>
      <c r="AQ28" s="84">
        <f t="shared" si="36"/>
        <v>1.177869064784554</v>
      </c>
      <c r="AS28" s="18" t="str">
        <f t="shared" si="37"/>
        <v xml:space="preserve"> 72 Customer service occupations</v>
      </c>
      <c r="AT28" s="84">
        <v>1.2386088042240535</v>
      </c>
      <c r="AU28" s="84">
        <v>1.6810920920092014</v>
      </c>
      <c r="AV28" s="84">
        <v>1.8433429723453143</v>
      </c>
      <c r="AW28" s="84">
        <v>2.3240218593330257</v>
      </c>
      <c r="AX28" s="84">
        <v>2.5228244894476726</v>
      </c>
      <c r="AY28" s="84"/>
      <c r="AZ28" s="84">
        <f t="shared" si="38"/>
        <v>0.67948151710235827</v>
      </c>
      <c r="BA28" s="84">
        <f>'RD T1'!E167</f>
        <v>0.74441396281915018</v>
      </c>
      <c r="BB28" s="84">
        <f t="shared" si="39"/>
        <v>1.4238954799215084</v>
      </c>
      <c r="BD28" s="18" t="str">
        <f t="shared" si="40"/>
        <v xml:space="preserve"> 72 Customer service occupations</v>
      </c>
      <c r="BE28" s="84">
        <v>5.317742489441394</v>
      </c>
      <c r="BF28" s="84">
        <v>6.2668429626227455</v>
      </c>
      <c r="BG28" s="84">
        <v>7.3756461916147682</v>
      </c>
      <c r="BH28" s="84">
        <v>7.4071823050201866</v>
      </c>
      <c r="BI28" s="84">
        <v>7.8051001439853618</v>
      </c>
      <c r="BJ28" s="84"/>
      <c r="BK28" s="84">
        <f t="shared" si="41"/>
        <v>0.42945395237059358</v>
      </c>
      <c r="BL28" s="84">
        <f>'RD T1'!E195</f>
        <v>2.2540688113932426</v>
      </c>
      <c r="BM28" s="84">
        <f t="shared" si="42"/>
        <v>2.6835227637638361</v>
      </c>
      <c r="BO28" s="18" t="str">
        <f t="shared" si="43"/>
        <v xml:space="preserve"> 72 Customer service occupations</v>
      </c>
      <c r="BP28" s="84">
        <v>6.0381415442739224</v>
      </c>
      <c r="BQ28" s="84">
        <v>7.0966602968399366</v>
      </c>
      <c r="BR28" s="84">
        <v>7.4882178709890095</v>
      </c>
      <c r="BS28" s="84">
        <v>7.7978326145129522</v>
      </c>
      <c r="BT28" s="84">
        <v>8.2974752902876876</v>
      </c>
      <c r="BU28" s="84"/>
      <c r="BV28" s="84">
        <f t="shared" si="44"/>
        <v>0.80925741929867812</v>
      </c>
      <c r="BW28" s="84">
        <f>'RD T1'!E223</f>
        <v>2.5547902145547576</v>
      </c>
      <c r="BX28" s="84">
        <f t="shared" si="45"/>
        <v>3.3640476338534357</v>
      </c>
      <c r="BZ28" s="18" t="str">
        <f t="shared" si="46"/>
        <v xml:space="preserve"> 72 Customer service occupations</v>
      </c>
      <c r="CA28" s="84">
        <v>3.5258103385450705</v>
      </c>
      <c r="CB28" s="84">
        <v>3.5860109289849431</v>
      </c>
      <c r="CC28" s="84">
        <v>3.9588373509271202</v>
      </c>
      <c r="CD28" s="84">
        <v>3.3750394538955653</v>
      </c>
      <c r="CE28" s="84">
        <v>3.3027341689924397</v>
      </c>
      <c r="CF28" s="84"/>
      <c r="CG28" s="84">
        <f t="shared" si="47"/>
        <v>-0.65610318193468053</v>
      </c>
      <c r="CH28" s="84">
        <f>'RD T1'!E251</f>
        <v>0.7913333135169478</v>
      </c>
      <c r="CI28" s="84">
        <f t="shared" si="48"/>
        <v>0.13523013158226727</v>
      </c>
      <c r="CK28" s="18" t="str">
        <f t="shared" si="49"/>
        <v xml:space="preserve"> 72 Customer service occupations</v>
      </c>
      <c r="CL28" s="84">
        <v>1.2871450351219029</v>
      </c>
      <c r="CM28" s="84">
        <v>0.98371495092819361</v>
      </c>
      <c r="CN28" s="84">
        <v>1.3331162587955772</v>
      </c>
      <c r="CO28" s="84">
        <v>1.2566820170739736</v>
      </c>
      <c r="CP28" s="84">
        <v>1.5160730502336548</v>
      </c>
      <c r="CQ28" s="84"/>
      <c r="CR28" s="84">
        <f t="shared" si="50"/>
        <v>0.18295679143807764</v>
      </c>
      <c r="CS28" s="84">
        <f>'RD T1'!E279</f>
        <v>0.28069777996355938</v>
      </c>
      <c r="CT28" s="84">
        <f t="shared" si="51"/>
        <v>0.46365457140163702</v>
      </c>
    </row>
    <row r="29" spans="1:98" x14ac:dyDescent="0.2">
      <c r="A29" s="12" t="str">
        <f>name!D25</f>
        <v xml:space="preserve"> 81 Process, plant and machine operatives</v>
      </c>
      <c r="B29" s="84">
        <v>3.4168785379288208E-3</v>
      </c>
      <c r="C29" s="84">
        <v>6.4463993397958011E-2</v>
      </c>
      <c r="D29" s="84">
        <v>0.11358071683964559</v>
      </c>
      <c r="E29" s="84">
        <v>0.15620352148754393</v>
      </c>
      <c r="F29" s="84">
        <v>0.19208959976324302</v>
      </c>
      <c r="G29" s="13"/>
      <c r="H29" s="84">
        <f>F29-D29</f>
        <v>7.8508882923597437E-2</v>
      </c>
      <c r="I29" s="84">
        <f>'RD T1'!E56</f>
        <v>4.4501590697221732E-2</v>
      </c>
      <c r="J29" s="84">
        <f t="shared" si="27"/>
        <v>0.12301047362081917</v>
      </c>
      <c r="L29" s="18" t="str">
        <f t="shared" si="28"/>
        <v xml:space="preserve"> 81 Process, plant and machine operatives</v>
      </c>
      <c r="M29" s="84">
        <v>0.70432658264395653</v>
      </c>
      <c r="N29" s="84">
        <v>0.61370965762158836</v>
      </c>
      <c r="O29" s="84">
        <v>0.90242062027175474</v>
      </c>
      <c r="P29" s="84">
        <v>1.1740436919433934</v>
      </c>
      <c r="Q29" s="84">
        <v>1.4092560229138595</v>
      </c>
      <c r="R29" s="13"/>
      <c r="S29" s="84">
        <f t="shared" si="29"/>
        <v>0.5068354026421048</v>
      </c>
      <c r="T29" s="84">
        <f>'RD T1'!E84</f>
        <v>0.33616248385055825</v>
      </c>
      <c r="U29" s="84">
        <f t="shared" si="30"/>
        <v>0.84299788649266305</v>
      </c>
      <c r="W29" s="18" t="str">
        <f t="shared" si="31"/>
        <v xml:space="preserve"> 81 Process, plant and machine operatives</v>
      </c>
      <c r="X29" s="84">
        <v>1.4589211905473358</v>
      </c>
      <c r="Y29" s="84">
        <v>2.0902566117424479</v>
      </c>
      <c r="Z29" s="84">
        <v>2.2747281852486525</v>
      </c>
      <c r="AA29" s="84">
        <v>2.8732989618827722</v>
      </c>
      <c r="AB29" s="84">
        <v>3.1363499870664775</v>
      </c>
      <c r="AC29" s="84"/>
      <c r="AD29" s="84">
        <f t="shared" si="32"/>
        <v>0.86162180181782499</v>
      </c>
      <c r="AE29" s="84">
        <f>'RD T1'!E112</f>
        <v>1.0146561266291061</v>
      </c>
      <c r="AF29" s="84">
        <f t="shared" si="33"/>
        <v>1.8762779284469311</v>
      </c>
      <c r="AH29" s="18" t="str">
        <f t="shared" si="34"/>
        <v xml:space="preserve"> 81 Process, plant and machine operatives</v>
      </c>
      <c r="AI29" s="84">
        <v>0.88978491064023613</v>
      </c>
      <c r="AJ29" s="84">
        <v>1.0895550058470194</v>
      </c>
      <c r="AK29" s="84">
        <v>1.1784634882456175</v>
      </c>
      <c r="AL29" s="84">
        <v>1.4487781806668607</v>
      </c>
      <c r="AM29" s="84">
        <v>1.5974477960689191</v>
      </c>
      <c r="AN29" s="84"/>
      <c r="AO29" s="84">
        <f t="shared" si="35"/>
        <v>0.41898430782330154</v>
      </c>
      <c r="AP29" s="84">
        <f>'RD T1'!E140</f>
        <v>0.48333816206267671</v>
      </c>
      <c r="AQ29" s="84">
        <f t="shared" si="36"/>
        <v>0.9023224698859782</v>
      </c>
      <c r="AS29" s="18" t="str">
        <f t="shared" si="37"/>
        <v xml:space="preserve"> 81 Process, plant and machine operatives</v>
      </c>
      <c r="AT29" s="84">
        <v>2.1672449391080879</v>
      </c>
      <c r="AU29" s="84">
        <v>2.6000335530253311</v>
      </c>
      <c r="AV29" s="84">
        <v>2.8865666755956072</v>
      </c>
      <c r="AW29" s="84">
        <v>3.6975887390481237</v>
      </c>
      <c r="AX29" s="84">
        <v>4.1544073346317223</v>
      </c>
      <c r="AY29" s="84"/>
      <c r="AZ29" s="84">
        <f t="shared" si="38"/>
        <v>1.2678406590361151</v>
      </c>
      <c r="BA29" s="84">
        <f>'RD T1'!E168</f>
        <v>1.2030355273094413</v>
      </c>
      <c r="BB29" s="84">
        <f t="shared" si="39"/>
        <v>2.4708761863455564</v>
      </c>
      <c r="BD29" s="18" t="str">
        <f t="shared" si="40"/>
        <v xml:space="preserve"> 81 Process, plant and machine operatives</v>
      </c>
      <c r="BE29" s="84">
        <v>16.064519296111158</v>
      </c>
      <c r="BF29" s="84">
        <v>17.089909470871284</v>
      </c>
      <c r="BG29" s="84">
        <v>18.982378239821085</v>
      </c>
      <c r="BH29" s="84">
        <v>18.949678316766317</v>
      </c>
      <c r="BI29" s="84">
        <v>19.772705493164086</v>
      </c>
      <c r="BJ29" s="84"/>
      <c r="BK29" s="84">
        <f t="shared" si="41"/>
        <v>0.79032725334300125</v>
      </c>
      <c r="BL29" s="84">
        <f>'RD T1'!E196</f>
        <v>4.898302533183875</v>
      </c>
      <c r="BM29" s="84">
        <f t="shared" si="42"/>
        <v>5.6886297865268762</v>
      </c>
      <c r="BO29" s="18" t="str">
        <f t="shared" si="43"/>
        <v xml:space="preserve"> 81 Process, plant and machine operatives</v>
      </c>
      <c r="BP29" s="84">
        <v>22.354209451066488</v>
      </c>
      <c r="BQ29" s="84">
        <v>23.270076327338806</v>
      </c>
      <c r="BR29" s="84">
        <v>23.783012245782459</v>
      </c>
      <c r="BS29" s="84">
        <v>22.161276617721644</v>
      </c>
      <c r="BT29" s="84">
        <v>21.143630472682634</v>
      </c>
      <c r="BU29" s="84"/>
      <c r="BV29" s="84">
        <f t="shared" si="44"/>
        <v>-2.6393817730998244</v>
      </c>
      <c r="BW29" s="84">
        <f>'RD T1'!E224</f>
        <v>6.3634673466216727</v>
      </c>
      <c r="BX29" s="84">
        <f t="shared" si="45"/>
        <v>3.7240855735218483</v>
      </c>
      <c r="BZ29" s="18" t="str">
        <f t="shared" si="46"/>
        <v xml:space="preserve"> 81 Process, plant and machine operatives</v>
      </c>
      <c r="CA29" s="84">
        <v>22.545181780989534</v>
      </c>
      <c r="CB29" s="84">
        <v>19.735976820228476</v>
      </c>
      <c r="CC29" s="84">
        <v>18.948107197996578</v>
      </c>
      <c r="CD29" s="84">
        <v>15.635593843861392</v>
      </c>
      <c r="CE29" s="84">
        <v>12.960999029577904</v>
      </c>
      <c r="CF29" s="84"/>
      <c r="CG29" s="84">
        <f t="shared" si="47"/>
        <v>-5.9871081684186738</v>
      </c>
      <c r="CH29" s="84">
        <f>'RD T1'!E252</f>
        <v>3.8416602304779848</v>
      </c>
      <c r="CI29" s="84">
        <f t="shared" si="48"/>
        <v>-2.145447937940689</v>
      </c>
      <c r="CK29" s="18" t="str">
        <f t="shared" si="49"/>
        <v xml:space="preserve"> 81 Process, plant and machine operatives</v>
      </c>
      <c r="CL29" s="84">
        <v>19.517544952387055</v>
      </c>
      <c r="CM29" s="84">
        <v>11.668146678805115</v>
      </c>
      <c r="CN29" s="84">
        <v>9.2631214097278267</v>
      </c>
      <c r="CO29" s="84">
        <v>4.6969315539374188</v>
      </c>
      <c r="CP29" s="84">
        <v>1.978996502178207</v>
      </c>
      <c r="CQ29" s="84"/>
      <c r="CR29" s="84">
        <f t="shared" si="50"/>
        <v>-7.2841249075496197</v>
      </c>
      <c r="CS29" s="84">
        <f>'RD T1'!E280</f>
        <v>0.75705327491443442</v>
      </c>
      <c r="CT29" s="84">
        <f t="shared" si="51"/>
        <v>-6.5270716326351854</v>
      </c>
    </row>
    <row r="30" spans="1:98" x14ac:dyDescent="0.2">
      <c r="A30" s="12" t="str">
        <f>name!D26</f>
        <v xml:space="preserve"> 82 Transport and mobile machine drivers and operatives</v>
      </c>
      <c r="B30" s="84">
        <v>5.7966885943452603E-2</v>
      </c>
      <c r="C30" s="84">
        <v>6.7003834113054286E-2</v>
      </c>
      <c r="D30" s="84">
        <v>9.8656398646010529E-2</v>
      </c>
      <c r="E30" s="84">
        <v>0.14963938744560953</v>
      </c>
      <c r="F30" s="84">
        <v>0.19059107157468685</v>
      </c>
      <c r="G30" s="13"/>
      <c r="H30" s="84">
        <f t="shared" si="26"/>
        <v>9.1934672928676325E-2</v>
      </c>
      <c r="I30" s="84">
        <f>'RD T1'!E57</f>
        <v>5.0688193828697006E-2</v>
      </c>
      <c r="J30" s="84">
        <f t="shared" si="27"/>
        <v>0.14262286675737335</v>
      </c>
      <c r="L30" s="18" t="str">
        <f t="shared" si="28"/>
        <v xml:space="preserve"> 82 Transport and mobile machine drivers and operatives</v>
      </c>
      <c r="M30" s="84">
        <v>0.49023311790648355</v>
      </c>
      <c r="N30" s="84">
        <v>0.40185718118857844</v>
      </c>
      <c r="O30" s="84">
        <v>0.56918818306786156</v>
      </c>
      <c r="P30" s="84">
        <v>0.83039014724966609</v>
      </c>
      <c r="Q30" s="84">
        <v>1.0391035550194991</v>
      </c>
      <c r="R30" s="13"/>
      <c r="S30" s="84">
        <f t="shared" si="29"/>
        <v>0.46991537195163757</v>
      </c>
      <c r="T30" s="84">
        <f>'RD T1'!E85</f>
        <v>0.28921402809644731</v>
      </c>
      <c r="U30" s="84">
        <f t="shared" si="30"/>
        <v>0.75912940004808482</v>
      </c>
      <c r="W30" s="18" t="str">
        <f t="shared" si="31"/>
        <v xml:space="preserve"> 82 Transport and mobile machine drivers and operatives</v>
      </c>
      <c r="X30" s="84">
        <v>1.2432118321414358</v>
      </c>
      <c r="Y30" s="84">
        <v>1.7371637284072277</v>
      </c>
      <c r="Z30" s="84">
        <v>2.0394349028353664</v>
      </c>
      <c r="AA30" s="84">
        <v>2.817823584145275</v>
      </c>
      <c r="AB30" s="84">
        <v>3.2833192539545863</v>
      </c>
      <c r="AC30" s="84"/>
      <c r="AD30" s="84">
        <f t="shared" si="32"/>
        <v>1.2438843511192199</v>
      </c>
      <c r="AE30" s="84">
        <f>'RD T1'!E113</f>
        <v>1.296546938383853</v>
      </c>
      <c r="AF30" s="84">
        <f t="shared" si="33"/>
        <v>2.540431289503073</v>
      </c>
      <c r="AH30" s="18" t="str">
        <f t="shared" si="34"/>
        <v xml:space="preserve"> 82 Transport and mobile machine drivers and operatives</v>
      </c>
      <c r="AI30" s="84">
        <v>0.53245830531245697</v>
      </c>
      <c r="AJ30" s="84">
        <v>0.8907010885392479</v>
      </c>
      <c r="AK30" s="84">
        <v>0.77141303818292339</v>
      </c>
      <c r="AL30" s="84">
        <v>1.0364036802418106</v>
      </c>
      <c r="AM30" s="84">
        <v>1.1786193515615415</v>
      </c>
      <c r="AN30" s="84"/>
      <c r="AO30" s="84">
        <f t="shared" si="35"/>
        <v>0.40720631337861812</v>
      </c>
      <c r="AP30" s="84">
        <f>'RD T1'!E141</f>
        <v>0.4539386472700816</v>
      </c>
      <c r="AQ30" s="84">
        <f t="shared" si="36"/>
        <v>0.86114496064869972</v>
      </c>
      <c r="AS30" s="18" t="str">
        <f t="shared" si="37"/>
        <v xml:space="preserve"> 82 Transport and mobile machine drivers and operatives</v>
      </c>
      <c r="AT30" s="84">
        <v>1.0965709929934777</v>
      </c>
      <c r="AU30" s="84">
        <v>1.4167298772478845</v>
      </c>
      <c r="AV30" s="84">
        <v>1.4609586953875831</v>
      </c>
      <c r="AW30" s="84">
        <v>2.0200854008535476</v>
      </c>
      <c r="AX30" s="84">
        <v>2.3534650682595397</v>
      </c>
      <c r="AY30" s="84"/>
      <c r="AZ30" s="84">
        <f t="shared" si="38"/>
        <v>0.89250637287195667</v>
      </c>
      <c r="BA30" s="84">
        <f>'RD T1'!E169</f>
        <v>0.8841766510372987</v>
      </c>
      <c r="BB30" s="84">
        <f t="shared" si="39"/>
        <v>1.7766830239092553</v>
      </c>
      <c r="BD30" s="18" t="str">
        <f t="shared" si="40"/>
        <v xml:space="preserve"> 82 Transport and mobile machine drivers and operatives</v>
      </c>
      <c r="BE30" s="84">
        <v>7.3126436758293405</v>
      </c>
      <c r="BF30" s="84">
        <v>7.4718403026661449</v>
      </c>
      <c r="BG30" s="84">
        <v>7.0083741717016101</v>
      </c>
      <c r="BH30" s="84">
        <v>7.4617348128879808</v>
      </c>
      <c r="BI30" s="84">
        <v>8.1766645812741192</v>
      </c>
      <c r="BJ30" s="84"/>
      <c r="BK30" s="84">
        <f t="shared" si="41"/>
        <v>1.1682904095725091</v>
      </c>
      <c r="BL30" s="84">
        <f>'RD T1'!E197</f>
        <v>2.6078860816597986</v>
      </c>
      <c r="BM30" s="84">
        <f t="shared" si="42"/>
        <v>3.7761764912323077</v>
      </c>
      <c r="BO30" s="18" t="str">
        <f t="shared" si="43"/>
        <v xml:space="preserve"> 82 Transport and mobile machine drivers and operatives</v>
      </c>
      <c r="BP30" s="84">
        <v>12.681398341727755</v>
      </c>
      <c r="BQ30" s="84">
        <v>11.120517475291535</v>
      </c>
      <c r="BR30" s="84">
        <v>10.400262400660598</v>
      </c>
      <c r="BS30" s="84">
        <v>10.25295179799234</v>
      </c>
      <c r="BT30" s="84">
        <v>10.256401743901414</v>
      </c>
      <c r="BU30" s="84"/>
      <c r="BV30" s="84">
        <f t="shared" si="44"/>
        <v>-0.14386065675918402</v>
      </c>
      <c r="BW30" s="84">
        <f>'RD T1'!E225</f>
        <v>3.8703408525452159</v>
      </c>
      <c r="BX30" s="84">
        <f t="shared" si="45"/>
        <v>3.7264801957860318</v>
      </c>
      <c r="BZ30" s="18" t="str">
        <f t="shared" si="46"/>
        <v xml:space="preserve"> 82 Transport and mobile machine drivers and operatives</v>
      </c>
      <c r="CA30" s="84">
        <v>13.931013653973446</v>
      </c>
      <c r="CB30" s="84">
        <v>10.228735331805083</v>
      </c>
      <c r="CC30" s="84">
        <v>8.7275625465733508</v>
      </c>
      <c r="CD30" s="84">
        <v>7.9608262449031058</v>
      </c>
      <c r="CE30" s="84">
        <v>7.3622697487429507</v>
      </c>
      <c r="CF30" s="84"/>
      <c r="CG30" s="84">
        <f t="shared" si="47"/>
        <v>-1.3652927978304001</v>
      </c>
      <c r="CH30" s="84">
        <f>'RD T1'!E253</f>
        <v>2.6428890204271784</v>
      </c>
      <c r="CI30" s="84">
        <f t="shared" si="48"/>
        <v>1.2775962225967783</v>
      </c>
      <c r="CK30" s="18" t="str">
        <f t="shared" si="49"/>
        <v xml:space="preserve"> 82 Transport and mobile machine drivers and operatives</v>
      </c>
      <c r="CL30" s="84">
        <v>7.9314252612959297</v>
      </c>
      <c r="CM30" s="84">
        <v>5.0629907538171679</v>
      </c>
      <c r="CN30" s="84">
        <v>4.4175099460050147</v>
      </c>
      <c r="CO30" s="84">
        <v>3.4853729614107318</v>
      </c>
      <c r="CP30" s="84">
        <v>2.8005665740995589</v>
      </c>
      <c r="CQ30" s="84"/>
      <c r="CR30" s="84">
        <f t="shared" si="50"/>
        <v>-1.6169433719054558</v>
      </c>
      <c r="CS30" s="84">
        <f>'RD T1'!E281</f>
        <v>0.86045943600670438</v>
      </c>
      <c r="CT30" s="84">
        <f t="shared" si="51"/>
        <v>-0.7564839358987514</v>
      </c>
    </row>
    <row r="31" spans="1:98" x14ac:dyDescent="0.2">
      <c r="A31" s="12" t="str">
        <f>name!D27</f>
        <v xml:space="preserve"> 91 Elementary trades and related occupations</v>
      </c>
      <c r="B31" s="84">
        <v>8.8077872901553026E-4</v>
      </c>
      <c r="C31" s="84">
        <v>9.8824379398876686E-4</v>
      </c>
      <c r="D31" s="84">
        <v>1.8613293149428111E-3</v>
      </c>
      <c r="E31" s="84">
        <v>2.7852592344242305E-3</v>
      </c>
      <c r="F31" s="84">
        <v>3.1307048427515766E-3</v>
      </c>
      <c r="G31" s="13"/>
      <c r="H31" s="84">
        <f t="shared" si="26"/>
        <v>1.2693755278087655E-3</v>
      </c>
      <c r="I31" s="84">
        <f>'RD T1'!E58</f>
        <v>8.945624211346816E-4</v>
      </c>
      <c r="J31" s="84">
        <f t="shared" si="27"/>
        <v>2.1639379489434472E-3</v>
      </c>
      <c r="L31" s="18" t="str">
        <f t="shared" si="28"/>
        <v xml:space="preserve"> 91 Elementary trades and related occupations</v>
      </c>
      <c r="M31" s="84">
        <v>8.460326739448204E-2</v>
      </c>
      <c r="N31" s="84">
        <v>0.17922379704272304</v>
      </c>
      <c r="O31" s="84">
        <v>0.29808294106682903</v>
      </c>
      <c r="P31" s="84">
        <v>0.45561235979304693</v>
      </c>
      <c r="Q31" s="84">
        <v>0.57267653206985913</v>
      </c>
      <c r="R31" s="13"/>
      <c r="S31" s="84">
        <f t="shared" si="29"/>
        <v>0.2745935910030301</v>
      </c>
      <c r="T31" s="84">
        <f>'RD T1'!E86</f>
        <v>0.13245688984008697</v>
      </c>
      <c r="U31" s="84">
        <f t="shared" si="30"/>
        <v>0.40705048084311707</v>
      </c>
      <c r="W31" s="18" t="str">
        <f t="shared" si="31"/>
        <v xml:space="preserve"> 91 Elementary trades and related occupations</v>
      </c>
      <c r="X31" s="84">
        <v>0.69963690562857517</v>
      </c>
      <c r="Y31" s="84">
        <v>0.93514551501467102</v>
      </c>
      <c r="Z31" s="84">
        <v>1.2800478297922337</v>
      </c>
      <c r="AA31" s="84">
        <v>1.8700416610152324</v>
      </c>
      <c r="AB31" s="84">
        <v>2.0906146422840215</v>
      </c>
      <c r="AC31" s="84"/>
      <c r="AD31" s="84">
        <f t="shared" si="32"/>
        <v>0.81056681249178775</v>
      </c>
      <c r="AE31" s="84">
        <f>'RD T1'!E114</f>
        <v>0.73971743465889939</v>
      </c>
      <c r="AF31" s="84">
        <f t="shared" si="33"/>
        <v>1.550284247150687</v>
      </c>
      <c r="AH31" s="18" t="str">
        <f t="shared" si="34"/>
        <v xml:space="preserve"> 91 Elementary trades and related occupations</v>
      </c>
      <c r="AI31" s="84">
        <v>0.48302649246932172</v>
      </c>
      <c r="AJ31" s="84">
        <v>0.65970709152261886</v>
      </c>
      <c r="AK31" s="84">
        <v>0.83060879367166041</v>
      </c>
      <c r="AL31" s="84">
        <v>1.1920047124230011</v>
      </c>
      <c r="AM31" s="84">
        <v>1.3541818221508493</v>
      </c>
      <c r="AN31" s="84"/>
      <c r="AO31" s="84">
        <f t="shared" si="35"/>
        <v>0.52357302847918885</v>
      </c>
      <c r="AP31" s="84">
        <f>'RD T1'!E142</f>
        <v>0.5421597070629357</v>
      </c>
      <c r="AQ31" s="84">
        <f t="shared" si="36"/>
        <v>1.0657327355421247</v>
      </c>
      <c r="AS31" s="18" t="str">
        <f t="shared" si="37"/>
        <v xml:space="preserve"> 91 Elementary trades and related occupations</v>
      </c>
      <c r="AT31" s="84">
        <v>0.711562942877633</v>
      </c>
      <c r="AU31" s="84">
        <v>0.9058923120284359</v>
      </c>
      <c r="AV31" s="84">
        <v>1.302549269816089</v>
      </c>
      <c r="AW31" s="84">
        <v>1.766214374754014</v>
      </c>
      <c r="AX31" s="84">
        <v>2.0122923245745095</v>
      </c>
      <c r="AY31" s="84"/>
      <c r="AZ31" s="84">
        <f t="shared" si="38"/>
        <v>0.70974305475842048</v>
      </c>
      <c r="BA31" s="84">
        <f>'RD T1'!E170</f>
        <v>0.60646724899470239</v>
      </c>
      <c r="BB31" s="84">
        <f t="shared" si="39"/>
        <v>1.316210303753123</v>
      </c>
      <c r="BD31" s="18" t="str">
        <f t="shared" si="40"/>
        <v xml:space="preserve"> 91 Elementary trades and related occupations</v>
      </c>
      <c r="BE31" s="84">
        <v>4.3614957340861542</v>
      </c>
      <c r="BF31" s="84">
        <v>4.4213618789272475</v>
      </c>
      <c r="BG31" s="84">
        <v>5.0748527001539321</v>
      </c>
      <c r="BH31" s="84">
        <v>5.0899124272373681</v>
      </c>
      <c r="BI31" s="84">
        <v>5.2300387110082101</v>
      </c>
      <c r="BJ31" s="84"/>
      <c r="BK31" s="84">
        <f t="shared" si="41"/>
        <v>0.15518601085427797</v>
      </c>
      <c r="BL31" s="84">
        <f>'RD T1'!E198</f>
        <v>1.3191842221861831</v>
      </c>
      <c r="BM31" s="84">
        <f t="shared" si="42"/>
        <v>1.4743702330404611</v>
      </c>
      <c r="BO31" s="18" t="str">
        <f t="shared" si="43"/>
        <v xml:space="preserve"> 91 Elementary trades and related occupations</v>
      </c>
      <c r="BP31" s="84">
        <v>8.1560659954096906</v>
      </c>
      <c r="BQ31" s="84">
        <v>7.5801294875147889</v>
      </c>
      <c r="BR31" s="84">
        <v>7.8585845373971575</v>
      </c>
      <c r="BS31" s="84">
        <v>7.5863636056200718</v>
      </c>
      <c r="BT31" s="84">
        <v>7.2396417245113502</v>
      </c>
      <c r="BU31" s="84"/>
      <c r="BV31" s="84">
        <f t="shared" si="44"/>
        <v>-0.61894281288580721</v>
      </c>
      <c r="BW31" s="84">
        <f>'RD T1'!E226</f>
        <v>2.1017715704406967</v>
      </c>
      <c r="BX31" s="84">
        <f t="shared" si="45"/>
        <v>1.4828287575548895</v>
      </c>
      <c r="BZ31" s="18" t="str">
        <f t="shared" si="46"/>
        <v xml:space="preserve"> 91 Elementary trades and related occupations</v>
      </c>
      <c r="CA31" s="84">
        <v>9.1025146866943505</v>
      </c>
      <c r="CB31" s="84">
        <v>8.3925719105306982</v>
      </c>
      <c r="CC31" s="84">
        <v>8.787142255249794</v>
      </c>
      <c r="CD31" s="84">
        <v>8.4764071487071213</v>
      </c>
      <c r="CE31" s="84">
        <v>8.6050967791658213</v>
      </c>
      <c r="CF31" s="84"/>
      <c r="CG31" s="84">
        <f t="shared" si="47"/>
        <v>-0.1820454760839727</v>
      </c>
      <c r="CH31" s="84">
        <f>'RD T1'!E254</f>
        <v>2.3490206169316243</v>
      </c>
      <c r="CI31" s="84">
        <f t="shared" si="48"/>
        <v>2.1669751408476516</v>
      </c>
      <c r="CK31" s="18" t="str">
        <f t="shared" si="49"/>
        <v xml:space="preserve"> 91 Elementary trades and related occupations</v>
      </c>
      <c r="CL31" s="84">
        <v>8.0561337284324388</v>
      </c>
      <c r="CM31" s="84">
        <v>5.0024858811186421</v>
      </c>
      <c r="CN31" s="84">
        <v>4.5698489601173824</v>
      </c>
      <c r="CO31" s="84">
        <v>3.3812417902904639</v>
      </c>
      <c r="CP31" s="84">
        <v>2.9485432975195089</v>
      </c>
      <c r="CQ31" s="84"/>
      <c r="CR31" s="84">
        <f t="shared" si="50"/>
        <v>-1.6213056625978735</v>
      </c>
      <c r="CS31" s="84">
        <f>'RD T1'!E282</f>
        <v>0.66894081946696526</v>
      </c>
      <c r="CT31" s="84">
        <f t="shared" si="51"/>
        <v>-0.95236484313090819</v>
      </c>
    </row>
    <row r="32" spans="1:98" x14ac:dyDescent="0.2">
      <c r="A32" s="12" t="str">
        <f>name!D28</f>
        <v xml:space="preserve"> 92 Elementary administration and service occupations</v>
      </c>
      <c r="B32" s="84">
        <v>5.3256183139221924E-2</v>
      </c>
      <c r="C32" s="84">
        <v>7.3273919385473021E-2</v>
      </c>
      <c r="D32" s="84">
        <v>0.13354849259245011</v>
      </c>
      <c r="E32" s="84">
        <v>0.20052023556435936</v>
      </c>
      <c r="F32" s="84">
        <v>0.23411756138587705</v>
      </c>
      <c r="G32" s="13"/>
      <c r="H32" s="84">
        <f t="shared" si="26"/>
        <v>0.10056906879342695</v>
      </c>
      <c r="I32" s="84">
        <f>'RD T1'!E59</f>
        <v>6.257311620468381E-2</v>
      </c>
      <c r="J32" s="84">
        <f t="shared" si="27"/>
        <v>0.16314218499811076</v>
      </c>
      <c r="L32" s="18" t="str">
        <f t="shared" si="28"/>
        <v xml:space="preserve"> 92 Elementary administration and service occupations</v>
      </c>
      <c r="M32" s="84">
        <v>1.2414815700242983</v>
      </c>
      <c r="N32" s="84">
        <v>1.4616095939012803</v>
      </c>
      <c r="O32" s="84">
        <v>3.0479910321748331</v>
      </c>
      <c r="P32" s="84">
        <v>4.6993151036981402</v>
      </c>
      <c r="Q32" s="84">
        <v>6.0097375894401894</v>
      </c>
      <c r="R32" s="13"/>
      <c r="S32" s="84">
        <f t="shared" si="29"/>
        <v>2.9617465572653563</v>
      </c>
      <c r="T32" s="84">
        <f>'RD T1'!E87</f>
        <v>1.4730710269440572</v>
      </c>
      <c r="U32" s="84">
        <f t="shared" si="30"/>
        <v>4.434817584209414</v>
      </c>
      <c r="W32" s="18" t="str">
        <f t="shared" si="31"/>
        <v xml:space="preserve"> 92 Elementary administration and service occupations</v>
      </c>
      <c r="X32" s="84">
        <v>4.8204988568614251</v>
      </c>
      <c r="Y32" s="84">
        <v>7.1212552325981555</v>
      </c>
      <c r="Z32" s="84">
        <v>10.408585043709826</v>
      </c>
      <c r="AA32" s="84">
        <v>15.670200813558621</v>
      </c>
      <c r="AB32" s="84">
        <v>18.547054144394611</v>
      </c>
      <c r="AC32" s="84"/>
      <c r="AD32" s="84">
        <f t="shared" si="32"/>
        <v>8.1384691006847856</v>
      </c>
      <c r="AE32" s="84">
        <f>'RD T1'!E115</f>
        <v>6.5264220489580547</v>
      </c>
      <c r="AF32" s="84">
        <f t="shared" si="33"/>
        <v>14.664891149642841</v>
      </c>
      <c r="AH32" s="18" t="str">
        <f t="shared" si="34"/>
        <v xml:space="preserve"> 92 Elementary administration and service occupations</v>
      </c>
      <c r="AI32" s="84">
        <v>2.4093149318305449</v>
      </c>
      <c r="AJ32" s="84">
        <v>3.6498218661230162</v>
      </c>
      <c r="AK32" s="84">
        <v>4.6650314037081513</v>
      </c>
      <c r="AL32" s="84">
        <v>6.6296495110260381</v>
      </c>
      <c r="AM32" s="84">
        <v>7.5095862814363876</v>
      </c>
      <c r="AN32" s="84"/>
      <c r="AO32" s="84">
        <f t="shared" si="35"/>
        <v>2.8445548777282363</v>
      </c>
      <c r="AP32" s="84">
        <f>'RD T1'!E143</f>
        <v>2.6224439181986776</v>
      </c>
      <c r="AQ32" s="84">
        <f t="shared" si="36"/>
        <v>5.466998795926914</v>
      </c>
      <c r="AS32" s="18" t="str">
        <f t="shared" si="37"/>
        <v xml:space="preserve"> 92 Elementary administration and service occupations</v>
      </c>
      <c r="AT32" s="84">
        <v>3.0893248381678968</v>
      </c>
      <c r="AU32" s="84">
        <v>3.7325236044930907</v>
      </c>
      <c r="AV32" s="84">
        <v>4.9367444446996629</v>
      </c>
      <c r="AW32" s="84">
        <v>6.9261880509344929</v>
      </c>
      <c r="AX32" s="84">
        <v>7.9502862800753826</v>
      </c>
      <c r="AY32" s="84"/>
      <c r="AZ32" s="84">
        <f t="shared" si="38"/>
        <v>3.0135418353757197</v>
      </c>
      <c r="BA32" s="84">
        <f>'RD T1'!E171</f>
        <v>2.673326747117958</v>
      </c>
      <c r="BB32" s="84">
        <f t="shared" si="39"/>
        <v>5.6868685824936778</v>
      </c>
      <c r="BD32" s="18" t="str">
        <f t="shared" si="40"/>
        <v xml:space="preserve"> 92 Elementary administration and service occupations</v>
      </c>
      <c r="BE32" s="84">
        <v>28.005953666039371</v>
      </c>
      <c r="BF32" s="84">
        <v>25.210132006569157</v>
      </c>
      <c r="BG32" s="84">
        <v>27.70522591621933</v>
      </c>
      <c r="BH32" s="84">
        <v>26.793032850726661</v>
      </c>
      <c r="BI32" s="84">
        <v>26.604869141917437</v>
      </c>
      <c r="BJ32" s="84"/>
      <c r="BK32" s="84">
        <f t="shared" si="41"/>
        <v>-1.1003567743018934</v>
      </c>
      <c r="BL32" s="84">
        <f>'RD T1'!E199</f>
        <v>8.8055736918591503</v>
      </c>
      <c r="BM32" s="84">
        <f t="shared" si="42"/>
        <v>7.7052169175572569</v>
      </c>
      <c r="BO32" s="18" t="str">
        <f t="shared" si="43"/>
        <v xml:space="preserve"> 92 Elementary administration and service occupations</v>
      </c>
      <c r="BP32" s="84">
        <v>47.451317560244938</v>
      </c>
      <c r="BQ32" s="84">
        <v>41.390891574453597</v>
      </c>
      <c r="BR32" s="84">
        <v>42.290548919396024</v>
      </c>
      <c r="BS32" s="84">
        <v>42.726631928857991</v>
      </c>
      <c r="BT32" s="84">
        <v>41.49751560102704</v>
      </c>
      <c r="BU32" s="84"/>
      <c r="BV32" s="84">
        <f t="shared" si="44"/>
        <v>-0.79303331836898394</v>
      </c>
      <c r="BW32" s="84">
        <f>'RD T1'!E227</f>
        <v>14.406979402064662</v>
      </c>
      <c r="BX32" s="84">
        <f t="shared" si="45"/>
        <v>13.613946083695678</v>
      </c>
      <c r="BZ32" s="18" t="str">
        <f t="shared" si="46"/>
        <v xml:space="preserve"> 92 Elementary administration and service occupations</v>
      </c>
      <c r="CA32" s="84">
        <v>40.776643418337969</v>
      </c>
      <c r="CB32" s="84">
        <v>33.506452071216977</v>
      </c>
      <c r="CC32" s="84">
        <v>35.808750800811708</v>
      </c>
      <c r="CD32" s="84">
        <v>32.053186913893526</v>
      </c>
      <c r="CE32" s="84">
        <v>29.020922459925401</v>
      </c>
      <c r="CF32" s="84"/>
      <c r="CG32" s="84">
        <f t="shared" si="47"/>
        <v>-6.7878283408863069</v>
      </c>
      <c r="CH32" s="84">
        <f>'RD T1'!E255</f>
        <v>8.7179450814765591</v>
      </c>
      <c r="CI32" s="84">
        <f t="shared" si="48"/>
        <v>1.9301167405902522</v>
      </c>
      <c r="CK32" s="18" t="str">
        <f t="shared" si="49"/>
        <v xml:space="preserve"> 92 Elementary administration and service occupations</v>
      </c>
      <c r="CL32" s="84">
        <v>37.491051853439579</v>
      </c>
      <c r="CM32" s="84">
        <v>20.395377498935858</v>
      </c>
      <c r="CN32" s="84">
        <v>17.462498976284969</v>
      </c>
      <c r="CO32" s="84">
        <v>10.991883943504201</v>
      </c>
      <c r="CP32" s="84">
        <v>8.2017122712002521</v>
      </c>
      <c r="CQ32" s="84"/>
      <c r="CR32" s="84">
        <f t="shared" si="50"/>
        <v>-9.2607867050847172</v>
      </c>
      <c r="CS32" s="84">
        <f>'RD T1'!E283</f>
        <v>1.9901211164694066</v>
      </c>
      <c r="CT32" s="84">
        <f t="shared" si="51"/>
        <v>-7.2706655886153104</v>
      </c>
    </row>
    <row r="33" spans="1:98" x14ac:dyDescent="0.2">
      <c r="A33" s="18"/>
      <c r="B33" s="13"/>
      <c r="C33" s="13"/>
      <c r="D33" s="13"/>
      <c r="E33" s="13"/>
      <c r="F33" s="13"/>
      <c r="G33" s="13"/>
      <c r="H33" s="84"/>
      <c r="I33" s="84"/>
      <c r="J33" s="84"/>
      <c r="L33" s="18"/>
      <c r="M33" s="84"/>
      <c r="N33" s="84"/>
      <c r="O33" s="84"/>
      <c r="P33" s="84"/>
      <c r="Q33" s="84"/>
      <c r="R33" s="13"/>
      <c r="S33" s="84"/>
      <c r="T33" s="84"/>
      <c r="U33" s="84"/>
      <c r="W33" s="18"/>
      <c r="X33" s="84"/>
      <c r="Y33" s="84"/>
      <c r="Z33" s="84"/>
      <c r="AA33" s="84"/>
      <c r="AB33" s="84"/>
      <c r="AC33" s="84"/>
      <c r="AD33" s="84"/>
      <c r="AE33" s="84"/>
      <c r="AF33" s="84"/>
      <c r="AH33" s="18"/>
      <c r="AI33" s="84"/>
      <c r="AJ33" s="84"/>
      <c r="AK33" s="84"/>
      <c r="AL33" s="84"/>
      <c r="AM33" s="84"/>
      <c r="AN33" s="84"/>
      <c r="AO33" s="84"/>
      <c r="AP33" s="84"/>
      <c r="AQ33" s="84"/>
      <c r="AS33" s="18"/>
      <c r="AT33" s="84"/>
      <c r="AU33" s="84"/>
      <c r="AV33" s="84"/>
      <c r="AW33" s="84"/>
      <c r="AX33" s="84"/>
      <c r="AY33" s="84"/>
      <c r="AZ33" s="84"/>
      <c r="BA33" s="84"/>
      <c r="BB33" s="84"/>
      <c r="BD33" s="18"/>
      <c r="BE33" s="84"/>
      <c r="BF33" s="84"/>
      <c r="BG33" s="84"/>
      <c r="BH33" s="84"/>
      <c r="BI33" s="84"/>
      <c r="BJ33" s="84"/>
      <c r="BK33" s="84"/>
      <c r="BL33" s="84"/>
      <c r="BM33" s="84"/>
      <c r="BO33" s="18"/>
      <c r="BP33" s="84"/>
      <c r="BQ33" s="84"/>
      <c r="BR33" s="84"/>
      <c r="BS33" s="84"/>
      <c r="BT33" s="84"/>
      <c r="BU33" s="84"/>
      <c r="BV33" s="84"/>
      <c r="BW33" s="84"/>
      <c r="BX33" s="84"/>
      <c r="BZ33" s="18"/>
      <c r="CA33" s="84"/>
      <c r="CB33" s="84"/>
      <c r="CC33" s="84"/>
      <c r="CD33" s="84"/>
      <c r="CE33" s="84"/>
      <c r="CF33" s="84"/>
      <c r="CG33" s="84"/>
      <c r="CH33" s="84"/>
      <c r="CI33" s="84"/>
      <c r="CK33" s="18"/>
      <c r="CL33" s="84"/>
      <c r="CM33" s="84"/>
      <c r="CN33" s="84"/>
      <c r="CO33" s="84"/>
      <c r="CP33" s="84"/>
      <c r="CQ33" s="84"/>
      <c r="CR33" s="84"/>
      <c r="CS33" s="84"/>
      <c r="CT33" s="84"/>
    </row>
    <row r="34" spans="1:98" x14ac:dyDescent="0.2">
      <c r="A34" s="336" t="str">
        <f>name!D3</f>
        <v>All occupations</v>
      </c>
      <c r="B34" s="82">
        <f>SUM(B8:B32)</f>
        <v>13.451431779919847</v>
      </c>
      <c r="C34" s="82">
        <f>SUM(C8:C32)</f>
        <v>14.57753860921396</v>
      </c>
      <c r="D34" s="82">
        <f>SUM(D8:D32)</f>
        <v>24.298598186309277</v>
      </c>
      <c r="E34" s="82">
        <f>SUM(E8:E32)</f>
        <v>29.757672156902121</v>
      </c>
      <c r="F34" s="82">
        <f>SUM(F8:F32)</f>
        <v>34.635899854243071</v>
      </c>
      <c r="G34" s="13"/>
      <c r="H34" s="82">
        <f t="shared" si="26"/>
        <v>10.337301667933794</v>
      </c>
      <c r="I34" s="82">
        <f>SUM(I8:I32)</f>
        <v>8.7996391907661291</v>
      </c>
      <c r="J34" s="82">
        <f>SUM(H34:I34)</f>
        <v>19.136940858699923</v>
      </c>
      <c r="L34" s="28" t="str">
        <f>A34</f>
        <v>All occupations</v>
      </c>
      <c r="M34" s="82">
        <f>SUM(M8:M32)</f>
        <v>91.772170629245778</v>
      </c>
      <c r="N34" s="82">
        <f>SUM(N8:N32)</f>
        <v>89.417565249187277</v>
      </c>
      <c r="O34" s="82">
        <f>SUM(O8:O32)</f>
        <v>146.68740984979129</v>
      </c>
      <c r="P34" s="82">
        <f>SUM(P8:P32)</f>
        <v>177.8722989098502</v>
      </c>
      <c r="Q34" s="82">
        <f>SUM(Q8:Q32)</f>
        <v>203.2892758009109</v>
      </c>
      <c r="R34" s="13"/>
      <c r="S34" s="82">
        <f t="shared" si="29"/>
        <v>56.601865951119606</v>
      </c>
      <c r="T34" s="82">
        <f>SUM(T8:T32)</f>
        <v>55.043108539382658</v>
      </c>
      <c r="U34" s="82">
        <f>SUM(S34:T34)</f>
        <v>111.64497449050226</v>
      </c>
      <c r="W34" s="28" t="str">
        <f>A34</f>
        <v>All occupations</v>
      </c>
      <c r="X34" s="82">
        <f>SUM(X8:X32)</f>
        <v>166.70057077338123</v>
      </c>
      <c r="Y34" s="82">
        <f>SUM(Y8:Y32)</f>
        <v>219.96956839171352</v>
      </c>
      <c r="Z34" s="82">
        <f>SUM(Z8:Z32)</f>
        <v>261.0459975872231</v>
      </c>
      <c r="AA34" s="82">
        <f>SUM(AA8:AA32)</f>
        <v>317.08390786844609</v>
      </c>
      <c r="AB34" s="82">
        <f>SUM(AB8:AB32)</f>
        <v>344.08254430579319</v>
      </c>
      <c r="AC34" s="84"/>
      <c r="AD34" s="82">
        <f t="shared" ref="AD34" si="52">AB34-Z34</f>
        <v>83.036546718570094</v>
      </c>
      <c r="AE34" s="82">
        <f>SUM(AE8:AE32)</f>
        <v>121.88001697677237</v>
      </c>
      <c r="AF34" s="82">
        <f>SUM(AD34:AE34)</f>
        <v>204.91656369534246</v>
      </c>
      <c r="AH34" s="28" t="str">
        <f>L34</f>
        <v>All occupations</v>
      </c>
      <c r="AI34" s="82">
        <f>SUM(AI8:AI32)</f>
        <v>79.946376098743016</v>
      </c>
      <c r="AJ34" s="82">
        <f>SUM(AJ8:AJ32)</f>
        <v>86.036931415224245</v>
      </c>
      <c r="AK34" s="82">
        <f>SUM(AK8:AK32)</f>
        <v>86.386211363684225</v>
      </c>
      <c r="AL34" s="82">
        <f>SUM(AL8:AL32)</f>
        <v>90.964478940561435</v>
      </c>
      <c r="AM34" s="82">
        <f>SUM(AM8:AM32)</f>
        <v>90.032005748939724</v>
      </c>
      <c r="AN34" s="84"/>
      <c r="AO34" s="82">
        <f t="shared" ref="AO34" si="53">AM34-AK34</f>
        <v>3.645794385255499</v>
      </c>
      <c r="AP34" s="82">
        <f>SUM(AP8:AP32)</f>
        <v>33.249469275917058</v>
      </c>
      <c r="AQ34" s="82">
        <f>SUM(AO34:AP34)</f>
        <v>36.895263661172557</v>
      </c>
      <c r="AS34" s="28" t="str">
        <f>W34</f>
        <v>All occupations</v>
      </c>
      <c r="AT34" s="82">
        <f>SUM(AT8:AT32)</f>
        <v>60.866042334156987</v>
      </c>
      <c r="AU34" s="82">
        <f>SUM(AU8:AU32)</f>
        <v>67.372845244269328</v>
      </c>
      <c r="AV34" s="82">
        <f>SUM(AV8:AV32)</f>
        <v>75.342003447665974</v>
      </c>
      <c r="AW34" s="82">
        <f>SUM(AW8:AW32)</f>
        <v>89.595818707039982</v>
      </c>
      <c r="AX34" s="82">
        <f>SUM(AX8:AX32)</f>
        <v>95.829888287788805</v>
      </c>
      <c r="AY34" s="84"/>
      <c r="AZ34" s="82">
        <f t="shared" ref="AZ34" si="54">AX34-AV34</f>
        <v>20.487884840122831</v>
      </c>
      <c r="BA34" s="82">
        <f>SUM(BA8:BA32)</f>
        <v>32.166933376918898</v>
      </c>
      <c r="BB34" s="82">
        <f>SUM(AZ34:BA34)</f>
        <v>52.654818217041729</v>
      </c>
      <c r="BD34" s="28" t="str">
        <f>AH34</f>
        <v>All occupations</v>
      </c>
      <c r="BE34" s="82">
        <f>SUM(BE8:BE32)</f>
        <v>283.75583025438908</v>
      </c>
      <c r="BF34" s="82">
        <f>SUM(BF8:BF32)</f>
        <v>283.5627607285798</v>
      </c>
      <c r="BG34" s="82">
        <f>SUM(BG8:BG32)</f>
        <v>326.79817849481509</v>
      </c>
      <c r="BH34" s="82">
        <f>SUM(BH8:BH32)</f>
        <v>314.76157062546707</v>
      </c>
      <c r="BI34" s="82">
        <f>SUM(BI8:BI32)</f>
        <v>323.65189471574445</v>
      </c>
      <c r="BJ34" s="84"/>
      <c r="BK34" s="82">
        <f t="shared" ref="BK34" si="55">BI34-BG34</f>
        <v>-3.146283779070643</v>
      </c>
      <c r="BL34" s="82">
        <f>SUM(BL8:BL32)</f>
        <v>99.035136791040927</v>
      </c>
      <c r="BM34" s="82">
        <f>SUM(BK34:BL34)</f>
        <v>95.888853011970284</v>
      </c>
      <c r="BO34" s="28" t="str">
        <f>AS34</f>
        <v>All occupations</v>
      </c>
      <c r="BP34" s="82">
        <f>SUM(BP8:BP32)</f>
        <v>339.99824750291793</v>
      </c>
      <c r="BQ34" s="82">
        <f>SUM(BQ8:BQ32)</f>
        <v>312.71059561039112</v>
      </c>
      <c r="BR34" s="82">
        <f>SUM(BR8:BR32)</f>
        <v>318.87394294512268</v>
      </c>
      <c r="BS34" s="82">
        <f>SUM(BS8:BS32)</f>
        <v>297.95830680034078</v>
      </c>
      <c r="BT34" s="82">
        <f>SUM(BT8:BT32)</f>
        <v>279.77576838287087</v>
      </c>
      <c r="BU34" s="84"/>
      <c r="BV34" s="82">
        <f t="shared" ref="BV34" si="56">BT34-BR34</f>
        <v>-39.098174562251813</v>
      </c>
      <c r="BW34" s="82">
        <f>SUM(BW8:BW32)</f>
        <v>95.837450686800835</v>
      </c>
      <c r="BX34" s="82">
        <f>SUM(BV34:BW34)</f>
        <v>56.739276124549022</v>
      </c>
      <c r="BZ34" s="28" t="str">
        <f>BD34</f>
        <v>All occupations</v>
      </c>
      <c r="CA34" s="82">
        <f>SUM(CA8:CA32)</f>
        <v>229.84121718691893</v>
      </c>
      <c r="CB34" s="82">
        <f>SUM(CB8:CB32)</f>
        <v>195.67468807346768</v>
      </c>
      <c r="CC34" s="82">
        <f>SUM(CC8:CC32)</f>
        <v>205.30516822725679</v>
      </c>
      <c r="CD34" s="82">
        <f>SUM(CD8:CD32)</f>
        <v>170.59307541962175</v>
      </c>
      <c r="CE34" s="82">
        <f>SUM(CE8:CE32)</f>
        <v>151.48202926082161</v>
      </c>
      <c r="CF34" s="84"/>
      <c r="CG34" s="82">
        <f t="shared" ref="CG34" si="57">CE34-CC34</f>
        <v>-53.823138966435181</v>
      </c>
      <c r="CH34" s="82">
        <f>SUM(CH8:CH32)</f>
        <v>45.790039157253872</v>
      </c>
      <c r="CI34" s="82">
        <f>SUM(CG34:CH34)</f>
        <v>-8.0330998091813086</v>
      </c>
      <c r="CK34" s="28" t="str">
        <f>BO34</f>
        <v>All occupations</v>
      </c>
      <c r="CL34" s="82">
        <f>SUM(CL8:CL32)</f>
        <v>142.63511344227146</v>
      </c>
      <c r="CM34" s="82">
        <f>SUM(CM8:CM32)</f>
        <v>88.555506678938372</v>
      </c>
      <c r="CN34" s="82">
        <f>SUM(CN8:CN32)</f>
        <v>85.022489898973987</v>
      </c>
      <c r="CO34" s="82">
        <f>SUM(CO8:CO32)</f>
        <v>57.699870573937652</v>
      </c>
      <c r="CP34" s="82">
        <f>SUM(CP8:CP32)</f>
        <v>46.393693644773194</v>
      </c>
      <c r="CQ34" s="84"/>
      <c r="CR34" s="82">
        <f t="shared" ref="CR34" si="58">CP34-CN34</f>
        <v>-38.628796254200793</v>
      </c>
      <c r="CS34" s="82">
        <f>SUM(CS8:CS32)</f>
        <v>11.665846814878737</v>
      </c>
      <c r="CT34" s="82">
        <f>SUM(CR34:CS34)</f>
        <v>-26.962949439322056</v>
      </c>
    </row>
    <row r="35" spans="1:98" x14ac:dyDescent="0.2">
      <c r="BZ35" s="286"/>
      <c r="CA35" s="286"/>
      <c r="CB35" s="286"/>
      <c r="CC35" s="286"/>
      <c r="CD35" s="286"/>
      <c r="CE35" s="286"/>
      <c r="CF35" s="286"/>
    </row>
    <row r="36" spans="1:98" x14ac:dyDescent="0.2">
      <c r="BZ36" s="286"/>
      <c r="CA36" s="286"/>
      <c r="CB36" s="286"/>
      <c r="CC36" s="286"/>
      <c r="CD36" s="286"/>
      <c r="CE36" s="286"/>
      <c r="CF36" s="286"/>
    </row>
    <row r="37" spans="1:98" ht="52.5" customHeight="1" x14ac:dyDescent="0.2">
      <c r="A37" s="528" t="str">
        <f>CONCATENATE(A$1," (Continued)")</f>
        <v>Basic Table 2  Employment Change by Occupation and Replacement Demand, RQF8 Doctorate, 2007-2027, Wales (Continued)</v>
      </c>
      <c r="B37" s="528"/>
      <c r="C37" s="528"/>
      <c r="D37" s="528"/>
      <c r="E37" s="528"/>
      <c r="F37" s="528"/>
      <c r="G37" s="528"/>
      <c r="H37" s="528"/>
      <c r="I37" s="528"/>
      <c r="J37" s="528"/>
      <c r="L37" s="528" t="str">
        <f>CONCATENATE(L$1," (Continued)")</f>
        <v>Basic Table 2.1  Employment Change by Occupation and Replacement Demand, RQF7 Other higher degree, 2007-2027, Wales (Continued)</v>
      </c>
      <c r="M37" s="528"/>
      <c r="N37" s="528"/>
      <c r="O37" s="528"/>
      <c r="P37" s="528"/>
      <c r="Q37" s="528"/>
      <c r="R37" s="528"/>
      <c r="S37" s="528"/>
      <c r="T37" s="528"/>
      <c r="U37" s="528"/>
      <c r="W37" s="528" t="str">
        <f>CONCATENATE(W$1," (Continued)")</f>
        <v>Basic Table 2.2  Employment Change by Occupation and Replacement Demand, RQF6 First degree, 2007-2027, Wales (Continued)</v>
      </c>
      <c r="X37" s="528"/>
      <c r="Y37" s="528"/>
      <c r="Z37" s="528"/>
      <c r="AA37" s="528"/>
      <c r="AB37" s="528"/>
      <c r="AC37" s="528"/>
      <c r="AD37" s="528"/>
      <c r="AE37" s="528"/>
      <c r="AF37" s="528"/>
      <c r="AH37" s="528" t="str">
        <f>CONCATENATE(AH$1," (Continued)")</f>
        <v>Basic Table 2.3  Employment Change by Occupation and Replacement Demand, RQF5 Foundation degree;Nursing;Teaching, 2007-2027, Wales (Continued)</v>
      </c>
      <c r="AI37" s="528"/>
      <c r="AJ37" s="528"/>
      <c r="AK37" s="528"/>
      <c r="AL37" s="528"/>
      <c r="AM37" s="528"/>
      <c r="AN37" s="528"/>
      <c r="AO37" s="528"/>
      <c r="AP37" s="528"/>
      <c r="AQ37" s="528"/>
      <c r="AS37" s="528" t="str">
        <f>CONCATENATE(AS$1," (Continued)")</f>
        <v>Basic Table 2.4  Employment Change by Occupation and Replacement Demand, RQF4 HE below degree level, 2007-2027, Wales (Continued)</v>
      </c>
      <c r="AT37" s="528"/>
      <c r="AU37" s="528"/>
      <c r="AV37" s="528"/>
      <c r="AW37" s="528"/>
      <c r="AX37" s="528"/>
      <c r="AY37" s="528"/>
      <c r="AZ37" s="528"/>
      <c r="BA37" s="528"/>
      <c r="BB37" s="528"/>
      <c r="BD37" s="528" t="str">
        <f>CONCATENATE(BD$1," (Continued)")</f>
        <v>Basic Table 2.5  Employment Change by Occupation and Replacement Demand, RQF3 A level &amp; equivalent, 2007-2027, Wales (Continued)</v>
      </c>
      <c r="BE37" s="528"/>
      <c r="BF37" s="528"/>
      <c r="BG37" s="528"/>
      <c r="BH37" s="528"/>
      <c r="BI37" s="528"/>
      <c r="BJ37" s="528"/>
      <c r="BK37" s="528"/>
      <c r="BL37" s="528"/>
      <c r="BM37" s="528"/>
      <c r="BO37" s="528" t="str">
        <f>CONCATENATE(BO$1," (Continued)")</f>
        <v>Basic Table 2.6  Employment Change by Occupation and Replacement Demand, RQF2 GCSE(A-C) &amp; equivalent, 2007-2027, Wales (Continued)</v>
      </c>
      <c r="BP37" s="528"/>
      <c r="BQ37" s="528"/>
      <c r="BR37" s="528"/>
      <c r="BS37" s="528"/>
      <c r="BT37" s="528"/>
      <c r="BU37" s="528"/>
      <c r="BV37" s="528"/>
      <c r="BW37" s="528"/>
      <c r="BX37" s="528"/>
      <c r="BZ37" s="528" t="str">
        <f>CONCATENATE(BZ$1," (Continued)")</f>
        <v>Basic Table 2.7  Employment Change by Occupation and Replacement Demand, RQF1 GCSE(below grade C) &amp; equivalent, 2007-2027, Wales (Continued)</v>
      </c>
      <c r="CA37" s="528"/>
      <c r="CB37" s="528"/>
      <c r="CC37" s="528"/>
      <c r="CD37" s="528"/>
      <c r="CE37" s="528"/>
      <c r="CF37" s="528"/>
      <c r="CG37" s="528"/>
      <c r="CH37" s="528"/>
      <c r="CI37" s="528"/>
      <c r="CK37" s="528" t="str">
        <f>CONCATENATE(CK$1," (Continued)")</f>
        <v>Basic Table 2.8  Employment Change by Occupation and Replacement Demand, No Qualification, 2007-2027, Wales (Continued)</v>
      </c>
      <c r="CL37" s="528"/>
      <c r="CM37" s="528"/>
      <c r="CN37" s="528"/>
      <c r="CO37" s="528"/>
      <c r="CP37" s="528"/>
      <c r="CQ37" s="528"/>
      <c r="CR37" s="528"/>
      <c r="CS37" s="528"/>
      <c r="CT37" s="528"/>
    </row>
    <row r="38" spans="1:98" ht="12.75" customHeight="1" x14ac:dyDescent="0.2">
      <c r="BZ38" s="286"/>
      <c r="CA38" s="286"/>
      <c r="CB38" s="286"/>
      <c r="CC38" s="286"/>
      <c r="CD38" s="286"/>
      <c r="CE38" s="286"/>
      <c r="CF38" s="286"/>
    </row>
    <row r="39" spans="1:98" ht="12.75" customHeight="1" x14ac:dyDescent="0.2">
      <c r="F39" s="19" t="s">
        <v>34</v>
      </c>
      <c r="J39" s="19" t="s">
        <v>34</v>
      </c>
      <c r="Q39" s="19" t="s">
        <v>34</v>
      </c>
      <c r="U39" s="19" t="s">
        <v>34</v>
      </c>
      <c r="AB39" s="19" t="s">
        <v>34</v>
      </c>
      <c r="AF39" s="19" t="s">
        <v>34</v>
      </c>
      <c r="AM39" s="19" t="s">
        <v>34</v>
      </c>
      <c r="AQ39" s="19" t="s">
        <v>34</v>
      </c>
      <c r="AX39" s="19" t="s">
        <v>34</v>
      </c>
      <c r="BB39" s="19" t="s">
        <v>34</v>
      </c>
      <c r="BI39" s="19" t="s">
        <v>34</v>
      </c>
      <c r="BM39" s="19" t="s">
        <v>34</v>
      </c>
      <c r="BT39" s="19" t="s">
        <v>34</v>
      </c>
      <c r="BX39" s="19" t="s">
        <v>34</v>
      </c>
      <c r="BZ39" s="286"/>
      <c r="CA39" s="286"/>
      <c r="CB39" s="286"/>
      <c r="CC39" s="286"/>
      <c r="CD39" s="286"/>
      <c r="CE39" s="19" t="s">
        <v>34</v>
      </c>
      <c r="CF39" s="286"/>
      <c r="CI39" s="19" t="s">
        <v>34</v>
      </c>
      <c r="CP39" s="19" t="s">
        <v>34</v>
      </c>
      <c r="CT39" s="19" t="s">
        <v>34</v>
      </c>
    </row>
    <row r="40" spans="1:98" ht="12.75" customHeight="1" x14ac:dyDescent="0.2">
      <c r="A40" s="41"/>
      <c r="B40" s="41"/>
      <c r="C40" s="41"/>
      <c r="D40" s="41"/>
      <c r="E40" s="41"/>
      <c r="F40" s="41"/>
      <c r="H40" s="32" t="str">
        <f>$H$4</f>
        <v>2017-2027</v>
      </c>
      <c r="I40" s="41"/>
      <c r="J40" s="41"/>
      <c r="L40" s="41"/>
      <c r="M40" s="41"/>
      <c r="N40" s="41"/>
      <c r="O40" s="41"/>
      <c r="P40" s="41"/>
      <c r="Q40" s="41"/>
      <c r="S40" s="32" t="str">
        <f>$H$4</f>
        <v>2017-2027</v>
      </c>
      <c r="T40" s="41"/>
      <c r="U40" s="41"/>
      <c r="W40" s="41"/>
      <c r="X40" s="41"/>
      <c r="Y40" s="41"/>
      <c r="Z40" s="41"/>
      <c r="AA40" s="41"/>
      <c r="AB40" s="41"/>
      <c r="AD40" s="32" t="str">
        <f>$H$4</f>
        <v>2017-2027</v>
      </c>
      <c r="AE40" s="41"/>
      <c r="AF40" s="41"/>
      <c r="AH40" s="41"/>
      <c r="AI40" s="41"/>
      <c r="AJ40" s="41"/>
      <c r="AK40" s="41"/>
      <c r="AL40" s="41"/>
      <c r="AM40" s="41"/>
      <c r="AO40" s="32" t="str">
        <f>$H$4</f>
        <v>2017-2027</v>
      </c>
      <c r="AP40" s="41"/>
      <c r="AQ40" s="41"/>
      <c r="AS40" s="41"/>
      <c r="AT40" s="41"/>
      <c r="AU40" s="41"/>
      <c r="AV40" s="41"/>
      <c r="AW40" s="41"/>
      <c r="AX40" s="41"/>
      <c r="AZ40" s="32" t="str">
        <f>$H$4</f>
        <v>2017-2027</v>
      </c>
      <c r="BA40" s="41"/>
      <c r="BB40" s="41"/>
      <c r="BD40" s="41"/>
      <c r="BE40" s="41"/>
      <c r="BF40" s="41"/>
      <c r="BG40" s="41"/>
      <c r="BH40" s="41"/>
      <c r="BI40" s="41"/>
      <c r="BK40" s="32" t="str">
        <f>$H$4</f>
        <v>2017-2027</v>
      </c>
      <c r="BL40" s="41"/>
      <c r="BM40" s="41"/>
      <c r="BO40" s="41"/>
      <c r="BP40" s="41"/>
      <c r="BQ40" s="41"/>
      <c r="BR40" s="41"/>
      <c r="BS40" s="41"/>
      <c r="BT40" s="41"/>
      <c r="BV40" s="32" t="str">
        <f>$H$4</f>
        <v>2017-2027</v>
      </c>
      <c r="BW40" s="41"/>
      <c r="BX40" s="41"/>
      <c r="BZ40" s="41"/>
      <c r="CA40" s="41"/>
      <c r="CB40" s="41"/>
      <c r="CC40" s="41"/>
      <c r="CD40" s="41"/>
      <c r="CE40" s="41"/>
      <c r="CF40" s="286"/>
      <c r="CG40" s="32" t="str">
        <f>$H$4</f>
        <v>2017-2027</v>
      </c>
      <c r="CH40" s="41"/>
      <c r="CI40" s="41"/>
      <c r="CK40" s="41"/>
      <c r="CL40" s="41"/>
      <c r="CM40" s="41"/>
      <c r="CN40" s="41"/>
      <c r="CO40" s="41"/>
      <c r="CP40" s="41"/>
      <c r="CR40" s="32" t="str">
        <f>$H$4</f>
        <v>2017-2027</v>
      </c>
      <c r="CS40" s="41"/>
      <c r="CT40" s="41"/>
    </row>
    <row r="41" spans="1:98" ht="12.75" customHeight="1" x14ac:dyDescent="0.2">
      <c r="A41" s="2"/>
      <c r="B41" s="2"/>
      <c r="C41" s="2"/>
      <c r="D41" s="2"/>
      <c r="E41" s="2"/>
      <c r="F41" s="2"/>
      <c r="H41" s="19" t="str">
        <f t="shared" ref="H41:J42" si="59">H5</f>
        <v>Net</v>
      </c>
      <c r="I41" s="19" t="str">
        <f t="shared" si="59"/>
        <v>Replacement</v>
      </c>
      <c r="J41" s="19" t="str">
        <f t="shared" si="59"/>
        <v>Total</v>
      </c>
      <c r="L41" s="2"/>
      <c r="M41" s="2"/>
      <c r="N41" s="2"/>
      <c r="O41" s="2"/>
      <c r="P41" s="2"/>
      <c r="Q41" s="2"/>
      <c r="S41" s="19" t="str">
        <f t="shared" ref="S41:U42" si="60">S5</f>
        <v>Net</v>
      </c>
      <c r="T41" s="19" t="str">
        <f t="shared" si="60"/>
        <v>Replacement</v>
      </c>
      <c r="U41" s="19" t="str">
        <f t="shared" si="60"/>
        <v>Total</v>
      </c>
      <c r="W41" s="2"/>
      <c r="X41" s="2"/>
      <c r="Y41" s="2"/>
      <c r="Z41" s="2"/>
      <c r="AA41" s="2"/>
      <c r="AB41" s="2"/>
      <c r="AD41" s="19" t="str">
        <f t="shared" ref="AD41:AF42" si="61">AD5</f>
        <v>Net</v>
      </c>
      <c r="AE41" s="19" t="str">
        <f t="shared" si="61"/>
        <v>Replacement</v>
      </c>
      <c r="AF41" s="19" t="str">
        <f t="shared" si="61"/>
        <v>Total</v>
      </c>
      <c r="AH41" s="2"/>
      <c r="AI41" s="2"/>
      <c r="AJ41" s="2"/>
      <c r="AK41" s="2"/>
      <c r="AL41" s="2"/>
      <c r="AM41" s="2"/>
      <c r="AO41" s="19" t="str">
        <f t="shared" ref="AO41:AQ42" si="62">AO5</f>
        <v>Net</v>
      </c>
      <c r="AP41" s="19" t="str">
        <f t="shared" si="62"/>
        <v>Replacement</v>
      </c>
      <c r="AQ41" s="19" t="str">
        <f t="shared" si="62"/>
        <v>Total</v>
      </c>
      <c r="AS41" s="2"/>
      <c r="AT41" s="2"/>
      <c r="AU41" s="2"/>
      <c r="AV41" s="2"/>
      <c r="AW41" s="2"/>
      <c r="AX41" s="2"/>
      <c r="AZ41" s="19" t="str">
        <f t="shared" ref="AZ41:BB42" si="63">AZ5</f>
        <v>Net</v>
      </c>
      <c r="BA41" s="19" t="str">
        <f t="shared" si="63"/>
        <v>Replacement</v>
      </c>
      <c r="BB41" s="19" t="str">
        <f t="shared" si="63"/>
        <v>Total</v>
      </c>
      <c r="BD41" s="2"/>
      <c r="BE41" s="2"/>
      <c r="BF41" s="2"/>
      <c r="BG41" s="2"/>
      <c r="BH41" s="2"/>
      <c r="BI41" s="2"/>
      <c r="BK41" s="19" t="str">
        <f t="shared" ref="BK41:BM42" si="64">BK5</f>
        <v>Net</v>
      </c>
      <c r="BL41" s="19" t="str">
        <f t="shared" si="64"/>
        <v>Replacement</v>
      </c>
      <c r="BM41" s="19" t="str">
        <f t="shared" si="64"/>
        <v>Total</v>
      </c>
      <c r="BO41" s="2"/>
      <c r="BP41" s="2"/>
      <c r="BQ41" s="2"/>
      <c r="BR41" s="2"/>
      <c r="BS41" s="2"/>
      <c r="BT41" s="2"/>
      <c r="BV41" s="19" t="str">
        <f t="shared" ref="BV41:BX42" si="65">BV5</f>
        <v>Net</v>
      </c>
      <c r="BW41" s="19" t="str">
        <f t="shared" si="65"/>
        <v>Replacement</v>
      </c>
      <c r="BX41" s="19" t="str">
        <f t="shared" si="65"/>
        <v>Total</v>
      </c>
      <c r="BZ41" s="2"/>
      <c r="CA41" s="2"/>
      <c r="CB41" s="2"/>
      <c r="CC41" s="2"/>
      <c r="CD41" s="2"/>
      <c r="CE41" s="2"/>
      <c r="CF41" s="286"/>
      <c r="CG41" s="19" t="str">
        <f t="shared" ref="CG41:CI42" si="66">CG5</f>
        <v>Net</v>
      </c>
      <c r="CH41" s="19" t="str">
        <f t="shared" si="66"/>
        <v>Replacement</v>
      </c>
      <c r="CI41" s="19" t="str">
        <f t="shared" si="66"/>
        <v>Total</v>
      </c>
      <c r="CK41" s="2"/>
      <c r="CL41" s="2"/>
      <c r="CM41" s="2"/>
      <c r="CN41" s="2"/>
      <c r="CO41" s="2"/>
      <c r="CP41" s="2"/>
      <c r="CR41" s="19" t="str">
        <f t="shared" ref="CR41:CT42" si="67">CR5</f>
        <v>Net</v>
      </c>
      <c r="CS41" s="19" t="str">
        <f t="shared" si="67"/>
        <v>Replacement</v>
      </c>
      <c r="CT41" s="19" t="str">
        <f t="shared" si="67"/>
        <v>Total</v>
      </c>
    </row>
    <row r="42" spans="1:98" ht="12.75" customHeight="1" x14ac:dyDescent="0.2">
      <c r="A42" s="78" t="s">
        <v>511</v>
      </c>
      <c r="B42" s="40">
        <f>B$6</f>
        <v>2007</v>
      </c>
      <c r="C42" s="40">
        <f>C$6</f>
        <v>2012</v>
      </c>
      <c r="D42" s="40">
        <f>D$6</f>
        <v>2017</v>
      </c>
      <c r="E42" s="40">
        <f>E$6</f>
        <v>2022</v>
      </c>
      <c r="F42" s="40">
        <f>F$6</f>
        <v>2027</v>
      </c>
      <c r="H42" s="75" t="str">
        <f t="shared" si="59"/>
        <v>Change</v>
      </c>
      <c r="I42" s="75" t="str">
        <f t="shared" si="59"/>
        <v>Demand</v>
      </c>
      <c r="J42" s="75" t="str">
        <f t="shared" si="59"/>
        <v>Requirement</v>
      </c>
      <c r="L42" s="78" t="s">
        <v>511</v>
      </c>
      <c r="M42" s="40">
        <f>M$6</f>
        <v>2007</v>
      </c>
      <c r="N42" s="40">
        <f>N$6</f>
        <v>2012</v>
      </c>
      <c r="O42" s="40">
        <f>O$6</f>
        <v>2017</v>
      </c>
      <c r="P42" s="40">
        <f>P$6</f>
        <v>2022</v>
      </c>
      <c r="Q42" s="40">
        <f>Q$6</f>
        <v>2027</v>
      </c>
      <c r="S42" s="75" t="str">
        <f t="shared" si="60"/>
        <v>Change</v>
      </c>
      <c r="T42" s="75" t="str">
        <f t="shared" si="60"/>
        <v>Demand</v>
      </c>
      <c r="U42" s="75" t="str">
        <f t="shared" si="60"/>
        <v>Requirement</v>
      </c>
      <c r="W42" s="78" t="s">
        <v>511</v>
      </c>
      <c r="X42" s="40">
        <f>X$6</f>
        <v>2007</v>
      </c>
      <c r="Y42" s="40">
        <f>Y$6</f>
        <v>2012</v>
      </c>
      <c r="Z42" s="40">
        <f>Z$6</f>
        <v>2017</v>
      </c>
      <c r="AA42" s="40">
        <f>AA$6</f>
        <v>2022</v>
      </c>
      <c r="AB42" s="40">
        <f>AB$6</f>
        <v>2027</v>
      </c>
      <c r="AD42" s="75" t="str">
        <f t="shared" si="61"/>
        <v>Change</v>
      </c>
      <c r="AE42" s="75" t="str">
        <f t="shared" si="61"/>
        <v>Demand</v>
      </c>
      <c r="AF42" s="75" t="str">
        <f t="shared" si="61"/>
        <v>Requirement</v>
      </c>
      <c r="AH42" s="78" t="s">
        <v>511</v>
      </c>
      <c r="AI42" s="40">
        <f>AI$6</f>
        <v>2007</v>
      </c>
      <c r="AJ42" s="40">
        <f>AJ$6</f>
        <v>2012</v>
      </c>
      <c r="AK42" s="40">
        <f>AK$6</f>
        <v>2017</v>
      </c>
      <c r="AL42" s="40">
        <f>AL$6</f>
        <v>2022</v>
      </c>
      <c r="AM42" s="40">
        <f>AM$6</f>
        <v>2027</v>
      </c>
      <c r="AO42" s="75" t="str">
        <f t="shared" si="62"/>
        <v>Change</v>
      </c>
      <c r="AP42" s="75" t="str">
        <f t="shared" si="62"/>
        <v>Demand</v>
      </c>
      <c r="AQ42" s="75" t="str">
        <f t="shared" si="62"/>
        <v>Requirement</v>
      </c>
      <c r="AS42" s="78" t="s">
        <v>511</v>
      </c>
      <c r="AT42" s="40">
        <f>AT$6</f>
        <v>2007</v>
      </c>
      <c r="AU42" s="40">
        <f>AU$6</f>
        <v>2012</v>
      </c>
      <c r="AV42" s="40">
        <f>AV$6</f>
        <v>2017</v>
      </c>
      <c r="AW42" s="40">
        <f>AW$6</f>
        <v>2022</v>
      </c>
      <c r="AX42" s="40">
        <f>AX$6</f>
        <v>2027</v>
      </c>
      <c r="AZ42" s="75" t="str">
        <f t="shared" si="63"/>
        <v>Change</v>
      </c>
      <c r="BA42" s="75" t="str">
        <f t="shared" si="63"/>
        <v>Demand</v>
      </c>
      <c r="BB42" s="75" t="str">
        <f t="shared" si="63"/>
        <v>Requirement</v>
      </c>
      <c r="BD42" s="78" t="s">
        <v>511</v>
      </c>
      <c r="BE42" s="40">
        <f>BE$6</f>
        <v>2007</v>
      </c>
      <c r="BF42" s="40">
        <f>BF$6</f>
        <v>2012</v>
      </c>
      <c r="BG42" s="40">
        <f>BG$6</f>
        <v>2017</v>
      </c>
      <c r="BH42" s="40">
        <f>BH$6</f>
        <v>2022</v>
      </c>
      <c r="BI42" s="40">
        <f>BI$6</f>
        <v>2027</v>
      </c>
      <c r="BK42" s="75" t="str">
        <f t="shared" si="64"/>
        <v>Change</v>
      </c>
      <c r="BL42" s="75" t="str">
        <f t="shared" si="64"/>
        <v>Demand</v>
      </c>
      <c r="BM42" s="75" t="str">
        <f t="shared" si="64"/>
        <v>Requirement</v>
      </c>
      <c r="BO42" s="78" t="s">
        <v>511</v>
      </c>
      <c r="BP42" s="40">
        <f>BP$6</f>
        <v>2007</v>
      </c>
      <c r="BQ42" s="40">
        <f>BQ$6</f>
        <v>2012</v>
      </c>
      <c r="BR42" s="40">
        <f>BR$6</f>
        <v>2017</v>
      </c>
      <c r="BS42" s="40">
        <f>BS$6</f>
        <v>2022</v>
      </c>
      <c r="BT42" s="40">
        <f>BT$6</f>
        <v>2027</v>
      </c>
      <c r="BV42" s="75" t="str">
        <f t="shared" si="65"/>
        <v>Change</v>
      </c>
      <c r="BW42" s="75" t="str">
        <f t="shared" si="65"/>
        <v>Demand</v>
      </c>
      <c r="BX42" s="75" t="str">
        <f t="shared" si="65"/>
        <v>Requirement</v>
      </c>
      <c r="BZ42" s="78" t="s">
        <v>511</v>
      </c>
      <c r="CA42" s="40">
        <f>CA$6</f>
        <v>2007</v>
      </c>
      <c r="CB42" s="40">
        <f>CB$6</f>
        <v>2012</v>
      </c>
      <c r="CC42" s="40">
        <f>CC$6</f>
        <v>2017</v>
      </c>
      <c r="CD42" s="40">
        <f>CD$6</f>
        <v>2022</v>
      </c>
      <c r="CE42" s="40">
        <f>CE$6</f>
        <v>2027</v>
      </c>
      <c r="CF42" s="286"/>
      <c r="CG42" s="75" t="str">
        <f t="shared" si="66"/>
        <v>Change</v>
      </c>
      <c r="CH42" s="75" t="str">
        <f t="shared" si="66"/>
        <v>Demand</v>
      </c>
      <c r="CI42" s="75" t="str">
        <f t="shared" si="66"/>
        <v>Requirement</v>
      </c>
      <c r="CK42" s="78" t="s">
        <v>511</v>
      </c>
      <c r="CL42" s="40">
        <f>CL$6</f>
        <v>2007</v>
      </c>
      <c r="CM42" s="40">
        <f>CM$6</f>
        <v>2012</v>
      </c>
      <c r="CN42" s="40">
        <f>CN$6</f>
        <v>2017</v>
      </c>
      <c r="CO42" s="40">
        <f>CO$6</f>
        <v>2022</v>
      </c>
      <c r="CP42" s="40">
        <f>CP$6</f>
        <v>2027</v>
      </c>
      <c r="CR42" s="75" t="str">
        <f t="shared" si="67"/>
        <v>Change</v>
      </c>
      <c r="CS42" s="75" t="str">
        <f t="shared" si="67"/>
        <v>Demand</v>
      </c>
      <c r="CT42" s="75" t="str">
        <f t="shared" si="67"/>
        <v>Requirement</v>
      </c>
    </row>
    <row r="43" spans="1:98" x14ac:dyDescent="0.2">
      <c r="G43" s="13"/>
      <c r="R43" s="13"/>
      <c r="AC43" s="13"/>
      <c r="AN43" s="13"/>
      <c r="AY43" s="13"/>
      <c r="BJ43" s="13"/>
      <c r="BU43" s="13"/>
      <c r="BZ43" s="286"/>
      <c r="CA43" s="286"/>
      <c r="CB43" s="286"/>
      <c r="CC43" s="286"/>
      <c r="CD43" s="286"/>
      <c r="CE43" s="286"/>
      <c r="CF43" s="13"/>
      <c r="CQ43" s="13"/>
    </row>
    <row r="44" spans="1:98" x14ac:dyDescent="0.2">
      <c r="A44" s="18" t="str">
        <f t="shared" ref="A44:A68" si="68">A8</f>
        <v xml:space="preserve"> 11 Corporate managers and directors</v>
      </c>
      <c r="B44" s="22">
        <f t="shared" ref="B44:F53" si="69">B8/B$34*100</f>
        <v>6.0343885512025901</v>
      </c>
      <c r="C44" s="22">
        <f t="shared" si="69"/>
        <v>4.0071245297805858</v>
      </c>
      <c r="D44" s="22">
        <f t="shared" si="69"/>
        <v>3.9533273800243256</v>
      </c>
      <c r="E44" s="22">
        <f t="shared" si="69"/>
        <v>4.1989140973968659</v>
      </c>
      <c r="F44" s="22">
        <f t="shared" si="69"/>
        <v>4.3278818077219974</v>
      </c>
      <c r="H44" s="83">
        <f>IF(D8&gt;0,(H8/D8)*100,0)</f>
        <v>56.047878048689746</v>
      </c>
      <c r="I44" s="84">
        <f>IF(D8&gt;0,I8/D8*100,0)</f>
        <v>38.357762129030299</v>
      </c>
      <c r="J44" s="84">
        <f>IF(D8&gt;0,(J8/D8)*100,0)</f>
        <v>94.405640177720045</v>
      </c>
      <c r="L44" s="18" t="str">
        <f>A44</f>
        <v xml:space="preserve"> 11 Corporate managers and directors</v>
      </c>
      <c r="M44" s="22">
        <f t="shared" ref="M44:Q53" si="70">M8/M$34*100</f>
        <v>6.7740465403456049</v>
      </c>
      <c r="N44" s="22">
        <f t="shared" si="70"/>
        <v>6.0881074984625032</v>
      </c>
      <c r="O44" s="22">
        <f t="shared" si="70"/>
        <v>6.1957361156863415</v>
      </c>
      <c r="P44" s="22">
        <f t="shared" si="70"/>
        <v>6.5178465278303648</v>
      </c>
      <c r="Q44" s="22">
        <f t="shared" si="70"/>
        <v>6.7167804565658349</v>
      </c>
      <c r="S44" s="83">
        <f>IF(O8&gt;0,(S8/O8)*100,0)</f>
        <v>50.241485722235502</v>
      </c>
      <c r="T44" s="84">
        <f>IF(O8&gt;0,T8/O8*100,0)</f>
        <v>39.313381160254238</v>
      </c>
      <c r="U44" s="84">
        <f>IF(O8&gt;0,(U8/O8)*100,0)</f>
        <v>89.554866882489748</v>
      </c>
      <c r="W44" s="18" t="str">
        <f>A44</f>
        <v xml:space="preserve"> 11 Corporate managers and directors</v>
      </c>
      <c r="X44" s="22">
        <f t="shared" ref="X44:AB53" si="71">X8/X$34*100</f>
        <v>7.941034258553457</v>
      </c>
      <c r="Y44" s="22">
        <f t="shared" si="71"/>
        <v>7.7397601177580464</v>
      </c>
      <c r="Z44" s="22">
        <f t="shared" si="71"/>
        <v>7.9578632142661228</v>
      </c>
      <c r="AA44" s="22">
        <f t="shared" si="71"/>
        <v>8.0812297181013566</v>
      </c>
      <c r="AB44" s="22">
        <f t="shared" si="71"/>
        <v>8.1664566306223083</v>
      </c>
      <c r="AD44" s="83">
        <f>IF(Z8&gt;0,(AD8/Z8)*100,0)</f>
        <v>35.264176284313884</v>
      </c>
      <c r="AE44" s="84">
        <f>IF(Z8&gt;0,AE8/Z8*100,0)</f>
        <v>49.34165878455012</v>
      </c>
      <c r="AF44" s="84">
        <f>IF(Z8&gt;0,(AF8/Z8)*100,0)</f>
        <v>84.605835068863996</v>
      </c>
      <c r="AH44" s="18" t="str">
        <f>L44</f>
        <v xml:space="preserve"> 11 Corporate managers and directors</v>
      </c>
      <c r="AI44" s="22">
        <f t="shared" ref="AI44:AM53" si="72">AI8/AI$34*100</f>
        <v>4.8251998179836697</v>
      </c>
      <c r="AJ44" s="22">
        <f t="shared" si="72"/>
        <v>4.7721176288756366</v>
      </c>
      <c r="AK44" s="22">
        <f t="shared" si="72"/>
        <v>5.2897161221606082</v>
      </c>
      <c r="AL44" s="22">
        <f t="shared" si="72"/>
        <v>5.6346565309385719</v>
      </c>
      <c r="AM44" s="22">
        <f t="shared" si="72"/>
        <v>5.9150614734887892</v>
      </c>
      <c r="AO44" s="83">
        <f>IF(AK8&gt;0,(AO8/AK8)*100,0)</f>
        <v>16.541175580943303</v>
      </c>
      <c r="AP44" s="84">
        <f>IF(AK8&gt;0,AP8/AK8*100,0)</f>
        <v>41.762766478258555</v>
      </c>
      <c r="AQ44" s="84">
        <f>IF(AK8&gt;0,(AQ8/AK8)*100,0)</f>
        <v>58.303942059201866</v>
      </c>
      <c r="AS44" s="18" t="str">
        <f>W44</f>
        <v xml:space="preserve"> 11 Corporate managers and directors</v>
      </c>
      <c r="AT44" s="22">
        <f t="shared" ref="AT44:AX53" si="73">AT8/AT$34*100</f>
        <v>8.687478219703431</v>
      </c>
      <c r="AU44" s="22">
        <f t="shared" si="73"/>
        <v>7.9817925113926256</v>
      </c>
      <c r="AV44" s="22">
        <f t="shared" si="73"/>
        <v>7.9156692856322683</v>
      </c>
      <c r="AW44" s="22">
        <f t="shared" si="73"/>
        <v>7.54568146655531</v>
      </c>
      <c r="AX44" s="22">
        <f t="shared" si="73"/>
        <v>7.3828984297756177</v>
      </c>
      <c r="AZ44" s="83">
        <f>IF(AV8&gt;0,(AZ8/AV8)*100,0)</f>
        <v>18.632332610285872</v>
      </c>
      <c r="BA44" s="84">
        <f>IF(AV8&gt;0,BA8/AV8*100,0)</f>
        <v>41.801562925888916</v>
      </c>
      <c r="BB44" s="84">
        <f>IF(AV8&gt;0,(BB8/AV8)*100,0)</f>
        <v>60.433895536174795</v>
      </c>
      <c r="BD44" s="18" t="str">
        <f>AH44</f>
        <v xml:space="preserve"> 11 Corporate managers and directors</v>
      </c>
      <c r="BE44" s="22">
        <f t="shared" ref="BE44:BI53" si="74">BE8/BE$34*100</f>
        <v>4.3505995184544535</v>
      </c>
      <c r="BF44" s="22">
        <f t="shared" si="74"/>
        <v>4.3398462713665271</v>
      </c>
      <c r="BG44" s="22">
        <f t="shared" si="74"/>
        <v>4.2766324028325418</v>
      </c>
      <c r="BH44" s="22">
        <f t="shared" si="74"/>
        <v>4.1471186672055032</v>
      </c>
      <c r="BI44" s="22">
        <f t="shared" si="74"/>
        <v>3.989603931537236</v>
      </c>
      <c r="BK44" s="83">
        <f>IF(BG8&gt;0,(BK8/BG8)*100,0)</f>
        <v>-7.6096978047740977</v>
      </c>
      <c r="BL44" s="84">
        <f>IF(BG8&gt;0,BL8/BG8*100,0)</f>
        <v>29.095923227462745</v>
      </c>
      <c r="BM44" s="84">
        <f>IF(BG8&gt;0,(BM8/BG8)*100,0)</f>
        <v>21.486225422688648</v>
      </c>
      <c r="BO44" s="18" t="str">
        <f>AS44</f>
        <v xml:space="preserve"> 11 Corporate managers and directors</v>
      </c>
      <c r="BP44" s="22">
        <f t="shared" ref="BP44:BT53" si="75">BP8/BP$34*100</f>
        <v>3.431507887230655</v>
      </c>
      <c r="BQ44" s="22">
        <f t="shared" si="75"/>
        <v>3.4403604934183907</v>
      </c>
      <c r="BR44" s="22">
        <f t="shared" si="75"/>
        <v>3.5338550325573808</v>
      </c>
      <c r="BS44" s="22">
        <f t="shared" si="75"/>
        <v>3.3922512614698439</v>
      </c>
      <c r="BT44" s="22">
        <f t="shared" si="75"/>
        <v>3.4155877911178751</v>
      </c>
      <c r="BV44" s="83">
        <f>IF(BR8&gt;0,(BV8/BR8)*100,0)</f>
        <v>-15.197669397750907</v>
      </c>
      <c r="BW44" s="84">
        <f>IF(BR8&gt;0,BW8/BR8*100,0)</f>
        <v>29.963544861343909</v>
      </c>
      <c r="BX44" s="84">
        <f>IF(BR8&gt;0,(BX8/BR8)*100,0)</f>
        <v>14.765875463593</v>
      </c>
      <c r="BZ44" s="18" t="str">
        <f>BD44</f>
        <v xml:space="preserve"> 11 Corporate managers and directors</v>
      </c>
      <c r="CA44" s="22">
        <f t="shared" ref="CA44:CE53" si="76">CA8/CA$34*100</f>
        <v>2.9728013607463546</v>
      </c>
      <c r="CB44" s="22">
        <f t="shared" si="76"/>
        <v>3.2639890821357236</v>
      </c>
      <c r="CC44" s="22">
        <f t="shared" si="76"/>
        <v>3.4776029280904757</v>
      </c>
      <c r="CD44" s="22">
        <f t="shared" si="76"/>
        <v>3.7533985402941776</v>
      </c>
      <c r="CE44" s="22">
        <f t="shared" si="76"/>
        <v>4.4355630371860357</v>
      </c>
      <c r="CF44" s="286"/>
      <c r="CG44" s="83">
        <f>IF(CC8&gt;0,(CG8/CC8)*100,0)</f>
        <v>-5.891252151022063</v>
      </c>
      <c r="CH44" s="84">
        <f>IF(CC8&gt;0,CH8/CC8*100,0)</f>
        <v>27.633860506390739</v>
      </c>
      <c r="CI44" s="84">
        <f>IF(CC8&gt;0,(CI8/CC8)*100,0)</f>
        <v>21.742608355368674</v>
      </c>
      <c r="CK44" s="18" t="str">
        <f>BO44</f>
        <v xml:space="preserve"> 11 Corporate managers and directors</v>
      </c>
      <c r="CL44" s="22">
        <f t="shared" ref="CL44:CP53" si="77">CL8/CL$34*100</f>
        <v>1.7770968927160098</v>
      </c>
      <c r="CM44" s="22">
        <f t="shared" si="77"/>
        <v>2.1951474765878953</v>
      </c>
      <c r="CN44" s="22">
        <f t="shared" si="77"/>
        <v>2.4546903621619869</v>
      </c>
      <c r="CO44" s="22">
        <f t="shared" si="77"/>
        <v>2.9243902490973901</v>
      </c>
      <c r="CP44" s="22">
        <f t="shared" si="77"/>
        <v>4.1962893244367843</v>
      </c>
      <c r="CR44" s="83">
        <f>IF(CN8&gt;0,(CR8/CN8)*100,0)</f>
        <v>-6.7188615377289347</v>
      </c>
      <c r="CS44" s="84">
        <f>IF(CN8&gt;0,CS8/CN8*100,0)</f>
        <v>19.087795693923606</v>
      </c>
      <c r="CT44" s="84">
        <f>IF(CN8&gt;0,(CT8/CN8)*100,0)</f>
        <v>12.368934156194673</v>
      </c>
    </row>
    <row r="45" spans="1:98" x14ac:dyDescent="0.2">
      <c r="A45" s="18" t="str">
        <f t="shared" si="68"/>
        <v xml:space="preserve"> 12 Other managers and proprietors</v>
      </c>
      <c r="B45" s="22">
        <f t="shared" si="69"/>
        <v>0.75620523407480689</v>
      </c>
      <c r="C45" s="22">
        <f t="shared" si="69"/>
        <v>2.1582298390561916</v>
      </c>
      <c r="D45" s="22">
        <f t="shared" si="69"/>
        <v>2.205610110503939</v>
      </c>
      <c r="E45" s="22">
        <f t="shared" si="69"/>
        <v>2.4984023092525671</v>
      </c>
      <c r="F45" s="22">
        <f t="shared" si="69"/>
        <v>2.5613579756043281</v>
      </c>
      <c r="H45" s="83">
        <f t="shared" ref="H45:H70" si="78">IF(D9&gt;0,(H9/D9)*100,0)</f>
        <v>65.533840734424544</v>
      </c>
      <c r="I45" s="84">
        <f t="shared" ref="I45:I70" si="79">IF(D9&gt;0,I9/D9*100,0)</f>
        <v>48.711810960095377</v>
      </c>
      <c r="J45" s="84">
        <f t="shared" ref="J45:J70" si="80">IF(D9&gt;0,(J9/D9)*100,0)</f>
        <v>114.24565169451992</v>
      </c>
      <c r="L45" s="18" t="str">
        <f t="shared" ref="L45:L68" si="81">A45</f>
        <v xml:space="preserve"> 12 Other managers and proprietors</v>
      </c>
      <c r="M45" s="22">
        <f t="shared" si="70"/>
        <v>2.0360280827628126</v>
      </c>
      <c r="N45" s="22">
        <f t="shared" si="70"/>
        <v>2.3604837341117055</v>
      </c>
      <c r="O45" s="22">
        <f t="shared" si="70"/>
        <v>2.5354034009784905</v>
      </c>
      <c r="P45" s="22">
        <f t="shared" si="70"/>
        <v>2.8034937980418388</v>
      </c>
      <c r="Q45" s="22">
        <f t="shared" si="70"/>
        <v>2.9006228157716847</v>
      </c>
      <c r="S45" s="83">
        <f t="shared" ref="S45:S68" si="82">IF(O9&gt;0,(S9/O9)*100,0)</f>
        <v>58.549843934997995</v>
      </c>
      <c r="T45" s="84">
        <f t="shared" ref="T45:T68" si="83">IF(O9&gt;0,T9/O9*100,0)</f>
        <v>47.955523981116499</v>
      </c>
      <c r="U45" s="84">
        <f t="shared" ref="U45:U68" si="84">IF(O9&gt;0,(U9/O9)*100,0)</f>
        <v>106.50536791611449</v>
      </c>
      <c r="W45" s="18" t="str">
        <f t="shared" ref="W45:W68" si="85">A45</f>
        <v xml:space="preserve"> 12 Other managers and proprietors</v>
      </c>
      <c r="X45" s="22">
        <f t="shared" si="71"/>
        <v>2.5785789369812298</v>
      </c>
      <c r="Y45" s="22">
        <f t="shared" si="71"/>
        <v>3.1064444245020333</v>
      </c>
      <c r="Z45" s="22">
        <f t="shared" si="71"/>
        <v>3.2627187299474758</v>
      </c>
      <c r="AA45" s="22">
        <f t="shared" si="71"/>
        <v>3.4854854279906546</v>
      </c>
      <c r="AB45" s="22">
        <f t="shared" si="71"/>
        <v>3.5260620100275855</v>
      </c>
      <c r="AD45" s="83">
        <f t="shared" ref="AD45:AD68" si="86">IF(Z9&gt;0,(AD9/Z9)*100,0)</f>
        <v>42.447854222680029</v>
      </c>
      <c r="AE45" s="84">
        <f t="shared" ref="AE45:AE68" si="87">IF(Z9&gt;0,AE9/Z9*100,0)</f>
        <v>59.341263667725805</v>
      </c>
      <c r="AF45" s="84">
        <f t="shared" ref="AF45:AF68" si="88">IF(Z9&gt;0,(AF9/Z9)*100,0)</f>
        <v>101.78911789040583</v>
      </c>
      <c r="AH45" s="18" t="str">
        <f t="shared" ref="AH45:AH68" si="89">L45</f>
        <v xml:space="preserve"> 12 Other managers and proprietors</v>
      </c>
      <c r="AI45" s="22">
        <f t="shared" si="72"/>
        <v>2.5946434003827279</v>
      </c>
      <c r="AJ45" s="22">
        <f t="shared" si="72"/>
        <v>2.7514944416286236</v>
      </c>
      <c r="AK45" s="22">
        <f t="shared" si="72"/>
        <v>3.1546768949128237</v>
      </c>
      <c r="AL45" s="22">
        <f t="shared" si="72"/>
        <v>3.7124910472223052</v>
      </c>
      <c r="AM45" s="22">
        <f t="shared" si="72"/>
        <v>3.9807015071326073</v>
      </c>
      <c r="AO45" s="83">
        <f t="shared" ref="AO45:AO68" si="90">IF(AK9&gt;0,(AO9/AK9)*100,0)</f>
        <v>31.509530165605987</v>
      </c>
      <c r="AP45" s="84">
        <f t="shared" ref="AP45:AP68" si="91">IF(AK9&gt;0,AP9/AK9*100,0)</f>
        <v>54.513929101847182</v>
      </c>
      <c r="AQ45" s="84">
        <f t="shared" ref="AQ45:AQ68" si="92">IF(AK9&gt;0,(AQ9/AK9)*100,0)</f>
        <v>86.023459267453177</v>
      </c>
      <c r="AS45" s="18" t="str">
        <f t="shared" ref="AS45:AS68" si="93">W45</f>
        <v xml:space="preserve"> 12 Other managers and proprietors</v>
      </c>
      <c r="AT45" s="22">
        <f t="shared" si="73"/>
        <v>3.2597679088033051</v>
      </c>
      <c r="AU45" s="22">
        <f t="shared" si="73"/>
        <v>3.6008712115560892</v>
      </c>
      <c r="AV45" s="22">
        <f t="shared" si="73"/>
        <v>3.7732373378029584</v>
      </c>
      <c r="AW45" s="22">
        <f t="shared" si="73"/>
        <v>3.8716067289723632</v>
      </c>
      <c r="AX45" s="22">
        <f t="shared" si="73"/>
        <v>3.8023492588032113</v>
      </c>
      <c r="AZ45" s="83">
        <f t="shared" ref="AZ45:AZ68" si="94">IF(AV9&gt;0,(AZ9/AV9)*100,0)</f>
        <v>28.174520034682303</v>
      </c>
      <c r="BA45" s="84">
        <f t="shared" ref="BA45:BA68" si="95">IF(AV9&gt;0,BA9/AV9*100,0)</f>
        <v>51.756282840103793</v>
      </c>
      <c r="BB45" s="84">
        <f t="shared" ref="BB45:BB68" si="96">IF(AV9&gt;0,(BB9/AV9)*100,0)</f>
        <v>79.930802874786096</v>
      </c>
      <c r="BD45" s="18" t="str">
        <f t="shared" ref="BD45:BD68" si="97">AH45</f>
        <v xml:space="preserve"> 12 Other managers and proprietors</v>
      </c>
      <c r="BE45" s="22">
        <f t="shared" si="74"/>
        <v>2.4897594718925857</v>
      </c>
      <c r="BF45" s="22">
        <f t="shared" si="74"/>
        <v>2.5863815146500881</v>
      </c>
      <c r="BG45" s="22">
        <f t="shared" si="74"/>
        <v>2.4655590669743868</v>
      </c>
      <c r="BH45" s="22">
        <f t="shared" si="74"/>
        <v>2.2947305027267428</v>
      </c>
      <c r="BI45" s="22">
        <f t="shared" si="74"/>
        <v>2.1078155396302689</v>
      </c>
      <c r="BK45" s="83">
        <f t="shared" ref="BK45:BK68" si="98">IF(BG9&gt;0,(BK9/BG9)*100,0)</f>
        <v>-15.332698690852212</v>
      </c>
      <c r="BL45" s="84">
        <f t="shared" ref="BL45:BL68" si="99">IF(BG9&gt;0,BL9/BG9*100,0)</f>
        <v>31.18540765489935</v>
      </c>
      <c r="BM45" s="84">
        <f t="shared" ref="BM45:BM68" si="100">IF(BG9&gt;0,(BM9/BG9)*100,0)</f>
        <v>15.852708964047135</v>
      </c>
      <c r="BO45" s="18" t="str">
        <f t="shared" ref="BO45:BO68" si="101">AS45</f>
        <v xml:space="preserve"> 12 Other managers and proprietors</v>
      </c>
      <c r="BP45" s="22">
        <f t="shared" si="75"/>
        <v>2.3475956672489575</v>
      </c>
      <c r="BQ45" s="22">
        <f t="shared" si="75"/>
        <v>2.6972143081559468</v>
      </c>
      <c r="BR45" s="22">
        <f t="shared" si="75"/>
        <v>2.9900445059405096</v>
      </c>
      <c r="BS45" s="22">
        <f t="shared" si="75"/>
        <v>3.0935636034762286</v>
      </c>
      <c r="BT45" s="22">
        <f t="shared" si="75"/>
        <v>3.2862146733213851</v>
      </c>
      <c r="BV45" s="83">
        <f t="shared" ref="BV45:BV68" si="102">IF(BR9&gt;0,(BV9/BR9)*100,0)</f>
        <v>-3.5706269830233768</v>
      </c>
      <c r="BW45" s="84">
        <f t="shared" ref="BW45:BW68" si="103">IF(BR9&gt;0,BW9/BR9*100,0)</f>
        <v>38.680298695597848</v>
      </c>
      <c r="BX45" s="84">
        <f t="shared" ref="BX45:BX68" si="104">IF(BR9&gt;0,(BX9/BR9)*100,0)</f>
        <v>35.109671712574468</v>
      </c>
      <c r="BZ45" s="18" t="str">
        <f t="shared" ref="BZ45:BZ68" si="105">BD45</f>
        <v xml:space="preserve"> 12 Other managers and proprietors</v>
      </c>
      <c r="CA45" s="22">
        <f t="shared" si="76"/>
        <v>2.2379201229245584</v>
      </c>
      <c r="CB45" s="22">
        <f t="shared" si="76"/>
        <v>2.6904627187188721</v>
      </c>
      <c r="CC45" s="22">
        <f t="shared" si="76"/>
        <v>3.1020624990866943</v>
      </c>
      <c r="CD45" s="22">
        <f t="shared" si="76"/>
        <v>3.1271442505791676</v>
      </c>
      <c r="CE45" s="22">
        <f t="shared" si="76"/>
        <v>3.3284794131676252</v>
      </c>
      <c r="CF45" s="286"/>
      <c r="CG45" s="83">
        <f t="shared" ref="CG45:CG68" si="106">IF(CC9&gt;0,(CG9/CC9)*100,0)</f>
        <v>-20.830743979286204</v>
      </c>
      <c r="CH45" s="84">
        <f t="shared" ref="CH45:CH68" si="107">IF(CC9&gt;0,CH9/CC9*100,0)</f>
        <v>26.974209276694182</v>
      </c>
      <c r="CI45" s="84">
        <f t="shared" ref="CI45:CI68" si="108">IF(CC9&gt;0,(CI9/CC9)*100,0)</f>
        <v>6.14346529740798</v>
      </c>
      <c r="CK45" s="18" t="str">
        <f t="shared" ref="CK45:CK68" si="109">BO45</f>
        <v xml:space="preserve"> 12 Other managers and proprietors</v>
      </c>
      <c r="CL45" s="22">
        <f t="shared" si="77"/>
        <v>2.1435653427555179</v>
      </c>
      <c r="CM45" s="22">
        <f t="shared" si="77"/>
        <v>3.4461940749404096</v>
      </c>
      <c r="CN45" s="22">
        <f t="shared" si="77"/>
        <v>3.8361240816452842</v>
      </c>
      <c r="CO45" s="22">
        <f t="shared" si="77"/>
        <v>4.3199111612175471</v>
      </c>
      <c r="CP45" s="22">
        <f t="shared" si="77"/>
        <v>5.8818343875591443</v>
      </c>
      <c r="CR45" s="83">
        <f t="shared" ref="CR45:CR68" si="110">IF(CN9&gt;0,(CR9/CN9)*100,0)</f>
        <v>-16.334718426747131</v>
      </c>
      <c r="CS45" s="84">
        <f t="shared" ref="CS45:CS68" si="111">IF(CN9&gt;0,CS9/CN9*100,0)</f>
        <v>19.672909528522204</v>
      </c>
      <c r="CT45" s="84">
        <f t="shared" ref="CT45:CT68" si="112">IF(CN9&gt;0,(CT9/CN9)*100,0)</f>
        <v>3.3381911017750778</v>
      </c>
    </row>
    <row r="46" spans="1:98" x14ac:dyDescent="0.2">
      <c r="A46" s="18" t="str">
        <f t="shared" si="68"/>
        <v xml:space="preserve"> 21 Science, research, engineering and technology professionals</v>
      </c>
      <c r="B46" s="22">
        <f t="shared" si="69"/>
        <v>12.666679354948299</v>
      </c>
      <c r="C46" s="22">
        <f t="shared" si="69"/>
        <v>10.838424393881589</v>
      </c>
      <c r="D46" s="22">
        <f t="shared" si="69"/>
        <v>10.561908153459912</v>
      </c>
      <c r="E46" s="22">
        <f t="shared" si="69"/>
        <v>10.437822671858193</v>
      </c>
      <c r="F46" s="22">
        <f t="shared" si="69"/>
        <v>10.063216989658688</v>
      </c>
      <c r="H46" s="83">
        <f t="shared" si="78"/>
        <v>35.812488432975805</v>
      </c>
      <c r="I46" s="84">
        <f t="shared" si="79"/>
        <v>26.77555669833162</v>
      </c>
      <c r="J46" s="84">
        <f t="shared" si="80"/>
        <v>62.588045131307425</v>
      </c>
      <c r="L46" s="18" t="str">
        <f t="shared" si="81"/>
        <v xml:space="preserve"> 21 Science, research, engineering and technology professionals</v>
      </c>
      <c r="M46" s="22">
        <f t="shared" si="70"/>
        <v>6.7393063558605331</v>
      </c>
      <c r="N46" s="22">
        <f t="shared" si="70"/>
        <v>6.3087790650213469</v>
      </c>
      <c r="O46" s="22">
        <f t="shared" si="70"/>
        <v>6.7754566192629717</v>
      </c>
      <c r="P46" s="22">
        <f t="shared" si="70"/>
        <v>6.915499304435194</v>
      </c>
      <c r="Q46" s="22">
        <f t="shared" si="70"/>
        <v>6.9525816451688858</v>
      </c>
      <c r="S46" s="83">
        <f t="shared" si="82"/>
        <v>42.209679368792415</v>
      </c>
      <c r="T46" s="84">
        <f t="shared" si="83"/>
        <v>28.332203396209604</v>
      </c>
      <c r="U46" s="84">
        <f t="shared" si="84"/>
        <v>70.541882765002001</v>
      </c>
      <c r="W46" s="18" t="str">
        <f t="shared" si="85"/>
        <v xml:space="preserve"> 21 Science, research, engineering and technology professionals</v>
      </c>
      <c r="X46" s="22">
        <f t="shared" si="71"/>
        <v>6.8467191583965432</v>
      </c>
      <c r="Y46" s="22">
        <f t="shared" si="71"/>
        <v>6.3799148899395295</v>
      </c>
      <c r="Z46" s="22">
        <f t="shared" si="71"/>
        <v>6.1433055829106431</v>
      </c>
      <c r="AA46" s="22">
        <f t="shared" si="71"/>
        <v>5.5168295368125913</v>
      </c>
      <c r="AB46" s="22">
        <f t="shared" si="71"/>
        <v>5.2402802273654023</v>
      </c>
      <c r="AD46" s="83">
        <f t="shared" si="86"/>
        <v>12.434086342193257</v>
      </c>
      <c r="AE46" s="84">
        <f t="shared" si="87"/>
        <v>30.353534740340059</v>
      </c>
      <c r="AF46" s="84">
        <f t="shared" si="88"/>
        <v>42.78762108253332</v>
      </c>
      <c r="AH46" s="18" t="str">
        <f t="shared" si="89"/>
        <v xml:space="preserve"> 21 Science, research, engineering and technology professionals</v>
      </c>
      <c r="AI46" s="22">
        <f t="shared" si="72"/>
        <v>2.2445977978823239</v>
      </c>
      <c r="AJ46" s="22">
        <f t="shared" si="72"/>
        <v>2.0863605146090078</v>
      </c>
      <c r="AK46" s="22">
        <f t="shared" si="72"/>
        <v>2.0453197654205555</v>
      </c>
      <c r="AL46" s="22">
        <f t="shared" si="72"/>
        <v>2.0045743242007132</v>
      </c>
      <c r="AM46" s="22">
        <f t="shared" si="72"/>
        <v>2.0818036590226749</v>
      </c>
      <c r="AO46" s="83">
        <f t="shared" si="90"/>
        <v>6.0793989165835676</v>
      </c>
      <c r="AP46" s="84">
        <f t="shared" si="91"/>
        <v>27.705688010825526</v>
      </c>
      <c r="AQ46" s="84">
        <f t="shared" si="92"/>
        <v>33.785086927409083</v>
      </c>
      <c r="AS46" s="18" t="str">
        <f t="shared" si="93"/>
        <v xml:space="preserve"> 21 Science, research, engineering and technology professionals</v>
      </c>
      <c r="AT46" s="22">
        <f t="shared" si="73"/>
        <v>7.1019402481481659</v>
      </c>
      <c r="AU46" s="22">
        <f t="shared" si="73"/>
        <v>6.6803212169646669</v>
      </c>
      <c r="AV46" s="22">
        <f t="shared" si="73"/>
        <v>6.132913126022677</v>
      </c>
      <c r="AW46" s="22">
        <f t="shared" si="73"/>
        <v>5.2292093054801958</v>
      </c>
      <c r="AX46" s="22">
        <f t="shared" si="73"/>
        <v>4.7548387728125423</v>
      </c>
      <c r="AZ46" s="83">
        <f t="shared" si="94"/>
        <v>-1.3873113340382084</v>
      </c>
      <c r="BA46" s="84">
        <f t="shared" si="95"/>
        <v>25.511651624236155</v>
      </c>
      <c r="BB46" s="84">
        <f t="shared" si="96"/>
        <v>24.124340290197942</v>
      </c>
      <c r="BD46" s="18" t="str">
        <f t="shared" si="97"/>
        <v xml:space="preserve"> 21 Science, research, engineering and technology professionals</v>
      </c>
      <c r="BE46" s="22">
        <f t="shared" si="74"/>
        <v>2.1086728442732041</v>
      </c>
      <c r="BF46" s="22">
        <f t="shared" si="74"/>
        <v>2.0124235266580808</v>
      </c>
      <c r="BG46" s="22">
        <f t="shared" si="74"/>
        <v>1.897685777121257</v>
      </c>
      <c r="BH46" s="22">
        <f t="shared" si="74"/>
        <v>1.6670345458710347</v>
      </c>
      <c r="BI46" s="22">
        <f t="shared" si="74"/>
        <v>1.4479401775601091</v>
      </c>
      <c r="BK46" s="83">
        <f t="shared" si="98"/>
        <v>-24.4342768045464</v>
      </c>
      <c r="BL46" s="84">
        <f t="shared" si="99"/>
        <v>17.925666615684342</v>
      </c>
      <c r="BM46" s="84">
        <f t="shared" si="100"/>
        <v>-6.5086101888620602</v>
      </c>
      <c r="BO46" s="18" t="str">
        <f t="shared" si="101"/>
        <v xml:space="preserve"> 21 Science, research, engineering and technology professionals</v>
      </c>
      <c r="BP46" s="22">
        <f t="shared" si="75"/>
        <v>1.3894716949109152</v>
      </c>
      <c r="BQ46" s="22">
        <f t="shared" si="75"/>
        <v>1.3732048761745292</v>
      </c>
      <c r="BR46" s="22">
        <f t="shared" si="75"/>
        <v>1.4121366939516009</v>
      </c>
      <c r="BS46" s="22">
        <f t="shared" si="75"/>
        <v>1.2889905573539158</v>
      </c>
      <c r="BT46" s="22">
        <f t="shared" si="75"/>
        <v>1.3122070306249698</v>
      </c>
      <c r="BV46" s="83">
        <f t="shared" si="102"/>
        <v>-18.470141730664274</v>
      </c>
      <c r="BW46" s="84">
        <f t="shared" si="103"/>
        <v>21.824131342823581</v>
      </c>
      <c r="BX46" s="84">
        <f t="shared" si="104"/>
        <v>3.3539896121593036</v>
      </c>
      <c r="BZ46" s="18" t="str">
        <f t="shared" si="105"/>
        <v xml:space="preserve"> 21 Science, research, engineering and technology professionals</v>
      </c>
      <c r="CA46" s="22">
        <f t="shared" si="76"/>
        <v>1.1161838623676474</v>
      </c>
      <c r="CB46" s="22">
        <f t="shared" si="76"/>
        <v>1.1416599826866154</v>
      </c>
      <c r="CC46" s="22">
        <f t="shared" si="76"/>
        <v>1.273910023503745</v>
      </c>
      <c r="CD46" s="22">
        <f t="shared" si="76"/>
        <v>1.2995437527881506</v>
      </c>
      <c r="CE46" s="22">
        <f t="shared" si="76"/>
        <v>1.3222854052660753</v>
      </c>
      <c r="CF46" s="286"/>
      <c r="CG46" s="83">
        <f t="shared" si="106"/>
        <v>-23.414300776948867</v>
      </c>
      <c r="CH46" s="84">
        <f t="shared" si="107"/>
        <v>18.211772057819164</v>
      </c>
      <c r="CI46" s="84">
        <f t="shared" si="108"/>
        <v>-5.2025287191297034</v>
      </c>
      <c r="CK46" s="18" t="str">
        <f t="shared" si="109"/>
        <v xml:space="preserve"> 21 Science, research, engineering and technology professionals</v>
      </c>
      <c r="CL46" s="22">
        <f t="shared" si="77"/>
        <v>0.49891533955164397</v>
      </c>
      <c r="CM46" s="22">
        <f t="shared" si="77"/>
        <v>0.59297026018047438</v>
      </c>
      <c r="CN46" s="22">
        <f t="shared" si="77"/>
        <v>0.82554827918848106</v>
      </c>
      <c r="CO46" s="22">
        <f t="shared" si="77"/>
        <v>1.0704730395813484</v>
      </c>
      <c r="CP46" s="22">
        <f t="shared" si="77"/>
        <v>1.7166980781622356</v>
      </c>
      <c r="CR46" s="83">
        <f t="shared" si="110"/>
        <v>13.468829694594614</v>
      </c>
      <c r="CS46" s="84">
        <f t="shared" si="111"/>
        <v>18.007039359445169</v>
      </c>
      <c r="CT46" s="84">
        <f t="shared" si="112"/>
        <v>31.475869054039784</v>
      </c>
    </row>
    <row r="47" spans="1:98" x14ac:dyDescent="0.2">
      <c r="A47" s="18" t="str">
        <f t="shared" si="68"/>
        <v xml:space="preserve"> 22 Health professionals</v>
      </c>
      <c r="B47" s="22">
        <f t="shared" si="69"/>
        <v>21.412095440688006</v>
      </c>
      <c r="C47" s="22">
        <f t="shared" si="69"/>
        <v>25.724217145665445</v>
      </c>
      <c r="D47" s="22">
        <f t="shared" si="69"/>
        <v>29.120248035350897</v>
      </c>
      <c r="E47" s="22">
        <f t="shared" si="69"/>
        <v>30.044481372322057</v>
      </c>
      <c r="F47" s="22">
        <f t="shared" si="69"/>
        <v>31.151499657313636</v>
      </c>
      <c r="H47" s="83">
        <f t="shared" si="78"/>
        <v>52.485709504955317</v>
      </c>
      <c r="I47" s="84">
        <f t="shared" si="79"/>
        <v>37.162907899558597</v>
      </c>
      <c r="J47" s="84">
        <f t="shared" si="80"/>
        <v>89.648617404513914</v>
      </c>
      <c r="L47" s="18" t="str">
        <f t="shared" si="81"/>
        <v xml:space="preserve"> 22 Health professionals</v>
      </c>
      <c r="M47" s="22">
        <f t="shared" si="70"/>
        <v>11.160996613854088</v>
      </c>
      <c r="N47" s="22">
        <f t="shared" si="70"/>
        <v>10.871051812024762</v>
      </c>
      <c r="O47" s="22">
        <f t="shared" si="70"/>
        <v>11.738324504626881</v>
      </c>
      <c r="P47" s="22">
        <f t="shared" si="70"/>
        <v>11.626955279301649</v>
      </c>
      <c r="Q47" s="22">
        <f t="shared" si="70"/>
        <v>11.647149546858323</v>
      </c>
      <c r="S47" s="83">
        <f t="shared" si="82"/>
        <v>37.510280854802488</v>
      </c>
      <c r="T47" s="84">
        <f t="shared" si="83"/>
        <v>37.618550835496507</v>
      </c>
      <c r="U47" s="84">
        <f t="shared" si="84"/>
        <v>75.128831690298995</v>
      </c>
      <c r="W47" s="18" t="str">
        <f t="shared" si="85"/>
        <v xml:space="preserve"> 22 Health professionals</v>
      </c>
      <c r="X47" s="22">
        <f t="shared" si="71"/>
        <v>11.026863794626983</v>
      </c>
      <c r="Y47" s="22">
        <f t="shared" si="71"/>
        <v>11.609175032202545</v>
      </c>
      <c r="Z47" s="22">
        <f t="shared" si="71"/>
        <v>13.043454844454534</v>
      </c>
      <c r="AA47" s="22">
        <f t="shared" si="71"/>
        <v>13.288260260646808</v>
      </c>
      <c r="AB47" s="22">
        <f t="shared" si="71"/>
        <v>13.623440545662888</v>
      </c>
      <c r="AD47" s="83">
        <f t="shared" si="86"/>
        <v>37.670143078552073</v>
      </c>
      <c r="AE47" s="84">
        <f t="shared" si="87"/>
        <v>50.022407923496445</v>
      </c>
      <c r="AF47" s="84">
        <f t="shared" si="88"/>
        <v>87.692551002048518</v>
      </c>
      <c r="AH47" s="18" t="str">
        <f t="shared" si="89"/>
        <v xml:space="preserve"> 22 Health professionals</v>
      </c>
      <c r="AI47" s="22">
        <f t="shared" si="72"/>
        <v>23.893997635687636</v>
      </c>
      <c r="AJ47" s="22">
        <f t="shared" si="72"/>
        <v>20.598627950820429</v>
      </c>
      <c r="AK47" s="22">
        <f t="shared" si="72"/>
        <v>18.738793648953092</v>
      </c>
      <c r="AL47" s="22">
        <f t="shared" si="72"/>
        <v>12.500237002109179</v>
      </c>
      <c r="AM47" s="22">
        <f t="shared" si="72"/>
        <v>8.0019520565260667</v>
      </c>
      <c r="AO47" s="83">
        <f t="shared" si="90"/>
        <v>-55.495204053006589</v>
      </c>
      <c r="AP47" s="84">
        <f t="shared" si="91"/>
        <v>20.383524420794892</v>
      </c>
      <c r="AQ47" s="84">
        <f t="shared" si="92"/>
        <v>-35.111679632211697</v>
      </c>
      <c r="AS47" s="18" t="str">
        <f t="shared" si="93"/>
        <v xml:space="preserve"> 22 Health professionals</v>
      </c>
      <c r="AT47" s="22">
        <f t="shared" si="73"/>
        <v>2.4963087171001574</v>
      </c>
      <c r="AU47" s="22">
        <f t="shared" si="73"/>
        <v>2.6925041264816598</v>
      </c>
      <c r="AV47" s="22">
        <f t="shared" si="73"/>
        <v>2.7764707616266056</v>
      </c>
      <c r="AW47" s="22">
        <f t="shared" si="73"/>
        <v>2.6157792980851937</v>
      </c>
      <c r="AX47" s="22">
        <f t="shared" si="73"/>
        <v>2.7305323567385869</v>
      </c>
      <c r="AZ47" s="83">
        <f t="shared" si="94"/>
        <v>25.088688820660309</v>
      </c>
      <c r="BA47" s="84">
        <f t="shared" si="95"/>
        <v>41.125869329648225</v>
      </c>
      <c r="BB47" s="84">
        <f t="shared" si="96"/>
        <v>66.214558150308548</v>
      </c>
      <c r="BD47" s="18" t="str">
        <f t="shared" si="97"/>
        <v xml:space="preserve"> 22 Health professionals</v>
      </c>
      <c r="BE47" s="22">
        <f t="shared" si="74"/>
        <v>1.9766358035947802</v>
      </c>
      <c r="BF47" s="22">
        <f t="shared" si="74"/>
        <v>2.2801985767672619</v>
      </c>
      <c r="BG47" s="22">
        <f t="shared" si="74"/>
        <v>2.8538745236493281</v>
      </c>
      <c r="BH47" s="22">
        <f t="shared" si="74"/>
        <v>3.0632196156704663</v>
      </c>
      <c r="BI47" s="22">
        <f t="shared" si="74"/>
        <v>3.5779092929998759</v>
      </c>
      <c r="BK47" s="83">
        <f t="shared" si="98"/>
        <v>24.163223232750237</v>
      </c>
      <c r="BL47" s="84">
        <f t="shared" si="99"/>
        <v>40.253197821856716</v>
      </c>
      <c r="BM47" s="84">
        <f t="shared" si="100"/>
        <v>64.416421054606957</v>
      </c>
      <c r="BO47" s="18" t="str">
        <f t="shared" si="101"/>
        <v xml:space="preserve"> 22 Health professionals</v>
      </c>
      <c r="BP47" s="22">
        <f t="shared" si="75"/>
        <v>1.3992545371834748</v>
      </c>
      <c r="BQ47" s="22">
        <f t="shared" si="75"/>
        <v>1.8422914593364648</v>
      </c>
      <c r="BR47" s="22">
        <f t="shared" si="75"/>
        <v>1.9984517579582739</v>
      </c>
      <c r="BS47" s="22">
        <f t="shared" si="75"/>
        <v>2.0252527741546538</v>
      </c>
      <c r="BT47" s="22">
        <f t="shared" si="75"/>
        <v>2.1526755019066486</v>
      </c>
      <c r="BV47" s="83">
        <f t="shared" si="102"/>
        <v>-5.4903913804807045</v>
      </c>
      <c r="BW47" s="84">
        <f t="shared" si="103"/>
        <v>32.515140818072567</v>
      </c>
      <c r="BX47" s="84">
        <f t="shared" si="104"/>
        <v>27.024749437591865</v>
      </c>
      <c r="BZ47" s="18" t="str">
        <f t="shared" si="105"/>
        <v xml:space="preserve"> 22 Health professionals</v>
      </c>
      <c r="CA47" s="22">
        <f t="shared" si="76"/>
        <v>1.3283727050019769</v>
      </c>
      <c r="CB47" s="22">
        <f t="shared" si="76"/>
        <v>1.463684808306368</v>
      </c>
      <c r="CC47" s="22">
        <f t="shared" si="76"/>
        <v>1.8409188876422657</v>
      </c>
      <c r="CD47" s="22">
        <f t="shared" si="76"/>
        <v>1.6814295042166287</v>
      </c>
      <c r="CE47" s="22">
        <f t="shared" si="76"/>
        <v>2.0562711505360265</v>
      </c>
      <c r="CF47" s="286"/>
      <c r="CG47" s="83">
        <f t="shared" si="106"/>
        <v>-17.584867536184092</v>
      </c>
      <c r="CH47" s="84">
        <f t="shared" si="107"/>
        <v>22.566183178155839</v>
      </c>
      <c r="CI47" s="84">
        <f t="shared" si="108"/>
        <v>4.9813156419717481</v>
      </c>
      <c r="CK47" s="18" t="str">
        <f t="shared" si="109"/>
        <v xml:space="preserve"> 22 Health professionals</v>
      </c>
      <c r="CL47" s="22">
        <f t="shared" si="77"/>
        <v>0.26105806005424365</v>
      </c>
      <c r="CM47" s="22">
        <f t="shared" si="77"/>
        <v>0.33631627783305251</v>
      </c>
      <c r="CN47" s="22">
        <f t="shared" si="77"/>
        <v>0.39699279391523801</v>
      </c>
      <c r="CO47" s="22">
        <f t="shared" si="77"/>
        <v>0.55343016095810849</v>
      </c>
      <c r="CP47" s="22">
        <f t="shared" si="77"/>
        <v>1.0570051624857517</v>
      </c>
      <c r="CR47" s="83">
        <f t="shared" si="110"/>
        <v>45.284611338459818</v>
      </c>
      <c r="CS47" s="84">
        <f t="shared" si="111"/>
        <v>24.765303769243726</v>
      </c>
      <c r="CT47" s="84">
        <f t="shared" si="112"/>
        <v>70.049915107703555</v>
      </c>
    </row>
    <row r="48" spans="1:98" x14ac:dyDescent="0.2">
      <c r="A48" s="18" t="str">
        <f t="shared" si="68"/>
        <v xml:space="preserve"> 23 Teaching and educational professionals</v>
      </c>
      <c r="B48" s="22">
        <f t="shared" si="69"/>
        <v>36.571879540093491</v>
      </c>
      <c r="C48" s="22">
        <f t="shared" si="69"/>
        <v>38.709389034290957</v>
      </c>
      <c r="D48" s="22">
        <f t="shared" si="69"/>
        <v>33.66616904835066</v>
      </c>
      <c r="E48" s="22">
        <f t="shared" si="69"/>
        <v>30.886823456694874</v>
      </c>
      <c r="F48" s="22">
        <f t="shared" si="69"/>
        <v>29.624575355490045</v>
      </c>
      <c r="H48" s="83">
        <f t="shared" si="78"/>
        <v>25.430654911592733</v>
      </c>
      <c r="I48" s="84">
        <f t="shared" si="79"/>
        <v>35.575900445652231</v>
      </c>
      <c r="J48" s="84">
        <f t="shared" si="80"/>
        <v>61.006555357244963</v>
      </c>
      <c r="L48" s="18" t="str">
        <f t="shared" si="81"/>
        <v xml:space="preserve"> 23 Teaching and educational professionals</v>
      </c>
      <c r="M48" s="22">
        <f t="shared" si="70"/>
        <v>33.235474131658229</v>
      </c>
      <c r="N48" s="22">
        <f t="shared" si="70"/>
        <v>35.730283844813172</v>
      </c>
      <c r="O48" s="22">
        <f t="shared" si="70"/>
        <v>31.557577298362421</v>
      </c>
      <c r="P48" s="22">
        <f t="shared" si="70"/>
        <v>28.969035251266352</v>
      </c>
      <c r="Q48" s="22">
        <f t="shared" si="70"/>
        <v>27.92480162245251</v>
      </c>
      <c r="S48" s="83">
        <f t="shared" si="82"/>
        <v>22.633202734111123</v>
      </c>
      <c r="T48" s="84">
        <f t="shared" si="83"/>
        <v>36.976735279909263</v>
      </c>
      <c r="U48" s="84">
        <f t="shared" si="84"/>
        <v>59.609938014020379</v>
      </c>
      <c r="W48" s="18" t="str">
        <f t="shared" si="85"/>
        <v xml:space="preserve"> 23 Teaching and educational professionals</v>
      </c>
      <c r="X48" s="22">
        <f t="shared" si="71"/>
        <v>12.823808478793532</v>
      </c>
      <c r="Y48" s="22">
        <f t="shared" si="71"/>
        <v>13.251461177608217</v>
      </c>
      <c r="Z48" s="22">
        <f t="shared" si="71"/>
        <v>9.6559447977633592</v>
      </c>
      <c r="AA48" s="22">
        <f t="shared" si="71"/>
        <v>7.5939861400295499</v>
      </c>
      <c r="AB48" s="22">
        <f t="shared" si="71"/>
        <v>6.7143835876183777</v>
      </c>
      <c r="AD48" s="83">
        <f t="shared" si="86"/>
        <v>-8.3448280958336571</v>
      </c>
      <c r="AE48" s="84">
        <f t="shared" si="87"/>
        <v>36.51538830276624</v>
      </c>
      <c r="AF48" s="84">
        <f t="shared" si="88"/>
        <v>28.170560206932581</v>
      </c>
      <c r="AH48" s="18" t="str">
        <f t="shared" si="89"/>
        <v xml:space="preserve"> 23 Teaching and educational professionals</v>
      </c>
      <c r="AI48" s="22">
        <f t="shared" si="72"/>
        <v>9.8749503285736235</v>
      </c>
      <c r="AJ48" s="22">
        <f t="shared" si="72"/>
        <v>8.0904829858426002</v>
      </c>
      <c r="AK48" s="22">
        <f t="shared" si="72"/>
        <v>3.6004955026932963</v>
      </c>
      <c r="AL48" s="22">
        <f t="shared" si="72"/>
        <v>1.7753729878076601</v>
      </c>
      <c r="AM48" s="22">
        <f t="shared" si="72"/>
        <v>1.7960509146590673</v>
      </c>
      <c r="AO48" s="83">
        <f t="shared" si="90"/>
        <v>-48.011310623737089</v>
      </c>
      <c r="AP48" s="84">
        <f t="shared" si="91"/>
        <v>15.091284654130318</v>
      </c>
      <c r="AQ48" s="84">
        <f t="shared" si="92"/>
        <v>-32.920025969606769</v>
      </c>
      <c r="AS48" s="18" t="str">
        <f t="shared" si="93"/>
        <v xml:space="preserve"> 23 Teaching and educational professionals</v>
      </c>
      <c r="AT48" s="22">
        <f t="shared" si="73"/>
        <v>1.5534265255859045</v>
      </c>
      <c r="AU48" s="22">
        <f t="shared" si="73"/>
        <v>1.6902017839758408</v>
      </c>
      <c r="AV48" s="22">
        <f t="shared" si="73"/>
        <v>1.0536556309846992</v>
      </c>
      <c r="AW48" s="22">
        <f t="shared" si="73"/>
        <v>0.89806298505515825</v>
      </c>
      <c r="AX48" s="22">
        <f t="shared" si="73"/>
        <v>0.86991340698291675</v>
      </c>
      <c r="AZ48" s="83">
        <f t="shared" si="94"/>
        <v>5.0125365991136208</v>
      </c>
      <c r="BA48" s="84">
        <f t="shared" si="95"/>
        <v>36.605084522396268</v>
      </c>
      <c r="BB48" s="84">
        <f t="shared" si="96"/>
        <v>41.617621121509892</v>
      </c>
      <c r="BD48" s="18" t="str">
        <f t="shared" si="97"/>
        <v xml:space="preserve"> 23 Teaching and educational professionals</v>
      </c>
      <c r="BE48" s="22">
        <f t="shared" si="74"/>
        <v>1.0019307123337609</v>
      </c>
      <c r="BF48" s="22">
        <f t="shared" si="74"/>
        <v>1.3371578438076277</v>
      </c>
      <c r="BG48" s="22">
        <f t="shared" si="74"/>
        <v>1.2488062505592605</v>
      </c>
      <c r="BH48" s="22">
        <f t="shared" si="74"/>
        <v>1.213637030906406</v>
      </c>
      <c r="BI48" s="22">
        <f t="shared" si="74"/>
        <v>1.4060649975922528</v>
      </c>
      <c r="BK48" s="83">
        <f t="shared" si="98"/>
        <v>11.508727519559303</v>
      </c>
      <c r="BL48" s="84">
        <f t="shared" si="99"/>
        <v>31.393684420779078</v>
      </c>
      <c r="BM48" s="84">
        <f t="shared" si="100"/>
        <v>42.902411940338382</v>
      </c>
      <c r="BO48" s="18" t="str">
        <f t="shared" si="101"/>
        <v xml:space="preserve"> 23 Teaching and educational professionals</v>
      </c>
      <c r="BP48" s="22">
        <f t="shared" si="75"/>
        <v>0.91202780223903313</v>
      </c>
      <c r="BQ48" s="22">
        <f t="shared" si="75"/>
        <v>0.88728177583527812</v>
      </c>
      <c r="BR48" s="22">
        <f t="shared" si="75"/>
        <v>0.92634359393712062</v>
      </c>
      <c r="BS48" s="22">
        <f t="shared" si="75"/>
        <v>1.0031208398903086</v>
      </c>
      <c r="BT48" s="22">
        <f t="shared" si="75"/>
        <v>1.2987237690329478</v>
      </c>
      <c r="BV48" s="83">
        <f t="shared" si="102"/>
        <v>23.008678174132974</v>
      </c>
      <c r="BW48" s="84">
        <f t="shared" si="103"/>
        <v>38.191018723290355</v>
      </c>
      <c r="BX48" s="84">
        <f t="shared" si="104"/>
        <v>61.19969689742333</v>
      </c>
      <c r="BZ48" s="18" t="str">
        <f t="shared" si="105"/>
        <v xml:space="preserve"> 23 Teaching and educational professionals</v>
      </c>
      <c r="CA48" s="22">
        <f t="shared" si="76"/>
        <v>0.86161697157874784</v>
      </c>
      <c r="CB48" s="22">
        <f t="shared" si="76"/>
        <v>1.0175403568206973</v>
      </c>
      <c r="CC48" s="22">
        <f t="shared" si="76"/>
        <v>1.2094417841399934</v>
      </c>
      <c r="CD48" s="22">
        <f t="shared" si="76"/>
        <v>1.2054546380953399</v>
      </c>
      <c r="CE48" s="22">
        <f t="shared" si="76"/>
        <v>1.8117075796928204</v>
      </c>
      <c r="CF48" s="286"/>
      <c r="CG48" s="83">
        <f t="shared" si="106"/>
        <v>10.525977566370074</v>
      </c>
      <c r="CH48" s="84">
        <f t="shared" si="107"/>
        <v>28.550199365014663</v>
      </c>
      <c r="CI48" s="84">
        <f t="shared" si="108"/>
        <v>39.07617693138473</v>
      </c>
      <c r="CK48" s="18" t="str">
        <f t="shared" si="109"/>
        <v xml:space="preserve"> 23 Teaching and educational professionals</v>
      </c>
      <c r="CL48" s="22">
        <f t="shared" si="77"/>
        <v>0.24917734467300123</v>
      </c>
      <c r="CM48" s="22">
        <f t="shared" si="77"/>
        <v>0.48118642831589631</v>
      </c>
      <c r="CN48" s="22">
        <f t="shared" si="77"/>
        <v>0.71897651768501536</v>
      </c>
      <c r="CO48" s="22">
        <f t="shared" si="77"/>
        <v>0.96342274115152804</v>
      </c>
      <c r="CP48" s="22">
        <f t="shared" si="77"/>
        <v>1.6155161009751535</v>
      </c>
      <c r="CR48" s="83">
        <f t="shared" si="110"/>
        <v>22.608820821580768</v>
      </c>
      <c r="CS48" s="84">
        <f t="shared" si="111"/>
        <v>25.950094713069415</v>
      </c>
      <c r="CT48" s="84">
        <f t="shared" si="112"/>
        <v>48.558915534650197</v>
      </c>
    </row>
    <row r="49" spans="1:98" x14ac:dyDescent="0.2">
      <c r="A49" s="18" t="str">
        <f t="shared" si="68"/>
        <v xml:space="preserve"> 24 Business, media and public service professionals</v>
      </c>
      <c r="B49" s="22">
        <f t="shared" si="69"/>
        <v>5.3418042805129806</v>
      </c>
      <c r="C49" s="22">
        <f t="shared" si="69"/>
        <v>3.4933620015664442</v>
      </c>
      <c r="D49" s="22">
        <f t="shared" si="69"/>
        <v>3.652224807861594</v>
      </c>
      <c r="E49" s="22">
        <f t="shared" si="69"/>
        <v>3.8545222877099468</v>
      </c>
      <c r="F49" s="22">
        <f t="shared" si="69"/>
        <v>3.8705898274336099</v>
      </c>
      <c r="H49" s="83">
        <f t="shared" si="78"/>
        <v>51.065365103745663</v>
      </c>
      <c r="I49" s="84">
        <f t="shared" si="79"/>
        <v>38.350645608198583</v>
      </c>
      <c r="J49" s="84">
        <f t="shared" si="80"/>
        <v>89.416010711944267</v>
      </c>
      <c r="L49" s="18" t="str">
        <f t="shared" si="81"/>
        <v xml:space="preserve"> 24 Business, media and public service professionals</v>
      </c>
      <c r="M49" s="22">
        <f t="shared" si="70"/>
        <v>8.6116454896290637</v>
      </c>
      <c r="N49" s="22">
        <f t="shared" si="70"/>
        <v>7.7803914712494926</v>
      </c>
      <c r="O49" s="22">
        <f t="shared" si="70"/>
        <v>7.9574551812088963</v>
      </c>
      <c r="P49" s="22">
        <f t="shared" si="70"/>
        <v>7.9556870139747602</v>
      </c>
      <c r="Q49" s="22">
        <f t="shared" si="70"/>
        <v>7.6762411247362907</v>
      </c>
      <c r="S49" s="83">
        <f t="shared" si="82"/>
        <v>33.689111119912489</v>
      </c>
      <c r="T49" s="84">
        <f t="shared" si="83"/>
        <v>36.798093066864233</v>
      </c>
      <c r="U49" s="84">
        <f t="shared" si="84"/>
        <v>70.487204186776722</v>
      </c>
      <c r="W49" s="18" t="str">
        <f t="shared" si="85"/>
        <v xml:space="preserve"> 24 Business, media and public service professionals</v>
      </c>
      <c r="X49" s="22">
        <f t="shared" si="71"/>
        <v>8.3221100301319524</v>
      </c>
      <c r="Y49" s="22">
        <f t="shared" si="71"/>
        <v>7.1901776963640209</v>
      </c>
      <c r="Z49" s="22">
        <f t="shared" si="71"/>
        <v>6.9390074906321972</v>
      </c>
      <c r="AA49" s="22">
        <f t="shared" si="71"/>
        <v>6.6649721921546679</v>
      </c>
      <c r="AB49" s="22">
        <f t="shared" si="71"/>
        <v>6.4728530929791637</v>
      </c>
      <c r="AD49" s="83">
        <f t="shared" si="86"/>
        <v>22.954377721206871</v>
      </c>
      <c r="AE49" s="84">
        <f t="shared" si="87"/>
        <v>44.004817864345114</v>
      </c>
      <c r="AF49" s="84">
        <f t="shared" si="88"/>
        <v>66.959195585551996</v>
      </c>
      <c r="AH49" s="18" t="str">
        <f t="shared" si="89"/>
        <v xml:space="preserve"> 24 Business, media and public service professionals</v>
      </c>
      <c r="AI49" s="22">
        <f t="shared" si="72"/>
        <v>4.3135892444667245</v>
      </c>
      <c r="AJ49" s="22">
        <f t="shared" si="72"/>
        <v>2.7773759057600866</v>
      </c>
      <c r="AK49" s="22">
        <f t="shared" si="72"/>
        <v>1.8248368530087771</v>
      </c>
      <c r="AL49" s="22">
        <f t="shared" si="72"/>
        <v>1.3391821454331105</v>
      </c>
      <c r="AM49" s="22">
        <f t="shared" si="72"/>
        <v>1.1436783976945795</v>
      </c>
      <c r="AO49" s="83">
        <f t="shared" si="90"/>
        <v>-34.682076021610463</v>
      </c>
      <c r="AP49" s="84">
        <f t="shared" si="91"/>
        <v>21.882029593915302</v>
      </c>
      <c r="AQ49" s="84">
        <f t="shared" si="92"/>
        <v>-12.800046427695163</v>
      </c>
      <c r="AS49" s="18" t="str">
        <f t="shared" si="93"/>
        <v xml:space="preserve"> 24 Business, media and public service professionals</v>
      </c>
      <c r="AT49" s="22">
        <f t="shared" si="73"/>
        <v>4.311929764699495</v>
      </c>
      <c r="AU49" s="22">
        <f t="shared" si="73"/>
        <v>3.7047546393051425</v>
      </c>
      <c r="AV49" s="22">
        <f t="shared" si="73"/>
        <v>3.3131932198710539</v>
      </c>
      <c r="AW49" s="22">
        <f t="shared" si="73"/>
        <v>2.9763310987971523</v>
      </c>
      <c r="AX49" s="22">
        <f t="shared" si="73"/>
        <v>2.8295627589753347</v>
      </c>
      <c r="AZ49" s="83">
        <f t="shared" si="94"/>
        <v>8.6266495133368934</v>
      </c>
      <c r="BA49" s="84">
        <f t="shared" si="95"/>
        <v>36.01797164700141</v>
      </c>
      <c r="BB49" s="84">
        <f t="shared" si="96"/>
        <v>44.644621160338296</v>
      </c>
      <c r="BD49" s="18" t="str">
        <f t="shared" si="97"/>
        <v xml:space="preserve"> 24 Business, media and public service professionals</v>
      </c>
      <c r="BE49" s="22">
        <f t="shared" si="74"/>
        <v>1.8838234724186602</v>
      </c>
      <c r="BF49" s="22">
        <f t="shared" si="74"/>
        <v>1.8450416145361952</v>
      </c>
      <c r="BG49" s="22">
        <f t="shared" si="74"/>
        <v>1.81681070985985</v>
      </c>
      <c r="BH49" s="22">
        <f t="shared" si="74"/>
        <v>1.7661558283549952</v>
      </c>
      <c r="BI49" s="22">
        <f t="shared" si="74"/>
        <v>1.7391806135728529</v>
      </c>
      <c r="BK49" s="83">
        <f t="shared" si="98"/>
        <v>-5.1945004372530414</v>
      </c>
      <c r="BL49" s="84">
        <f t="shared" si="99"/>
        <v>27.856766881139567</v>
      </c>
      <c r="BM49" s="84">
        <f t="shared" si="100"/>
        <v>22.662266443886526</v>
      </c>
      <c r="BO49" s="18" t="str">
        <f t="shared" si="101"/>
        <v xml:space="preserve"> 24 Business, media and public service professionals</v>
      </c>
      <c r="BP49" s="22">
        <f t="shared" si="75"/>
        <v>1.4547852022399399</v>
      </c>
      <c r="BQ49" s="22">
        <f t="shared" si="75"/>
        <v>1.2856213866287336</v>
      </c>
      <c r="BR49" s="22">
        <f t="shared" si="75"/>
        <v>1.2112457033235651</v>
      </c>
      <c r="BS49" s="22">
        <f t="shared" si="75"/>
        <v>1.1233895481583178</v>
      </c>
      <c r="BT49" s="22">
        <f t="shared" si="75"/>
        <v>1.14608309100797</v>
      </c>
      <c r="BV49" s="83">
        <f t="shared" si="102"/>
        <v>-16.981492604240596</v>
      </c>
      <c r="BW49" s="84">
        <f t="shared" si="103"/>
        <v>26.356124032104777</v>
      </c>
      <c r="BX49" s="84">
        <f t="shared" si="104"/>
        <v>9.3746314278641822</v>
      </c>
      <c r="BZ49" s="18" t="str">
        <f t="shared" si="105"/>
        <v xml:space="preserve"> 24 Business, media and public service professionals</v>
      </c>
      <c r="CA49" s="22">
        <f t="shared" si="76"/>
        <v>1.0200525545602503</v>
      </c>
      <c r="CB49" s="22">
        <f t="shared" si="76"/>
        <v>1.084920984503019</v>
      </c>
      <c r="CC49" s="22">
        <f t="shared" si="76"/>
        <v>1.2504387119990574</v>
      </c>
      <c r="CD49" s="22">
        <f t="shared" si="76"/>
        <v>1.2854719767268989</v>
      </c>
      <c r="CE49" s="22">
        <f t="shared" si="76"/>
        <v>1.4964088300234455</v>
      </c>
      <c r="CF49" s="286"/>
      <c r="CG49" s="83">
        <f t="shared" si="106"/>
        <v>-11.70236245260306</v>
      </c>
      <c r="CH49" s="84">
        <f t="shared" si="107"/>
        <v>23.676035480248302</v>
      </c>
      <c r="CI49" s="84">
        <f t="shared" si="108"/>
        <v>11.973673027645242</v>
      </c>
      <c r="CK49" s="18" t="str">
        <f t="shared" si="109"/>
        <v xml:space="preserve"> 24 Business, media and public service professionals</v>
      </c>
      <c r="CL49" s="22">
        <f t="shared" si="77"/>
        <v>0.44705761508975439</v>
      </c>
      <c r="CM49" s="22">
        <f t="shared" si="77"/>
        <v>0.573092320279048</v>
      </c>
      <c r="CN49" s="22">
        <f t="shared" si="77"/>
        <v>0.84292195045710494</v>
      </c>
      <c r="CO49" s="22">
        <f t="shared" si="77"/>
        <v>1.1091464713623782</v>
      </c>
      <c r="CP49" s="22">
        <f t="shared" si="77"/>
        <v>1.7968734967191948</v>
      </c>
      <c r="CR49" s="83">
        <f t="shared" si="110"/>
        <v>16.320234960978254</v>
      </c>
      <c r="CS49" s="84">
        <f t="shared" si="111"/>
        <v>22.339468458262068</v>
      </c>
      <c r="CT49" s="84">
        <f t="shared" si="112"/>
        <v>38.659703419240316</v>
      </c>
    </row>
    <row r="50" spans="1:98" x14ac:dyDescent="0.2">
      <c r="A50" s="18" t="str">
        <f t="shared" si="68"/>
        <v xml:space="preserve"> 31 Science, engineering and technology associate professionals</v>
      </c>
      <c r="B50" s="22">
        <f t="shared" si="69"/>
        <v>2.5038921676441195</v>
      </c>
      <c r="C50" s="22">
        <f t="shared" si="69"/>
        <v>1.740941687346407</v>
      </c>
      <c r="D50" s="22">
        <f t="shared" si="69"/>
        <v>1.8287401540137331</v>
      </c>
      <c r="E50" s="22">
        <f t="shared" si="69"/>
        <v>1.8527778178131746</v>
      </c>
      <c r="F50" s="22">
        <f t="shared" si="69"/>
        <v>1.8577756333923845</v>
      </c>
      <c r="H50" s="83">
        <f t="shared" si="78"/>
        <v>44.805986745003267</v>
      </c>
      <c r="I50" s="84">
        <f t="shared" si="79"/>
        <v>32.009264861408425</v>
      </c>
      <c r="J50" s="84">
        <f t="shared" si="80"/>
        <v>76.815251606411692</v>
      </c>
      <c r="L50" s="18" t="str">
        <f t="shared" si="81"/>
        <v xml:space="preserve"> 31 Science, engineering and technology associate professionals</v>
      </c>
      <c r="M50" s="22">
        <f t="shared" si="70"/>
        <v>2.1997044421205953</v>
      </c>
      <c r="N50" s="22">
        <f t="shared" si="70"/>
        <v>1.7953974018553733</v>
      </c>
      <c r="O50" s="22">
        <f t="shared" si="70"/>
        <v>1.9850681186989374</v>
      </c>
      <c r="P50" s="22">
        <f t="shared" si="70"/>
        <v>2.0064902609655584</v>
      </c>
      <c r="Q50" s="22">
        <f t="shared" si="70"/>
        <v>2.0239012052321703</v>
      </c>
      <c r="S50" s="83">
        <f t="shared" si="82"/>
        <v>41.297840133927174</v>
      </c>
      <c r="T50" s="84">
        <f t="shared" si="83"/>
        <v>29.766730533249635</v>
      </c>
      <c r="U50" s="84">
        <f t="shared" si="84"/>
        <v>71.06457066717681</v>
      </c>
      <c r="W50" s="18" t="str">
        <f t="shared" si="85"/>
        <v xml:space="preserve"> 31 Science, engineering and technology associate professionals</v>
      </c>
      <c r="X50" s="22">
        <f t="shared" si="71"/>
        <v>2.6778201198234641</v>
      </c>
      <c r="Y50" s="22">
        <f t="shared" si="71"/>
        <v>2.3637224154059497</v>
      </c>
      <c r="Z50" s="22">
        <f t="shared" si="71"/>
        <v>2.5243662401419944</v>
      </c>
      <c r="AA50" s="22">
        <f t="shared" si="71"/>
        <v>2.3205834323505878</v>
      </c>
      <c r="AB50" s="22">
        <f t="shared" si="71"/>
        <v>2.2791966740409864</v>
      </c>
      <c r="AD50" s="83">
        <f t="shared" si="86"/>
        <v>19.007694288475935</v>
      </c>
      <c r="AE50" s="84">
        <f t="shared" si="87"/>
        <v>33.468763305773727</v>
      </c>
      <c r="AF50" s="84">
        <f t="shared" si="88"/>
        <v>52.476457594249659</v>
      </c>
      <c r="AH50" s="18" t="str">
        <f t="shared" si="89"/>
        <v xml:space="preserve"> 31 Science, engineering and technology associate professionals</v>
      </c>
      <c r="AI50" s="22">
        <f t="shared" si="72"/>
        <v>1.098563509143305</v>
      </c>
      <c r="AJ50" s="22">
        <f t="shared" si="72"/>
        <v>1.2119030616471185</v>
      </c>
      <c r="AK50" s="22">
        <f t="shared" si="72"/>
        <v>1.2769215930586493</v>
      </c>
      <c r="AL50" s="22">
        <f t="shared" si="72"/>
        <v>1.4394549979298938</v>
      </c>
      <c r="AM50" s="22">
        <f t="shared" si="72"/>
        <v>1.5912219648966819</v>
      </c>
      <c r="AO50" s="83">
        <f t="shared" si="90"/>
        <v>29.873047648601698</v>
      </c>
      <c r="AP50" s="84">
        <f t="shared" si="91"/>
        <v>38.00023713129228</v>
      </c>
      <c r="AQ50" s="84">
        <f t="shared" si="92"/>
        <v>67.873284779893979</v>
      </c>
      <c r="AS50" s="18" t="str">
        <f t="shared" si="93"/>
        <v xml:space="preserve"> 31 Science, engineering and technology associate professionals</v>
      </c>
      <c r="AT50" s="22">
        <f t="shared" si="73"/>
        <v>5.4827912285448717</v>
      </c>
      <c r="AU50" s="22">
        <f t="shared" si="73"/>
        <v>4.3495355048295963</v>
      </c>
      <c r="AV50" s="22">
        <f t="shared" si="73"/>
        <v>3.5183185429753383</v>
      </c>
      <c r="AW50" s="22">
        <f t="shared" si="73"/>
        <v>2.9429511172533731</v>
      </c>
      <c r="AX50" s="22">
        <f t="shared" si="73"/>
        <v>2.7017232142418317</v>
      </c>
      <c r="AZ50" s="83">
        <f t="shared" si="94"/>
        <v>-2.3281273301860308</v>
      </c>
      <c r="BA50" s="84">
        <f t="shared" si="95"/>
        <v>25.608716749441996</v>
      </c>
      <c r="BB50" s="84">
        <f t="shared" si="96"/>
        <v>23.280589419255961</v>
      </c>
      <c r="BD50" s="18" t="str">
        <f t="shared" si="97"/>
        <v xml:space="preserve"> 31 Science, engineering and technology associate professionals</v>
      </c>
      <c r="BE50" s="22">
        <f t="shared" si="74"/>
        <v>1.9314740768265253</v>
      </c>
      <c r="BF50" s="22">
        <f t="shared" si="74"/>
        <v>1.6596485845058722</v>
      </c>
      <c r="BG50" s="22">
        <f t="shared" si="74"/>
        <v>1.3896316392227912</v>
      </c>
      <c r="BH50" s="22">
        <f t="shared" si="74"/>
        <v>1.1705521096390681</v>
      </c>
      <c r="BI50" s="22">
        <f t="shared" si="74"/>
        <v>0.88518602516773326</v>
      </c>
      <c r="BK50" s="83">
        <f t="shared" si="98"/>
        <v>-36.913943305772399</v>
      </c>
      <c r="BL50" s="84">
        <f t="shared" si="99"/>
        <v>18.904094375800291</v>
      </c>
      <c r="BM50" s="84">
        <f t="shared" si="100"/>
        <v>-18.009848929972112</v>
      </c>
      <c r="BO50" s="18" t="str">
        <f t="shared" si="101"/>
        <v xml:space="preserve"> 31 Science, engineering and technology associate professionals</v>
      </c>
      <c r="BP50" s="22">
        <f t="shared" si="75"/>
        <v>1.2177925376484793</v>
      </c>
      <c r="BQ50" s="22">
        <f t="shared" si="75"/>
        <v>1.1984323048348218</v>
      </c>
      <c r="BR50" s="22">
        <f t="shared" si="75"/>
        <v>1.1380146854824458</v>
      </c>
      <c r="BS50" s="22">
        <f t="shared" si="75"/>
        <v>1.0335245701095208</v>
      </c>
      <c r="BT50" s="22">
        <f t="shared" si="75"/>
        <v>0.99678372142513239</v>
      </c>
      <c r="BV50" s="83">
        <f t="shared" si="102"/>
        <v>-23.149953317387496</v>
      </c>
      <c r="BW50" s="84">
        <f t="shared" si="103"/>
        <v>22.440553776281511</v>
      </c>
      <c r="BX50" s="84">
        <f t="shared" si="104"/>
        <v>-0.70939954110598458</v>
      </c>
      <c r="BZ50" s="18" t="str">
        <f t="shared" si="105"/>
        <v xml:space="preserve"> 31 Science, engineering and technology associate professionals</v>
      </c>
      <c r="CA50" s="22">
        <f t="shared" si="76"/>
        <v>1.1683139965173606</v>
      </c>
      <c r="CB50" s="22">
        <f t="shared" si="76"/>
        <v>1.1197338093633946</v>
      </c>
      <c r="CC50" s="22">
        <f t="shared" si="76"/>
        <v>1.3296394153933269</v>
      </c>
      <c r="CD50" s="22">
        <f t="shared" si="76"/>
        <v>1.4254527454548001</v>
      </c>
      <c r="CE50" s="22">
        <f t="shared" si="76"/>
        <v>1.5764133808658127</v>
      </c>
      <c r="CF50" s="286"/>
      <c r="CG50" s="83">
        <f t="shared" si="106"/>
        <v>-12.522278217564992</v>
      </c>
      <c r="CH50" s="84">
        <f t="shared" si="107"/>
        <v>22.166295037237713</v>
      </c>
      <c r="CI50" s="84">
        <f t="shared" si="108"/>
        <v>9.6440168196727196</v>
      </c>
      <c r="CK50" s="18" t="str">
        <f t="shared" si="109"/>
        <v xml:space="preserve"> 31 Science, engineering and technology associate professionals</v>
      </c>
      <c r="CL50" s="22">
        <f t="shared" si="77"/>
        <v>0.4402219122008203</v>
      </c>
      <c r="CM50" s="22">
        <f t="shared" si="77"/>
        <v>0.45811798709323831</v>
      </c>
      <c r="CN50" s="22">
        <f t="shared" si="77"/>
        <v>0.65079124915705067</v>
      </c>
      <c r="CO50" s="22">
        <f t="shared" si="77"/>
        <v>0.88989151084495033</v>
      </c>
      <c r="CP50" s="22">
        <f t="shared" si="77"/>
        <v>1.3526553785819442</v>
      </c>
      <c r="CR50" s="83">
        <f t="shared" si="110"/>
        <v>13.415024337833033</v>
      </c>
      <c r="CS50" s="84">
        <f t="shared" si="111"/>
        <v>22.533164052122391</v>
      </c>
      <c r="CT50" s="84">
        <f t="shared" si="112"/>
        <v>35.948188389955426</v>
      </c>
    </row>
    <row r="51" spans="1:98" x14ac:dyDescent="0.2">
      <c r="A51" s="18" t="str">
        <f t="shared" si="68"/>
        <v xml:space="preserve"> 32 Health and social care associate professionals</v>
      </c>
      <c r="B51" s="22">
        <f t="shared" si="69"/>
        <v>0.89581142166418981</v>
      </c>
      <c r="C51" s="22">
        <f t="shared" si="69"/>
        <v>0.53476744527334441</v>
      </c>
      <c r="D51" s="22">
        <f t="shared" si="69"/>
        <v>0.48753459433716095</v>
      </c>
      <c r="E51" s="22">
        <f t="shared" si="69"/>
        <v>0.51487349318918296</v>
      </c>
      <c r="F51" s="22">
        <f t="shared" si="69"/>
        <v>0.51789864623967063</v>
      </c>
      <c r="H51" s="83">
        <f t="shared" si="78"/>
        <v>51.4204714411743</v>
      </c>
      <c r="I51" s="84">
        <f t="shared" si="79"/>
        <v>45.899821164251726</v>
      </c>
      <c r="J51" s="84">
        <f t="shared" si="80"/>
        <v>97.320292605426019</v>
      </c>
      <c r="L51" s="18" t="str">
        <f t="shared" si="81"/>
        <v xml:space="preserve"> 32 Health and social care associate professionals</v>
      </c>
      <c r="M51" s="22">
        <f t="shared" si="70"/>
        <v>2.3306650755886169</v>
      </c>
      <c r="N51" s="22">
        <f t="shared" si="70"/>
        <v>2.2157881652500202</v>
      </c>
      <c r="O51" s="22">
        <f t="shared" si="70"/>
        <v>2.6194806818143479</v>
      </c>
      <c r="P51" s="22">
        <f t="shared" si="70"/>
        <v>2.7293058970853203</v>
      </c>
      <c r="Q51" s="22">
        <f t="shared" si="70"/>
        <v>2.8741424168480725</v>
      </c>
      <c r="S51" s="83">
        <f t="shared" si="82"/>
        <v>52.059904303254797</v>
      </c>
      <c r="T51" s="84">
        <f t="shared" si="83"/>
        <v>43.781725958984062</v>
      </c>
      <c r="U51" s="84">
        <f t="shared" si="84"/>
        <v>95.84163026223888</v>
      </c>
      <c r="W51" s="18" t="str">
        <f t="shared" si="85"/>
        <v xml:space="preserve"> 32 Health and social care associate professionals</v>
      </c>
      <c r="X51" s="22">
        <f t="shared" si="71"/>
        <v>3.3838846963531566</v>
      </c>
      <c r="Y51" s="22">
        <f t="shared" si="71"/>
        <v>3.4655087420687227</v>
      </c>
      <c r="Z51" s="22">
        <f t="shared" si="71"/>
        <v>4.1261684817378539</v>
      </c>
      <c r="AA51" s="22">
        <f t="shared" si="71"/>
        <v>4.3750256411656618</v>
      </c>
      <c r="AB51" s="22">
        <f t="shared" si="71"/>
        <v>4.6185321557428747</v>
      </c>
      <c r="AD51" s="83">
        <f t="shared" si="86"/>
        <v>47.537566667533959</v>
      </c>
      <c r="AE51" s="84">
        <f t="shared" si="87"/>
        <v>55.647203015499805</v>
      </c>
      <c r="AF51" s="84">
        <f t="shared" si="88"/>
        <v>103.18476968303376</v>
      </c>
      <c r="AH51" s="18" t="str">
        <f t="shared" si="89"/>
        <v xml:space="preserve"> 32 Health and social care associate professionals</v>
      </c>
      <c r="AI51" s="22">
        <f t="shared" si="72"/>
        <v>9.1046965333160585</v>
      </c>
      <c r="AJ51" s="22">
        <f t="shared" si="72"/>
        <v>8.074408336268279</v>
      </c>
      <c r="AK51" s="22">
        <f t="shared" si="72"/>
        <v>8.0197445459128698</v>
      </c>
      <c r="AL51" s="22">
        <f t="shared" si="72"/>
        <v>6.2313136853942224</v>
      </c>
      <c r="AM51" s="22">
        <f t="shared" si="72"/>
        <v>4.9051758554925895</v>
      </c>
      <c r="AO51" s="83">
        <f t="shared" si="90"/>
        <v>-36.254938422713465</v>
      </c>
      <c r="AP51" s="84">
        <f t="shared" si="91"/>
        <v>25.442011086037237</v>
      </c>
      <c r="AQ51" s="84">
        <f t="shared" si="92"/>
        <v>-10.812927336676223</v>
      </c>
      <c r="AS51" s="18" t="str">
        <f t="shared" si="93"/>
        <v xml:space="preserve"> 32 Health and social care associate professionals</v>
      </c>
      <c r="AT51" s="22">
        <f t="shared" si="73"/>
        <v>1.2106353213246002</v>
      </c>
      <c r="AU51" s="22">
        <f t="shared" si="73"/>
        <v>1.4525617619923108</v>
      </c>
      <c r="AV51" s="22">
        <f t="shared" si="73"/>
        <v>1.593483498007646</v>
      </c>
      <c r="AW51" s="22">
        <f t="shared" si="73"/>
        <v>1.5609478028944019</v>
      </c>
      <c r="AX51" s="22">
        <f t="shared" si="73"/>
        <v>1.5975701097984973</v>
      </c>
      <c r="AZ51" s="83">
        <f t="shared" si="94"/>
        <v>27.519374397511093</v>
      </c>
      <c r="BA51" s="84">
        <f t="shared" si="95"/>
        <v>45.376359075418407</v>
      </c>
      <c r="BB51" s="84">
        <f t="shared" si="96"/>
        <v>72.895733472929493</v>
      </c>
      <c r="BD51" s="18" t="str">
        <f t="shared" si="97"/>
        <v xml:space="preserve"> 32 Health and social care associate professionals</v>
      </c>
      <c r="BE51" s="22">
        <f t="shared" si="74"/>
        <v>0.93030407045276797</v>
      </c>
      <c r="BF51" s="22">
        <f t="shared" si="74"/>
        <v>0.98125396286339062</v>
      </c>
      <c r="BG51" s="22">
        <f t="shared" si="74"/>
        <v>1.1701991336009574</v>
      </c>
      <c r="BH51" s="22">
        <f t="shared" si="74"/>
        <v>1.2326130091350691</v>
      </c>
      <c r="BI51" s="22">
        <f t="shared" si="74"/>
        <v>1.3882330442022863</v>
      </c>
      <c r="BK51" s="83">
        <f t="shared" si="98"/>
        <v>17.490061761226283</v>
      </c>
      <c r="BL51" s="84">
        <f t="shared" si="99"/>
        <v>38.605026891473962</v>
      </c>
      <c r="BM51" s="84">
        <f t="shared" si="100"/>
        <v>56.095088652700241</v>
      </c>
      <c r="BO51" s="18" t="str">
        <f t="shared" si="101"/>
        <v xml:space="preserve"> 32 Health and social care associate professionals</v>
      </c>
      <c r="BP51" s="22">
        <f t="shared" si="75"/>
        <v>0.62189803712260094</v>
      </c>
      <c r="BQ51" s="22">
        <f t="shared" si="75"/>
        <v>0.81814477980497391</v>
      </c>
      <c r="BR51" s="22">
        <f t="shared" si="75"/>
        <v>0.90138111172270141</v>
      </c>
      <c r="BS51" s="22">
        <f t="shared" si="75"/>
        <v>0.91513698241501262</v>
      </c>
      <c r="BT51" s="22">
        <f t="shared" si="75"/>
        <v>0.96425150608967169</v>
      </c>
      <c r="BV51" s="83">
        <f t="shared" si="102"/>
        <v>-6.141645106823324</v>
      </c>
      <c r="BW51" s="84">
        <f t="shared" si="103"/>
        <v>33.931840510887845</v>
      </c>
      <c r="BX51" s="84">
        <f t="shared" si="104"/>
        <v>27.790195404064523</v>
      </c>
      <c r="BZ51" s="18" t="str">
        <f t="shared" si="105"/>
        <v xml:space="preserve"> 32 Health and social care associate professionals</v>
      </c>
      <c r="CA51" s="22">
        <f t="shared" si="76"/>
        <v>0.51274665780049089</v>
      </c>
      <c r="CB51" s="22">
        <f t="shared" si="76"/>
        <v>0.60521772684770758</v>
      </c>
      <c r="CC51" s="22">
        <f t="shared" si="76"/>
        <v>0.73953976614272776</v>
      </c>
      <c r="CD51" s="22">
        <f t="shared" si="76"/>
        <v>0.68048435055802925</v>
      </c>
      <c r="CE51" s="22">
        <f t="shared" si="76"/>
        <v>0.71890871847959903</v>
      </c>
      <c r="CF51" s="286"/>
      <c r="CG51" s="83">
        <f t="shared" si="106"/>
        <v>-28.274522027647507</v>
      </c>
      <c r="CH51" s="84">
        <f t="shared" si="107"/>
        <v>21.969172096287686</v>
      </c>
      <c r="CI51" s="84">
        <f t="shared" si="108"/>
        <v>-6.3053499313598271</v>
      </c>
      <c r="CK51" s="18" t="str">
        <f t="shared" si="109"/>
        <v xml:space="preserve"> 32 Health and social care associate professionals</v>
      </c>
      <c r="CL51" s="22">
        <f t="shared" si="77"/>
        <v>0.1208694197781269</v>
      </c>
      <c r="CM51" s="22">
        <f t="shared" si="77"/>
        <v>0.15593143519044883</v>
      </c>
      <c r="CN51" s="22">
        <f t="shared" si="77"/>
        <v>0.18728281878961911</v>
      </c>
      <c r="CO51" s="22">
        <f t="shared" si="77"/>
        <v>0.24963837313725501</v>
      </c>
      <c r="CP51" s="22">
        <f t="shared" si="77"/>
        <v>0.42162737363327757</v>
      </c>
      <c r="CR51" s="83">
        <f t="shared" si="110"/>
        <v>22.844578069282196</v>
      </c>
      <c r="CS51" s="84">
        <f>IF(CN15&gt;0,CS15/CN15*100,0)</f>
        <v>24.280775152285823</v>
      </c>
      <c r="CT51" s="84">
        <f t="shared" si="112"/>
        <v>47.12535322156802</v>
      </c>
    </row>
    <row r="52" spans="1:98" x14ac:dyDescent="0.2">
      <c r="A52" s="18" t="str">
        <f t="shared" si="68"/>
        <v xml:space="preserve"> 33 Protective service occupations</v>
      </c>
      <c r="B52" s="22">
        <f t="shared" si="69"/>
        <v>0.2361018288284398</v>
      </c>
      <c r="C52" s="22">
        <f t="shared" si="69"/>
        <v>0.26885419256546073</v>
      </c>
      <c r="D52" s="22">
        <f t="shared" si="69"/>
        <v>0.25627382080472161</v>
      </c>
      <c r="E52" s="22">
        <f t="shared" si="69"/>
        <v>0.27627283126666324</v>
      </c>
      <c r="F52" s="22">
        <f t="shared" si="69"/>
        <v>0.28922953337912594</v>
      </c>
      <c r="H52" s="83">
        <f t="shared" si="78"/>
        <v>60.873180843998632</v>
      </c>
      <c r="I52" s="84">
        <f t="shared" si="79"/>
        <v>29.505104738567876</v>
      </c>
      <c r="J52" s="84">
        <f t="shared" si="80"/>
        <v>90.378285582566505</v>
      </c>
      <c r="L52" s="18" t="str">
        <f t="shared" si="81"/>
        <v xml:space="preserve"> 33 Protective service occupations</v>
      </c>
      <c r="M52" s="22">
        <f t="shared" si="70"/>
        <v>0.79080497676204831</v>
      </c>
      <c r="N52" s="22">
        <f t="shared" si="70"/>
        <v>0.69060144805467216</v>
      </c>
      <c r="O52" s="22">
        <f t="shared" si="70"/>
        <v>0.69135571324086964</v>
      </c>
      <c r="P52" s="22">
        <f t="shared" si="70"/>
        <v>0.70517767538508425</v>
      </c>
      <c r="Q52" s="22">
        <f t="shared" si="70"/>
        <v>0.73547666764938158</v>
      </c>
      <c r="S52" s="83">
        <f t="shared" si="82"/>
        <v>47.431054637465031</v>
      </c>
      <c r="T52" s="84">
        <f t="shared" si="83"/>
        <v>22.6034307666621</v>
      </c>
      <c r="U52" s="84">
        <f t="shared" si="84"/>
        <v>70.034485404127139</v>
      </c>
      <c r="W52" s="18" t="str">
        <f t="shared" si="85"/>
        <v xml:space="preserve"> 33 Protective service occupations</v>
      </c>
      <c r="X52" s="22">
        <f t="shared" si="71"/>
        <v>1.6472512738432576</v>
      </c>
      <c r="Y52" s="22">
        <f t="shared" si="71"/>
        <v>1.5294315957981881</v>
      </c>
      <c r="Z52" s="22">
        <f t="shared" si="71"/>
        <v>1.5566497589226471</v>
      </c>
      <c r="AA52" s="22">
        <f t="shared" si="71"/>
        <v>1.5433789404842244</v>
      </c>
      <c r="AB52" s="22">
        <f t="shared" si="71"/>
        <v>1.5372190341554932</v>
      </c>
      <c r="AD52" s="83">
        <f t="shared" si="86"/>
        <v>30.163868259196548</v>
      </c>
      <c r="AE52" s="84">
        <f t="shared" si="87"/>
        <v>33.45226046324948</v>
      </c>
      <c r="AF52" s="84">
        <f t="shared" si="88"/>
        <v>63.616128722446028</v>
      </c>
      <c r="AH52" s="18" t="str">
        <f t="shared" si="89"/>
        <v xml:space="preserve"> 33 Protective service occupations</v>
      </c>
      <c r="AI52" s="22">
        <f t="shared" si="72"/>
        <v>0.97786097624232815</v>
      </c>
      <c r="AJ52" s="22">
        <f t="shared" si="72"/>
        <v>1.105365511065767</v>
      </c>
      <c r="AK52" s="22">
        <f t="shared" si="72"/>
        <v>1.276476216516431</v>
      </c>
      <c r="AL52" s="22">
        <f t="shared" si="72"/>
        <v>1.3643608422662015</v>
      </c>
      <c r="AM52" s="22">
        <f t="shared" si="72"/>
        <v>1.4514615616417099</v>
      </c>
      <c r="AO52" s="83">
        <f t="shared" si="90"/>
        <v>18.507356253703271</v>
      </c>
      <c r="AP52" s="84">
        <f t="shared" si="91"/>
        <v>27.854420277885517</v>
      </c>
      <c r="AQ52" s="84">
        <f t="shared" si="92"/>
        <v>46.361776531588795</v>
      </c>
      <c r="AS52" s="18" t="str">
        <f t="shared" si="93"/>
        <v xml:space="preserve"> 33 Protective service occupations</v>
      </c>
      <c r="AT52" s="22">
        <f t="shared" si="73"/>
        <v>1.8533408454538067</v>
      </c>
      <c r="AU52" s="22">
        <f t="shared" si="73"/>
        <v>1.5440098445959345</v>
      </c>
      <c r="AV52" s="22">
        <f t="shared" si="73"/>
        <v>1.2640977534093247</v>
      </c>
      <c r="AW52" s="22">
        <f t="shared" si="73"/>
        <v>1.007253158914329</v>
      </c>
      <c r="AX52" s="22">
        <f t="shared" si="73"/>
        <v>0.88175996555923553</v>
      </c>
      <c r="AZ52" s="83">
        <f t="shared" si="94"/>
        <v>-11.277548244461943</v>
      </c>
      <c r="BA52" s="84">
        <f t="shared" si="95"/>
        <v>21.992561323508426</v>
      </c>
      <c r="BB52" s="84">
        <f t="shared" si="96"/>
        <v>10.715013079046482</v>
      </c>
      <c r="BD52" s="18" t="str">
        <f t="shared" si="97"/>
        <v xml:space="preserve"> 33 Protective service occupations</v>
      </c>
      <c r="BE52" s="22">
        <f t="shared" si="74"/>
        <v>1.6142225843251603</v>
      </c>
      <c r="BF52" s="22">
        <f t="shared" si="74"/>
        <v>1.2792985899740843</v>
      </c>
      <c r="BG52" s="22">
        <f t="shared" si="74"/>
        <v>1.0047989446263856</v>
      </c>
      <c r="BH52" s="22">
        <f t="shared" si="74"/>
        <v>0.86517114406340478</v>
      </c>
      <c r="BI52" s="22">
        <f t="shared" si="74"/>
        <v>0.69666023776217179</v>
      </c>
      <c r="BK52" s="83">
        <f t="shared" si="98"/>
        <v>-31.334216475864928</v>
      </c>
      <c r="BL52" s="84">
        <f t="shared" si="99"/>
        <v>13.366333790888293</v>
      </c>
      <c r="BM52" s="84">
        <f t="shared" si="100"/>
        <v>-17.967882684976637</v>
      </c>
      <c r="BO52" s="18" t="str">
        <f t="shared" si="101"/>
        <v xml:space="preserve"> 33 Protective service occupations</v>
      </c>
      <c r="BP52" s="22">
        <f t="shared" si="75"/>
        <v>1.438867051791642</v>
      </c>
      <c r="BQ52" s="22">
        <f t="shared" si="75"/>
        <v>1.2889713679592538</v>
      </c>
      <c r="BR52" s="22">
        <f t="shared" si="75"/>
        <v>1.2018536700954039</v>
      </c>
      <c r="BS52" s="22">
        <f t="shared" si="75"/>
        <v>1.0538409461505556</v>
      </c>
      <c r="BT52" s="22">
        <f t="shared" si="75"/>
        <v>0.96038226297990725</v>
      </c>
      <c r="BV52" s="83">
        <f t="shared" si="102"/>
        <v>-29.889413232285921</v>
      </c>
      <c r="BW52" s="84">
        <f t="shared" si="103"/>
        <v>16.964177959624582</v>
      </c>
      <c r="BX52" s="84">
        <f t="shared" si="104"/>
        <v>-12.92523527266134</v>
      </c>
      <c r="BZ52" s="18" t="str">
        <f t="shared" si="105"/>
        <v xml:space="preserve"> 33 Protective service occupations</v>
      </c>
      <c r="CA52" s="22">
        <f t="shared" si="76"/>
        <v>1.1930523107055264</v>
      </c>
      <c r="CB52" s="22">
        <f t="shared" si="76"/>
        <v>1.055608810113867</v>
      </c>
      <c r="CC52" s="22">
        <f t="shared" si="76"/>
        <v>1.0146901211382253</v>
      </c>
      <c r="CD52" s="22">
        <f t="shared" si="76"/>
        <v>1.0065109274969859</v>
      </c>
      <c r="CE52" s="22">
        <f t="shared" si="76"/>
        <v>1.1124401598069187</v>
      </c>
      <c r="CF52" s="286"/>
      <c r="CG52" s="83">
        <f t="shared" si="106"/>
        <v>-19.108207573934784</v>
      </c>
      <c r="CH52" s="84">
        <f t="shared" si="107"/>
        <v>18.192664867331555</v>
      </c>
      <c r="CI52" s="84">
        <f t="shared" si="108"/>
        <v>-0.91554270660323056</v>
      </c>
      <c r="CK52" s="18" t="str">
        <f t="shared" si="109"/>
        <v xml:space="preserve"> 33 Protective service occupations</v>
      </c>
      <c r="CL52" s="22">
        <f t="shared" si="77"/>
        <v>0.39652200082817446</v>
      </c>
      <c r="CM52" s="22">
        <f t="shared" si="77"/>
        <v>0.39830901412069425</v>
      </c>
      <c r="CN52" s="22">
        <f t="shared" si="77"/>
        <v>0.37811617951861087</v>
      </c>
      <c r="CO52" s="22">
        <f t="shared" si="77"/>
        <v>0.37640537468326934</v>
      </c>
      <c r="CP52" s="22">
        <f t="shared" si="77"/>
        <v>0.32076166996629685</v>
      </c>
      <c r="CR52" s="83">
        <f t="shared" si="110"/>
        <v>-53.710516401100286</v>
      </c>
      <c r="CS52" s="84">
        <f t="shared" si="111"/>
        <v>9.1300543408279662</v>
      </c>
      <c r="CT52" s="84">
        <f t="shared" si="112"/>
        <v>-44.580462060272318</v>
      </c>
    </row>
    <row r="53" spans="1:98" x14ac:dyDescent="0.2">
      <c r="A53" s="18" t="str">
        <f t="shared" si="68"/>
        <v xml:space="preserve"> 34 Culture, media and sports occupations</v>
      </c>
      <c r="B53" s="22">
        <f t="shared" si="69"/>
        <v>1.3293025375533942</v>
      </c>
      <c r="C53" s="22">
        <f t="shared" si="69"/>
        <v>1.1811302268771076</v>
      </c>
      <c r="D53" s="22">
        <f t="shared" si="69"/>
        <v>1.6813340873910516</v>
      </c>
      <c r="E53" s="22">
        <f t="shared" si="69"/>
        <v>1.8088592574722766</v>
      </c>
      <c r="F53" s="22">
        <f t="shared" si="69"/>
        <v>1.7896982689554488</v>
      </c>
      <c r="H53" s="83">
        <f t="shared" si="78"/>
        <v>51.729859599836736</v>
      </c>
      <c r="I53" s="84">
        <f t="shared" si="79"/>
        <v>44.786375315111151</v>
      </c>
      <c r="J53" s="84">
        <f t="shared" si="80"/>
        <v>96.516234914947887</v>
      </c>
      <c r="L53" s="18" t="str">
        <f t="shared" si="81"/>
        <v xml:space="preserve"> 34 Culture, media and sports occupations</v>
      </c>
      <c r="M53" s="22">
        <f t="shared" si="70"/>
        <v>2.2003092292642799</v>
      </c>
      <c r="N53" s="22">
        <f t="shared" si="70"/>
        <v>2.9263978556064494</v>
      </c>
      <c r="O53" s="22">
        <f t="shared" si="70"/>
        <v>3.4386905447166312</v>
      </c>
      <c r="P53" s="22">
        <f t="shared" si="70"/>
        <v>3.4365149474661334</v>
      </c>
      <c r="Q53" s="22">
        <f t="shared" si="70"/>
        <v>3.2506624425649928</v>
      </c>
      <c r="S53" s="83">
        <f t="shared" si="82"/>
        <v>31.008781633401401</v>
      </c>
      <c r="T53" s="84">
        <f t="shared" si="83"/>
        <v>37.614478031082413</v>
      </c>
      <c r="U53" s="84">
        <f t="shared" si="84"/>
        <v>68.623259664483811</v>
      </c>
      <c r="W53" s="18" t="str">
        <f t="shared" si="85"/>
        <v xml:space="preserve"> 34 Culture, media and sports occupations</v>
      </c>
      <c r="X53" s="22">
        <f t="shared" si="71"/>
        <v>3.293970632701694</v>
      </c>
      <c r="Y53" s="22">
        <f t="shared" si="71"/>
        <v>3.7002430444085008</v>
      </c>
      <c r="Z53" s="22">
        <f t="shared" si="71"/>
        <v>3.7487905729628865</v>
      </c>
      <c r="AA53" s="22">
        <f t="shared" si="71"/>
        <v>3.5649847205125131</v>
      </c>
      <c r="AB53" s="22">
        <f t="shared" si="71"/>
        <v>3.4129297368346347</v>
      </c>
      <c r="AD53" s="83">
        <f t="shared" si="86"/>
        <v>20.000144853825823</v>
      </c>
      <c r="AE53" s="84">
        <f t="shared" si="87"/>
        <v>40.034100586915365</v>
      </c>
      <c r="AF53" s="84">
        <f t="shared" si="88"/>
        <v>60.034245440741188</v>
      </c>
      <c r="AH53" s="18" t="str">
        <f t="shared" si="89"/>
        <v xml:space="preserve"> 34 Culture, media and sports occupations</v>
      </c>
      <c r="AI53" s="22">
        <f t="shared" si="72"/>
        <v>1.1082018104183899</v>
      </c>
      <c r="AJ53" s="22">
        <f t="shared" si="72"/>
        <v>1.4173925825294285</v>
      </c>
      <c r="AK53" s="22">
        <f t="shared" si="72"/>
        <v>1.2509853433207772</v>
      </c>
      <c r="AL53" s="22">
        <f t="shared" si="72"/>
        <v>1.351336322603425</v>
      </c>
      <c r="AM53" s="22">
        <f t="shared" si="72"/>
        <v>1.4099052999944084</v>
      </c>
      <c r="AO53" s="83">
        <f t="shared" si="90"/>
        <v>17.460060330706771</v>
      </c>
      <c r="AP53" s="84">
        <f t="shared" si="91"/>
        <v>37.882140482081873</v>
      </c>
      <c r="AQ53" s="84">
        <f t="shared" si="92"/>
        <v>55.342200812788647</v>
      </c>
      <c r="AS53" s="18" t="str">
        <f t="shared" si="93"/>
        <v xml:space="preserve"> 34 Culture, media and sports occupations</v>
      </c>
      <c r="AT53" s="22">
        <f t="shared" si="73"/>
        <v>2.0832002556333058</v>
      </c>
      <c r="AU53" s="22">
        <f t="shared" si="73"/>
        <v>2.3559390295455276</v>
      </c>
      <c r="AV53" s="22">
        <f t="shared" si="73"/>
        <v>2.2148954229246463</v>
      </c>
      <c r="AW53" s="22">
        <f t="shared" si="73"/>
        <v>2.0765681883706604</v>
      </c>
      <c r="AX53" s="22">
        <f t="shared" si="73"/>
        <v>2.021568014104191</v>
      </c>
      <c r="AZ53" s="83">
        <f t="shared" si="94"/>
        <v>16.091106099880289</v>
      </c>
      <c r="BA53" s="84">
        <f t="shared" si="95"/>
        <v>36.778466381232022</v>
      </c>
      <c r="BB53" s="84">
        <f t="shared" si="96"/>
        <v>52.869572481112314</v>
      </c>
      <c r="BD53" s="18" t="str">
        <f t="shared" si="97"/>
        <v xml:space="preserve"> 34 Culture, media and sports occupations</v>
      </c>
      <c r="BE53" s="22">
        <f t="shared" si="74"/>
        <v>1.0461201672682021</v>
      </c>
      <c r="BF53" s="22">
        <f t="shared" si="74"/>
        <v>1.2049200011220582</v>
      </c>
      <c r="BG53" s="22">
        <f t="shared" si="74"/>
        <v>1.1257829708239024</v>
      </c>
      <c r="BH53" s="22">
        <f t="shared" si="74"/>
        <v>1.082665401269534</v>
      </c>
      <c r="BI53" s="22">
        <f t="shared" si="74"/>
        <v>1.0214409758347986</v>
      </c>
      <c r="BK53" s="83">
        <f t="shared" si="98"/>
        <v>-10.141921507067392</v>
      </c>
      <c r="BL53" s="84">
        <f t="shared" si="99"/>
        <v>25.135151699517529</v>
      </c>
      <c r="BM53" s="84">
        <f t="shared" si="100"/>
        <v>14.993230192450138</v>
      </c>
      <c r="BO53" s="18" t="str">
        <f t="shared" si="101"/>
        <v xml:space="preserve"> 34 Culture, media and sports occupations</v>
      </c>
      <c r="BP53" s="22">
        <f t="shared" si="75"/>
        <v>0.82140333941134436</v>
      </c>
      <c r="BQ53" s="22">
        <f t="shared" si="75"/>
        <v>0.67446470647616552</v>
      </c>
      <c r="BR53" s="22">
        <f t="shared" si="75"/>
        <v>0.60436559466921591</v>
      </c>
      <c r="BS53" s="22">
        <f t="shared" si="75"/>
        <v>0.52378774867202194</v>
      </c>
      <c r="BT53" s="22">
        <f t="shared" si="75"/>
        <v>0.45798900652941993</v>
      </c>
      <c r="BV53" s="83">
        <f t="shared" si="102"/>
        <v>-33.511522882401657</v>
      </c>
      <c r="BW53" s="84">
        <f t="shared" si="103"/>
        <v>21.922466848867035</v>
      </c>
      <c r="BX53" s="84">
        <f t="shared" si="104"/>
        <v>-11.589056033534623</v>
      </c>
      <c r="BZ53" s="18" t="str">
        <f t="shared" si="105"/>
        <v xml:space="preserve"> 34 Culture, media and sports occupations</v>
      </c>
      <c r="CA53" s="22">
        <f t="shared" si="76"/>
        <v>0.60341782273228162</v>
      </c>
      <c r="CB53" s="22">
        <f t="shared" si="76"/>
        <v>0.78742586080729571</v>
      </c>
      <c r="CC53" s="22">
        <f t="shared" si="76"/>
        <v>0.84136079916231521</v>
      </c>
      <c r="CD53" s="22">
        <f t="shared" si="76"/>
        <v>0.76905235830765128</v>
      </c>
      <c r="CE53" s="22">
        <f t="shared" si="76"/>
        <v>0.71429186691213242</v>
      </c>
      <c r="CF53" s="286"/>
      <c r="CG53" s="83">
        <f t="shared" si="106"/>
        <v>-37.359579578344722</v>
      </c>
      <c r="CH53" s="84">
        <f t="shared" si="107"/>
        <v>19.126104190838188</v>
      </c>
      <c r="CI53" s="84">
        <f t="shared" si="108"/>
        <v>-18.233475387506537</v>
      </c>
      <c r="CK53" s="18" t="str">
        <f t="shared" si="109"/>
        <v xml:space="preserve"> 34 Culture, media and sports occupations</v>
      </c>
      <c r="CL53" s="22">
        <f t="shared" si="77"/>
        <v>0.22084778098878186</v>
      </c>
      <c r="CM53" s="22">
        <f t="shared" si="77"/>
        <v>0.50175652745457056</v>
      </c>
      <c r="CN53" s="22">
        <f t="shared" si="77"/>
        <v>0.86095606543072412</v>
      </c>
      <c r="CO53" s="22">
        <f t="shared" si="77"/>
        <v>1.2507046117555127</v>
      </c>
      <c r="CP53" s="22">
        <f t="shared" si="77"/>
        <v>2.2422427273083017</v>
      </c>
      <c r="CR53" s="83">
        <f t="shared" si="110"/>
        <v>42.110695597929308</v>
      </c>
      <c r="CS53" s="84">
        <f t="shared" si="111"/>
        <v>25.912554944958305</v>
      </c>
      <c r="CT53" s="84">
        <f t="shared" si="112"/>
        <v>68.02325054288761</v>
      </c>
    </row>
    <row r="54" spans="1:98" x14ac:dyDescent="0.2">
      <c r="A54" s="18" t="str">
        <f t="shared" si="68"/>
        <v xml:space="preserve"> 35 Business and public service associate professionals</v>
      </c>
      <c r="B54" s="22">
        <f t="shared" ref="B54:F63" si="113">B18/B$34*100</f>
        <v>5.1401222573955687</v>
      </c>
      <c r="C54" s="22">
        <f t="shared" si="113"/>
        <v>3.6788765293091483</v>
      </c>
      <c r="D54" s="22">
        <f t="shared" si="113"/>
        <v>4.0726086292335735</v>
      </c>
      <c r="E54" s="22">
        <f t="shared" si="113"/>
        <v>4.435012482270337</v>
      </c>
      <c r="F54" s="22">
        <f t="shared" si="113"/>
        <v>4.6115292454752037</v>
      </c>
      <c r="H54" s="83">
        <f t="shared" si="78"/>
        <v>61.405208789248867</v>
      </c>
      <c r="I54" s="84">
        <f t="shared" si="79"/>
        <v>35.993910757778224</v>
      </c>
      <c r="J54" s="84">
        <f t="shared" si="80"/>
        <v>97.399119547027098</v>
      </c>
      <c r="L54" s="18" t="str">
        <f t="shared" si="81"/>
        <v xml:space="preserve"> 35 Business and public service associate professionals</v>
      </c>
      <c r="M54" s="22">
        <f t="shared" ref="M54:Q63" si="114">M18/M$34*100</f>
        <v>6.8395625340422761</v>
      </c>
      <c r="N54" s="22">
        <f t="shared" si="114"/>
        <v>6.3794369938683175</v>
      </c>
      <c r="O54" s="22">
        <f t="shared" si="114"/>
        <v>6.7823151155836259</v>
      </c>
      <c r="P54" s="22">
        <f t="shared" si="114"/>
        <v>7.186966162774028</v>
      </c>
      <c r="Q54" s="22">
        <f t="shared" si="114"/>
        <v>7.3804179198257449</v>
      </c>
      <c r="S54" s="83">
        <f t="shared" si="82"/>
        <v>50.808083032977024</v>
      </c>
      <c r="T54" s="84">
        <f t="shared" si="83"/>
        <v>37.753803800122597</v>
      </c>
      <c r="U54" s="84">
        <f t="shared" si="84"/>
        <v>88.561886833099607</v>
      </c>
      <c r="W54" s="18" t="str">
        <f t="shared" si="85"/>
        <v xml:space="preserve"> 35 Business and public service associate professionals</v>
      </c>
      <c r="X54" s="22">
        <f t="shared" ref="X54:AB63" si="115">X18/X$34*100</f>
        <v>8.5102190873396939</v>
      </c>
      <c r="Y54" s="22">
        <f t="shared" si="115"/>
        <v>7.3243427460768391</v>
      </c>
      <c r="Z54" s="22">
        <f t="shared" si="115"/>
        <v>7.2303725368046594</v>
      </c>
      <c r="AA54" s="22">
        <f t="shared" si="115"/>
        <v>7.2099341286653837</v>
      </c>
      <c r="AB54" s="22">
        <f t="shared" si="115"/>
        <v>7.1727190764683311</v>
      </c>
      <c r="AD54" s="83">
        <f t="shared" si="86"/>
        <v>30.758144570592577</v>
      </c>
      <c r="AE54" s="84">
        <f t="shared" si="87"/>
        <v>42.756227207136511</v>
      </c>
      <c r="AF54" s="84">
        <f t="shared" si="88"/>
        <v>73.514371777729082</v>
      </c>
      <c r="AH54" s="18" t="str">
        <f t="shared" si="89"/>
        <v xml:space="preserve"> 35 Business and public service associate professionals</v>
      </c>
      <c r="AI54" s="22">
        <f t="shared" ref="AI54:AM63" si="116">AI18/AI$34*100</f>
        <v>5.2322666162511995</v>
      </c>
      <c r="AJ54" s="22">
        <f t="shared" si="116"/>
        <v>5.6288153343746101</v>
      </c>
      <c r="AK54" s="22">
        <f t="shared" si="116"/>
        <v>6.0816445486708073</v>
      </c>
      <c r="AL54" s="22">
        <f t="shared" si="116"/>
        <v>6.8709634705056253</v>
      </c>
      <c r="AM54" s="22">
        <f t="shared" si="116"/>
        <v>7.3878221485675226</v>
      </c>
      <c r="AO54" s="83">
        <f t="shared" si="90"/>
        <v>26.604136734936322</v>
      </c>
      <c r="AP54" s="84">
        <f t="shared" si="91"/>
        <v>40.038703596717511</v>
      </c>
      <c r="AQ54" s="84">
        <f t="shared" si="92"/>
        <v>66.642840331653829</v>
      </c>
      <c r="AS54" s="18" t="str">
        <f t="shared" si="93"/>
        <v xml:space="preserve"> 35 Business and public service associate professionals</v>
      </c>
      <c r="AT54" s="22">
        <f t="shared" ref="AT54:AX63" si="117">AT18/AT$34*100</f>
        <v>7.2341279065218425</v>
      </c>
      <c r="AU54" s="22">
        <f t="shared" si="117"/>
        <v>6.3630070799575265</v>
      </c>
      <c r="AV54" s="22">
        <f t="shared" si="117"/>
        <v>5.9330943747498592</v>
      </c>
      <c r="AW54" s="22">
        <f t="shared" si="117"/>
        <v>5.7275569908040893</v>
      </c>
      <c r="AX54" s="22">
        <f t="shared" si="117"/>
        <v>5.706537490167265</v>
      </c>
      <c r="AZ54" s="83">
        <f t="shared" si="94"/>
        <v>22.336270230847685</v>
      </c>
      <c r="BA54" s="84">
        <f t="shared" si="95"/>
        <v>37.650259118198747</v>
      </c>
      <c r="BB54" s="84">
        <f t="shared" si="96"/>
        <v>59.986529349046421</v>
      </c>
      <c r="BD54" s="18" t="str">
        <f t="shared" si="97"/>
        <v xml:space="preserve"> 35 Business and public service associate professionals</v>
      </c>
      <c r="BE54" s="22">
        <f t="shared" ref="BE54:BI63" si="118">BE18/BE$34*100</f>
        <v>4.4920000937743847</v>
      </c>
      <c r="BF54" s="22">
        <f t="shared" si="118"/>
        <v>4.4243708803998469</v>
      </c>
      <c r="BG54" s="22">
        <f t="shared" si="118"/>
        <v>4.4392198857694378</v>
      </c>
      <c r="BH54" s="22">
        <f t="shared" si="118"/>
        <v>4.3778748856437764</v>
      </c>
      <c r="BI54" s="22">
        <f t="shared" si="118"/>
        <v>4.3288868758562495</v>
      </c>
      <c r="BK54" s="83">
        <f t="shared" si="98"/>
        <v>-3.4242463040587214</v>
      </c>
      <c r="BL54" s="84">
        <f t="shared" si="99"/>
        <v>27.821858043239523</v>
      </c>
      <c r="BM54" s="84">
        <f t="shared" si="100"/>
        <v>24.397611739180803</v>
      </c>
      <c r="BO54" s="18" t="str">
        <f t="shared" si="101"/>
        <v xml:space="preserve"> 35 Business and public service associate professionals</v>
      </c>
      <c r="BP54" s="22">
        <f t="shared" ref="BP54:BT63" si="119">BP18/BP$34*100</f>
        <v>3.706997732238229</v>
      </c>
      <c r="BQ54" s="22">
        <f t="shared" si="119"/>
        <v>3.3994534980940858</v>
      </c>
      <c r="BR54" s="22">
        <f t="shared" si="119"/>
        <v>3.3494823393145188</v>
      </c>
      <c r="BS54" s="22">
        <f t="shared" si="119"/>
        <v>3.2158847111004434</v>
      </c>
      <c r="BT54" s="22">
        <f t="shared" si="119"/>
        <v>3.1722932029700655</v>
      </c>
      <c r="BV54" s="83">
        <f t="shared" si="102"/>
        <v>-16.902741950072439</v>
      </c>
      <c r="BW54" s="84">
        <f t="shared" si="103"/>
        <v>26.251426706447649</v>
      </c>
      <c r="BX54" s="84">
        <f t="shared" si="104"/>
        <v>9.34868475637521</v>
      </c>
      <c r="BZ54" s="18" t="str">
        <f t="shared" si="105"/>
        <v xml:space="preserve"> 35 Business and public service associate professionals</v>
      </c>
      <c r="CA54" s="22">
        <f t="shared" ref="CA54:CE63" si="120">CA18/CA$34*100</f>
        <v>3.1144922359531293</v>
      </c>
      <c r="CB54" s="22">
        <f t="shared" si="120"/>
        <v>2.9288396109814325</v>
      </c>
      <c r="CC54" s="22">
        <f t="shared" si="120"/>
        <v>3.1166617421300993</v>
      </c>
      <c r="CD54" s="22">
        <f t="shared" si="120"/>
        <v>3.0025347228272858</v>
      </c>
      <c r="CE54" s="22">
        <f t="shared" si="120"/>
        <v>3.0865350665821283</v>
      </c>
      <c r="CF54" s="286"/>
      <c r="CG54" s="83">
        <f t="shared" si="106"/>
        <v>-26.929382473761265</v>
      </c>
      <c r="CH54" s="84">
        <f t="shared" si="107"/>
        <v>19.816855270670633</v>
      </c>
      <c r="CI54" s="84">
        <f t="shared" si="108"/>
        <v>-7.1125272030906332</v>
      </c>
      <c r="CK54" s="18" t="str">
        <f t="shared" si="109"/>
        <v xml:space="preserve"> 35 Business and public service associate professionals</v>
      </c>
      <c r="CL54" s="22">
        <f t="shared" ref="CL54:CP63" si="121">CL18/CL$34*100</f>
        <v>1.2712315300092119</v>
      </c>
      <c r="CM54" s="22">
        <f t="shared" si="121"/>
        <v>1.5222979855189267</v>
      </c>
      <c r="CN54" s="22">
        <f t="shared" si="121"/>
        <v>2.1047038434072238</v>
      </c>
      <c r="CO54" s="22">
        <f t="shared" si="121"/>
        <v>2.5495235725978205</v>
      </c>
      <c r="CP54" s="22">
        <f t="shared" si="121"/>
        <v>3.7077126634013675</v>
      </c>
      <c r="CR54" s="83">
        <f t="shared" si="110"/>
        <v>-3.8741468647338171</v>
      </c>
      <c r="CS54" s="84">
        <f t="shared" si="111"/>
        <v>18.571629242000441</v>
      </c>
      <c r="CT54" s="84">
        <f t="shared" si="112"/>
        <v>14.697482377266624</v>
      </c>
    </row>
    <row r="55" spans="1:98" x14ac:dyDescent="0.2">
      <c r="A55" s="18" t="str">
        <f t="shared" si="68"/>
        <v xml:space="preserve"> 41 Administrative occupations</v>
      </c>
      <c r="B55" s="22">
        <f t="shared" si="113"/>
        <v>4.0553631752510508</v>
      </c>
      <c r="C55" s="22">
        <f t="shared" si="113"/>
        <v>2.9898271827262839</v>
      </c>
      <c r="D55" s="22">
        <f t="shared" si="113"/>
        <v>3.1868735000747148</v>
      </c>
      <c r="E55" s="22">
        <f t="shared" si="113"/>
        <v>3.3625402181958823</v>
      </c>
      <c r="F55" s="22">
        <f t="shared" si="113"/>
        <v>3.3705808202836947</v>
      </c>
      <c r="H55" s="83">
        <f t="shared" si="78"/>
        <v>50.759669307202515</v>
      </c>
      <c r="I55" s="84">
        <f t="shared" si="79"/>
        <v>37.962207138688122</v>
      </c>
      <c r="J55" s="84">
        <f t="shared" si="80"/>
        <v>88.721876445890629</v>
      </c>
      <c r="L55" s="18" t="str">
        <f t="shared" si="81"/>
        <v xml:space="preserve"> 41 Administrative occupations</v>
      </c>
      <c r="M55" s="22">
        <f t="shared" si="114"/>
        <v>5.3847537975069155</v>
      </c>
      <c r="N55" s="22">
        <f t="shared" si="114"/>
        <v>5.2082502930925516</v>
      </c>
      <c r="O55" s="22">
        <f t="shared" si="114"/>
        <v>5.3363703619868001</v>
      </c>
      <c r="P55" s="22">
        <f t="shared" si="114"/>
        <v>5.4504510995397819</v>
      </c>
      <c r="Q55" s="22">
        <f t="shared" si="114"/>
        <v>5.6047594658874553</v>
      </c>
      <c r="S55" s="83">
        <f t="shared" si="82"/>
        <v>45.556848640487985</v>
      </c>
      <c r="T55" s="84">
        <f t="shared" si="83"/>
        <v>38.478210646920957</v>
      </c>
      <c r="U55" s="84">
        <f t="shared" si="84"/>
        <v>84.035059287408941</v>
      </c>
      <c r="W55" s="18" t="str">
        <f t="shared" si="85"/>
        <v xml:space="preserve"> 41 Administrative occupations</v>
      </c>
      <c r="X55" s="22">
        <f t="shared" si="115"/>
        <v>9.7515794078991433</v>
      </c>
      <c r="Y55" s="22">
        <f t="shared" si="115"/>
        <v>9.2959809524369259</v>
      </c>
      <c r="Z55" s="22">
        <f t="shared" si="115"/>
        <v>9.0970796936694853</v>
      </c>
      <c r="AA55" s="22">
        <f t="shared" si="115"/>
        <v>9.1332821076789106</v>
      </c>
      <c r="AB55" s="22">
        <f t="shared" si="115"/>
        <v>9.3428747733377122</v>
      </c>
      <c r="AD55" s="83">
        <f t="shared" si="86"/>
        <v>35.370530410503726</v>
      </c>
      <c r="AE55" s="84">
        <f t="shared" si="87"/>
        <v>47.019356588427996</v>
      </c>
      <c r="AF55" s="84">
        <f t="shared" si="88"/>
        <v>82.389886998931715</v>
      </c>
      <c r="AH55" s="18" t="str">
        <f t="shared" si="89"/>
        <v xml:space="preserve"> 41 Administrative occupations</v>
      </c>
      <c r="AI55" s="22">
        <f t="shared" si="116"/>
        <v>6.9314192651559292</v>
      </c>
      <c r="AJ55" s="22">
        <f t="shared" si="116"/>
        <v>8.4001490892240813</v>
      </c>
      <c r="AK55" s="22">
        <f t="shared" si="116"/>
        <v>9.1481193600701776</v>
      </c>
      <c r="AL55" s="22">
        <f t="shared" si="116"/>
        <v>10.264014003858726</v>
      </c>
      <c r="AM55" s="22">
        <f t="shared" si="116"/>
        <v>11.183036457156085</v>
      </c>
      <c r="AO55" s="83">
        <f t="shared" si="90"/>
        <v>27.403223435044911</v>
      </c>
      <c r="AP55" s="84">
        <f t="shared" si="91"/>
        <v>48.36485162175088</v>
      </c>
      <c r="AQ55" s="84">
        <f t="shared" si="92"/>
        <v>75.768075056795794</v>
      </c>
      <c r="AS55" s="18" t="str">
        <f t="shared" si="93"/>
        <v xml:space="preserve"> 41 Administrative occupations</v>
      </c>
      <c r="AT55" s="22">
        <f t="shared" si="117"/>
        <v>10.914891885577777</v>
      </c>
      <c r="AU55" s="22">
        <f t="shared" si="117"/>
        <v>10.702854203651999</v>
      </c>
      <c r="AV55" s="22">
        <f t="shared" si="117"/>
        <v>10.233191214797783</v>
      </c>
      <c r="AW55" s="22">
        <f t="shared" si="117"/>
        <v>10.123651261050508</v>
      </c>
      <c r="AX55" s="22">
        <f t="shared" si="117"/>
        <v>10.290411008804931</v>
      </c>
      <c r="AZ55" s="83">
        <f t="shared" si="94"/>
        <v>27.90438955230336</v>
      </c>
      <c r="BA55" s="84">
        <f t="shared" si="95"/>
        <v>45.253543035217874</v>
      </c>
      <c r="BB55" s="84">
        <f t="shared" si="96"/>
        <v>73.157932587521231</v>
      </c>
      <c r="BD55" s="18" t="str">
        <f t="shared" si="97"/>
        <v xml:space="preserve"> 41 Administrative occupations</v>
      </c>
      <c r="BE55" s="22">
        <f t="shared" si="118"/>
        <v>9.9729002777013189</v>
      </c>
      <c r="BF55" s="22">
        <f t="shared" si="118"/>
        <v>9.273196498729904</v>
      </c>
      <c r="BG55" s="22">
        <f t="shared" si="118"/>
        <v>8.5419307580349813</v>
      </c>
      <c r="BH55" s="22">
        <f t="shared" si="118"/>
        <v>7.8230749611148136</v>
      </c>
      <c r="BI55" s="22">
        <f t="shared" si="118"/>
        <v>7.5094717039536558</v>
      </c>
      <c r="BK55" s="83">
        <f t="shared" si="98"/>
        <v>-12.933343909489178</v>
      </c>
      <c r="BL55" s="84">
        <f t="shared" si="99"/>
        <v>29.147741148680446</v>
      </c>
      <c r="BM55" s="84">
        <f t="shared" si="100"/>
        <v>16.214397239191268</v>
      </c>
      <c r="BO55" s="18" t="str">
        <f t="shared" si="101"/>
        <v xml:space="preserve"> 41 Administrative occupations</v>
      </c>
      <c r="BP55" s="22">
        <f t="shared" si="119"/>
        <v>11.12228347391004</v>
      </c>
      <c r="BQ55" s="22">
        <f t="shared" si="119"/>
        <v>10.615032494027062</v>
      </c>
      <c r="BR55" s="22">
        <f t="shared" si="119"/>
        <v>9.6454772911288007</v>
      </c>
      <c r="BS55" s="22">
        <f t="shared" si="119"/>
        <v>8.9542428941428991</v>
      </c>
      <c r="BT55" s="22">
        <f t="shared" si="119"/>
        <v>7.7150320939530781</v>
      </c>
      <c r="BV55" s="83">
        <f t="shared" si="102"/>
        <v>-29.821338725944763</v>
      </c>
      <c r="BW55" s="84">
        <f t="shared" si="103"/>
        <v>26.645977674033698</v>
      </c>
      <c r="BX55" s="84">
        <f t="shared" si="104"/>
        <v>-3.1753610519110604</v>
      </c>
      <c r="BZ55" s="18" t="str">
        <f t="shared" si="105"/>
        <v xml:space="preserve"> 41 Administrative occupations</v>
      </c>
      <c r="CA55" s="22">
        <f t="shared" si="120"/>
        <v>9.6200797852200335</v>
      </c>
      <c r="CB55" s="22">
        <f t="shared" si="120"/>
        <v>8.4835139130208148</v>
      </c>
      <c r="CC55" s="22">
        <f t="shared" si="120"/>
        <v>8.0575986682303924</v>
      </c>
      <c r="CD55" s="22">
        <f t="shared" si="120"/>
        <v>6.5866904809868343</v>
      </c>
      <c r="CE55" s="22">
        <f t="shared" si="120"/>
        <v>4.5484687168884461</v>
      </c>
      <c r="CF55" s="286"/>
      <c r="CG55" s="83">
        <f t="shared" si="106"/>
        <v>-58.349443167057871</v>
      </c>
      <c r="CH55" s="84">
        <f t="shared" si="107"/>
        <v>16.338311899113371</v>
      </c>
      <c r="CI55" s="84">
        <f t="shared" si="108"/>
        <v>-42.011131267944499</v>
      </c>
      <c r="CK55" s="18" t="str">
        <f t="shared" si="109"/>
        <v xml:space="preserve"> 41 Administrative occupations</v>
      </c>
      <c r="CL55" s="22">
        <f t="shared" si="121"/>
        <v>4.6329431956377896</v>
      </c>
      <c r="CM55" s="22">
        <f t="shared" si="121"/>
        <v>4.3590272477556358</v>
      </c>
      <c r="CN55" s="22">
        <f t="shared" si="121"/>
        <v>5.1098993247008488</v>
      </c>
      <c r="CO55" s="22">
        <f t="shared" si="121"/>
        <v>5.3184840737327619</v>
      </c>
      <c r="CP55" s="22">
        <f t="shared" si="121"/>
        <v>5.5841188685756968</v>
      </c>
      <c r="CR55" s="83">
        <f t="shared" si="110"/>
        <v>-40.369638541612176</v>
      </c>
      <c r="CS55" s="84">
        <f t="shared" si="111"/>
        <v>14.544834816870642</v>
      </c>
      <c r="CT55" s="84">
        <f t="shared" si="112"/>
        <v>-25.824803724741535</v>
      </c>
    </row>
    <row r="56" spans="1:98" x14ac:dyDescent="0.2">
      <c r="A56" s="18" t="str">
        <f t="shared" si="68"/>
        <v xml:space="preserve"> 42 Secretarial and related occupations</v>
      </c>
      <c r="B56" s="22">
        <f t="shared" si="113"/>
        <v>0.16807824276081765</v>
      </c>
      <c r="C56" s="22">
        <f t="shared" si="113"/>
        <v>0.23869559081950562</v>
      </c>
      <c r="D56" s="22">
        <f t="shared" si="113"/>
        <v>0.34122941733574003</v>
      </c>
      <c r="E56" s="22">
        <f t="shared" si="113"/>
        <v>0.32015011116636372</v>
      </c>
      <c r="F56" s="22">
        <f t="shared" si="113"/>
        <v>0.31326156522673199</v>
      </c>
      <c r="H56" s="83">
        <f t="shared" si="78"/>
        <v>30.859695345890614</v>
      </c>
      <c r="I56" s="84">
        <f t="shared" si="79"/>
        <v>44.21683734542394</v>
      </c>
      <c r="J56" s="84">
        <f t="shared" si="80"/>
        <v>75.076532691314554</v>
      </c>
      <c r="L56" s="18" t="str">
        <f t="shared" si="81"/>
        <v xml:space="preserve"> 42 Secretarial and related occupations</v>
      </c>
      <c r="M56" s="22">
        <f t="shared" si="114"/>
        <v>0.7653917831117143</v>
      </c>
      <c r="N56" s="22">
        <f t="shared" si="114"/>
        <v>0.92685442014614461</v>
      </c>
      <c r="O56" s="22">
        <f t="shared" si="114"/>
        <v>0.90531291150333748</v>
      </c>
      <c r="P56" s="22">
        <f t="shared" si="114"/>
        <v>0.76077625749148226</v>
      </c>
      <c r="Q56" s="22">
        <f t="shared" si="114"/>
        <v>0.70094896446874877</v>
      </c>
      <c r="S56" s="83">
        <f t="shared" si="82"/>
        <v>7.3023696316151341</v>
      </c>
      <c r="T56" s="84">
        <f t="shared" si="83"/>
        <v>36.026780684082084</v>
      </c>
      <c r="U56" s="84">
        <f t="shared" si="84"/>
        <v>43.32915031569722</v>
      </c>
      <c r="W56" s="18" t="str">
        <f t="shared" si="85"/>
        <v xml:space="preserve"> 42 Secretarial and related occupations</v>
      </c>
      <c r="X56" s="22">
        <f t="shared" si="115"/>
        <v>1.8385302517294038</v>
      </c>
      <c r="Y56" s="22">
        <f t="shared" si="115"/>
        <v>1.8294090646306356</v>
      </c>
      <c r="Z56" s="22">
        <f t="shared" si="115"/>
        <v>1.6469443475763887</v>
      </c>
      <c r="AA56" s="22">
        <f t="shared" si="115"/>
        <v>1.4553465658779765</v>
      </c>
      <c r="AB56" s="22">
        <f t="shared" si="115"/>
        <v>1.4268919714532402</v>
      </c>
      <c r="AD56" s="83">
        <f t="shared" si="86"/>
        <v>14.197809196511635</v>
      </c>
      <c r="AE56" s="84">
        <f t="shared" si="87"/>
        <v>47.373866651634188</v>
      </c>
      <c r="AF56" s="84">
        <f t="shared" si="88"/>
        <v>61.571675848145823</v>
      </c>
      <c r="AH56" s="18" t="str">
        <f t="shared" si="89"/>
        <v xml:space="preserve"> 42 Secretarial and related occupations</v>
      </c>
      <c r="AI56" s="22">
        <f t="shared" si="116"/>
        <v>2.2061122086109792</v>
      </c>
      <c r="AJ56" s="22">
        <f t="shared" si="116"/>
        <v>2.2042805671799193</v>
      </c>
      <c r="AK56" s="22">
        <f t="shared" si="116"/>
        <v>2.0393484597887275</v>
      </c>
      <c r="AL56" s="22">
        <f t="shared" si="116"/>
        <v>1.9157283677731074</v>
      </c>
      <c r="AM56" s="22">
        <f t="shared" si="116"/>
        <v>1.9634695241855737</v>
      </c>
      <c r="AO56" s="83">
        <f t="shared" si="90"/>
        <v>0.34257079009974284</v>
      </c>
      <c r="AP56" s="84">
        <f t="shared" si="91"/>
        <v>42.530470651665517</v>
      </c>
      <c r="AQ56" s="84">
        <f t="shared" si="92"/>
        <v>42.873041441765253</v>
      </c>
      <c r="AS56" s="18" t="str">
        <f t="shared" si="93"/>
        <v xml:space="preserve"> 42 Secretarial and related occupations</v>
      </c>
      <c r="AT56" s="22">
        <f t="shared" si="117"/>
        <v>2.6011912997344933</v>
      </c>
      <c r="AU56" s="22">
        <f t="shared" si="117"/>
        <v>2.3486736321208883</v>
      </c>
      <c r="AV56" s="22">
        <f t="shared" si="117"/>
        <v>1.7958543548061316</v>
      </c>
      <c r="AW56" s="22">
        <f t="shared" si="117"/>
        <v>1.3686794399243105</v>
      </c>
      <c r="AX56" s="22">
        <f t="shared" si="117"/>
        <v>1.1958973194893756</v>
      </c>
      <c r="AZ56" s="83">
        <f t="shared" si="94"/>
        <v>-15.299378372211617</v>
      </c>
      <c r="BA56" s="84">
        <f t="shared" si="95"/>
        <v>35.887272750281049</v>
      </c>
      <c r="BB56" s="84">
        <f t="shared" si="96"/>
        <v>20.587894378069429</v>
      </c>
      <c r="BD56" s="18" t="str">
        <f t="shared" si="97"/>
        <v xml:space="preserve"> 42 Secretarial and related occupations</v>
      </c>
      <c r="BE56" s="22">
        <f t="shared" si="118"/>
        <v>2.5827681336145027</v>
      </c>
      <c r="BF56" s="22">
        <f t="shared" si="118"/>
        <v>2.5192369350035158</v>
      </c>
      <c r="BG56" s="22">
        <f t="shared" si="118"/>
        <v>2.1160297296997399</v>
      </c>
      <c r="BH56" s="22">
        <f t="shared" si="118"/>
        <v>1.6089860285221493</v>
      </c>
      <c r="BI56" s="22">
        <f t="shared" si="118"/>
        <v>1.242103271574879</v>
      </c>
      <c r="BK56" s="83">
        <f t="shared" si="98"/>
        <v>-41.865429647122674</v>
      </c>
      <c r="BL56" s="84">
        <f t="shared" si="99"/>
        <v>24.970466390534252</v>
      </c>
      <c r="BM56" s="84">
        <f t="shared" si="100"/>
        <v>-16.894963256588422</v>
      </c>
      <c r="BO56" s="18" t="str">
        <f t="shared" si="101"/>
        <v xml:space="preserve"> 42 Secretarial and related occupations</v>
      </c>
      <c r="BP56" s="22">
        <f t="shared" si="119"/>
        <v>3.820447687886209</v>
      </c>
      <c r="BQ56" s="22">
        <f t="shared" si="119"/>
        <v>3.2036888262638659</v>
      </c>
      <c r="BR56" s="22">
        <f t="shared" si="119"/>
        <v>2.3838600895161401</v>
      </c>
      <c r="BS56" s="22">
        <f t="shared" si="119"/>
        <v>1.7458071850967298</v>
      </c>
      <c r="BT56" s="22">
        <f t="shared" si="119"/>
        <v>0.84662117320407348</v>
      </c>
      <c r="BV56" s="83">
        <f t="shared" si="102"/>
        <v>-68.839858006777987</v>
      </c>
      <c r="BW56" s="84">
        <f t="shared" si="103"/>
        <v>20.985782635815198</v>
      </c>
      <c r="BX56" s="84">
        <f t="shared" si="104"/>
        <v>-47.854075370962789</v>
      </c>
      <c r="BZ56" s="18" t="str">
        <f t="shared" si="105"/>
        <v xml:space="preserve"> 42 Secretarial and related occupations</v>
      </c>
      <c r="CA56" s="22">
        <f t="shared" si="120"/>
        <v>4.0779321728652818</v>
      </c>
      <c r="CB56" s="22">
        <f t="shared" si="120"/>
        <v>3.8608271528226852</v>
      </c>
      <c r="CC56" s="22">
        <f t="shared" si="120"/>
        <v>3.8051079153789855</v>
      </c>
      <c r="CD56" s="22">
        <f t="shared" si="120"/>
        <v>2.6660361437948592</v>
      </c>
      <c r="CE56" s="22">
        <f t="shared" si="120"/>
        <v>1.2228247966553312</v>
      </c>
      <c r="CF56" s="286"/>
      <c r="CG56" s="83">
        <f t="shared" si="106"/>
        <v>-76.288529356132386</v>
      </c>
      <c r="CH56" s="84">
        <f t="shared" si="107"/>
        <v>15.233655496901582</v>
      </c>
      <c r="CI56" s="84">
        <f t="shared" si="108"/>
        <v>-61.054873859230796</v>
      </c>
      <c r="CK56" s="18" t="str">
        <f t="shared" si="109"/>
        <v xml:space="preserve"> 42 Secretarial and related occupations</v>
      </c>
      <c r="CL56" s="22">
        <f t="shared" si="121"/>
        <v>1.5638955848240685</v>
      </c>
      <c r="CM56" s="22">
        <f t="shared" si="121"/>
        <v>1.7471720942234086</v>
      </c>
      <c r="CN56" s="22">
        <f t="shared" si="121"/>
        <v>2.3013059733165466</v>
      </c>
      <c r="CO56" s="22">
        <f t="shared" si="121"/>
        <v>2.4276576533667571</v>
      </c>
      <c r="CP56" s="22">
        <f t="shared" si="121"/>
        <v>2.4252817570733489</v>
      </c>
      <c r="CR56" s="83">
        <f t="shared" si="110"/>
        <v>-42.494025631651596</v>
      </c>
      <c r="CS56" s="84">
        <f t="shared" si="111"/>
        <v>19.017825728234573</v>
      </c>
      <c r="CT56" s="84">
        <f t="shared" si="112"/>
        <v>-23.476199903417022</v>
      </c>
    </row>
    <row r="57" spans="1:98" x14ac:dyDescent="0.2">
      <c r="A57" s="18" t="str">
        <f t="shared" si="68"/>
        <v xml:space="preserve"> 51 Skilled agricultural and related trades</v>
      </c>
      <c r="B57" s="22">
        <f t="shared" si="113"/>
        <v>7.6416249837955672E-3</v>
      </c>
      <c r="C57" s="22">
        <f t="shared" si="113"/>
        <v>0.66182355364865997</v>
      </c>
      <c r="D57" s="22">
        <f t="shared" si="113"/>
        <v>1.0240654793538591</v>
      </c>
      <c r="E57" s="22">
        <f t="shared" si="113"/>
        <v>1.1084064764150381</v>
      </c>
      <c r="F57" s="22">
        <f t="shared" si="113"/>
        <v>1.1942930448721951</v>
      </c>
      <c r="H57" s="83">
        <f t="shared" si="78"/>
        <v>66.237283125887132</v>
      </c>
      <c r="I57" s="84">
        <f t="shared" si="79"/>
        <v>54.533008731641118</v>
      </c>
      <c r="J57" s="84">
        <f t="shared" si="80"/>
        <v>120.77029185752825</v>
      </c>
      <c r="L57" s="18" t="str">
        <f t="shared" si="81"/>
        <v xml:space="preserve"> 51 Skilled agricultural and related trades</v>
      </c>
      <c r="M57" s="22">
        <f t="shared" si="114"/>
        <v>0.43359499468123858</v>
      </c>
      <c r="N57" s="22">
        <f t="shared" si="114"/>
        <v>0.42913423748424617</v>
      </c>
      <c r="O57" s="22">
        <f t="shared" si="114"/>
        <v>0.52705802969113658</v>
      </c>
      <c r="P57" s="22">
        <f t="shared" si="114"/>
        <v>0.42839810486926405</v>
      </c>
      <c r="Q57" s="22">
        <f t="shared" si="114"/>
        <v>0.43606161134475474</v>
      </c>
      <c r="S57" s="83">
        <f t="shared" si="82"/>
        <v>14.659765652023898</v>
      </c>
      <c r="T57" s="84">
        <f t="shared" si="83"/>
        <v>26.325152358076092</v>
      </c>
      <c r="U57" s="84">
        <f t="shared" si="84"/>
        <v>40.984918010099989</v>
      </c>
      <c r="W57" s="18" t="str">
        <f t="shared" si="85"/>
        <v xml:space="preserve"> 51 Skilled agricultural and related trades</v>
      </c>
      <c r="X57" s="22">
        <f t="shared" si="115"/>
        <v>1.2689196182377382</v>
      </c>
      <c r="Y57" s="22">
        <f t="shared" si="115"/>
        <v>1.4770462877428348</v>
      </c>
      <c r="Z57" s="22">
        <f t="shared" si="115"/>
        <v>2.2352298442862795</v>
      </c>
      <c r="AA57" s="22">
        <f t="shared" si="115"/>
        <v>2.3723129704673562</v>
      </c>
      <c r="AB57" s="22">
        <f t="shared" si="115"/>
        <v>2.4793332943978803</v>
      </c>
      <c r="AD57" s="83">
        <f t="shared" si="86"/>
        <v>46.203687740230166</v>
      </c>
      <c r="AE57" s="84">
        <f t="shared" si="87"/>
        <v>53.7943692336504</v>
      </c>
      <c r="AF57" s="84">
        <f t="shared" si="88"/>
        <v>99.998056973880566</v>
      </c>
      <c r="AH57" s="18" t="str">
        <f t="shared" si="89"/>
        <v xml:space="preserve"> 51 Skilled agricultural and related trades</v>
      </c>
      <c r="AI57" s="22">
        <f t="shared" si="116"/>
        <v>1.5899668911292613</v>
      </c>
      <c r="AJ57" s="22">
        <f t="shared" si="116"/>
        <v>1.7721165302105959</v>
      </c>
      <c r="AK57" s="22">
        <f t="shared" si="116"/>
        <v>2.9238426951267269</v>
      </c>
      <c r="AL57" s="22">
        <f t="shared" si="116"/>
        <v>3.5765313010457165</v>
      </c>
      <c r="AM57" s="22">
        <f t="shared" si="116"/>
        <v>4.0672546389543047</v>
      </c>
      <c r="AO57" s="83">
        <f t="shared" si="90"/>
        <v>44.977249994695754</v>
      </c>
      <c r="AP57" s="84">
        <f t="shared" si="91"/>
        <v>57.420082090331228</v>
      </c>
      <c r="AQ57" s="84">
        <f t="shared" si="92"/>
        <v>102.39733208502699</v>
      </c>
      <c r="AS57" s="18" t="str">
        <f t="shared" si="93"/>
        <v xml:space="preserve"> 51 Skilled agricultural and related trades</v>
      </c>
      <c r="AT57" s="22">
        <f t="shared" si="117"/>
        <v>2.8747216921212759</v>
      </c>
      <c r="AU57" s="22">
        <f t="shared" si="117"/>
        <v>3.3608008233573705</v>
      </c>
      <c r="AV57" s="22">
        <f t="shared" si="117"/>
        <v>5.0745646566446627</v>
      </c>
      <c r="AW57" s="22">
        <f t="shared" si="117"/>
        <v>5.1438472650285814</v>
      </c>
      <c r="AX57" s="22">
        <f t="shared" si="117"/>
        <v>5.3428953621541977</v>
      </c>
      <c r="AZ57" s="83">
        <f t="shared" si="94"/>
        <v>33.918845246454303</v>
      </c>
      <c r="BA57" s="84">
        <f t="shared" si="95"/>
        <v>47.752653848748913</v>
      </c>
      <c r="BB57" s="84">
        <f t="shared" si="96"/>
        <v>81.671499095203231</v>
      </c>
      <c r="BD57" s="18" t="str">
        <f t="shared" si="97"/>
        <v xml:space="preserve"> 51 Skilled agricultural and related trades</v>
      </c>
      <c r="BE57" s="22">
        <f t="shared" si="118"/>
        <v>1.627515259048808</v>
      </c>
      <c r="BF57" s="22">
        <f t="shared" si="118"/>
        <v>1.5220051650761848</v>
      </c>
      <c r="BG57" s="22">
        <f t="shared" si="118"/>
        <v>2.1491717168673485</v>
      </c>
      <c r="BH57" s="22">
        <f t="shared" si="118"/>
        <v>2.1090943888201341</v>
      </c>
      <c r="BI57" s="22">
        <f t="shared" si="118"/>
        <v>2.0598322141472183</v>
      </c>
      <c r="BK57" s="83">
        <f t="shared" si="98"/>
        <v>-5.0796664035160557</v>
      </c>
      <c r="BL57" s="84">
        <f t="shared" si="99"/>
        <v>32.725719877845364</v>
      </c>
      <c r="BM57" s="84">
        <f t="shared" si="100"/>
        <v>27.646053474329303</v>
      </c>
      <c r="BO57" s="18" t="str">
        <f t="shared" si="101"/>
        <v xml:space="preserve"> 51 Skilled agricultural and related trades</v>
      </c>
      <c r="BP57" s="22">
        <f t="shared" si="119"/>
        <v>1.8772800077989316</v>
      </c>
      <c r="BQ57" s="22">
        <f t="shared" si="119"/>
        <v>2.1512827953067024</v>
      </c>
      <c r="BR57" s="22">
        <f t="shared" si="119"/>
        <v>3.1540766649257068</v>
      </c>
      <c r="BS57" s="22">
        <f t="shared" si="119"/>
        <v>3.087008942305451</v>
      </c>
      <c r="BT57" s="22">
        <f t="shared" si="119"/>
        <v>3.1582425733405897</v>
      </c>
      <c r="BV57" s="83">
        <f t="shared" si="102"/>
        <v>-12.145440928405216</v>
      </c>
      <c r="BW57" s="84">
        <f t="shared" si="103"/>
        <v>32.863454388209419</v>
      </c>
      <c r="BX57" s="84">
        <f t="shared" si="104"/>
        <v>20.718013459804201</v>
      </c>
      <c r="BZ57" s="18" t="str">
        <f t="shared" si="105"/>
        <v xml:space="preserve"> 51 Skilled agricultural and related trades</v>
      </c>
      <c r="CA57" s="22">
        <f t="shared" si="120"/>
        <v>2.0112106316993077</v>
      </c>
      <c r="CB57" s="22">
        <f t="shared" si="120"/>
        <v>2.4796458390678171</v>
      </c>
      <c r="CC57" s="22">
        <f t="shared" si="120"/>
        <v>3.7559810983827013</v>
      </c>
      <c r="CD57" s="22">
        <f t="shared" si="120"/>
        <v>4.0542320105079162</v>
      </c>
      <c r="CE57" s="22">
        <f t="shared" si="120"/>
        <v>4.153371788417191</v>
      </c>
      <c r="CF57" s="286"/>
      <c r="CG57" s="83">
        <f t="shared" si="106"/>
        <v>-18.409678817817323</v>
      </c>
      <c r="CH57" s="84">
        <f t="shared" si="107"/>
        <v>26.859940828517757</v>
      </c>
      <c r="CI57" s="84">
        <f t="shared" si="108"/>
        <v>8.4502620107004347</v>
      </c>
      <c r="CK57" s="18" t="str">
        <f t="shared" si="109"/>
        <v xml:space="preserve"> 51 Skilled agricultural and related trades</v>
      </c>
      <c r="CL57" s="22">
        <f t="shared" si="121"/>
        <v>4.1039752557595817</v>
      </c>
      <c r="CM57" s="22">
        <f t="shared" si="121"/>
        <v>5.0129821135676265</v>
      </c>
      <c r="CN57" s="22">
        <f t="shared" si="121"/>
        <v>7.814134406958539</v>
      </c>
      <c r="CO57" s="22">
        <f t="shared" si="121"/>
        <v>8.2311685834490511</v>
      </c>
      <c r="CP57" s="22">
        <f t="shared" si="121"/>
        <v>6.8006762009803063</v>
      </c>
      <c r="CR57" s="83">
        <f t="shared" si="110"/>
        <v>-52.510636203137253</v>
      </c>
      <c r="CS57" s="84">
        <f t="shared" si="111"/>
        <v>14.598571322668368</v>
      </c>
      <c r="CT57" s="84">
        <f>IF(CN21&gt;0,(CT21/CN21)*100,0)</f>
        <v>-37.912064880468876</v>
      </c>
    </row>
    <row r="58" spans="1:98" x14ac:dyDescent="0.2">
      <c r="A58" s="18" t="str">
        <f t="shared" si="68"/>
        <v xml:space="preserve"> 52 Skilled metal, electrical and electronic trades</v>
      </c>
      <c r="B58" s="22">
        <f t="shared" si="113"/>
        <v>0.2620572347474846</v>
      </c>
      <c r="C58" s="22">
        <f t="shared" si="113"/>
        <v>0.25802119195736434</v>
      </c>
      <c r="D58" s="22">
        <f t="shared" si="113"/>
        <v>0.23153467842654124</v>
      </c>
      <c r="E58" s="22">
        <f t="shared" si="113"/>
        <v>0.26244635017142498</v>
      </c>
      <c r="F58" s="22">
        <f t="shared" si="113"/>
        <v>0.28922467374412408</v>
      </c>
      <c r="H58" s="83">
        <f t="shared" si="78"/>
        <v>78.059253560358457</v>
      </c>
      <c r="I58" s="84">
        <f t="shared" si="79"/>
        <v>32.561022693497328</v>
      </c>
      <c r="J58" s="84">
        <f t="shared" si="80"/>
        <v>110.62027625385578</v>
      </c>
      <c r="L58" s="18" t="str">
        <f t="shared" si="81"/>
        <v xml:space="preserve"> 52 Skilled metal, electrical and electronic trades</v>
      </c>
      <c r="M58" s="22">
        <f t="shared" si="114"/>
        <v>0.53155178289225868</v>
      </c>
      <c r="N58" s="22">
        <f t="shared" si="114"/>
        <v>0.81665215054481755</v>
      </c>
      <c r="O58" s="22">
        <f t="shared" si="114"/>
        <v>0.75988049042780692</v>
      </c>
      <c r="P58" s="22">
        <f t="shared" si="114"/>
        <v>0.81297180815075087</v>
      </c>
      <c r="Q58" s="22">
        <f t="shared" si="114"/>
        <v>0.83309974058686687</v>
      </c>
      <c r="S58" s="83">
        <f t="shared" si="82"/>
        <v>51.940423856566156</v>
      </c>
      <c r="T58" s="84">
        <f t="shared" si="83"/>
        <v>32.739774912007768</v>
      </c>
      <c r="U58" s="84">
        <f t="shared" si="84"/>
        <v>84.680198768573916</v>
      </c>
      <c r="W58" s="18" t="str">
        <f t="shared" si="85"/>
        <v xml:space="preserve"> 52 Skilled metal, electrical and electronic trades</v>
      </c>
      <c r="X58" s="22">
        <f t="shared" si="115"/>
        <v>1.3765707677216883</v>
      </c>
      <c r="Y58" s="22">
        <f t="shared" si="115"/>
        <v>1.2269938692530675</v>
      </c>
      <c r="Z58" s="22">
        <f t="shared" si="115"/>
        <v>1.1883605739685856</v>
      </c>
      <c r="AA58" s="22">
        <f t="shared" si="115"/>
        <v>1.2040852137091089</v>
      </c>
      <c r="AB58" s="22">
        <f t="shared" si="115"/>
        <v>1.2173322129458164</v>
      </c>
      <c r="AD58" s="83">
        <f t="shared" si="86"/>
        <v>35.022604689219378</v>
      </c>
      <c r="AE58" s="84">
        <f t="shared" si="87"/>
        <v>40.950385827417797</v>
      </c>
      <c r="AF58" s="84">
        <f t="shared" si="88"/>
        <v>75.972990516637168</v>
      </c>
      <c r="AH58" s="18" t="str">
        <f t="shared" si="89"/>
        <v xml:space="preserve"> 52 Skilled metal, electrical and electronic trades</v>
      </c>
      <c r="AI58" s="22">
        <f t="shared" si="116"/>
        <v>1.0135513508635532</v>
      </c>
      <c r="AJ58" s="22">
        <f t="shared" si="116"/>
        <v>1.1935753168412673</v>
      </c>
      <c r="AK58" s="22">
        <f t="shared" si="116"/>
        <v>1.3099633707406195</v>
      </c>
      <c r="AL58" s="22">
        <f t="shared" si="116"/>
        <v>1.4532188940432336</v>
      </c>
      <c r="AM58" s="22">
        <f t="shared" si="116"/>
        <v>1.5635321783064684</v>
      </c>
      <c r="AO58" s="83">
        <f t="shared" si="90"/>
        <v>24.394210925093756</v>
      </c>
      <c r="AP58" s="84">
        <f t="shared" si="91"/>
        <v>36.044389400734374</v>
      </c>
      <c r="AQ58" s="84">
        <f t="shared" si="92"/>
        <v>60.438600325828126</v>
      </c>
      <c r="AS58" s="18" t="str">
        <f t="shared" si="93"/>
        <v xml:space="preserve"> 52 Skilled metal, electrical and electronic trades</v>
      </c>
      <c r="AT58" s="22">
        <f t="shared" si="117"/>
        <v>7.4741788720613513</v>
      </c>
      <c r="AU58" s="22">
        <f t="shared" si="117"/>
        <v>6.8254111522178471</v>
      </c>
      <c r="AV58" s="22">
        <f t="shared" si="117"/>
        <v>6.8089764530392616</v>
      </c>
      <c r="AW58" s="22">
        <f t="shared" si="117"/>
        <v>6.7152895597647575</v>
      </c>
      <c r="AX58" s="22">
        <f t="shared" si="117"/>
        <v>6.6884269409506105</v>
      </c>
      <c r="AZ58" s="83">
        <f t="shared" si="94"/>
        <v>24.941286248349353</v>
      </c>
      <c r="BA58" s="84">
        <f t="shared" si="95"/>
        <v>36.054861731234752</v>
      </c>
      <c r="BB58" s="84">
        <f t="shared" si="96"/>
        <v>60.996147979584102</v>
      </c>
      <c r="BD58" s="18" t="str">
        <f t="shared" si="97"/>
        <v xml:space="preserve"> 52 Skilled metal, electrical and electronic trades</v>
      </c>
      <c r="BE58" s="22">
        <f t="shared" si="118"/>
        <v>9.232870413551618</v>
      </c>
      <c r="BF58" s="22">
        <f t="shared" si="118"/>
        <v>8.1708680463367891</v>
      </c>
      <c r="BG58" s="22">
        <f t="shared" si="118"/>
        <v>7.8203882359884886</v>
      </c>
      <c r="BH58" s="22">
        <f t="shared" si="118"/>
        <v>7.4244516501572395</v>
      </c>
      <c r="BI58" s="22">
        <f t="shared" si="118"/>
        <v>6.8454665808467681</v>
      </c>
      <c r="BK58" s="83">
        <f t="shared" si="98"/>
        <v>-13.309148753904848</v>
      </c>
      <c r="BL58" s="84">
        <f t="shared" si="99"/>
        <v>21.704157032109215</v>
      </c>
      <c r="BM58" s="84">
        <f t="shared" si="100"/>
        <v>8.3950082782043634</v>
      </c>
      <c r="BO58" s="18" t="str">
        <f t="shared" si="101"/>
        <v xml:space="preserve"> 52 Skilled metal, electrical and electronic trades</v>
      </c>
      <c r="BP58" s="22">
        <f t="shared" si="119"/>
        <v>4.8331907333617457</v>
      </c>
      <c r="BQ58" s="22">
        <f t="shared" si="119"/>
        <v>4.5912058618994864</v>
      </c>
      <c r="BR58" s="22">
        <f t="shared" si="119"/>
        <v>4.5953925043198725</v>
      </c>
      <c r="BS58" s="22">
        <f t="shared" si="119"/>
        <v>4.0954423691864692</v>
      </c>
      <c r="BT58" s="22">
        <f t="shared" si="119"/>
        <v>3.7917517886197656</v>
      </c>
      <c r="BV58" s="83">
        <f t="shared" si="102"/>
        <v>-27.605036413944035</v>
      </c>
      <c r="BW58" s="84">
        <f t="shared" si="103"/>
        <v>21.814881807180825</v>
      </c>
      <c r="BX58" s="84">
        <f t="shared" si="104"/>
        <v>-5.7901546067632079</v>
      </c>
      <c r="BZ58" s="18" t="str">
        <f t="shared" si="105"/>
        <v xml:space="preserve"> 52 Skilled metal, electrical and electronic trades</v>
      </c>
      <c r="CA58" s="22">
        <f t="shared" si="120"/>
        <v>3.8714952546044143</v>
      </c>
      <c r="CB58" s="22">
        <f t="shared" si="120"/>
        <v>3.5448157102353579</v>
      </c>
      <c r="CC58" s="22">
        <f t="shared" si="120"/>
        <v>3.3656370191531733</v>
      </c>
      <c r="CD58" s="22">
        <f t="shared" si="120"/>
        <v>3.4566617536345956</v>
      </c>
      <c r="CE58" s="22">
        <f t="shared" si="120"/>
        <v>3.3120102613409559</v>
      </c>
      <c r="CF58" s="286"/>
      <c r="CG58" s="83">
        <f t="shared" si="106"/>
        <v>-27.391806784502158</v>
      </c>
      <c r="CH58" s="84">
        <f t="shared" si="107"/>
        <v>20.640460301533249</v>
      </c>
      <c r="CI58" s="84">
        <f t="shared" si="108"/>
        <v>-6.7513464829689092</v>
      </c>
      <c r="CK58" s="18" t="str">
        <f t="shared" si="109"/>
        <v xml:space="preserve"> 52 Skilled metal, electrical and electronic trades</v>
      </c>
      <c r="CL58" s="22">
        <f t="shared" si="121"/>
        <v>3.4156259512369309</v>
      </c>
      <c r="CM58" s="22">
        <f t="shared" si="121"/>
        <v>3.3209964392288418</v>
      </c>
      <c r="CN58" s="22">
        <f t="shared" si="121"/>
        <v>3.1090378416658413</v>
      </c>
      <c r="CO58" s="22">
        <f t="shared" si="121"/>
        <v>2.9743055525097302</v>
      </c>
      <c r="CP58" s="22">
        <f t="shared" si="121"/>
        <v>2.6643044451132192</v>
      </c>
      <c r="CR58" s="83">
        <f t="shared" si="110"/>
        <v>-53.239088044671725</v>
      </c>
      <c r="CS58" s="84">
        <f t="shared" si="111"/>
        <v>12.746830639701241</v>
      </c>
      <c r="CT58" s="84">
        <f t="shared" si="112"/>
        <v>-40.492257404970488</v>
      </c>
    </row>
    <row r="59" spans="1:98" x14ac:dyDescent="0.2">
      <c r="A59" s="18" t="str">
        <f t="shared" si="68"/>
        <v xml:space="preserve"> 53 Skilled construction and building trades</v>
      </c>
      <c r="B59" s="22">
        <f t="shared" si="113"/>
        <v>6.9913674951088398E-2</v>
      </c>
      <c r="C59" s="22">
        <f t="shared" si="113"/>
        <v>7.70925355255839E-2</v>
      </c>
      <c r="D59" s="22">
        <f t="shared" si="113"/>
        <v>6.2669533000962133E-2</v>
      </c>
      <c r="E59" s="22">
        <f t="shared" si="113"/>
        <v>6.7170341697868036E-2</v>
      </c>
      <c r="F59" s="22">
        <f t="shared" si="113"/>
        <v>6.512777168474651E-2</v>
      </c>
      <c r="H59" s="83">
        <f t="shared" si="78"/>
        <v>48.134090941256368</v>
      </c>
      <c r="I59" s="84">
        <f t="shared" si="79"/>
        <v>29.074481110559979</v>
      </c>
      <c r="J59" s="84">
        <f t="shared" si="80"/>
        <v>77.208572051816361</v>
      </c>
      <c r="L59" s="18" t="str">
        <f t="shared" si="81"/>
        <v xml:space="preserve"> 53 Skilled construction and building trades</v>
      </c>
      <c r="M59" s="22">
        <f t="shared" si="114"/>
        <v>0.8055852131935598</v>
      </c>
      <c r="N59" s="22">
        <f t="shared" si="114"/>
        <v>0.3200946985255913</v>
      </c>
      <c r="O59" s="22">
        <f t="shared" si="114"/>
        <v>0.36138694760809598</v>
      </c>
      <c r="P59" s="22">
        <f t="shared" si="114"/>
        <v>0.45255359070096085</v>
      </c>
      <c r="Q59" s="22">
        <f t="shared" si="114"/>
        <v>0.49691943992685605</v>
      </c>
      <c r="S59" s="83">
        <f t="shared" si="82"/>
        <v>90.56149569566648</v>
      </c>
      <c r="T59" s="84">
        <f t="shared" si="83"/>
        <v>40.163657722152287</v>
      </c>
      <c r="U59" s="84">
        <f t="shared" si="84"/>
        <v>130.72515341781877</v>
      </c>
      <c r="W59" s="18" t="str">
        <f t="shared" si="85"/>
        <v xml:space="preserve"> 53 Skilled construction and building trades</v>
      </c>
      <c r="X59" s="22">
        <f t="shared" si="115"/>
        <v>0.871426596419975</v>
      </c>
      <c r="Y59" s="22">
        <f t="shared" si="115"/>
        <v>0.73416066927494528</v>
      </c>
      <c r="Z59" s="22">
        <f t="shared" si="115"/>
        <v>0.7033516549403086</v>
      </c>
      <c r="AA59" s="22">
        <f t="shared" si="115"/>
        <v>0.79470561385161997</v>
      </c>
      <c r="AB59" s="22">
        <f t="shared" si="115"/>
        <v>0.82434275936044321</v>
      </c>
      <c r="AD59" s="83">
        <f t="shared" si="86"/>
        <v>54.483078731712709</v>
      </c>
      <c r="AE59" s="84">
        <f t="shared" si="87"/>
        <v>46.84677619823232</v>
      </c>
      <c r="AF59" s="84">
        <f t="shared" si="88"/>
        <v>101.32985492994504</v>
      </c>
      <c r="AH59" s="18" t="str">
        <f t="shared" si="89"/>
        <v xml:space="preserve"> 53 Skilled construction and building trades</v>
      </c>
      <c r="AI59" s="22">
        <f t="shared" si="116"/>
        <v>1.1421850849729651</v>
      </c>
      <c r="AJ59" s="22">
        <f t="shared" si="116"/>
        <v>1.1148999301663889</v>
      </c>
      <c r="AK59" s="22">
        <f t="shared" si="116"/>
        <v>1.4448890416006186</v>
      </c>
      <c r="AL59" s="22">
        <f t="shared" si="116"/>
        <v>1.9704914957524127</v>
      </c>
      <c r="AM59" s="22">
        <f t="shared" si="116"/>
        <v>2.2235507674323203</v>
      </c>
      <c r="AO59" s="83">
        <f t="shared" si="90"/>
        <v>60.385480744332362</v>
      </c>
      <c r="AP59" s="84">
        <f t="shared" si="91"/>
        <v>51.886986450922755</v>
      </c>
      <c r="AQ59" s="84">
        <f t="shared" si="92"/>
        <v>112.27246719525512</v>
      </c>
      <c r="AS59" s="18" t="str">
        <f t="shared" si="93"/>
        <v xml:space="preserve"> 53 Skilled construction and building trades</v>
      </c>
      <c r="AT59" s="22">
        <f t="shared" si="117"/>
        <v>2.9081827922150376</v>
      </c>
      <c r="AU59" s="22">
        <f t="shared" si="117"/>
        <v>2.3050217841366551</v>
      </c>
      <c r="AV59" s="22">
        <f t="shared" si="117"/>
        <v>2.5851468556571509</v>
      </c>
      <c r="AW59" s="22">
        <f t="shared" si="117"/>
        <v>2.9611820309948556</v>
      </c>
      <c r="AX59" s="22">
        <f t="shared" si="117"/>
        <v>3.0662080301924721</v>
      </c>
      <c r="AZ59" s="83">
        <f t="shared" si="94"/>
        <v>50.862122912911204</v>
      </c>
      <c r="BA59" s="84">
        <f t="shared" si="95"/>
        <v>48.386204518833416</v>
      </c>
      <c r="BB59" s="84">
        <f t="shared" si="96"/>
        <v>99.248327431744627</v>
      </c>
      <c r="BD59" s="18" t="str">
        <f t="shared" si="97"/>
        <v xml:space="preserve"> 53 Skilled construction and building trades</v>
      </c>
      <c r="BE59" s="22">
        <f t="shared" si="118"/>
        <v>7.7627573917467831</v>
      </c>
      <c r="BF59" s="22">
        <f t="shared" si="118"/>
        <v>6.1036843321923104</v>
      </c>
      <c r="BG59" s="22">
        <f t="shared" si="118"/>
        <v>5.9067882312854048</v>
      </c>
      <c r="BH59" s="22">
        <f t="shared" si="118"/>
        <v>5.9823616697343933</v>
      </c>
      <c r="BI59" s="22">
        <f t="shared" si="118"/>
        <v>5.6943117638419327</v>
      </c>
      <c r="BK59" s="83">
        <f t="shared" si="98"/>
        <v>-4.5252858477007676</v>
      </c>
      <c r="BL59" s="84">
        <f t="shared" si="99"/>
        <v>24.523624254309105</v>
      </c>
      <c r="BM59" s="84">
        <f t="shared" si="100"/>
        <v>19.998338406608337</v>
      </c>
      <c r="BO59" s="18" t="str">
        <f t="shared" si="101"/>
        <v xml:space="preserve"> 53 Skilled construction and building trades</v>
      </c>
      <c r="BP59" s="22">
        <f t="shared" si="119"/>
        <v>5.160603488252451</v>
      </c>
      <c r="BQ59" s="22">
        <f t="shared" si="119"/>
        <v>4.5908033505932409</v>
      </c>
      <c r="BR59" s="22">
        <f t="shared" si="119"/>
        <v>5.5028279180888422</v>
      </c>
      <c r="BS59" s="22">
        <f t="shared" si="119"/>
        <v>6.0211898514700657</v>
      </c>
      <c r="BT59" s="22">
        <f t="shared" si="119"/>
        <v>6.417251073942019</v>
      </c>
      <c r="BV59" s="83">
        <f t="shared" si="102"/>
        <v>2.3184999686158667</v>
      </c>
      <c r="BW59" s="84">
        <f t="shared" si="103"/>
        <v>31.363935346006137</v>
      </c>
      <c r="BX59" s="84">
        <f t="shared" si="104"/>
        <v>33.682435314622005</v>
      </c>
      <c r="BZ59" s="18" t="str">
        <f t="shared" si="105"/>
        <v xml:space="preserve"> 53 Skilled construction and building trades</v>
      </c>
      <c r="CA59" s="22">
        <f t="shared" si="120"/>
        <v>3.9182582169961453</v>
      </c>
      <c r="CB59" s="22">
        <f t="shared" si="120"/>
        <v>3.8423555819474662</v>
      </c>
      <c r="CC59" s="22">
        <f t="shared" si="120"/>
        <v>4.1819040389811217</v>
      </c>
      <c r="CD59" s="22">
        <f t="shared" si="120"/>
        <v>5.065718954023378</v>
      </c>
      <c r="CE59" s="22">
        <f t="shared" si="120"/>
        <v>5.6932303999507026</v>
      </c>
      <c r="CF59" s="286"/>
      <c r="CG59" s="83">
        <f t="shared" si="106"/>
        <v>0.44907199916736668</v>
      </c>
      <c r="CH59" s="84">
        <f t="shared" si="107"/>
        <v>27.782449803407417</v>
      </c>
      <c r="CI59" s="84">
        <f t="shared" si="108"/>
        <v>28.231521802574782</v>
      </c>
      <c r="CK59" s="18" t="str">
        <f t="shared" si="109"/>
        <v xml:space="preserve"> 53 Skilled construction and building trades</v>
      </c>
      <c r="CL59" s="22">
        <f t="shared" si="121"/>
        <v>6.1070261171868339</v>
      </c>
      <c r="CM59" s="22">
        <f t="shared" si="121"/>
        <v>5.3245611850578394</v>
      </c>
      <c r="CN59" s="22">
        <f t="shared" si="121"/>
        <v>5.4029734548156014</v>
      </c>
      <c r="CO59" s="22">
        <f t="shared" si="121"/>
        <v>5.611965192640751</v>
      </c>
      <c r="CP59" s="22">
        <f t="shared" si="121"/>
        <v>4.4130215027596638</v>
      </c>
      <c r="CR59" s="83">
        <f t="shared" si="110"/>
        <v>-55.43146683151258</v>
      </c>
      <c r="CS59" s="84">
        <f t="shared" si="111"/>
        <v>12.530345502385629</v>
      </c>
      <c r="CT59" s="84">
        <f t="shared" si="112"/>
        <v>-42.901121329126951</v>
      </c>
    </row>
    <row r="60" spans="1:98" x14ac:dyDescent="0.2">
      <c r="A60" s="18" t="str">
        <f t="shared" si="68"/>
        <v xml:space="preserve"> 54 Textiles, printing and other skilled trades</v>
      </c>
      <c r="B60" s="22">
        <f t="shared" si="113"/>
        <v>9.3616366020685543E-2</v>
      </c>
      <c r="C60" s="22">
        <f t="shared" si="113"/>
        <v>0.51927773658932752</v>
      </c>
      <c r="D60" s="22">
        <f t="shared" si="113"/>
        <v>0.48306317713193148</v>
      </c>
      <c r="E60" s="22">
        <f t="shared" si="113"/>
        <v>0.51106756664834252</v>
      </c>
      <c r="F60" s="22">
        <f t="shared" si="113"/>
        <v>0.51631639642241511</v>
      </c>
      <c r="H60" s="83">
        <f t="shared" si="78"/>
        <v>52.355185198558182</v>
      </c>
      <c r="I60" s="84">
        <f t="shared" si="79"/>
        <v>34.257702111293021</v>
      </c>
      <c r="J60" s="84">
        <f t="shared" si="80"/>
        <v>86.612887309851203</v>
      </c>
      <c r="L60" s="18" t="str">
        <f t="shared" si="81"/>
        <v xml:space="preserve"> 54 Textiles, printing and other skilled trades</v>
      </c>
      <c r="M60" s="22">
        <f t="shared" si="114"/>
        <v>0.72078877117275719</v>
      </c>
      <c r="N60" s="22">
        <f t="shared" si="114"/>
        <v>0.72322527111879986</v>
      </c>
      <c r="O60" s="22">
        <f t="shared" si="114"/>
        <v>0.75312859509398833</v>
      </c>
      <c r="P60" s="22">
        <f t="shared" si="114"/>
        <v>0.80082283855961967</v>
      </c>
      <c r="Q60" s="22">
        <f t="shared" si="114"/>
        <v>0.79117874530394117</v>
      </c>
      <c r="S60" s="83">
        <f t="shared" si="82"/>
        <v>45.588510525271552</v>
      </c>
      <c r="T60" s="84">
        <f t="shared" si="83"/>
        <v>37.265485600524599</v>
      </c>
      <c r="U60" s="84">
        <f t="shared" si="84"/>
        <v>82.853996125796144</v>
      </c>
      <c r="W60" s="18" t="str">
        <f t="shared" si="85"/>
        <v xml:space="preserve"> 54 Textiles, printing and other skilled trades</v>
      </c>
      <c r="X60" s="22">
        <f t="shared" si="115"/>
        <v>1.1102499625003615</v>
      </c>
      <c r="Y60" s="22">
        <f t="shared" si="115"/>
        <v>1.2827472209292334</v>
      </c>
      <c r="Z60" s="22">
        <f t="shared" si="115"/>
        <v>1.2862189486784226</v>
      </c>
      <c r="AA60" s="22">
        <f t="shared" si="115"/>
        <v>1.3769299423062547</v>
      </c>
      <c r="AB60" s="22">
        <f t="shared" si="115"/>
        <v>1.3774455357515818</v>
      </c>
      <c r="AD60" s="83">
        <f t="shared" si="86"/>
        <v>41.15788237157777</v>
      </c>
      <c r="AE60" s="84">
        <f t="shared" si="87"/>
        <v>46.458526614526804</v>
      </c>
      <c r="AF60" s="84">
        <f t="shared" si="88"/>
        <v>87.616408986104574</v>
      </c>
      <c r="AH60" s="18" t="str">
        <f t="shared" si="89"/>
        <v xml:space="preserve"> 54 Textiles, printing and other skilled trades</v>
      </c>
      <c r="AI60" s="22">
        <f t="shared" si="116"/>
        <v>1.3269925768026734</v>
      </c>
      <c r="AJ60" s="22">
        <f t="shared" si="116"/>
        <v>1.2751870529726055</v>
      </c>
      <c r="AK60" s="22">
        <f t="shared" si="116"/>
        <v>1.3158440934753453</v>
      </c>
      <c r="AL60" s="22">
        <f t="shared" si="116"/>
        <v>1.4613854823576153</v>
      </c>
      <c r="AM60" s="22">
        <f t="shared" si="116"/>
        <v>1.5095320949986235</v>
      </c>
      <c r="AO60" s="83">
        <f t="shared" si="90"/>
        <v>19.561240896407714</v>
      </c>
      <c r="AP60" s="84">
        <f t="shared" si="91"/>
        <v>42.232133121951627</v>
      </c>
      <c r="AQ60" s="84">
        <f t="shared" si="92"/>
        <v>61.793374018359351</v>
      </c>
      <c r="AS60" s="18" t="str">
        <f t="shared" si="93"/>
        <v xml:space="preserve"> 54 Textiles, printing and other skilled trades</v>
      </c>
      <c r="AT60" s="22">
        <f t="shared" si="117"/>
        <v>1.7360195887632424</v>
      </c>
      <c r="AU60" s="22">
        <f t="shared" si="117"/>
        <v>1.9072443000035915</v>
      </c>
      <c r="AV60" s="22">
        <f t="shared" si="117"/>
        <v>1.9147702478159525</v>
      </c>
      <c r="AW60" s="22">
        <f t="shared" si="117"/>
        <v>1.9266435596118447</v>
      </c>
      <c r="AX60" s="22">
        <f t="shared" si="117"/>
        <v>1.8930781231390141</v>
      </c>
      <c r="AZ60" s="83">
        <f t="shared" si="94"/>
        <v>25.752226560962875</v>
      </c>
      <c r="BA60" s="84">
        <f t="shared" si="95"/>
        <v>39.942821508291857</v>
      </c>
      <c r="BB60" s="84">
        <f t="shared" si="96"/>
        <v>65.695048069254739</v>
      </c>
      <c r="BD60" s="18" t="str">
        <f t="shared" si="97"/>
        <v xml:space="preserve"> 54 Textiles, printing and other skilled trades</v>
      </c>
      <c r="BE60" s="22">
        <f t="shared" si="118"/>
        <v>3.3405927516701781</v>
      </c>
      <c r="BF60" s="22">
        <f t="shared" si="118"/>
        <v>3.5406670244593723</v>
      </c>
      <c r="BG60" s="22">
        <f t="shared" si="118"/>
        <v>3.4007508276416645</v>
      </c>
      <c r="BH60" s="22">
        <f t="shared" si="118"/>
        <v>3.5144350446086139</v>
      </c>
      <c r="BI60" s="22">
        <f t="shared" si="118"/>
        <v>3.4620827824039866</v>
      </c>
      <c r="BK60" s="83">
        <f t="shared" si="98"/>
        <v>0.8233590361676334</v>
      </c>
      <c r="BL60" s="84">
        <f t="shared" si="99"/>
        <v>26.673598522913817</v>
      </c>
      <c r="BM60" s="84">
        <f t="shared" si="100"/>
        <v>27.496957559081448</v>
      </c>
      <c r="BO60" s="18" t="str">
        <f t="shared" si="101"/>
        <v xml:space="preserve"> 54 Textiles, printing and other skilled trades</v>
      </c>
      <c r="BP60" s="22">
        <f t="shared" si="119"/>
        <v>3.1474511282943674</v>
      </c>
      <c r="BQ60" s="22">
        <f t="shared" si="119"/>
        <v>3.7828615094442575</v>
      </c>
      <c r="BR60" s="22">
        <f t="shared" si="119"/>
        <v>3.6464677610435445</v>
      </c>
      <c r="BS60" s="22">
        <f t="shared" si="119"/>
        <v>3.1932114264332832</v>
      </c>
      <c r="BT60" s="22">
        <f t="shared" si="119"/>
        <v>2.6434247572830767</v>
      </c>
      <c r="BV60" s="83">
        <f t="shared" si="102"/>
        <v>-36.395822619395069</v>
      </c>
      <c r="BW60" s="84">
        <f t="shared" si="103"/>
        <v>21.455537481974922</v>
      </c>
      <c r="BX60" s="84">
        <f t="shared" si="104"/>
        <v>-14.940285137420146</v>
      </c>
      <c r="BZ60" s="18" t="str">
        <f t="shared" si="105"/>
        <v xml:space="preserve"> 54 Textiles, printing and other skilled trades</v>
      </c>
      <c r="CA60" s="22">
        <f t="shared" si="120"/>
        <v>3.5957010605382984</v>
      </c>
      <c r="CB60" s="22">
        <f t="shared" si="120"/>
        <v>4.498037042184313</v>
      </c>
      <c r="CC60" s="22">
        <f t="shared" si="120"/>
        <v>4.7826165036259924</v>
      </c>
      <c r="CD60" s="22">
        <f t="shared" si="120"/>
        <v>5.1017300254621096</v>
      </c>
      <c r="CE60" s="22">
        <f t="shared" si="120"/>
        <v>5.2573241232009451</v>
      </c>
      <c r="CF60" s="286"/>
      <c r="CG60" s="83">
        <f t="shared" si="106"/>
        <v>-18.892609883959533</v>
      </c>
      <c r="CH60" s="84">
        <f t="shared" si="107"/>
        <v>21.497566478832692</v>
      </c>
      <c r="CI60" s="84">
        <f t="shared" si="108"/>
        <v>2.6049565948731588</v>
      </c>
      <c r="CK60" s="18" t="str">
        <f t="shared" si="109"/>
        <v xml:space="preserve"> 54 Textiles, printing and other skilled trades</v>
      </c>
      <c r="CL60" s="22">
        <f t="shared" si="121"/>
        <v>4.0415069163901327</v>
      </c>
      <c r="CM60" s="22">
        <f t="shared" si="121"/>
        <v>4.9253731287928622</v>
      </c>
      <c r="CN60" s="22">
        <f t="shared" si="121"/>
        <v>5.1671830049805942</v>
      </c>
      <c r="CO60" s="22">
        <f t="shared" si="121"/>
        <v>5.4606846934966953</v>
      </c>
      <c r="CP60" s="22">
        <f t="shared" si="121"/>
        <v>4.0457658314772704</v>
      </c>
      <c r="CR60" s="83">
        <f t="shared" si="110"/>
        <v>-57.275987815272941</v>
      </c>
      <c r="CS60" s="84">
        <f t="shared" si="111"/>
        <v>12.830629452923212</v>
      </c>
      <c r="CT60" s="84">
        <f t="shared" si="112"/>
        <v>-44.445358362349729</v>
      </c>
    </row>
    <row r="61" spans="1:98" x14ac:dyDescent="0.2">
      <c r="A61" s="18" t="str">
        <f t="shared" si="68"/>
        <v xml:space="preserve"> 61 Caring personal service occupations</v>
      </c>
      <c r="B61" s="22">
        <f t="shared" si="113"/>
        <v>0.7066080485669215</v>
      </c>
      <c r="C61" s="22">
        <f t="shared" si="113"/>
        <v>0.33611899525869376</v>
      </c>
      <c r="D61" s="22">
        <f t="shared" si="113"/>
        <v>0.38505958186970657</v>
      </c>
      <c r="E61" s="22">
        <f t="shared" si="113"/>
        <v>0.42357776449621876</v>
      </c>
      <c r="F61" s="22">
        <f t="shared" si="113"/>
        <v>0.43043023226043636</v>
      </c>
      <c r="H61" s="83">
        <f t="shared" si="78"/>
        <v>59.338266640019</v>
      </c>
      <c r="I61" s="84">
        <f t="shared" si="79"/>
        <v>43.626707622995831</v>
      </c>
      <c r="J61" s="84">
        <f t="shared" si="80"/>
        <v>102.96497426301482</v>
      </c>
      <c r="L61" s="18" t="str">
        <f t="shared" si="81"/>
        <v xml:space="preserve"> 61 Caring personal service occupations</v>
      </c>
      <c r="M61" s="22">
        <f t="shared" si="114"/>
        <v>2.4986468563680488</v>
      </c>
      <c r="N61" s="22">
        <f t="shared" si="114"/>
        <v>2.5509775209611858</v>
      </c>
      <c r="O61" s="22">
        <f t="shared" si="114"/>
        <v>2.8567273524354673</v>
      </c>
      <c r="P61" s="22">
        <f t="shared" si="114"/>
        <v>3.2632386354684422</v>
      </c>
      <c r="Q61" s="22">
        <f t="shared" si="114"/>
        <v>3.4413338805448639</v>
      </c>
      <c r="S61" s="83">
        <f t="shared" si="82"/>
        <v>66.947394618208961</v>
      </c>
      <c r="T61" s="84">
        <f t="shared" si="83"/>
        <v>47.732853974108949</v>
      </c>
      <c r="U61" s="84">
        <f t="shared" si="84"/>
        <v>114.68024859231789</v>
      </c>
      <c r="W61" s="18" t="str">
        <f t="shared" si="85"/>
        <v xml:space="preserve"> 61 Caring personal service occupations</v>
      </c>
      <c r="X61" s="22">
        <f t="shared" si="115"/>
        <v>3.9757545201078068</v>
      </c>
      <c r="Y61" s="22">
        <f t="shared" si="115"/>
        <v>4.4294916372721644</v>
      </c>
      <c r="Z61" s="22">
        <f t="shared" si="115"/>
        <v>4.9100725683546651</v>
      </c>
      <c r="AA61" s="22">
        <f t="shared" si="115"/>
        <v>5.5297872315810324</v>
      </c>
      <c r="AB61" s="22">
        <f t="shared" si="115"/>
        <v>5.4661315539672755</v>
      </c>
      <c r="AD61" s="83">
        <f t="shared" si="86"/>
        <v>46.736369903585</v>
      </c>
      <c r="AE61" s="84">
        <f t="shared" si="87"/>
        <v>59.892132927382768</v>
      </c>
      <c r="AF61" s="84">
        <f t="shared" si="88"/>
        <v>106.62850283096776</v>
      </c>
      <c r="AH61" s="18" t="str">
        <f t="shared" si="89"/>
        <v xml:space="preserve"> 61 Caring personal service occupations</v>
      </c>
      <c r="AI61" s="22">
        <f t="shared" si="116"/>
        <v>9.6557055639880698</v>
      </c>
      <c r="AJ61" s="22">
        <f t="shared" si="116"/>
        <v>11.50973257840278</v>
      </c>
      <c r="AK61" s="22">
        <f t="shared" si="116"/>
        <v>13.088108802971682</v>
      </c>
      <c r="AL61" s="22">
        <f t="shared" si="116"/>
        <v>14.584382748714575</v>
      </c>
      <c r="AM61" s="22">
        <f t="shared" si="116"/>
        <v>14.831359782965853</v>
      </c>
      <c r="AO61" s="83">
        <f t="shared" si="90"/>
        <v>18.101814886855156</v>
      </c>
      <c r="AP61" s="84">
        <f t="shared" si="91"/>
        <v>46.385752047200008</v>
      </c>
      <c r="AQ61" s="84">
        <f t="shared" si="92"/>
        <v>64.487566934055167</v>
      </c>
      <c r="AS61" s="18" t="str">
        <f t="shared" si="93"/>
        <v xml:space="preserve"> 61 Caring personal service occupations</v>
      </c>
      <c r="AT61" s="22">
        <f t="shared" si="117"/>
        <v>5.9900844708872993</v>
      </c>
      <c r="AU61" s="22">
        <f t="shared" si="117"/>
        <v>7.8193491272447107</v>
      </c>
      <c r="AV61" s="22">
        <f t="shared" si="117"/>
        <v>8.6788854456537887</v>
      </c>
      <c r="AW61" s="22">
        <f t="shared" si="117"/>
        <v>9.3435501143948265</v>
      </c>
      <c r="AX61" s="22">
        <f t="shared" si="117"/>
        <v>9.1022113885616971</v>
      </c>
      <c r="AZ61" s="83">
        <f t="shared" si="94"/>
        <v>33.397219881858433</v>
      </c>
      <c r="BA61" s="84">
        <f t="shared" si="95"/>
        <v>52.504478548125768</v>
      </c>
      <c r="BB61" s="84">
        <f t="shared" si="96"/>
        <v>85.901698429984194</v>
      </c>
      <c r="BD61" s="18" t="str">
        <f t="shared" si="97"/>
        <v xml:space="preserve"> 61 Caring personal service occupations</v>
      </c>
      <c r="BE61" s="22">
        <f t="shared" si="118"/>
        <v>9.1513116737184017</v>
      </c>
      <c r="BF61" s="22">
        <f t="shared" si="118"/>
        <v>12.175681032823849</v>
      </c>
      <c r="BG61" s="22">
        <f t="shared" si="118"/>
        <v>15.598237516774255</v>
      </c>
      <c r="BH61" s="22">
        <f t="shared" si="118"/>
        <v>17.2824549939196</v>
      </c>
      <c r="BI61" s="22">
        <f t="shared" si="118"/>
        <v>19.501245216357788</v>
      </c>
      <c r="BK61" s="83">
        <f t="shared" si="98"/>
        <v>23.818443651273675</v>
      </c>
      <c r="BL61" s="84">
        <f t="shared" si="99"/>
        <v>40.840026905475582</v>
      </c>
      <c r="BM61" s="84">
        <f t="shared" si="100"/>
        <v>64.658470556749265</v>
      </c>
      <c r="BO61" s="18" t="str">
        <f t="shared" si="101"/>
        <v xml:space="preserve"> 61 Caring personal service occupations</v>
      </c>
      <c r="BP61" s="22">
        <f t="shared" si="119"/>
        <v>9.2093143510222539</v>
      </c>
      <c r="BQ61" s="22">
        <f t="shared" si="119"/>
        <v>10.610518061730879</v>
      </c>
      <c r="BR61" s="22">
        <f t="shared" si="119"/>
        <v>12.054159368857972</v>
      </c>
      <c r="BS61" s="22">
        <f t="shared" si="119"/>
        <v>12.878488441908784</v>
      </c>
      <c r="BT61" s="22">
        <f t="shared" si="119"/>
        <v>13.899261210863781</v>
      </c>
      <c r="BV61" s="83">
        <f t="shared" si="102"/>
        <v>1.1686262832825898</v>
      </c>
      <c r="BW61" s="84">
        <f t="shared" si="103"/>
        <v>34.490343992171482</v>
      </c>
      <c r="BX61" s="84">
        <f t="shared" si="104"/>
        <v>35.658970275454074</v>
      </c>
      <c r="BZ61" s="18" t="str">
        <f t="shared" si="105"/>
        <v xml:space="preserve"> 61 Caring personal service occupations</v>
      </c>
      <c r="CA61" s="22">
        <f t="shared" si="120"/>
        <v>6.5929934428910011</v>
      </c>
      <c r="CB61" s="22">
        <f t="shared" si="120"/>
        <v>5.6170381401309752</v>
      </c>
      <c r="CC61" s="22">
        <f t="shared" si="120"/>
        <v>4.0124485502189655</v>
      </c>
      <c r="CD61" s="22">
        <f t="shared" si="120"/>
        <v>2.9376169597511037</v>
      </c>
      <c r="CE61" s="22">
        <f t="shared" si="120"/>
        <v>3.2232975650455193</v>
      </c>
      <c r="CF61" s="286"/>
      <c r="CG61" s="83">
        <f t="shared" si="106"/>
        <v>-40.727648730886848</v>
      </c>
      <c r="CH61" s="84">
        <f t="shared" si="107"/>
        <v>14.807641875070338</v>
      </c>
      <c r="CI61" s="84">
        <f t="shared" si="108"/>
        <v>-25.920006855816506</v>
      </c>
      <c r="CK61" s="18" t="str">
        <f t="shared" si="109"/>
        <v xml:space="preserve"> 61 Caring personal service occupations</v>
      </c>
      <c r="CL61" s="22">
        <f t="shared" si="121"/>
        <v>4.4691825761175545</v>
      </c>
      <c r="CM61" s="22">
        <f t="shared" si="121"/>
        <v>3.2078543089072222</v>
      </c>
      <c r="CN61" s="22">
        <f t="shared" si="121"/>
        <v>1.690558602556854</v>
      </c>
      <c r="CO61" s="22">
        <f t="shared" si="121"/>
        <v>2.1290993174716695</v>
      </c>
      <c r="CP61" s="22">
        <f t="shared" si="121"/>
        <v>3.1443600706669619</v>
      </c>
      <c r="CR61" s="83">
        <f t="shared" si="110"/>
        <v>1.490916365392887</v>
      </c>
      <c r="CS61" s="84">
        <f t="shared" si="111"/>
        <v>15.340390783657071</v>
      </c>
      <c r="CT61" s="84">
        <f t="shared" si="112"/>
        <v>16.831307149049955</v>
      </c>
    </row>
    <row r="62" spans="1:98" x14ac:dyDescent="0.2">
      <c r="A62" s="18" t="str">
        <f t="shared" si="68"/>
        <v xml:space="preserve"> 62 Leisure, travel and related personal service occupations</v>
      </c>
      <c r="B62" s="22">
        <f t="shared" si="113"/>
        <v>0.11981714356982863</v>
      </c>
      <c r="C62" s="22">
        <f t="shared" si="113"/>
        <v>0.21754372372043279</v>
      </c>
      <c r="D62" s="22">
        <f t="shared" si="113"/>
        <v>0.24068633410584936</v>
      </c>
      <c r="E62" s="22">
        <f t="shared" si="113"/>
        <v>0.25226131473400498</v>
      </c>
      <c r="F62" s="22">
        <f t="shared" si="113"/>
        <v>0.2288070398047935</v>
      </c>
      <c r="H62" s="83">
        <f t="shared" si="78"/>
        <v>35.507460409692541</v>
      </c>
      <c r="I62" s="84">
        <f t="shared" si="79"/>
        <v>39.54972002065324</v>
      </c>
      <c r="J62" s="84">
        <f t="shared" si="80"/>
        <v>75.057180430345767</v>
      </c>
      <c r="L62" s="18" t="str">
        <f t="shared" si="81"/>
        <v xml:space="preserve"> 62 Leisure, travel and related personal service occupations</v>
      </c>
      <c r="M62" s="22">
        <f t="shared" si="114"/>
        <v>0.30927568319925974</v>
      </c>
      <c r="N62" s="22">
        <f t="shared" si="114"/>
        <v>0.47475637869170662</v>
      </c>
      <c r="O62" s="22">
        <f t="shared" si="114"/>
        <v>0.45086163787439337</v>
      </c>
      <c r="P62" s="22">
        <f t="shared" si="114"/>
        <v>0.45662480528379495</v>
      </c>
      <c r="Q62" s="22">
        <f t="shared" si="114"/>
        <v>0.43321154972886444</v>
      </c>
      <c r="S62" s="83">
        <f t="shared" si="82"/>
        <v>33.161405680834925</v>
      </c>
      <c r="T62" s="84">
        <f t="shared" si="83"/>
        <v>39.690098516366348</v>
      </c>
      <c r="U62" s="84">
        <f t="shared" si="84"/>
        <v>72.85150419720128</v>
      </c>
      <c r="W62" s="18" t="str">
        <f t="shared" si="85"/>
        <v xml:space="preserve"> 62 Leisure, travel and related personal service occupations</v>
      </c>
      <c r="X62" s="22">
        <f t="shared" si="115"/>
        <v>0.85512274407213962</v>
      </c>
      <c r="Y62" s="22">
        <f t="shared" si="115"/>
        <v>1.0027727942281195</v>
      </c>
      <c r="Z62" s="22">
        <f t="shared" si="115"/>
        <v>1.0641556579869693</v>
      </c>
      <c r="AA62" s="22">
        <f t="shared" si="115"/>
        <v>1.1563396189875361</v>
      </c>
      <c r="AB62" s="22">
        <f t="shared" si="115"/>
        <v>1.1590565117235339</v>
      </c>
      <c r="AD62" s="83">
        <f t="shared" si="86"/>
        <v>43.563836232768161</v>
      </c>
      <c r="AE62" s="84">
        <f t="shared" si="87"/>
        <v>54.97050049787228</v>
      </c>
      <c r="AF62" s="84">
        <f t="shared" si="88"/>
        <v>98.534336730640433</v>
      </c>
      <c r="AH62" s="18" t="str">
        <f t="shared" si="89"/>
        <v xml:space="preserve"> 62 Leisure, travel and related personal service occupations</v>
      </c>
      <c r="AI62" s="22">
        <f t="shared" si="116"/>
        <v>1.1629231577771924</v>
      </c>
      <c r="AJ62" s="22">
        <f t="shared" si="116"/>
        <v>1.5505965265843258</v>
      </c>
      <c r="AK62" s="22">
        <f t="shared" si="116"/>
        <v>2.0326154173203501</v>
      </c>
      <c r="AL62" s="22">
        <f t="shared" si="116"/>
        <v>2.4937345946774627</v>
      </c>
      <c r="AM62" s="22">
        <f t="shared" si="116"/>
        <v>2.6896542382676558</v>
      </c>
      <c r="AO62" s="83">
        <f t="shared" si="90"/>
        <v>37.909357940317953</v>
      </c>
      <c r="AP62" s="84">
        <f t="shared" si="91"/>
        <v>53.896599292862049</v>
      </c>
      <c r="AQ62" s="84">
        <f t="shared" si="92"/>
        <v>91.805957233179996</v>
      </c>
      <c r="AS62" s="18" t="str">
        <f t="shared" si="93"/>
        <v xml:space="preserve"> 62 Leisure, travel and related personal service occupations</v>
      </c>
      <c r="AT62" s="22">
        <f t="shared" si="117"/>
        <v>2.3179101331753356</v>
      </c>
      <c r="AU62" s="22">
        <f t="shared" si="117"/>
        <v>2.7219097066582445</v>
      </c>
      <c r="AV62" s="22">
        <f t="shared" si="117"/>
        <v>3.3164973602446413</v>
      </c>
      <c r="AW62" s="22">
        <f t="shared" si="117"/>
        <v>3.7864726323119235</v>
      </c>
      <c r="AX62" s="22">
        <f t="shared" si="117"/>
        <v>3.9062011478060379</v>
      </c>
      <c r="AZ62" s="83">
        <f t="shared" si="94"/>
        <v>49.809296540513785</v>
      </c>
      <c r="BA62" s="84">
        <f t="shared" si="95"/>
        <v>57.310770392295183</v>
      </c>
      <c r="BB62" s="84">
        <f t="shared" si="96"/>
        <v>107.12006693280898</v>
      </c>
      <c r="BD62" s="18" t="str">
        <f t="shared" si="97"/>
        <v xml:space="preserve"> 62 Leisure, travel and related personal service occupations</v>
      </c>
      <c r="BE62" s="22">
        <f t="shared" si="118"/>
        <v>2.114491410376834</v>
      </c>
      <c r="BF62" s="22">
        <f t="shared" si="118"/>
        <v>2.5400035872593905</v>
      </c>
      <c r="BG62" s="22">
        <f t="shared" si="118"/>
        <v>2.6823094524616167</v>
      </c>
      <c r="BH62" s="22">
        <f t="shared" si="118"/>
        <v>2.439578339915232</v>
      </c>
      <c r="BI62" s="22">
        <f t="shared" si="118"/>
        <v>2.2401208969385</v>
      </c>
      <c r="BK62" s="83">
        <f t="shared" si="98"/>
        <v>-17.289412832581508</v>
      </c>
      <c r="BL62" s="84">
        <f t="shared" si="99"/>
        <v>27.034648049407284</v>
      </c>
      <c r="BM62" s="84">
        <f t="shared" si="100"/>
        <v>9.7452352168257743</v>
      </c>
      <c r="BO62" s="18" t="str">
        <f t="shared" si="101"/>
        <v xml:space="preserve"> 62 Leisure, travel and related personal service occupations</v>
      </c>
      <c r="BP62" s="22">
        <f t="shared" si="119"/>
        <v>2.8212105941719154</v>
      </c>
      <c r="BQ62" s="22">
        <f t="shared" si="119"/>
        <v>2.6374444392159804</v>
      </c>
      <c r="BR62" s="22">
        <f t="shared" si="119"/>
        <v>2.8382194131518506</v>
      </c>
      <c r="BS62" s="22">
        <f t="shared" si="119"/>
        <v>2.7789575752192146</v>
      </c>
      <c r="BT62" s="22">
        <f t="shared" si="119"/>
        <v>2.6254842464922619</v>
      </c>
      <c r="BV62" s="83">
        <f t="shared" si="102"/>
        <v>-18.837668223969121</v>
      </c>
      <c r="BW62" s="84">
        <f t="shared" si="103"/>
        <v>29.397144473347485</v>
      </c>
      <c r="BX62" s="84">
        <f t="shared" si="104"/>
        <v>10.559476249378367</v>
      </c>
      <c r="BZ62" s="18" t="str">
        <f t="shared" si="105"/>
        <v xml:space="preserve"> 62 Leisure, travel and related personal service occupations</v>
      </c>
      <c r="CA62" s="22">
        <f t="shared" si="120"/>
        <v>1.8149418039954366</v>
      </c>
      <c r="CB62" s="22">
        <f t="shared" si="120"/>
        <v>2.4508904254699342</v>
      </c>
      <c r="CC62" s="22">
        <f t="shared" si="120"/>
        <v>3.0306855436342541</v>
      </c>
      <c r="CD62" s="22">
        <f t="shared" si="120"/>
        <v>3.1827467300299261</v>
      </c>
      <c r="CE62" s="22">
        <f t="shared" si="120"/>
        <v>3.5979997423211278</v>
      </c>
      <c r="CF62" s="286"/>
      <c r="CG62" s="83">
        <f t="shared" si="106"/>
        <v>-12.404563189161527</v>
      </c>
      <c r="CH62" s="84">
        <f t="shared" si="107"/>
        <v>24.842318184226663</v>
      </c>
      <c r="CI62" s="84">
        <f t="shared" si="108"/>
        <v>12.437754995065136</v>
      </c>
      <c r="CK62" s="18" t="str">
        <f t="shared" si="109"/>
        <v xml:space="preserve"> 62 Leisure, travel and related personal service occupations</v>
      </c>
      <c r="CL62" s="22">
        <f t="shared" si="121"/>
        <v>2.1955689443412005</v>
      </c>
      <c r="CM62" s="22">
        <f t="shared" si="121"/>
        <v>2.4398865717266833</v>
      </c>
      <c r="CN62" s="22">
        <f t="shared" si="121"/>
        <v>2.6950014534607845</v>
      </c>
      <c r="CO62" s="22">
        <f t="shared" si="121"/>
        <v>2.7908702615564458</v>
      </c>
      <c r="CP62" s="22">
        <f t="shared" si="121"/>
        <v>2.723217648741703</v>
      </c>
      <c r="CR62" s="83">
        <f t="shared" si="110"/>
        <v>-44.862321036343474</v>
      </c>
      <c r="CS62" s="84">
        <f t="shared" si="111"/>
        <v>14.402162077167127</v>
      </c>
      <c r="CT62" s="84">
        <f t="shared" si="112"/>
        <v>-30.460158959176344</v>
      </c>
    </row>
    <row r="63" spans="1:98" x14ac:dyDescent="0.2">
      <c r="A63" s="18" t="str">
        <f t="shared" si="68"/>
        <v xml:space="preserve"> 71 Sales occupations</v>
      </c>
      <c r="B63" s="22">
        <f t="shared" si="113"/>
        <v>0.37123589607330215</v>
      </c>
      <c r="C63" s="22">
        <f t="shared" si="113"/>
        <v>0.5597070661507495</v>
      </c>
      <c r="D63" s="22">
        <f t="shared" si="113"/>
        <v>0.67733837766801697</v>
      </c>
      <c r="E63" s="22">
        <f t="shared" si="113"/>
        <v>0.66034540203236025</v>
      </c>
      <c r="F63" s="22">
        <f t="shared" si="113"/>
        <v>0.61141570664159195</v>
      </c>
      <c r="H63" s="83">
        <f t="shared" si="78"/>
        <v>28.669663082071008</v>
      </c>
      <c r="I63" s="84">
        <f t="shared" si="79"/>
        <v>35.082928467718418</v>
      </c>
      <c r="J63" s="84">
        <f t="shared" si="80"/>
        <v>63.752591549789415</v>
      </c>
      <c r="L63" s="18" t="str">
        <f t="shared" si="81"/>
        <v xml:space="preserve"> 71 Sales occupations</v>
      </c>
      <c r="M63" s="22">
        <f t="shared" si="114"/>
        <v>2.1145828336199752</v>
      </c>
      <c r="N63" s="22">
        <f t="shared" si="114"/>
        <v>1.7213763488988842</v>
      </c>
      <c r="O63" s="22">
        <f t="shared" si="114"/>
        <v>1.7156822433013661</v>
      </c>
      <c r="P63" s="22">
        <f t="shared" si="114"/>
        <v>1.8314422461862137</v>
      </c>
      <c r="Q63" s="22">
        <f t="shared" si="114"/>
        <v>1.841149390643394</v>
      </c>
      <c r="S63" s="83">
        <f t="shared" si="82"/>
        <v>48.721514955335415</v>
      </c>
      <c r="T63" s="84">
        <f t="shared" si="83"/>
        <v>37.243626365740361</v>
      </c>
      <c r="U63" s="84">
        <f t="shared" si="84"/>
        <v>85.965141321075777</v>
      </c>
      <c r="W63" s="18" t="str">
        <f t="shared" si="85"/>
        <v xml:space="preserve"> 71 Sales occupations</v>
      </c>
      <c r="X63" s="22">
        <f t="shared" si="115"/>
        <v>3.3489075779166884</v>
      </c>
      <c r="Y63" s="22">
        <f t="shared" si="115"/>
        <v>4.0828198659337369</v>
      </c>
      <c r="Z63" s="22">
        <f t="shared" si="115"/>
        <v>3.8270644911796978</v>
      </c>
      <c r="AA63" s="22">
        <f t="shared" si="115"/>
        <v>4.1371270500087052</v>
      </c>
      <c r="AB63" s="22">
        <f t="shared" si="115"/>
        <v>4.1892770432101685</v>
      </c>
      <c r="AD63" s="83">
        <f t="shared" si="86"/>
        <v>44.284242311106333</v>
      </c>
      <c r="AE63" s="84">
        <f t="shared" si="87"/>
        <v>51.204627085666445</v>
      </c>
      <c r="AF63" s="84">
        <f t="shared" si="88"/>
        <v>95.48886939677277</v>
      </c>
      <c r="AH63" s="18" t="str">
        <f t="shared" si="89"/>
        <v xml:space="preserve"> 71 Sales occupations</v>
      </c>
      <c r="AI63" s="22">
        <f t="shared" si="116"/>
        <v>3.2895185570340817</v>
      </c>
      <c r="AJ63" s="22">
        <f t="shared" si="116"/>
        <v>3.9736367782862172</v>
      </c>
      <c r="AK63" s="22">
        <f t="shared" si="116"/>
        <v>4.1265855568693128</v>
      </c>
      <c r="AL63" s="22">
        <f t="shared" si="116"/>
        <v>4.9284191604457757</v>
      </c>
      <c r="AM63" s="22">
        <f t="shared" si="116"/>
        <v>5.3940358975384104</v>
      </c>
      <c r="AO63" s="83">
        <f t="shared" si="90"/>
        <v>36.230853184772329</v>
      </c>
      <c r="AP63" s="84">
        <f t="shared" si="91"/>
        <v>50.584130692188722</v>
      </c>
      <c r="AQ63" s="84">
        <f t="shared" si="92"/>
        <v>86.814983876961051</v>
      </c>
      <c r="AS63" s="18" t="str">
        <f t="shared" si="93"/>
        <v xml:space="preserve"> 71 Sales occupations</v>
      </c>
      <c r="AT63" s="22">
        <f t="shared" si="117"/>
        <v>4.2659265049849706</v>
      </c>
      <c r="AU63" s="22">
        <f t="shared" si="117"/>
        <v>4.2513411697719796</v>
      </c>
      <c r="AV63" s="22">
        <f t="shared" si="117"/>
        <v>3.6047681277465689</v>
      </c>
      <c r="AW63" s="22">
        <f t="shared" si="117"/>
        <v>3.5014152608921845</v>
      </c>
      <c r="AX63" s="22">
        <f t="shared" si="117"/>
        <v>3.4156343296117426</v>
      </c>
      <c r="AZ63" s="83">
        <f t="shared" si="94"/>
        <v>20.519647496475613</v>
      </c>
      <c r="BA63" s="84">
        <f t="shared" si="95"/>
        <v>40.459766394134995</v>
      </c>
      <c r="BB63" s="84">
        <f t="shared" si="96"/>
        <v>60.979413890610616</v>
      </c>
      <c r="BD63" s="18" t="str">
        <f t="shared" si="97"/>
        <v xml:space="preserve"> 71 Sales occupations</v>
      </c>
      <c r="BE63" s="22">
        <f t="shared" si="118"/>
        <v>8.8699193954953035</v>
      </c>
      <c r="BF63" s="22">
        <f t="shared" si="118"/>
        <v>8.8825269331585766</v>
      </c>
      <c r="BG63" s="22">
        <f t="shared" si="118"/>
        <v>7.8546193050806599</v>
      </c>
      <c r="BH63" s="22">
        <f t="shared" si="118"/>
        <v>8.0613587209070623</v>
      </c>
      <c r="BI63" s="22">
        <f t="shared" si="118"/>
        <v>7.9730876428290269</v>
      </c>
      <c r="BK63" s="83">
        <f t="shared" si="98"/>
        <v>0.53098180355935598</v>
      </c>
      <c r="BL63" s="84">
        <f t="shared" si="99"/>
        <v>32.882279884861717</v>
      </c>
      <c r="BM63" s="84">
        <f t="shared" si="100"/>
        <v>33.413261688421073</v>
      </c>
      <c r="BO63" s="18" t="str">
        <f t="shared" si="101"/>
        <v xml:space="preserve"> 71 Sales occupations</v>
      </c>
      <c r="BP63" s="22">
        <f t="shared" si="119"/>
        <v>10.830843155204319</v>
      </c>
      <c r="BQ63" s="22">
        <f t="shared" si="119"/>
        <v>9.9845678343434408</v>
      </c>
      <c r="BR63" s="22">
        <f t="shared" si="119"/>
        <v>8.1170701781565171</v>
      </c>
      <c r="BS63" s="22">
        <f t="shared" si="119"/>
        <v>8.1951212935677553</v>
      </c>
      <c r="BT63" s="22">
        <f t="shared" si="119"/>
        <v>8.1306172115329876</v>
      </c>
      <c r="BV63" s="83">
        <f t="shared" si="102"/>
        <v>-12.114894288433119</v>
      </c>
      <c r="BW63" s="84">
        <f t="shared" si="103"/>
        <v>32.454027085840231</v>
      </c>
      <c r="BX63" s="84">
        <f t="shared" si="104"/>
        <v>20.339132797407114</v>
      </c>
      <c r="BZ63" s="18" t="str">
        <f t="shared" si="105"/>
        <v xml:space="preserve"> 71 Sales occupations</v>
      </c>
      <c r="CA63" s="22">
        <f t="shared" si="120"/>
        <v>9.2626530691562259</v>
      </c>
      <c r="CB63" s="22">
        <f t="shared" si="120"/>
        <v>9.5050254384486355</v>
      </c>
      <c r="CC63" s="22">
        <f t="shared" si="120"/>
        <v>8.6814660278544906</v>
      </c>
      <c r="CD63" s="22">
        <f t="shared" si="120"/>
        <v>8.1436287083972552</v>
      </c>
      <c r="CE63" s="22">
        <f t="shared" si="120"/>
        <v>6.8969939474503184</v>
      </c>
      <c r="CF63" s="286"/>
      <c r="CG63" s="83">
        <f t="shared" si="106"/>
        <v>-41.382403522959414</v>
      </c>
      <c r="CH63" s="84">
        <f t="shared" si="107"/>
        <v>19.874543363607138</v>
      </c>
      <c r="CI63" s="84">
        <f t="shared" si="108"/>
        <v>-21.507860159352276</v>
      </c>
      <c r="CK63" s="18" t="str">
        <f t="shared" si="109"/>
        <v xml:space="preserve"> 71 Sales occupations</v>
      </c>
      <c r="CL63" s="22">
        <f t="shared" si="121"/>
        <v>9.5644597567274836</v>
      </c>
      <c r="CM63" s="22">
        <f t="shared" si="121"/>
        <v>10.316428625103709</v>
      </c>
      <c r="CN63" s="22">
        <f t="shared" si="121"/>
        <v>9.8806885883180797</v>
      </c>
      <c r="CO63" s="22">
        <f t="shared" si="121"/>
        <v>7.5299094176033989</v>
      </c>
      <c r="CP63" s="22">
        <f t="shared" si="121"/>
        <v>6.2860219277168188</v>
      </c>
      <c r="CR63" s="83">
        <f t="shared" si="110"/>
        <v>-65.285268463391532</v>
      </c>
      <c r="CS63" s="84">
        <f t="shared" si="111"/>
        <v>9.8142594472151714</v>
      </c>
      <c r="CT63" s="84">
        <f t="shared" si="112"/>
        <v>-55.471009016176367</v>
      </c>
    </row>
    <row r="64" spans="1:98" x14ac:dyDescent="0.2">
      <c r="A64" s="18" t="str">
        <f t="shared" si="68"/>
        <v xml:space="preserve"> 72 Customer service occupations</v>
      </c>
      <c r="B64" s="22">
        <f t="shared" ref="B64:F68" si="122">B28/B$34*100</f>
        <v>0.39858724061237566</v>
      </c>
      <c r="C64" s="22">
        <f t="shared" si="122"/>
        <v>0.3952946858927468</v>
      </c>
      <c r="D64" s="22">
        <f t="shared" si="122"/>
        <v>0.45077273122703992</v>
      </c>
      <c r="E64" s="22">
        <f t="shared" si="122"/>
        <v>0.51229041245338691</v>
      </c>
      <c r="F64" s="22">
        <f t="shared" si="122"/>
        <v>0.52544476271886598</v>
      </c>
      <c r="H64" s="83">
        <f t="shared" si="78"/>
        <v>66.155486853152595</v>
      </c>
      <c r="I64" s="84">
        <f t="shared" si="79"/>
        <v>35.606603159081502</v>
      </c>
      <c r="J64" s="84">
        <f t="shared" si="80"/>
        <v>101.76209001223408</v>
      </c>
      <c r="L64" s="18" t="str">
        <f t="shared" si="81"/>
        <v xml:space="preserve"> 72 Customer service occupations</v>
      </c>
      <c r="M64" s="22">
        <f t="shared" ref="M64:Q68" si="123">M28/M$34*100</f>
        <v>0.77065201433365016</v>
      </c>
      <c r="N64" s="22">
        <f t="shared" si="123"/>
        <v>0.71117817698422237</v>
      </c>
      <c r="O64" s="22">
        <f t="shared" si="123"/>
        <v>0.77240892846513975</v>
      </c>
      <c r="P64" s="22">
        <f t="shared" si="123"/>
        <v>0.8647477803494712</v>
      </c>
      <c r="Q64" s="22">
        <f t="shared" si="123"/>
        <v>0.89623268611033113</v>
      </c>
      <c r="S64" s="83">
        <f t="shared" si="82"/>
        <v>60.803361165189273</v>
      </c>
      <c r="T64" s="84">
        <f t="shared" si="83"/>
        <v>38.403714822517564</v>
      </c>
      <c r="U64" s="84">
        <f t="shared" si="84"/>
        <v>99.207075987706844</v>
      </c>
      <c r="W64" s="18" t="str">
        <f t="shared" si="85"/>
        <v xml:space="preserve"> 72 Customer service occupations</v>
      </c>
      <c r="X64" s="22">
        <f t="shared" ref="X64:AB68" si="124">X28/X$34*100</f>
        <v>1.6183201778760301</v>
      </c>
      <c r="Y64" s="22">
        <f t="shared" si="124"/>
        <v>1.5759115968113639</v>
      </c>
      <c r="Z64" s="22">
        <f t="shared" si="124"/>
        <v>1.7226208920637875</v>
      </c>
      <c r="AA64" s="22">
        <f t="shared" si="124"/>
        <v>1.8688465263068106</v>
      </c>
      <c r="AB64" s="22">
        <f t="shared" si="124"/>
        <v>1.8896232413638998</v>
      </c>
      <c r="AD64" s="83">
        <f t="shared" si="86"/>
        <v>44.587621607261184</v>
      </c>
      <c r="AE64" s="84">
        <f t="shared" si="87"/>
        <v>45.035971542178082</v>
      </c>
      <c r="AF64" s="84">
        <f t="shared" si="88"/>
        <v>89.623593149439273</v>
      </c>
      <c r="AH64" s="18" t="str">
        <f t="shared" si="89"/>
        <v xml:space="preserve"> 72 Customer service occupations</v>
      </c>
      <c r="AI64" s="22">
        <f t="shared" ref="AI64:AM68" si="125">AI28/AI$34*100</f>
        <v>1.0162093722466561</v>
      </c>
      <c r="AJ64" s="22">
        <f t="shared" si="125"/>
        <v>1.1809172403899055</v>
      </c>
      <c r="AK64" s="22">
        <f t="shared" si="125"/>
        <v>1.3922004675448341</v>
      </c>
      <c r="AL64" s="22">
        <f t="shared" si="125"/>
        <v>1.7975342879854892</v>
      </c>
      <c r="AM64" s="22">
        <f t="shared" si="125"/>
        <v>1.9811869465003136</v>
      </c>
      <c r="AO64" s="83">
        <f t="shared" si="90"/>
        <v>48.311962131488109</v>
      </c>
      <c r="AP64" s="84">
        <f t="shared" si="91"/>
        <v>49.625943576828789</v>
      </c>
      <c r="AQ64" s="84">
        <f t="shared" si="92"/>
        <v>97.93790570831689</v>
      </c>
      <c r="AS64" s="18" t="str">
        <f t="shared" si="93"/>
        <v xml:space="preserve"> 72 Customer service occupations</v>
      </c>
      <c r="AT64" s="22">
        <f t="shared" ref="AT64:AX68" si="126">AT28/AT$34*100</f>
        <v>2.0349750973195238</v>
      </c>
      <c r="AU64" s="22">
        <f t="shared" si="126"/>
        <v>2.4952072098397737</v>
      </c>
      <c r="AV64" s="22">
        <f t="shared" si="126"/>
        <v>2.4466338668917085</v>
      </c>
      <c r="AW64" s="22">
        <f t="shared" si="126"/>
        <v>2.5938954438622881</v>
      </c>
      <c r="AX64" s="22">
        <f t="shared" si="126"/>
        <v>2.6326071484830744</v>
      </c>
      <c r="AZ64" s="83">
        <f t="shared" si="94"/>
        <v>36.861372370538469</v>
      </c>
      <c r="BA64" s="84">
        <f t="shared" si="95"/>
        <v>40.383909776270258</v>
      </c>
      <c r="BB64" s="84">
        <f t="shared" si="96"/>
        <v>77.245282146808719</v>
      </c>
      <c r="BD64" s="18" t="str">
        <f t="shared" si="97"/>
        <v xml:space="preserve"> 72 Customer service occupations</v>
      </c>
      <c r="BE64" s="22">
        <f t="shared" ref="BE64:BI68" si="127">BE28/BE$34*100</f>
        <v>1.8740557628979821</v>
      </c>
      <c r="BF64" s="22">
        <f t="shared" si="127"/>
        <v>2.2100373640462729</v>
      </c>
      <c r="BG64" s="22">
        <f t="shared" si="127"/>
        <v>2.2569422588540498</v>
      </c>
      <c r="BH64" s="22">
        <f t="shared" si="127"/>
        <v>2.3532676782306279</v>
      </c>
      <c r="BI64" s="22">
        <f t="shared" si="127"/>
        <v>2.4115725170836368</v>
      </c>
      <c r="BK64" s="83">
        <f t="shared" si="98"/>
        <v>5.8225942678599685</v>
      </c>
      <c r="BL64" s="84">
        <f t="shared" si="99"/>
        <v>30.56096717269126</v>
      </c>
      <c r="BM64" s="84">
        <f t="shared" si="100"/>
        <v>36.383561440551233</v>
      </c>
      <c r="BO64" s="18" t="str">
        <f t="shared" si="101"/>
        <v xml:space="preserve"> 72 Customer service occupations</v>
      </c>
      <c r="BP64" s="22">
        <f t="shared" ref="BP64:BT68" si="128">BP28/BP$34*100</f>
        <v>1.7759331374853928</v>
      </c>
      <c r="BQ64" s="22">
        <f t="shared" si="128"/>
        <v>2.2694019315168101</v>
      </c>
      <c r="BR64" s="22">
        <f t="shared" si="128"/>
        <v>2.3483316955370386</v>
      </c>
      <c r="BS64" s="22">
        <f t="shared" si="128"/>
        <v>2.6170885108896162</v>
      </c>
      <c r="BT64" s="22">
        <f t="shared" si="128"/>
        <v>2.9657590928077302</v>
      </c>
      <c r="BV64" s="83">
        <f t="shared" si="102"/>
        <v>10.807076306285344</v>
      </c>
      <c r="BW64" s="84">
        <f t="shared" si="103"/>
        <v>34.117466379451542</v>
      </c>
      <c r="BX64" s="84">
        <f t="shared" si="104"/>
        <v>44.924542685736888</v>
      </c>
      <c r="BZ64" s="18" t="str">
        <f t="shared" si="105"/>
        <v xml:space="preserve"> 72 Customer service occupations</v>
      </c>
      <c r="CA64" s="22">
        <f t="shared" ref="CA64:CE68" si="129">CA28/CA$34*100</f>
        <v>1.5340200429228048</v>
      </c>
      <c r="CB64" s="22">
        <f t="shared" si="129"/>
        <v>1.8326391442303185</v>
      </c>
      <c r="CC64" s="22">
        <f t="shared" si="129"/>
        <v>1.9282696997403381</v>
      </c>
      <c r="CD64" s="22">
        <f t="shared" si="129"/>
        <v>1.9784152701354991</v>
      </c>
      <c r="CE64" s="22">
        <f t="shared" si="129"/>
        <v>2.1802811759973157</v>
      </c>
      <c r="CF64" s="286"/>
      <c r="CG64" s="83">
        <f t="shared" si="106"/>
        <v>-16.573128011460934</v>
      </c>
      <c r="CH64" s="84">
        <f t="shared" si="107"/>
        <v>19.989033227940659</v>
      </c>
      <c r="CI64" s="84">
        <f t="shared" si="108"/>
        <v>3.4159052164797252</v>
      </c>
      <c r="CK64" s="18" t="str">
        <f t="shared" si="109"/>
        <v xml:space="preserve"> 72 Customer service occupations</v>
      </c>
      <c r="CL64" s="22">
        <f t="shared" ref="CL64:CP68" si="130">CL28/CL$34*100</f>
        <v>0.90240404628194693</v>
      </c>
      <c r="CM64" s="22">
        <f t="shared" si="130"/>
        <v>1.1108456016119839</v>
      </c>
      <c r="CN64" s="22">
        <f t="shared" si="130"/>
        <v>1.5679572080041666</v>
      </c>
      <c r="CO64" s="22">
        <f t="shared" si="130"/>
        <v>2.1779633204959077</v>
      </c>
      <c r="CP64" s="22">
        <f t="shared" si="130"/>
        <v>3.2678429569370113</v>
      </c>
      <c r="CR64" s="83">
        <f t="shared" si="110"/>
        <v>13.723993705048093</v>
      </c>
      <c r="CS64" s="84">
        <f t="shared" si="111"/>
        <v>21.055761499537915</v>
      </c>
      <c r="CT64" s="84">
        <f t="shared" si="112"/>
        <v>34.77975520458601</v>
      </c>
    </row>
    <row r="65" spans="1:98" x14ac:dyDescent="0.2">
      <c r="A65" s="18" t="str">
        <f t="shared" si="68"/>
        <v xml:space="preserve"> 81 Process, plant and machine operatives</v>
      </c>
      <c r="B65" s="22">
        <f t="shared" si="122"/>
        <v>2.5401597345417911E-2</v>
      </c>
      <c r="C65" s="22">
        <f t="shared" si="122"/>
        <v>0.44221452692440505</v>
      </c>
      <c r="D65" s="22">
        <f t="shared" si="122"/>
        <v>0.4674373227984861</v>
      </c>
      <c r="E65" s="22">
        <f t="shared" si="122"/>
        <v>0.52491848375751882</v>
      </c>
      <c r="F65" s="22">
        <f t="shared" si="122"/>
        <v>0.55459682171274982</v>
      </c>
      <c r="H65" s="83">
        <f t="shared" si="78"/>
        <v>69.121665286227312</v>
      </c>
      <c r="I65" s="84">
        <f t="shared" si="79"/>
        <v>39.180586225784722</v>
      </c>
      <c r="J65" s="84">
        <f t="shared" si="80"/>
        <v>108.30225151201202</v>
      </c>
      <c r="L65" s="18" t="str">
        <f t="shared" si="81"/>
        <v xml:space="preserve"> 81 Process, plant and machine operatives</v>
      </c>
      <c r="M65" s="22">
        <f t="shared" si="123"/>
        <v>0.76747294720683334</v>
      </c>
      <c r="N65" s="22">
        <f t="shared" si="123"/>
        <v>0.68634127524196531</v>
      </c>
      <c r="O65" s="22">
        <f t="shared" si="123"/>
        <v>0.61519977835578277</v>
      </c>
      <c r="P65" s="22">
        <f t="shared" si="123"/>
        <v>0.66004864115374473</v>
      </c>
      <c r="Q65" s="22">
        <f t="shared" si="123"/>
        <v>0.69322693849035044</v>
      </c>
      <c r="S65" s="83">
        <f t="shared" si="82"/>
        <v>56.163987308875598</v>
      </c>
      <c r="T65" s="84">
        <f t="shared" si="83"/>
        <v>37.251197091365931</v>
      </c>
      <c r="U65" s="84">
        <f t="shared" si="84"/>
        <v>93.415184400241529</v>
      </c>
      <c r="W65" s="18" t="str">
        <f t="shared" si="85"/>
        <v xml:space="preserve"> 81 Process, plant and machine operatives</v>
      </c>
      <c r="X65" s="22">
        <f t="shared" si="124"/>
        <v>0.8751746822334795</v>
      </c>
      <c r="Y65" s="22">
        <f t="shared" si="124"/>
        <v>0.95024808523522575</v>
      </c>
      <c r="Z65" s="22">
        <f t="shared" si="124"/>
        <v>0.87138979577290754</v>
      </c>
      <c r="AA65" s="22">
        <f t="shared" si="124"/>
        <v>0.90616360230897175</v>
      </c>
      <c r="AB65" s="22">
        <f t="shared" si="124"/>
        <v>0.91151092636630215</v>
      </c>
      <c r="AD65" s="83">
        <f t="shared" si="86"/>
        <v>37.878011421555428</v>
      </c>
      <c r="AE65" s="84">
        <f t="shared" si="87"/>
        <v>44.605598735226167</v>
      </c>
      <c r="AF65" s="84">
        <f t="shared" si="88"/>
        <v>82.483610156781594</v>
      </c>
      <c r="AH65" s="18" t="str">
        <f t="shared" si="89"/>
        <v xml:space="preserve"> 81 Process, plant and machine operatives</v>
      </c>
      <c r="AI65" s="22">
        <f t="shared" si="125"/>
        <v>1.1129771655206095</v>
      </c>
      <c r="AJ65" s="22">
        <f t="shared" si="125"/>
        <v>1.2663805971748341</v>
      </c>
      <c r="AK65" s="22">
        <f t="shared" si="125"/>
        <v>1.3641800811061267</v>
      </c>
      <c r="AL65" s="22">
        <f t="shared" si="125"/>
        <v>1.59268562579634</v>
      </c>
      <c r="AM65" s="22">
        <f t="shared" si="125"/>
        <v>1.7743110161551983</v>
      </c>
      <c r="AO65" s="83">
        <f t="shared" si="90"/>
        <v>35.553439881879143</v>
      </c>
      <c r="AP65" s="84">
        <f t="shared" si="91"/>
        <v>41.014267042097657</v>
      </c>
      <c r="AQ65" s="84">
        <f t="shared" si="92"/>
        <v>76.5677069239768</v>
      </c>
      <c r="AS65" s="18" t="str">
        <f t="shared" si="93"/>
        <v xml:space="preserve"> 81 Process, plant and machine operatives</v>
      </c>
      <c r="AT65" s="22">
        <f t="shared" si="126"/>
        <v>3.5606799062272314</v>
      </c>
      <c r="AU65" s="22">
        <f t="shared" si="126"/>
        <v>3.8591713673343602</v>
      </c>
      <c r="AV65" s="22">
        <f t="shared" si="126"/>
        <v>3.8312847329586517</v>
      </c>
      <c r="AW65" s="22">
        <f t="shared" si="126"/>
        <v>4.1269657361338297</v>
      </c>
      <c r="AX65" s="22">
        <f t="shared" si="126"/>
        <v>4.3351895831867528</v>
      </c>
      <c r="AZ65" s="83">
        <f t="shared" si="94"/>
        <v>43.922098517766337</v>
      </c>
      <c r="BA65" s="84">
        <f t="shared" si="95"/>
        <v>41.677039282704591</v>
      </c>
      <c r="BB65" s="84">
        <f t="shared" si="96"/>
        <v>85.599137800470928</v>
      </c>
      <c r="BD65" s="18" t="str">
        <f t="shared" si="97"/>
        <v xml:space="preserve"> 81 Process, plant and machine operatives</v>
      </c>
      <c r="BE65" s="22">
        <f t="shared" si="127"/>
        <v>5.6613882723428812</v>
      </c>
      <c r="BF65" s="22">
        <f t="shared" si="127"/>
        <v>6.0268525482545217</v>
      </c>
      <c r="BG65" s="22">
        <f t="shared" si="127"/>
        <v>5.8085936486094134</v>
      </c>
      <c r="BH65" s="22">
        <f t="shared" si="127"/>
        <v>6.020327792592707</v>
      </c>
      <c r="BI65" s="22">
        <f t="shared" si="127"/>
        <v>6.1092506535547919</v>
      </c>
      <c r="BK65" s="83">
        <f t="shared" si="98"/>
        <v>4.1634785871301361</v>
      </c>
      <c r="BL65" s="84">
        <f t="shared" si="99"/>
        <v>25.804472291613358</v>
      </c>
      <c r="BM65" s="84">
        <f t="shared" si="100"/>
        <v>29.967950878743494</v>
      </c>
      <c r="BO65" s="18" t="str">
        <f t="shared" si="101"/>
        <v xml:space="preserve"> 81 Process, plant and machine operatives</v>
      </c>
      <c r="BP65" s="22">
        <f t="shared" si="128"/>
        <v>6.5748013747849221</v>
      </c>
      <c r="BQ65" s="22">
        <f t="shared" si="128"/>
        <v>7.4414096145086166</v>
      </c>
      <c r="BR65" s="22">
        <f t="shared" si="128"/>
        <v>7.4584370319262643</v>
      </c>
      <c r="BS65" s="22">
        <f t="shared" si="128"/>
        <v>7.4377106165298885</v>
      </c>
      <c r="BT65" s="22">
        <f t="shared" si="128"/>
        <v>7.5573487278382689</v>
      </c>
      <c r="BV65" s="83">
        <f t="shared" si="102"/>
        <v>-11.097760644545255</v>
      </c>
      <c r="BW65" s="84">
        <f t="shared" si="103"/>
        <v>26.756355674627098</v>
      </c>
      <c r="BX65" s="84">
        <f t="shared" si="104"/>
        <v>15.658595030081843</v>
      </c>
      <c r="BZ65" s="18" t="str">
        <f t="shared" si="105"/>
        <v xml:space="preserve"> 81 Process, plant and machine operatives</v>
      </c>
      <c r="CA65" s="22">
        <f t="shared" si="129"/>
        <v>9.8090247071110017</v>
      </c>
      <c r="CB65" s="22">
        <f t="shared" si="129"/>
        <v>10.08611640807545</v>
      </c>
      <c r="CC65" s="22">
        <f t="shared" si="129"/>
        <v>9.2292402386200543</v>
      </c>
      <c r="CD65" s="22">
        <f t="shared" si="129"/>
        <v>9.1654328907555254</v>
      </c>
      <c r="CE65" s="22">
        <f t="shared" si="129"/>
        <v>8.5561297883471497</v>
      </c>
      <c r="CF65" s="286"/>
      <c r="CG65" s="83">
        <f t="shared" si="106"/>
        <v>-31.597394430255825</v>
      </c>
      <c r="CH65" s="84">
        <f t="shared" si="107"/>
        <v>20.274638465651975</v>
      </c>
      <c r="CI65" s="84">
        <f t="shared" si="108"/>
        <v>-11.32275596460385</v>
      </c>
      <c r="CK65" s="18" t="str">
        <f t="shared" si="109"/>
        <v xml:space="preserve"> 81 Process, plant and machine operatives</v>
      </c>
      <c r="CL65" s="22">
        <f t="shared" si="130"/>
        <v>13.683548518567532</v>
      </c>
      <c r="CM65" s="22">
        <f t="shared" si="130"/>
        <v>13.176082568313296</v>
      </c>
      <c r="CN65" s="22">
        <f t="shared" si="130"/>
        <v>10.894907242465514</v>
      </c>
      <c r="CO65" s="22">
        <f t="shared" si="130"/>
        <v>8.1402809178205811</v>
      </c>
      <c r="CP65" s="22">
        <f t="shared" si="130"/>
        <v>4.2656584261881996</v>
      </c>
      <c r="CR65" s="83">
        <f t="shared" si="110"/>
        <v>-78.635749067264413</v>
      </c>
      <c r="CS65" s="84">
        <f t="shared" si="111"/>
        <v>8.1727664080857441</v>
      </c>
      <c r="CT65" s="84">
        <f t="shared" si="112"/>
        <v>-70.462982659178678</v>
      </c>
    </row>
    <row r="66" spans="1:98" x14ac:dyDescent="0.2">
      <c r="A66" s="18" t="str">
        <f t="shared" si="68"/>
        <v xml:space="preserve"> 82 Transport and mobile machine drivers and operatives</v>
      </c>
      <c r="B66" s="22">
        <f t="shared" si="122"/>
        <v>0.43093469075897894</v>
      </c>
      <c r="C66" s="22">
        <f t="shared" si="122"/>
        <v>0.45963750060454972</v>
      </c>
      <c r="D66" s="22">
        <f t="shared" si="122"/>
        <v>0.40601683228622287</v>
      </c>
      <c r="E66" s="22">
        <f t="shared" si="122"/>
        <v>0.50285985629726593</v>
      </c>
      <c r="F66" s="22">
        <f t="shared" si="122"/>
        <v>0.55027030444349345</v>
      </c>
      <c r="H66" s="83">
        <f t="shared" si="78"/>
        <v>93.186731109603485</v>
      </c>
      <c r="I66" s="84">
        <f t="shared" si="79"/>
        <v>51.378516268946271</v>
      </c>
      <c r="J66" s="84">
        <f t="shared" si="80"/>
        <v>144.56524737854977</v>
      </c>
      <c r="L66" s="18" t="str">
        <f t="shared" si="81"/>
        <v xml:space="preserve"> 82 Transport and mobile machine drivers and operatives</v>
      </c>
      <c r="M66" s="22">
        <f t="shared" si="123"/>
        <v>0.53418494358926827</v>
      </c>
      <c r="N66" s="22">
        <f t="shared" si="123"/>
        <v>0.44941637593093703</v>
      </c>
      <c r="O66" s="22">
        <f t="shared" si="123"/>
        <v>0.38802797298739772</v>
      </c>
      <c r="P66" s="22">
        <f t="shared" si="123"/>
        <v>0.46684624437812383</v>
      </c>
      <c r="Q66" s="22">
        <f t="shared" si="123"/>
        <v>0.51114528837081097</v>
      </c>
      <c r="S66" s="83">
        <f t="shared" si="82"/>
        <v>82.558876998964649</v>
      </c>
      <c r="T66" s="84">
        <f t="shared" si="83"/>
        <v>50.811671201186151</v>
      </c>
      <c r="U66" s="84">
        <f t="shared" si="84"/>
        <v>133.37054820015081</v>
      </c>
      <c r="W66" s="18" t="str">
        <f t="shared" si="85"/>
        <v xml:space="preserve"> 82 Transport and mobile machine drivers and operatives</v>
      </c>
      <c r="X66" s="22">
        <f t="shared" si="124"/>
        <v>0.745775390194376</v>
      </c>
      <c r="Y66" s="22">
        <f t="shared" si="124"/>
        <v>0.78972911621745423</v>
      </c>
      <c r="Z66" s="22">
        <f t="shared" si="124"/>
        <v>0.78125499784915553</v>
      </c>
      <c r="AA66" s="22">
        <f t="shared" si="124"/>
        <v>0.88866811409248569</v>
      </c>
      <c r="AB66" s="22">
        <f t="shared" si="124"/>
        <v>0.95422430120042157</v>
      </c>
      <c r="AD66" s="83">
        <f t="shared" si="86"/>
        <v>60.99161828553018</v>
      </c>
      <c r="AE66" s="84">
        <f t="shared" si="87"/>
        <v>63.573832956438167</v>
      </c>
      <c r="AF66" s="84">
        <f t="shared" si="88"/>
        <v>124.56545124196833</v>
      </c>
      <c r="AH66" s="18" t="str">
        <f t="shared" si="89"/>
        <v xml:space="preserve"> 82 Transport and mobile machine drivers and operatives</v>
      </c>
      <c r="AI66" s="22">
        <f t="shared" si="125"/>
        <v>0.66601931356439392</v>
      </c>
      <c r="AJ66" s="22">
        <f t="shared" si="125"/>
        <v>1.0352543656405189</v>
      </c>
      <c r="AK66" s="22">
        <f t="shared" si="125"/>
        <v>0.89298167613265267</v>
      </c>
      <c r="AL66" s="22">
        <f t="shared" si="125"/>
        <v>1.139349878449833</v>
      </c>
      <c r="AM66" s="22">
        <f t="shared" si="125"/>
        <v>1.3091115117974828</v>
      </c>
      <c r="AO66" s="83">
        <f t="shared" si="90"/>
        <v>52.78706649006083</v>
      </c>
      <c r="AP66" s="84">
        <f t="shared" si="91"/>
        <v>58.845083606486845</v>
      </c>
      <c r="AQ66" s="84">
        <f t="shared" si="92"/>
        <v>111.63215009654768</v>
      </c>
      <c r="AS66" s="18" t="str">
        <f t="shared" si="93"/>
        <v xml:space="preserve"> 82 Transport and mobile machine drivers and operatives</v>
      </c>
      <c r="AT66" s="22">
        <f t="shared" si="126"/>
        <v>1.8016137585770067</v>
      </c>
      <c r="AU66" s="22">
        <f t="shared" si="126"/>
        <v>2.1028203159764733</v>
      </c>
      <c r="AV66" s="22">
        <f t="shared" si="126"/>
        <v>1.9391025305059661</v>
      </c>
      <c r="AW66" s="22">
        <f t="shared" si="126"/>
        <v>2.254664815842371</v>
      </c>
      <c r="AX66" s="22">
        <f t="shared" si="126"/>
        <v>2.455877921084284</v>
      </c>
      <c r="AZ66" s="83">
        <f t="shared" si="94"/>
        <v>61.090459004056953</v>
      </c>
      <c r="BA66" s="84">
        <f t="shared" si="95"/>
        <v>60.520304497912733</v>
      </c>
      <c r="BB66" s="84">
        <f t="shared" si="96"/>
        <v>121.61076350196969</v>
      </c>
      <c r="BD66" s="18" t="str">
        <f t="shared" si="97"/>
        <v xml:space="preserve"> 82 Transport and mobile machine drivers and operatives</v>
      </c>
      <c r="BE66" s="22">
        <f t="shared" si="127"/>
        <v>2.5770901938027158</v>
      </c>
      <c r="BF66" s="22">
        <f t="shared" si="127"/>
        <v>2.6349864430252286</v>
      </c>
      <c r="BG66" s="22">
        <f t="shared" si="127"/>
        <v>2.1445572934283672</v>
      </c>
      <c r="BH66" s="22">
        <f t="shared" si="127"/>
        <v>2.3705990531374797</v>
      </c>
      <c r="BI66" s="22">
        <f t="shared" si="127"/>
        <v>2.5263762439751773</v>
      </c>
      <c r="BK66" s="83">
        <f t="shared" si="98"/>
        <v>16.669920597131188</v>
      </c>
      <c r="BL66" s="84">
        <f t="shared" si="99"/>
        <v>37.210999552362836</v>
      </c>
      <c r="BM66" s="84">
        <f t="shared" si="100"/>
        <v>53.880920149494024</v>
      </c>
      <c r="BO66" s="18" t="str">
        <f t="shared" si="101"/>
        <v xml:space="preserve"> 82 Transport and mobile machine drivers and operatives</v>
      </c>
      <c r="BP66" s="22">
        <f t="shared" si="128"/>
        <v>3.729842266795484</v>
      </c>
      <c r="BQ66" s="22">
        <f t="shared" si="128"/>
        <v>3.5561690685872014</v>
      </c>
      <c r="BR66" s="22">
        <f t="shared" si="128"/>
        <v>3.2615591931418662</v>
      </c>
      <c r="BS66" s="22">
        <f t="shared" si="128"/>
        <v>3.4410692919069215</v>
      </c>
      <c r="BT66" s="22">
        <f t="shared" si="128"/>
        <v>3.6659364044228488</v>
      </c>
      <c r="BV66" s="83">
        <f t="shared" si="102"/>
        <v>-1.3832406454480068</v>
      </c>
      <c r="BW66" s="84">
        <f t="shared" si="103"/>
        <v>37.213876952752479</v>
      </c>
      <c r="BX66" s="84">
        <f t="shared" si="104"/>
        <v>35.830636307304466</v>
      </c>
      <c r="BZ66" s="18" t="str">
        <f t="shared" si="105"/>
        <v xml:space="preserve"> 82 Transport and mobile machine drivers and operatives</v>
      </c>
      <c r="CA66" s="22">
        <f t="shared" si="129"/>
        <v>6.061146831920933</v>
      </c>
      <c r="CB66" s="22">
        <f t="shared" si="129"/>
        <v>5.227418749207164</v>
      </c>
      <c r="CC66" s="22">
        <f t="shared" si="129"/>
        <v>4.2510194078079033</v>
      </c>
      <c r="CD66" s="22">
        <f t="shared" si="129"/>
        <v>4.666558842040458</v>
      </c>
      <c r="CE66" s="22">
        <f t="shared" si="129"/>
        <v>4.8601604986863505</v>
      </c>
      <c r="CF66" s="286"/>
      <c r="CG66" s="83">
        <f t="shared" si="106"/>
        <v>-15.643460479884464</v>
      </c>
      <c r="CH66" s="84">
        <f t="shared" si="107"/>
        <v>30.282097737183673</v>
      </c>
      <c r="CI66" s="84">
        <f t="shared" si="108"/>
        <v>14.638637257299211</v>
      </c>
      <c r="CK66" s="18" t="str">
        <f t="shared" si="109"/>
        <v xml:space="preserve"> 82 Transport and mobile machine drivers and operatives</v>
      </c>
      <c r="CL66" s="22">
        <f t="shared" si="130"/>
        <v>5.5606400625228973</v>
      </c>
      <c r="CM66" s="22">
        <f t="shared" si="130"/>
        <v>5.717307645444623</v>
      </c>
      <c r="CN66" s="22">
        <f t="shared" si="130"/>
        <v>5.1956958109013494</v>
      </c>
      <c r="CO66" s="22">
        <f t="shared" si="130"/>
        <v>6.0405212814897258</v>
      </c>
      <c r="CP66" s="22">
        <f t="shared" si="130"/>
        <v>6.0365242645755073</v>
      </c>
      <c r="CR66" s="83">
        <f t="shared" si="110"/>
        <v>-36.603049945993718</v>
      </c>
      <c r="CS66" s="84">
        <f t="shared" si="111"/>
        <v>19.478381407717325</v>
      </c>
      <c r="CT66" s="84">
        <f t="shared" si="112"/>
        <v>-17.124668538276396</v>
      </c>
    </row>
    <row r="67" spans="1:98" x14ac:dyDescent="0.2">
      <c r="A67" s="18" t="str">
        <f t="shared" si="68"/>
        <v xml:space="preserve"> 91 Elementary trades and related occupations</v>
      </c>
      <c r="B67" s="22">
        <f t="shared" si="122"/>
        <v>6.5478437048638004E-3</v>
      </c>
      <c r="C67" s="22">
        <f t="shared" si="122"/>
        <v>6.7792226141944979E-3</v>
      </c>
      <c r="D67" s="22">
        <f t="shared" si="122"/>
        <v>7.6602333215730622E-3</v>
      </c>
      <c r="E67" s="22">
        <f t="shared" si="122"/>
        <v>9.3598021368691154E-3</v>
      </c>
      <c r="F67" s="22">
        <f t="shared" si="122"/>
        <v>9.0389014171030693E-3</v>
      </c>
      <c r="H67" s="83">
        <f t="shared" si="78"/>
        <v>68.197256531564747</v>
      </c>
      <c r="I67" s="84">
        <f t="shared" si="79"/>
        <v>48.060405751583339</v>
      </c>
      <c r="J67" s="84">
        <f t="shared" si="80"/>
        <v>116.25766228314809</v>
      </c>
      <c r="L67" s="18" t="str">
        <f t="shared" si="81"/>
        <v xml:space="preserve"> 91 Elementary trades and related occupations</v>
      </c>
      <c r="M67" s="22">
        <f t="shared" si="123"/>
        <v>9.2188369104043877E-2</v>
      </c>
      <c r="N67" s="22">
        <f t="shared" si="123"/>
        <v>0.20043466464700235</v>
      </c>
      <c r="O67" s="22">
        <f t="shared" si="123"/>
        <v>0.20320962881004417</v>
      </c>
      <c r="P67" s="22">
        <f t="shared" si="123"/>
        <v>0.25614576445316073</v>
      </c>
      <c r="Q67" s="22">
        <f t="shared" si="123"/>
        <v>0.2817052349729966</v>
      </c>
      <c r="S67" s="83">
        <f t="shared" si="82"/>
        <v>92.119861009244161</v>
      </c>
      <c r="T67" s="84">
        <f t="shared" si="83"/>
        <v>44.436252999258571</v>
      </c>
      <c r="U67" s="84">
        <f t="shared" si="84"/>
        <v>136.55611400850273</v>
      </c>
      <c r="W67" s="18" t="str">
        <f t="shared" si="85"/>
        <v xml:space="preserve"> 91 Elementary trades and related occupations</v>
      </c>
      <c r="X67" s="22">
        <f t="shared" si="124"/>
        <v>0.41969676671334666</v>
      </c>
      <c r="Y67" s="22">
        <f t="shared" si="124"/>
        <v>0.42512494880628171</v>
      </c>
      <c r="Z67" s="22">
        <f t="shared" si="124"/>
        <v>0.49035336363068827</v>
      </c>
      <c r="AA67" s="22">
        <f t="shared" si="124"/>
        <v>0.5897623987247842</v>
      </c>
      <c r="AB67" s="22">
        <f t="shared" si="124"/>
        <v>0.60759102049246927</v>
      </c>
      <c r="AD67" s="83">
        <f t="shared" si="86"/>
        <v>63.323166027581323</v>
      </c>
      <c r="AE67" s="84">
        <f t="shared" si="87"/>
        <v>57.78826520716526</v>
      </c>
      <c r="AF67" s="84">
        <f t="shared" si="88"/>
        <v>121.11143123474658</v>
      </c>
      <c r="AH67" s="18" t="str">
        <f t="shared" si="89"/>
        <v xml:space="preserve"> 91 Elementary trades and related occupations</v>
      </c>
      <c r="AI67" s="22">
        <f t="shared" si="125"/>
        <v>0.60418810212576513</v>
      </c>
      <c r="AJ67" s="22">
        <f t="shared" si="125"/>
        <v>0.76677199043605548</v>
      </c>
      <c r="AK67" s="22">
        <f t="shared" si="125"/>
        <v>0.96150621790185242</v>
      </c>
      <c r="AL67" s="22">
        <f t="shared" si="125"/>
        <v>1.3104067942849298</v>
      </c>
      <c r="AM67" s="22">
        <f t="shared" si="125"/>
        <v>1.5041115777505567</v>
      </c>
      <c r="AO67" s="83">
        <f t="shared" si="90"/>
        <v>63.034852564558477</v>
      </c>
      <c r="AP67" s="84">
        <f t="shared" si="91"/>
        <v>65.272570094803427</v>
      </c>
      <c r="AQ67" s="84">
        <f t="shared" si="92"/>
        <v>128.30742265936192</v>
      </c>
      <c r="AS67" s="18" t="str">
        <f t="shared" si="93"/>
        <v xml:space="preserve"> 91 Elementary trades and related occupations</v>
      </c>
      <c r="AT67" s="22">
        <f t="shared" si="126"/>
        <v>1.1690639239711433</v>
      </c>
      <c r="AU67" s="22">
        <f t="shared" si="126"/>
        <v>1.3445955989301051</v>
      </c>
      <c r="AV67" s="22">
        <f t="shared" si="126"/>
        <v>1.728848730072416</v>
      </c>
      <c r="AW67" s="22">
        <f t="shared" si="126"/>
        <v>1.9713133941319003</v>
      </c>
      <c r="AX67" s="22">
        <f t="shared" si="126"/>
        <v>2.0998587815644227</v>
      </c>
      <c r="AZ67" s="83">
        <f t="shared" si="94"/>
        <v>54.488768387136041</v>
      </c>
      <c r="BA67" s="84">
        <f t="shared" si="95"/>
        <v>46.560023720279801</v>
      </c>
      <c r="BB67" s="84">
        <f t="shared" si="96"/>
        <v>101.04879210741586</v>
      </c>
      <c r="BD67" s="18" t="str">
        <f t="shared" si="97"/>
        <v xml:space="preserve"> 91 Elementary trades and related occupations</v>
      </c>
      <c r="BE67" s="22">
        <f t="shared" si="127"/>
        <v>1.5370594254137591</v>
      </c>
      <c r="BF67" s="22">
        <f t="shared" si="127"/>
        <v>1.5592180960458628</v>
      </c>
      <c r="BG67" s="22">
        <f t="shared" si="127"/>
        <v>1.5529011586074213</v>
      </c>
      <c r="BH67" s="22">
        <f t="shared" si="127"/>
        <v>1.6170692048343551</v>
      </c>
      <c r="BI67" s="22">
        <f t="shared" si="127"/>
        <v>1.6159456491368993</v>
      </c>
      <c r="BK67" s="83">
        <f t="shared" si="98"/>
        <v>3.0579411861465617</v>
      </c>
      <c r="BL67" s="84">
        <f t="shared" si="99"/>
        <v>25.994532257974097</v>
      </c>
      <c r="BM67" s="84">
        <f t="shared" si="100"/>
        <v>29.05247344412065</v>
      </c>
      <c r="BO67" s="18" t="str">
        <f t="shared" si="101"/>
        <v xml:space="preserve"> 91 Elementary trades and related occupations</v>
      </c>
      <c r="BP67" s="22">
        <f t="shared" si="128"/>
        <v>2.3988553044937957</v>
      </c>
      <c r="BQ67" s="22">
        <f t="shared" si="128"/>
        <v>2.4240078826618778</v>
      </c>
      <c r="BR67" s="22">
        <f t="shared" si="128"/>
        <v>2.4644799963318413</v>
      </c>
      <c r="BS67" s="22">
        <f t="shared" si="128"/>
        <v>2.5461158264346118</v>
      </c>
      <c r="BT67" s="22">
        <f t="shared" si="128"/>
        <v>2.5876585975823181</v>
      </c>
      <c r="BV67" s="83">
        <f t="shared" si="102"/>
        <v>-7.876008840274018</v>
      </c>
      <c r="BW67" s="84">
        <f t="shared" si="103"/>
        <v>26.744912654929898</v>
      </c>
      <c r="BX67" s="84">
        <f t="shared" si="104"/>
        <v>18.868903814655884</v>
      </c>
      <c r="BZ67" s="18" t="str">
        <f t="shared" si="105"/>
        <v xml:space="preserve"> 91 Elementary trades and related occupations</v>
      </c>
      <c r="CA67" s="22">
        <f t="shared" si="129"/>
        <v>3.9603491480345356</v>
      </c>
      <c r="CB67" s="22">
        <f t="shared" si="129"/>
        <v>4.289043203881147</v>
      </c>
      <c r="CC67" s="22">
        <f t="shared" si="129"/>
        <v>4.2800394803130883</v>
      </c>
      <c r="CD67" s="22">
        <f t="shared" si="129"/>
        <v>4.9687873484061464</v>
      </c>
      <c r="CE67" s="22">
        <f t="shared" si="129"/>
        <v>5.6806056937285767</v>
      </c>
      <c r="CF67" s="286"/>
      <c r="CG67" s="83">
        <f t="shared" si="106"/>
        <v>-2.0717256053890716</v>
      </c>
      <c r="CH67" s="84">
        <f t="shared" si="107"/>
        <v>26.732475117587001</v>
      </c>
      <c r="CI67" s="84">
        <f t="shared" si="108"/>
        <v>24.660749512197931</v>
      </c>
      <c r="CK67" s="18" t="str">
        <f t="shared" si="109"/>
        <v xml:space="preserve"> 91 Elementary trades and related occupations</v>
      </c>
      <c r="CL67" s="22">
        <f t="shared" si="130"/>
        <v>5.6480718765600368</v>
      </c>
      <c r="CM67" s="22">
        <f t="shared" si="130"/>
        <v>5.6489834102077472</v>
      </c>
      <c r="CN67" s="22">
        <f t="shared" si="130"/>
        <v>5.3748707730712191</v>
      </c>
      <c r="CO67" s="22">
        <f t="shared" si="130"/>
        <v>5.8600509093996669</v>
      </c>
      <c r="CP67" s="22">
        <f t="shared" si="130"/>
        <v>6.355482967353038</v>
      </c>
      <c r="CR67" s="83">
        <f t="shared" si="110"/>
        <v>-35.478320547299404</v>
      </c>
      <c r="CS67" s="84">
        <f t="shared" si="111"/>
        <v>14.638138487837082</v>
      </c>
      <c r="CT67" s="84">
        <f t="shared" si="112"/>
        <v>-20.840182059462322</v>
      </c>
    </row>
    <row r="68" spans="1:98" x14ac:dyDescent="0.2">
      <c r="A68" s="18" t="str">
        <f t="shared" si="68"/>
        <v xml:space="preserve"> 92 Elementary administration and service occupations</v>
      </c>
      <c r="B68" s="22">
        <f t="shared" si="122"/>
        <v>0.39591460604753004</v>
      </c>
      <c r="C68" s="22">
        <f t="shared" si="122"/>
        <v>0.50264946195483995</v>
      </c>
      <c r="D68" s="22">
        <f t="shared" si="122"/>
        <v>0.54961398006777296</v>
      </c>
      <c r="E68" s="22">
        <f t="shared" si="122"/>
        <v>0.67384382255132091</v>
      </c>
      <c r="F68" s="22">
        <f t="shared" si="122"/>
        <v>0.67593901810290768</v>
      </c>
      <c r="H68" s="83">
        <f t="shared" si="78"/>
        <v>75.305281880143369</v>
      </c>
      <c r="I68" s="84">
        <f t="shared" si="79"/>
        <v>46.854228744938489</v>
      </c>
      <c r="J68" s="84">
        <f t="shared" si="80"/>
        <v>122.15951062508185</v>
      </c>
      <c r="L68" s="18" t="str">
        <f t="shared" si="81"/>
        <v xml:space="preserve"> 92 Elementary administration and service occupations</v>
      </c>
      <c r="M68" s="22">
        <f t="shared" si="123"/>
        <v>1.352786538132362</v>
      </c>
      <c r="N68" s="22">
        <f t="shared" si="123"/>
        <v>1.6345888974141631</v>
      </c>
      <c r="O68" s="22">
        <f t="shared" si="123"/>
        <v>2.0778818272788326</v>
      </c>
      <c r="P68" s="22">
        <f t="shared" si="123"/>
        <v>2.6419600648889472</v>
      </c>
      <c r="Q68" s="22">
        <f t="shared" si="123"/>
        <v>2.9562491999458738</v>
      </c>
      <c r="S68" s="83">
        <f t="shared" si="82"/>
        <v>97.170448534819386</v>
      </c>
      <c r="T68" s="84">
        <f t="shared" si="83"/>
        <v>48.329244128155352</v>
      </c>
      <c r="U68" s="84">
        <f t="shared" si="84"/>
        <v>145.49969266297475</v>
      </c>
      <c r="W68" s="18" t="str">
        <f t="shared" si="85"/>
        <v xml:space="preserve"> 92 Elementary administration and service occupations</v>
      </c>
      <c r="X68" s="22">
        <f t="shared" si="124"/>
        <v>2.8917110688328624</v>
      </c>
      <c r="Y68" s="22">
        <f t="shared" si="124"/>
        <v>3.2373820090954091</v>
      </c>
      <c r="Z68" s="22">
        <f t="shared" si="124"/>
        <v>3.9872609194983011</v>
      </c>
      <c r="AA68" s="22">
        <f t="shared" si="124"/>
        <v>4.9419729051844472</v>
      </c>
      <c r="AB68" s="22">
        <f t="shared" si="124"/>
        <v>5.3902920829112055</v>
      </c>
      <c r="AD68" s="83">
        <f t="shared" si="86"/>
        <v>78.18996594165381</v>
      </c>
      <c r="AE68" s="84">
        <f t="shared" si="87"/>
        <v>62.702298358047607</v>
      </c>
      <c r="AF68" s="84">
        <f t="shared" si="88"/>
        <v>140.89226429970142</v>
      </c>
      <c r="AH68" s="18" t="str">
        <f t="shared" si="89"/>
        <v xml:space="preserve"> 92 Elementary administration and service occupations</v>
      </c>
      <c r="AI68" s="22">
        <f t="shared" si="125"/>
        <v>3.0136637198598755</v>
      </c>
      <c r="AJ68" s="22">
        <f t="shared" si="125"/>
        <v>4.2421571830689206</v>
      </c>
      <c r="AK68" s="22">
        <f t="shared" si="125"/>
        <v>5.4002037247222967</v>
      </c>
      <c r="AL68" s="22">
        <f t="shared" si="125"/>
        <v>7.2881740084038995</v>
      </c>
      <c r="AM68" s="22">
        <f t="shared" si="125"/>
        <v>8.341018528874466</v>
      </c>
      <c r="AO68" s="83">
        <f t="shared" si="90"/>
        <v>60.976114232953492</v>
      </c>
      <c r="AP68" s="84">
        <f t="shared" si="91"/>
        <v>56.214925286765336</v>
      </c>
      <c r="AQ68" s="84">
        <f t="shared" si="92"/>
        <v>117.19103951971883</v>
      </c>
      <c r="AS68" s="18" t="str">
        <f t="shared" si="93"/>
        <v xml:space="preserve"> 92 Elementary administration and service occupations</v>
      </c>
      <c r="AT68" s="22">
        <f t="shared" si="126"/>
        <v>5.0756131328654179</v>
      </c>
      <c r="AU68" s="22">
        <f t="shared" si="126"/>
        <v>5.5401008981590785</v>
      </c>
      <c r="AV68" s="22">
        <f t="shared" si="126"/>
        <v>6.552446469158232</v>
      </c>
      <c r="AW68" s="22">
        <f t="shared" si="126"/>
        <v>7.7304813448735947</v>
      </c>
      <c r="AX68" s="22">
        <f t="shared" si="126"/>
        <v>8.2962491370121469</v>
      </c>
      <c r="AZ68" s="83">
        <f t="shared" si="94"/>
        <v>61.04309974179867</v>
      </c>
      <c r="BA68" s="84">
        <f t="shared" si="95"/>
        <v>54.151613012664171</v>
      </c>
      <c r="BB68" s="84">
        <f t="shared" si="96"/>
        <v>115.19471275446283</v>
      </c>
      <c r="BD68" s="18" t="str">
        <f t="shared" si="97"/>
        <v xml:space="preserve"> 92 Elementary administration and service occupations</v>
      </c>
      <c r="BE68" s="22">
        <f t="shared" si="127"/>
        <v>9.8697368230044251</v>
      </c>
      <c r="BF68" s="22">
        <f t="shared" si="127"/>
        <v>8.8904946269371941</v>
      </c>
      <c r="BG68" s="22">
        <f t="shared" si="127"/>
        <v>8.4777785616264971</v>
      </c>
      <c r="BH68" s="22">
        <f t="shared" si="127"/>
        <v>8.5121677330195844</v>
      </c>
      <c r="BI68" s="22">
        <f t="shared" si="127"/>
        <v>8.2202111516398944</v>
      </c>
      <c r="BK68" s="83">
        <f t="shared" si="98"/>
        <v>-3.9716578295711251</v>
      </c>
      <c r="BL68" s="84">
        <f t="shared" si="99"/>
        <v>31.783078465005936</v>
      </c>
      <c r="BM68" s="84">
        <f t="shared" si="100"/>
        <v>27.811420635434814</v>
      </c>
      <c r="BO68" s="18" t="str">
        <f t="shared" si="101"/>
        <v xml:space="preserve"> 92 Elementary administration and service occupations</v>
      </c>
      <c r="BP68" s="22">
        <f t="shared" si="128"/>
        <v>13.956341807272905</v>
      </c>
      <c r="BQ68" s="22">
        <f t="shared" si="128"/>
        <v>13.23616537318194</v>
      </c>
      <c r="BR68" s="22">
        <f t="shared" si="128"/>
        <v>13.262466204921017</v>
      </c>
      <c r="BS68" s="22">
        <f t="shared" si="128"/>
        <v>14.339802231957483</v>
      </c>
      <c r="BT68" s="22">
        <f t="shared" si="128"/>
        <v>14.832419491111191</v>
      </c>
      <c r="BV68" s="83">
        <f t="shared" si="102"/>
        <v>-1.8752022346185941</v>
      </c>
      <c r="BW68" s="84">
        <f t="shared" si="103"/>
        <v>34.066664468044024</v>
      </c>
      <c r="BX68" s="84">
        <f t="shared" si="104"/>
        <v>32.191462233425433</v>
      </c>
      <c r="BZ68" s="18" t="str">
        <f t="shared" si="105"/>
        <v xml:space="preserve"> 92 Elementary administration and service occupations</v>
      </c>
      <c r="CA68" s="22">
        <f t="shared" si="129"/>
        <v>17.741223231156258</v>
      </c>
      <c r="CB68" s="22">
        <f t="shared" si="129"/>
        <v>17.123549499992919</v>
      </c>
      <c r="CC68" s="22">
        <f t="shared" si="129"/>
        <v>17.441719129629615</v>
      </c>
      <c r="CD68" s="22">
        <f t="shared" si="129"/>
        <v>18.789266114729266</v>
      </c>
      <c r="CE68" s="22">
        <f t="shared" si="129"/>
        <v>19.157996893451436</v>
      </c>
      <c r="CF68" s="286"/>
      <c r="CG68" s="83">
        <f t="shared" si="106"/>
        <v>-18.955780888989963</v>
      </c>
      <c r="CH68" s="84">
        <f t="shared" si="107"/>
        <v>24.345850906586055</v>
      </c>
      <c r="CI68" s="84">
        <f t="shared" si="108"/>
        <v>5.3900700175960914</v>
      </c>
      <c r="CK68" s="18" t="str">
        <f t="shared" si="109"/>
        <v xml:space="preserve"> 92 Elementary administration and service occupations</v>
      </c>
      <c r="CL68" s="22">
        <f t="shared" si="130"/>
        <v>26.284587959200721</v>
      </c>
      <c r="CM68" s="22">
        <f t="shared" si="130"/>
        <v>23.031179272543874</v>
      </c>
      <c r="CN68" s="22">
        <f t="shared" si="130"/>
        <v>20.538682173427738</v>
      </c>
      <c r="CO68" s="22">
        <f t="shared" si="130"/>
        <v>19.050101558579762</v>
      </c>
      <c r="CP68" s="22">
        <f t="shared" si="130"/>
        <v>17.6785067686118</v>
      </c>
      <c r="CR68" s="83">
        <f t="shared" si="110"/>
        <v>-53.032425185314956</v>
      </c>
      <c r="CS68" s="84">
        <f t="shared" si="111"/>
        <v>11.396542494703079</v>
      </c>
      <c r="CT68" s="84">
        <f t="shared" si="112"/>
        <v>-41.635882690611879</v>
      </c>
    </row>
    <row r="69" spans="1:98" x14ac:dyDescent="0.2">
      <c r="A69" s="18"/>
      <c r="B69" s="22"/>
      <c r="C69" s="22"/>
      <c r="D69" s="22"/>
      <c r="E69" s="22"/>
      <c r="F69" s="22"/>
      <c r="H69" s="83"/>
      <c r="I69" s="84"/>
      <c r="J69" s="84"/>
      <c r="L69" s="18"/>
      <c r="M69" s="22"/>
      <c r="N69" s="22"/>
      <c r="O69" s="22"/>
      <c r="P69" s="22"/>
      <c r="Q69" s="22"/>
      <c r="S69" s="83"/>
      <c r="T69" s="84"/>
      <c r="U69" s="84"/>
      <c r="W69" s="18"/>
      <c r="X69" s="22"/>
      <c r="Y69" s="22"/>
      <c r="Z69" s="22"/>
      <c r="AA69" s="22"/>
      <c r="AB69" s="22"/>
      <c r="AD69" s="83"/>
      <c r="AE69" s="84"/>
      <c r="AF69" s="84"/>
      <c r="AH69" s="18"/>
      <c r="AI69" s="22"/>
      <c r="AJ69" s="22"/>
      <c r="AK69" s="22"/>
      <c r="AL69" s="22"/>
      <c r="AM69" s="22"/>
      <c r="AO69" s="83"/>
      <c r="AP69" s="84"/>
      <c r="AQ69" s="84"/>
      <c r="AS69" s="18"/>
      <c r="AT69" s="22"/>
      <c r="AU69" s="22"/>
      <c r="AV69" s="22"/>
      <c r="AW69" s="22"/>
      <c r="AX69" s="22"/>
      <c r="AZ69" s="83"/>
      <c r="BA69" s="84"/>
      <c r="BB69" s="84"/>
      <c r="BD69" s="18"/>
      <c r="BE69" s="22"/>
      <c r="BF69" s="22"/>
      <c r="BG69" s="22"/>
      <c r="BH69" s="22"/>
      <c r="BI69" s="22"/>
      <c r="BK69" s="83"/>
      <c r="BL69" s="84"/>
      <c r="BM69" s="84"/>
      <c r="BO69" s="18"/>
      <c r="BP69" s="22"/>
      <c r="BQ69" s="22"/>
      <c r="BR69" s="22"/>
      <c r="BS69" s="22"/>
      <c r="BT69" s="22"/>
      <c r="BV69" s="83"/>
      <c r="BW69" s="84"/>
      <c r="BX69" s="84"/>
      <c r="BZ69" s="18"/>
      <c r="CA69" s="22"/>
      <c r="CB69" s="22"/>
      <c r="CC69" s="22"/>
      <c r="CD69" s="22"/>
      <c r="CE69" s="22"/>
      <c r="CF69" s="286"/>
      <c r="CG69" s="83"/>
      <c r="CH69" s="84"/>
      <c r="CI69" s="84"/>
      <c r="CK69" s="18"/>
      <c r="CL69" s="22"/>
      <c r="CM69" s="22"/>
      <c r="CN69" s="22"/>
      <c r="CO69" s="22"/>
      <c r="CP69" s="22"/>
      <c r="CR69" s="83"/>
      <c r="CS69" s="84"/>
      <c r="CT69" s="84"/>
    </row>
    <row r="70" spans="1:98" x14ac:dyDescent="0.2">
      <c r="A70" s="28" t="str">
        <f>A34</f>
        <v>All occupations</v>
      </c>
      <c r="B70" s="30">
        <f>B34/B$34*100</f>
        <v>100</v>
      </c>
      <c r="C70" s="30">
        <f>C34/C$34*100</f>
        <v>100</v>
      </c>
      <c r="D70" s="30">
        <f>D34/D$34*100</f>
        <v>100</v>
      </c>
      <c r="E70" s="30">
        <f>E34/E$34*100</f>
        <v>100</v>
      </c>
      <c r="F70" s="30">
        <f>F34/F$34*100</f>
        <v>100</v>
      </c>
      <c r="H70" s="85">
        <f t="shared" si="78"/>
        <v>42.542790282273188</v>
      </c>
      <c r="I70" s="82">
        <f t="shared" si="79"/>
        <v>36.214596098486737</v>
      </c>
      <c r="J70" s="82">
        <f t="shared" si="80"/>
        <v>78.757386380759925</v>
      </c>
      <c r="L70" s="28" t="str">
        <f>L34</f>
        <v>All occupations</v>
      </c>
      <c r="M70" s="30">
        <f>M34/M$34*100</f>
        <v>100</v>
      </c>
      <c r="N70" s="30">
        <f>N34/N$34*100</f>
        <v>100</v>
      </c>
      <c r="O70" s="30">
        <f>O34/O$34*100</f>
        <v>100</v>
      </c>
      <c r="P70" s="30">
        <f>P34/P$34*100</f>
        <v>100</v>
      </c>
      <c r="Q70" s="30">
        <f>Q34/Q$34*100</f>
        <v>100</v>
      </c>
      <c r="S70" s="85">
        <f t="shared" ref="S70" si="131">IF(O34&gt;0,(S34/O34)*100,0)</f>
        <v>38.586723979297354</v>
      </c>
      <c r="T70" s="82">
        <f t="shared" ref="T70" si="132">IF(O34&gt;0,T34/O34*100,0)</f>
        <v>37.524085124788215</v>
      </c>
      <c r="U70" s="82">
        <f t="shared" ref="U70" si="133">IF(O34&gt;0,(U34/O34)*100,0)</f>
        <v>76.110809104085561</v>
      </c>
      <c r="W70" s="28" t="str">
        <f>W34</f>
        <v>All occupations</v>
      </c>
      <c r="X70" s="30">
        <f>X34/X$34*100</f>
        <v>100</v>
      </c>
      <c r="Y70" s="30">
        <f>Y34/Y$34*100</f>
        <v>100</v>
      </c>
      <c r="Z70" s="30">
        <f>Z34/Z$34*100</f>
        <v>100</v>
      </c>
      <c r="AA70" s="30">
        <f>AA34/AA$34*100</f>
        <v>100</v>
      </c>
      <c r="AB70" s="30">
        <f>AB34/AB$34*100</f>
        <v>100</v>
      </c>
      <c r="AD70" s="85">
        <f t="shared" ref="AD70" si="134">IF(Z34&gt;0,(AD34/Z34)*100,0)</f>
        <v>31.809162939119627</v>
      </c>
      <c r="AE70" s="82">
        <f t="shared" ref="AE70" si="135">IF(Z34&gt;0,AE34/Z34*100,0)</f>
        <v>46.689096214182982</v>
      </c>
      <c r="AF70" s="82">
        <f t="shared" ref="AF70" si="136">IF(Z34&gt;0,(AF34/Z34)*100,0)</f>
        <v>78.498259153302612</v>
      </c>
      <c r="AH70" s="28" t="str">
        <f>AH34</f>
        <v>All occupations</v>
      </c>
      <c r="AI70" s="30">
        <f>AI34/AI$34*100</f>
        <v>100</v>
      </c>
      <c r="AJ70" s="30">
        <f>AJ34/AJ$34*100</f>
        <v>100</v>
      </c>
      <c r="AK70" s="30">
        <f>AK34/AK$34*100</f>
        <v>100</v>
      </c>
      <c r="AL70" s="30">
        <f>AL34/AL$34*100</f>
        <v>100</v>
      </c>
      <c r="AM70" s="30">
        <f>AM34/AM$34*100</f>
        <v>100</v>
      </c>
      <c r="AO70" s="85">
        <f t="shared" ref="AO70" si="137">IF(AK34&gt;0,(AO34/AK34)*100,0)</f>
        <v>4.2203429548574336</v>
      </c>
      <c r="AP70" s="82">
        <f t="shared" ref="AP70" si="138">IF(AK34&gt;0,AP34/AK34*100,0)</f>
        <v>38.489324570488982</v>
      </c>
      <c r="AQ70" s="82">
        <f t="shared" ref="AQ70" si="139">IF(AK34&gt;0,(AQ34/AK34)*100,0)</f>
        <v>42.709667525346418</v>
      </c>
      <c r="AS70" s="28" t="str">
        <f>AS34</f>
        <v>All occupations</v>
      </c>
      <c r="AT70" s="30">
        <f>AT34/AT$34*100</f>
        <v>100</v>
      </c>
      <c r="AU70" s="30">
        <f>AU34/AU$34*100</f>
        <v>100</v>
      </c>
      <c r="AV70" s="30">
        <f>AV34/AV$34*100</f>
        <v>100</v>
      </c>
      <c r="AW70" s="30">
        <f>AW34/AW$34*100</f>
        <v>100</v>
      </c>
      <c r="AX70" s="30">
        <f>AX34/AX$34*100</f>
        <v>100</v>
      </c>
      <c r="AZ70" s="85">
        <f t="shared" ref="AZ70" si="140">IF(AV34&gt;0,(AZ34/AV34)*100,0)</f>
        <v>27.193177646721484</v>
      </c>
      <c r="BA70" s="82">
        <f t="shared" ref="BA70" si="141">IF(AV34&gt;0,BA34/AV34*100,0)</f>
        <v>42.69455536746203</v>
      </c>
      <c r="BB70" s="82">
        <f t="shared" ref="BB70" si="142">IF(AV34&gt;0,(BB34/AV34)*100,0)</f>
        <v>69.88773301418351</v>
      </c>
      <c r="BD70" s="28" t="str">
        <f>BD34</f>
        <v>All occupations</v>
      </c>
      <c r="BE70" s="30">
        <f>BE34/BE$34*100</f>
        <v>100</v>
      </c>
      <c r="BF70" s="30">
        <f>BF34/BF$34*100</f>
        <v>100</v>
      </c>
      <c r="BG70" s="30">
        <f>BG34/BG$34*100</f>
        <v>100</v>
      </c>
      <c r="BH70" s="30">
        <f>BH34/BH$34*100</f>
        <v>100</v>
      </c>
      <c r="BI70" s="30">
        <f>BI34/BI$34*100</f>
        <v>100</v>
      </c>
      <c r="BK70" s="85">
        <f t="shared" ref="BK70" si="143">IF(BG34&gt;0,(BK34/BG34)*100,0)</f>
        <v>-0.96276050055173779</v>
      </c>
      <c r="BL70" s="82">
        <f t="shared" ref="BL70" si="144">IF(BG34&gt;0,BL34/BG34*100,0)</f>
        <v>30.304678333025713</v>
      </c>
      <c r="BM70" s="82">
        <f t="shared" ref="BM70" si="145">IF(BG34&gt;0,(BM34/BG34)*100,0)</f>
        <v>29.341917832473975</v>
      </c>
      <c r="BO70" s="28" t="str">
        <f>BO34</f>
        <v>All occupations</v>
      </c>
      <c r="BP70" s="30">
        <f>BP34/BP$34*100</f>
        <v>100</v>
      </c>
      <c r="BQ70" s="30">
        <f>BQ34/BQ$34*100</f>
        <v>100</v>
      </c>
      <c r="BR70" s="30">
        <f>BR34/BR$34*100</f>
        <v>100</v>
      </c>
      <c r="BS70" s="30">
        <f>BS34/BS$34*100</f>
        <v>100</v>
      </c>
      <c r="BT70" s="30">
        <f>BT34/BT$34*100</f>
        <v>100</v>
      </c>
      <c r="BV70" s="85">
        <f t="shared" ref="BV70" si="146">IF(BR34&gt;0,(BV34/BR34)*100,0)</f>
        <v>-12.26132627869832</v>
      </c>
      <c r="BW70" s="82">
        <f t="shared" ref="BW70" si="147">IF(BR34&gt;0,BW34/BR34*100,0)</f>
        <v>30.054964605023933</v>
      </c>
      <c r="BX70" s="82">
        <f t="shared" ref="BX70" si="148">IF(BR34&gt;0,(BX34/BR34)*100,0)</f>
        <v>17.793638326325613</v>
      </c>
      <c r="BZ70" s="28" t="str">
        <f>BZ34</f>
        <v>All occupations</v>
      </c>
      <c r="CA70" s="30">
        <f>CA34/CA$34*100</f>
        <v>100</v>
      </c>
      <c r="CB70" s="30">
        <f>CB34/CB$34*100</f>
        <v>100</v>
      </c>
      <c r="CC70" s="30">
        <f>CC34/CC$34*100</f>
        <v>100</v>
      </c>
      <c r="CD70" s="30">
        <f>CD34/CD$34*100</f>
        <v>100</v>
      </c>
      <c r="CE70" s="30">
        <f>CE34/CE$34*100</f>
        <v>100</v>
      </c>
      <c r="CF70" s="286"/>
      <c r="CG70" s="85">
        <f t="shared" ref="CG70" si="149">IF(CC34&gt;0,(CG34/CC34)*100,0)</f>
        <v>-26.216163689974508</v>
      </c>
      <c r="CH70" s="82">
        <f t="shared" ref="CH70" si="150">IF(CC34&gt;0,CH34/CC34*100,0)</f>
        <v>22.303403052458901</v>
      </c>
      <c r="CI70" s="82">
        <f t="shared" ref="CI70" si="151">IF(CC34&gt;0,(CI34/CC34)*100,0)</f>
        <v>-3.9127606375156101</v>
      </c>
      <c r="CK70" s="28" t="str">
        <f>CK34</f>
        <v>All occupations</v>
      </c>
      <c r="CL70" s="30">
        <f>CL34/CL$34*100</f>
        <v>100</v>
      </c>
      <c r="CM70" s="30">
        <f>CM34/CM$34*100</f>
        <v>100</v>
      </c>
      <c r="CN70" s="30">
        <f>CN34/CN$34*100</f>
        <v>100</v>
      </c>
      <c r="CO70" s="30">
        <f>CO34/CO$34*100</f>
        <v>100</v>
      </c>
      <c r="CP70" s="30">
        <f>CP34/CP$34*100</f>
        <v>100</v>
      </c>
      <c r="CR70" s="85">
        <f t="shared" ref="CR70" si="152">IF(CN34&gt;0,(CR34/CN34)*100,0)</f>
        <v>-45.43362150426384</v>
      </c>
      <c r="CS70" s="82">
        <f t="shared" ref="CS70" si="153">IF(CN34&gt;0,CS34/CN34*100,0)</f>
        <v>13.720895293398735</v>
      </c>
      <c r="CT70" s="82">
        <f t="shared" ref="CT70" si="154">IF(CN34&gt;0,(CT34/CN34)*100,0)</f>
        <v>-31.7127262108651</v>
      </c>
    </row>
    <row r="71" spans="1:98" x14ac:dyDescent="0.2">
      <c r="BZ71" s="286"/>
      <c r="CA71" s="286"/>
      <c r="CB71" s="286"/>
      <c r="CC71" s="286"/>
      <c r="CD71" s="286"/>
      <c r="CE71" s="286"/>
      <c r="CF71" s="286"/>
    </row>
    <row r="72" spans="1:98" x14ac:dyDescent="0.2">
      <c r="BZ72" s="286"/>
      <c r="CA72" s="286"/>
      <c r="CB72" s="286"/>
      <c r="CC72" s="286"/>
      <c r="CD72" s="286"/>
      <c r="CE72" s="286"/>
      <c r="CF72" s="286"/>
    </row>
    <row r="73" spans="1:98" ht="51" customHeight="1" x14ac:dyDescent="0.2">
      <c r="A73" s="528" t="str">
        <f>CONCATENATE(A$1," (Continued)")</f>
        <v>Basic Table 2  Employment Change by Occupation and Replacement Demand, RQF8 Doctorate, 2007-2027, Wales (Continued)</v>
      </c>
      <c r="B73" s="528"/>
      <c r="C73" s="528"/>
      <c r="D73" s="528"/>
      <c r="E73" s="528"/>
      <c r="F73" s="528"/>
      <c r="G73" s="528"/>
      <c r="H73" s="528"/>
      <c r="I73" s="528"/>
      <c r="J73" s="528"/>
      <c r="L73" s="528" t="str">
        <f>CONCATENATE(L$1," (Continued)")</f>
        <v>Basic Table 2.1  Employment Change by Occupation and Replacement Demand, RQF7 Other higher degree, 2007-2027, Wales (Continued)</v>
      </c>
      <c r="M73" s="528"/>
      <c r="N73" s="528"/>
      <c r="O73" s="528"/>
      <c r="P73" s="528"/>
      <c r="Q73" s="528"/>
      <c r="R73" s="528"/>
      <c r="S73" s="528"/>
      <c r="T73" s="528"/>
      <c r="U73" s="528"/>
      <c r="W73" s="528" t="str">
        <f>CONCATENATE(W$1," (Continued)")</f>
        <v>Basic Table 2.2  Employment Change by Occupation and Replacement Demand, RQF6 First degree, 2007-2027, Wales (Continued)</v>
      </c>
      <c r="X73" s="528"/>
      <c r="Y73" s="528"/>
      <c r="Z73" s="528"/>
      <c r="AA73" s="528"/>
      <c r="AB73" s="528"/>
      <c r="AC73" s="528"/>
      <c r="AD73" s="528"/>
      <c r="AE73" s="528"/>
      <c r="AF73" s="528"/>
      <c r="AH73" s="528" t="str">
        <f>CONCATENATE(AH$1," (Continued)")</f>
        <v>Basic Table 2.3  Employment Change by Occupation and Replacement Demand, RQF5 Foundation degree;Nursing;Teaching, 2007-2027, Wales (Continued)</v>
      </c>
      <c r="AI73" s="528"/>
      <c r="AJ73" s="528"/>
      <c r="AK73" s="528"/>
      <c r="AL73" s="528"/>
      <c r="AM73" s="528"/>
      <c r="AN73" s="528"/>
      <c r="AO73" s="528"/>
      <c r="AP73" s="528"/>
      <c r="AQ73" s="528"/>
      <c r="AS73" s="528" t="str">
        <f>CONCATENATE(AS$1," (Continued)")</f>
        <v>Basic Table 2.4  Employment Change by Occupation and Replacement Demand, RQF4 HE below degree level, 2007-2027, Wales (Continued)</v>
      </c>
      <c r="AT73" s="528"/>
      <c r="AU73" s="528"/>
      <c r="AV73" s="528"/>
      <c r="AW73" s="528"/>
      <c r="AX73" s="528"/>
      <c r="AY73" s="528"/>
      <c r="AZ73" s="528"/>
      <c r="BA73" s="528"/>
      <c r="BB73" s="528"/>
      <c r="BD73" s="528" t="str">
        <f>CONCATENATE(BD$1," (Continued)")</f>
        <v>Basic Table 2.5  Employment Change by Occupation and Replacement Demand, RQF3 A level &amp; equivalent, 2007-2027, Wales (Continued)</v>
      </c>
      <c r="BE73" s="528"/>
      <c r="BF73" s="528"/>
      <c r="BG73" s="528"/>
      <c r="BH73" s="528"/>
      <c r="BI73" s="528"/>
      <c r="BJ73" s="528"/>
      <c r="BK73" s="528"/>
      <c r="BL73" s="528"/>
      <c r="BM73" s="528"/>
      <c r="BO73" s="528" t="str">
        <f>CONCATENATE(BO$1," (Continued)")</f>
        <v>Basic Table 2.6  Employment Change by Occupation and Replacement Demand, RQF2 GCSE(A-C) &amp; equivalent, 2007-2027, Wales (Continued)</v>
      </c>
      <c r="BP73" s="528"/>
      <c r="BQ73" s="528"/>
      <c r="BR73" s="528"/>
      <c r="BS73" s="528"/>
      <c r="BT73" s="528"/>
      <c r="BU73" s="528"/>
      <c r="BV73" s="528"/>
      <c r="BW73" s="528"/>
      <c r="BX73" s="528"/>
      <c r="BZ73" s="528" t="str">
        <f>CONCATENATE(BZ$1," (Continued)")</f>
        <v>Basic Table 2.7  Employment Change by Occupation and Replacement Demand, RQF1 GCSE(below grade C) &amp; equivalent, 2007-2027, Wales (Continued)</v>
      </c>
      <c r="CA73" s="528"/>
      <c r="CB73" s="528"/>
      <c r="CC73" s="528"/>
      <c r="CD73" s="528"/>
      <c r="CE73" s="528"/>
      <c r="CF73" s="528"/>
      <c r="CG73" s="528"/>
      <c r="CH73" s="528"/>
      <c r="CI73" s="528"/>
      <c r="CK73" s="528" t="str">
        <f>CONCATENATE(CK$1," (Continued)")</f>
        <v>Basic Table 2.8  Employment Change by Occupation and Replacement Demand, No Qualification, 2007-2027, Wales (Continued)</v>
      </c>
      <c r="CL73" s="528"/>
      <c r="CM73" s="528"/>
      <c r="CN73" s="528"/>
      <c r="CO73" s="528"/>
      <c r="CP73" s="528"/>
      <c r="CQ73" s="528"/>
      <c r="CR73" s="528"/>
      <c r="CS73" s="528"/>
      <c r="CT73" s="528"/>
    </row>
    <row r="74" spans="1:98" x14ac:dyDescent="0.2">
      <c r="BZ74" s="286"/>
      <c r="CA74" s="286"/>
      <c r="CB74" s="286"/>
      <c r="CC74" s="286"/>
      <c r="CD74" s="286"/>
      <c r="CE74" s="286"/>
      <c r="CF74" s="286"/>
    </row>
    <row r="75" spans="1:98" x14ac:dyDescent="0.2">
      <c r="F75" s="19" t="s">
        <v>36</v>
      </c>
      <c r="J75" s="19" t="s">
        <v>36</v>
      </c>
      <c r="Q75" s="19" t="s">
        <v>36</v>
      </c>
      <c r="U75" s="19" t="s">
        <v>36</v>
      </c>
      <c r="AB75" s="19" t="s">
        <v>36</v>
      </c>
      <c r="AF75" s="19" t="s">
        <v>36</v>
      </c>
      <c r="AM75" s="19" t="s">
        <v>36</v>
      </c>
      <c r="AQ75" s="19" t="s">
        <v>36</v>
      </c>
      <c r="AX75" s="19" t="s">
        <v>36</v>
      </c>
      <c r="BB75" s="19" t="s">
        <v>36</v>
      </c>
      <c r="BI75" s="19" t="s">
        <v>36</v>
      </c>
      <c r="BM75" s="19" t="s">
        <v>36</v>
      </c>
      <c r="BT75" s="19" t="s">
        <v>36</v>
      </c>
      <c r="BX75" s="19" t="s">
        <v>36</v>
      </c>
      <c r="BZ75" s="286"/>
      <c r="CA75" s="286"/>
      <c r="CB75" s="286"/>
      <c r="CC75" s="286"/>
      <c r="CD75" s="286"/>
      <c r="CE75" s="19" t="s">
        <v>36</v>
      </c>
      <c r="CF75" s="286"/>
      <c r="CI75" s="19" t="s">
        <v>36</v>
      </c>
      <c r="CP75" s="19" t="s">
        <v>36</v>
      </c>
      <c r="CT75" s="19" t="s">
        <v>36</v>
      </c>
    </row>
    <row r="76" spans="1:98" x14ac:dyDescent="0.2">
      <c r="A76" s="41"/>
      <c r="B76" s="41"/>
      <c r="C76" s="41"/>
      <c r="D76" s="41"/>
      <c r="E76" s="41"/>
      <c r="F76" s="41"/>
      <c r="H76" s="32" t="str">
        <f>$H$4</f>
        <v>2017-2027</v>
      </c>
      <c r="I76" s="41"/>
      <c r="J76" s="41"/>
      <c r="L76" s="41"/>
      <c r="M76" s="41"/>
      <c r="N76" s="41"/>
      <c r="O76" s="41"/>
      <c r="P76" s="41"/>
      <c r="Q76" s="41"/>
      <c r="S76" s="32" t="str">
        <f>$H$4</f>
        <v>2017-2027</v>
      </c>
      <c r="T76" s="41"/>
      <c r="U76" s="41"/>
      <c r="W76" s="41"/>
      <c r="X76" s="41"/>
      <c r="Y76" s="41"/>
      <c r="Z76" s="41"/>
      <c r="AA76" s="41"/>
      <c r="AB76" s="41"/>
      <c r="AD76" s="32" t="str">
        <f>$H$4</f>
        <v>2017-2027</v>
      </c>
      <c r="AE76" s="41"/>
      <c r="AF76" s="41"/>
      <c r="AH76" s="41"/>
      <c r="AI76" s="41"/>
      <c r="AJ76" s="41"/>
      <c r="AK76" s="41"/>
      <c r="AL76" s="41"/>
      <c r="AM76" s="41"/>
      <c r="AO76" s="32" t="str">
        <f>$H$4</f>
        <v>2017-2027</v>
      </c>
      <c r="AP76" s="41"/>
      <c r="AQ76" s="41"/>
      <c r="AS76" s="41"/>
      <c r="AT76" s="41"/>
      <c r="AU76" s="41"/>
      <c r="AV76" s="41"/>
      <c r="AW76" s="41"/>
      <c r="AX76" s="41"/>
      <c r="AZ76" s="32" t="str">
        <f>$H$4</f>
        <v>2017-2027</v>
      </c>
      <c r="BA76" s="41"/>
      <c r="BB76" s="41"/>
      <c r="BD76" s="41"/>
      <c r="BE76" s="41"/>
      <c r="BF76" s="41"/>
      <c r="BG76" s="41"/>
      <c r="BH76" s="41"/>
      <c r="BI76" s="41"/>
      <c r="BK76" s="32" t="str">
        <f>$H$4</f>
        <v>2017-2027</v>
      </c>
      <c r="BL76" s="41"/>
      <c r="BM76" s="41"/>
      <c r="BO76" s="41"/>
      <c r="BP76" s="41"/>
      <c r="BQ76" s="41"/>
      <c r="BR76" s="41"/>
      <c r="BS76" s="41"/>
      <c r="BT76" s="41"/>
      <c r="BV76" s="32" t="str">
        <f>$H$4</f>
        <v>2017-2027</v>
      </c>
      <c r="BW76" s="41"/>
      <c r="BX76" s="41"/>
      <c r="BZ76" s="41"/>
      <c r="CA76" s="41"/>
      <c r="CB76" s="41"/>
      <c r="CC76" s="41"/>
      <c r="CD76" s="41"/>
      <c r="CE76" s="41"/>
      <c r="CF76" s="286"/>
      <c r="CG76" s="32" t="str">
        <f>$H$4</f>
        <v>2017-2027</v>
      </c>
      <c r="CH76" s="41"/>
      <c r="CI76" s="41"/>
      <c r="CK76" s="41"/>
      <c r="CL76" s="41"/>
      <c r="CM76" s="41"/>
      <c r="CN76" s="41"/>
      <c r="CO76" s="41"/>
      <c r="CP76" s="41"/>
      <c r="CR76" s="32" t="str">
        <f>$H$4</f>
        <v>2017-2027</v>
      </c>
      <c r="CS76" s="41"/>
      <c r="CT76" s="41"/>
    </row>
    <row r="77" spans="1:98" x14ac:dyDescent="0.2">
      <c r="A77" s="2"/>
      <c r="B77" s="2"/>
      <c r="C77" s="2"/>
      <c r="D77" s="2"/>
      <c r="E77" s="2"/>
      <c r="F77" s="2"/>
      <c r="H77" s="19" t="str">
        <f t="shared" ref="H77:J78" si="155">H41</f>
        <v>Net</v>
      </c>
      <c r="I77" s="19" t="str">
        <f t="shared" si="155"/>
        <v>Replacement</v>
      </c>
      <c r="J77" s="19" t="str">
        <f t="shared" si="155"/>
        <v>Total</v>
      </c>
      <c r="L77" s="2"/>
      <c r="M77" s="2"/>
      <c r="N77" s="2"/>
      <c r="O77" s="2"/>
      <c r="P77" s="2"/>
      <c r="Q77" s="2"/>
      <c r="S77" s="19" t="str">
        <f t="shared" ref="S77:U78" si="156">S41</f>
        <v>Net</v>
      </c>
      <c r="T77" s="19" t="str">
        <f t="shared" si="156"/>
        <v>Replacement</v>
      </c>
      <c r="U77" s="19" t="str">
        <f t="shared" si="156"/>
        <v>Total</v>
      </c>
      <c r="W77" s="2"/>
      <c r="X77" s="2"/>
      <c r="Y77" s="2"/>
      <c r="Z77" s="2"/>
      <c r="AA77" s="2"/>
      <c r="AB77" s="2"/>
      <c r="AD77" s="19" t="str">
        <f t="shared" ref="AD77:AF78" si="157">AD41</f>
        <v>Net</v>
      </c>
      <c r="AE77" s="19" t="str">
        <f t="shared" si="157"/>
        <v>Replacement</v>
      </c>
      <c r="AF77" s="19" t="str">
        <f t="shared" si="157"/>
        <v>Total</v>
      </c>
      <c r="AH77" s="2"/>
      <c r="AI77" s="2"/>
      <c r="AJ77" s="2"/>
      <c r="AK77" s="2"/>
      <c r="AL77" s="2"/>
      <c r="AM77" s="2"/>
      <c r="AO77" s="19" t="str">
        <f t="shared" ref="AO77:AQ78" si="158">AO41</f>
        <v>Net</v>
      </c>
      <c r="AP77" s="19" t="str">
        <f t="shared" si="158"/>
        <v>Replacement</v>
      </c>
      <c r="AQ77" s="19" t="str">
        <f t="shared" si="158"/>
        <v>Total</v>
      </c>
      <c r="AS77" s="2"/>
      <c r="AT77" s="2"/>
      <c r="AU77" s="2"/>
      <c r="AV77" s="2"/>
      <c r="AW77" s="2"/>
      <c r="AX77" s="2"/>
      <c r="AZ77" s="19" t="str">
        <f t="shared" ref="AZ77:BB78" si="159">AZ41</f>
        <v>Net</v>
      </c>
      <c r="BA77" s="19" t="str">
        <f t="shared" si="159"/>
        <v>Replacement</v>
      </c>
      <c r="BB77" s="19" t="str">
        <f t="shared" si="159"/>
        <v>Total</v>
      </c>
      <c r="BD77" s="2"/>
      <c r="BE77" s="2"/>
      <c r="BF77" s="2"/>
      <c r="BG77" s="2"/>
      <c r="BH77" s="2"/>
      <c r="BI77" s="2"/>
      <c r="BK77" s="19" t="str">
        <f t="shared" ref="BK77:BM78" si="160">BK41</f>
        <v>Net</v>
      </c>
      <c r="BL77" s="19" t="str">
        <f t="shared" si="160"/>
        <v>Replacement</v>
      </c>
      <c r="BM77" s="19" t="str">
        <f t="shared" si="160"/>
        <v>Total</v>
      </c>
      <c r="BO77" s="2"/>
      <c r="BP77" s="2"/>
      <c r="BQ77" s="2"/>
      <c r="BR77" s="2"/>
      <c r="BS77" s="2"/>
      <c r="BT77" s="2"/>
      <c r="BV77" s="19" t="str">
        <f t="shared" ref="BV77:BX78" si="161">BV41</f>
        <v>Net</v>
      </c>
      <c r="BW77" s="19" t="str">
        <f t="shared" si="161"/>
        <v>Replacement</v>
      </c>
      <c r="BX77" s="19" t="str">
        <f t="shared" si="161"/>
        <v>Total</v>
      </c>
      <c r="BZ77" s="2"/>
      <c r="CA77" s="2"/>
      <c r="CB77" s="2"/>
      <c r="CC77" s="2"/>
      <c r="CD77" s="2"/>
      <c r="CE77" s="2"/>
      <c r="CF77" s="286"/>
      <c r="CG77" s="19" t="str">
        <f t="shared" ref="CG77:CI78" si="162">CG41</f>
        <v>Net</v>
      </c>
      <c r="CH77" s="19" t="str">
        <f t="shared" si="162"/>
        <v>Replacement</v>
      </c>
      <c r="CI77" s="19" t="str">
        <f t="shared" si="162"/>
        <v>Total</v>
      </c>
      <c r="CK77" s="2"/>
      <c r="CL77" s="2"/>
      <c r="CM77" s="2"/>
      <c r="CN77" s="2"/>
      <c r="CO77" s="2"/>
      <c r="CP77" s="2"/>
      <c r="CR77" s="19" t="str">
        <f t="shared" ref="CR77:CT78" si="163">CR41</f>
        <v>Net</v>
      </c>
      <c r="CS77" s="19" t="str">
        <f t="shared" si="163"/>
        <v>Replacement</v>
      </c>
      <c r="CT77" s="19" t="str">
        <f t="shared" si="163"/>
        <v>Total</v>
      </c>
    </row>
    <row r="78" spans="1:98" x14ac:dyDescent="0.2">
      <c r="A78" s="50" t="s">
        <v>14</v>
      </c>
      <c r="B78" s="76" t="str">
        <f>CONCATENATE(B$6,"-",C$6)</f>
        <v>2007-2012</v>
      </c>
      <c r="C78" s="76" t="str">
        <f>CONCATENATE(C$6,"-",D$6)</f>
        <v>2012-2017</v>
      </c>
      <c r="D78" s="76" t="str">
        <f>CONCATENATE(D$6,"-",E$6)</f>
        <v>2017-2022</v>
      </c>
      <c r="E78" s="76" t="str">
        <f>CONCATENATE(E$6,"-",F$6)</f>
        <v>2022-2027</v>
      </c>
      <c r="F78" s="76" t="str">
        <f>CONCATENATE(C$6,"-",F$6)</f>
        <v>2012-2027</v>
      </c>
      <c r="H78" s="75" t="str">
        <f t="shared" si="155"/>
        <v>Change</v>
      </c>
      <c r="I78" s="75" t="str">
        <f t="shared" si="155"/>
        <v>Demand</v>
      </c>
      <c r="J78" s="75" t="str">
        <f t="shared" si="155"/>
        <v>Requirement</v>
      </c>
      <c r="L78" s="50" t="s">
        <v>14</v>
      </c>
      <c r="M78" s="76" t="str">
        <f>CONCATENATE(M$6,"-",N$6)</f>
        <v>2007-2012</v>
      </c>
      <c r="N78" s="76" t="str">
        <f>CONCATENATE(N$6,"-",O$6)</f>
        <v>2012-2017</v>
      </c>
      <c r="O78" s="76" t="str">
        <f>CONCATENATE(O$6,"-",P$6)</f>
        <v>2017-2022</v>
      </c>
      <c r="P78" s="76" t="str">
        <f>CONCATENATE(P$6,"-",Q$6)</f>
        <v>2022-2027</v>
      </c>
      <c r="Q78" s="76" t="str">
        <f>CONCATENATE(N$6,"-",Q$6)</f>
        <v>2012-2027</v>
      </c>
      <c r="S78" s="75" t="str">
        <f t="shared" si="156"/>
        <v>Change</v>
      </c>
      <c r="T78" s="75" t="str">
        <f t="shared" si="156"/>
        <v>Demand</v>
      </c>
      <c r="U78" s="75" t="str">
        <f t="shared" si="156"/>
        <v>Requirement</v>
      </c>
      <c r="W78" s="50" t="s">
        <v>14</v>
      </c>
      <c r="X78" s="76" t="str">
        <f>CONCATENATE(X$6,"-",Y$6)</f>
        <v>2007-2012</v>
      </c>
      <c r="Y78" s="76" t="str">
        <f>CONCATENATE(Y$6,"-",Z$6)</f>
        <v>2012-2017</v>
      </c>
      <c r="Z78" s="76" t="str">
        <f>CONCATENATE(Z$6,"-",AA$6)</f>
        <v>2017-2022</v>
      </c>
      <c r="AA78" s="76" t="str">
        <f>CONCATENATE(AA$6,"-",AB$6)</f>
        <v>2022-2027</v>
      </c>
      <c r="AB78" s="76" t="str">
        <f>CONCATENATE(Y$6,"-",AB$6)</f>
        <v>2012-2027</v>
      </c>
      <c r="AD78" s="75" t="str">
        <f t="shared" si="157"/>
        <v>Change</v>
      </c>
      <c r="AE78" s="75" t="str">
        <f t="shared" si="157"/>
        <v>Demand</v>
      </c>
      <c r="AF78" s="75" t="str">
        <f t="shared" si="157"/>
        <v>Requirement</v>
      </c>
      <c r="AH78" s="50" t="s">
        <v>14</v>
      </c>
      <c r="AI78" s="76" t="str">
        <f>CONCATENATE(AI$6,"-",AJ$6)</f>
        <v>2007-2012</v>
      </c>
      <c r="AJ78" s="76" t="str">
        <f>CONCATENATE(AJ$6,"-",AK$6)</f>
        <v>2012-2017</v>
      </c>
      <c r="AK78" s="76" t="str">
        <f>CONCATENATE(AK$6,"-",AL$6)</f>
        <v>2017-2022</v>
      </c>
      <c r="AL78" s="76" t="str">
        <f>CONCATENATE(AL$6,"-",AM$6)</f>
        <v>2022-2027</v>
      </c>
      <c r="AM78" s="76" t="str">
        <f>CONCATENATE(AJ$6,"-",AM$6)</f>
        <v>2012-2027</v>
      </c>
      <c r="AO78" s="75" t="str">
        <f t="shared" si="158"/>
        <v>Change</v>
      </c>
      <c r="AP78" s="75" t="str">
        <f t="shared" si="158"/>
        <v>Demand</v>
      </c>
      <c r="AQ78" s="75" t="str">
        <f t="shared" si="158"/>
        <v>Requirement</v>
      </c>
      <c r="AS78" s="50" t="s">
        <v>14</v>
      </c>
      <c r="AT78" s="76" t="str">
        <f>CONCATENATE(AT$6,"-",AU$6)</f>
        <v>2007-2012</v>
      </c>
      <c r="AU78" s="76" t="str">
        <f>CONCATENATE(AU$6,"-",AV$6)</f>
        <v>2012-2017</v>
      </c>
      <c r="AV78" s="76" t="str">
        <f>CONCATENATE(AV$6,"-",AW$6)</f>
        <v>2017-2022</v>
      </c>
      <c r="AW78" s="76" t="str">
        <f>CONCATENATE(AW$6,"-",AX$6)</f>
        <v>2022-2027</v>
      </c>
      <c r="AX78" s="76" t="str">
        <f>CONCATENATE(AU$6,"-",AX$6)</f>
        <v>2012-2027</v>
      </c>
      <c r="AZ78" s="75" t="str">
        <f t="shared" si="159"/>
        <v>Change</v>
      </c>
      <c r="BA78" s="75" t="str">
        <f t="shared" si="159"/>
        <v>Demand</v>
      </c>
      <c r="BB78" s="75" t="str">
        <f t="shared" si="159"/>
        <v>Requirement</v>
      </c>
      <c r="BD78" s="50" t="s">
        <v>14</v>
      </c>
      <c r="BE78" s="76" t="str">
        <f>CONCATENATE(BE$6,"-",BF$6)</f>
        <v>2007-2012</v>
      </c>
      <c r="BF78" s="76" t="str">
        <f>CONCATENATE(BF$6,"-",BG$6)</f>
        <v>2012-2017</v>
      </c>
      <c r="BG78" s="76" t="str">
        <f>CONCATENATE(BG$6,"-",BH$6)</f>
        <v>2017-2022</v>
      </c>
      <c r="BH78" s="76" t="str">
        <f>CONCATENATE(BH$6,"-",BI$6)</f>
        <v>2022-2027</v>
      </c>
      <c r="BI78" s="76" t="str">
        <f>CONCATENATE(BF$6,"-",BI$6)</f>
        <v>2012-2027</v>
      </c>
      <c r="BK78" s="75" t="str">
        <f t="shared" si="160"/>
        <v>Change</v>
      </c>
      <c r="BL78" s="75" t="str">
        <f t="shared" si="160"/>
        <v>Demand</v>
      </c>
      <c r="BM78" s="75" t="str">
        <f t="shared" si="160"/>
        <v>Requirement</v>
      </c>
      <c r="BO78" s="50" t="s">
        <v>14</v>
      </c>
      <c r="BP78" s="76" t="str">
        <f>CONCATENATE(BP$6,"-",BQ$6)</f>
        <v>2007-2012</v>
      </c>
      <c r="BQ78" s="76" t="str">
        <f>CONCATENATE(BQ$6,"-",BR$6)</f>
        <v>2012-2017</v>
      </c>
      <c r="BR78" s="76" t="str">
        <f>CONCATENATE(BR$6,"-",BS$6)</f>
        <v>2017-2022</v>
      </c>
      <c r="BS78" s="76" t="str">
        <f>CONCATENATE(BS$6,"-",BT$6)</f>
        <v>2022-2027</v>
      </c>
      <c r="BT78" s="76" t="str">
        <f>CONCATENATE(BQ$6,"-",BT$6)</f>
        <v>2012-2027</v>
      </c>
      <c r="BV78" s="75" t="str">
        <f t="shared" si="161"/>
        <v>Change</v>
      </c>
      <c r="BW78" s="75" t="str">
        <f t="shared" si="161"/>
        <v>Demand</v>
      </c>
      <c r="BX78" s="75" t="str">
        <f t="shared" si="161"/>
        <v>Requirement</v>
      </c>
      <c r="BZ78" s="50" t="s">
        <v>14</v>
      </c>
      <c r="CA78" s="76" t="str">
        <f>CONCATENATE(CA$6,"-",CB$6)</f>
        <v>2007-2012</v>
      </c>
      <c r="CB78" s="76" t="str">
        <f>CONCATENATE(CB$6,"-",CC$6)</f>
        <v>2012-2017</v>
      </c>
      <c r="CC78" s="76" t="str">
        <f>CONCATENATE(CC$6,"-",CD$6)</f>
        <v>2017-2022</v>
      </c>
      <c r="CD78" s="76" t="str">
        <f>CONCATENATE(CD$6,"-",CE$6)</f>
        <v>2022-2027</v>
      </c>
      <c r="CE78" s="76" t="str">
        <f>CONCATENATE(CB$6,"-",CE$6)</f>
        <v>2012-2027</v>
      </c>
      <c r="CF78" s="286"/>
      <c r="CG78" s="75" t="str">
        <f t="shared" si="162"/>
        <v>Change</v>
      </c>
      <c r="CH78" s="75" t="str">
        <f t="shared" si="162"/>
        <v>Demand</v>
      </c>
      <c r="CI78" s="75" t="str">
        <f t="shared" si="162"/>
        <v>Requirement</v>
      </c>
      <c r="CK78" s="50" t="s">
        <v>14</v>
      </c>
      <c r="CL78" s="76" t="str">
        <f>CONCATENATE(CL$6,"-",CM$6)</f>
        <v>2007-2012</v>
      </c>
      <c r="CM78" s="76" t="str">
        <f>CONCATENATE(CM$6,"-",CN$6)</f>
        <v>2012-2017</v>
      </c>
      <c r="CN78" s="76" t="str">
        <f>CONCATENATE(CN$6,"-",CO$6)</f>
        <v>2017-2022</v>
      </c>
      <c r="CO78" s="76" t="str">
        <f>CONCATENATE(CO$6,"-",CP$6)</f>
        <v>2022-2027</v>
      </c>
      <c r="CP78" s="76" t="str">
        <f>CONCATENATE(CM$6,"-",CP$6)</f>
        <v>2012-2027</v>
      </c>
      <c r="CR78" s="75" t="str">
        <f t="shared" si="163"/>
        <v>Change</v>
      </c>
      <c r="CS78" s="75" t="str">
        <f t="shared" si="163"/>
        <v>Demand</v>
      </c>
      <c r="CT78" s="75" t="str">
        <f t="shared" si="163"/>
        <v>Requirement</v>
      </c>
    </row>
    <row r="79" spans="1:98" x14ac:dyDescent="0.2">
      <c r="N79" s="286"/>
      <c r="Q79" s="286"/>
      <c r="Y79" s="286"/>
      <c r="AB79" s="286"/>
      <c r="BZ79" s="286"/>
      <c r="CA79" s="286"/>
      <c r="CB79" s="286"/>
      <c r="CC79" s="286"/>
      <c r="CD79" s="286"/>
      <c r="CE79" s="286"/>
      <c r="CF79" s="286"/>
    </row>
    <row r="80" spans="1:98" x14ac:dyDescent="0.2">
      <c r="A80" s="18" t="str">
        <f t="shared" ref="A80:A104" si="164">A8</f>
        <v xml:space="preserve"> 11 Corporate managers and directors</v>
      </c>
      <c r="B80" s="22">
        <f t="shared" ref="B80:E104" si="165">IF(AND(C$6-B$6 &lt;&gt; 0,B8&lt;&gt;0,C8&lt;&gt;0),(EXP(LN(C8/B8)/(C$6-B$6))-1)*100,0)</f>
        <v>-6.3682692830017036</v>
      </c>
      <c r="C80" s="22">
        <f t="shared" si="165"/>
        <v>10.460089816546203</v>
      </c>
      <c r="D80" s="22">
        <f t="shared" si="165"/>
        <v>5.3994607647762871</v>
      </c>
      <c r="E80" s="22">
        <f t="shared" si="165"/>
        <v>3.7082210063371868</v>
      </c>
      <c r="F80" s="22">
        <f t="shared" ref="F80:F104" si="166">IF(AND(F$6-C$6 &lt;&gt; 0,C8&lt;&gt;0,F8&lt;&gt;0),(EXP(LN(F8/C8)/(F$6-C$6))-1)*100,0)</f>
        <v>6.4843183573656038</v>
      </c>
      <c r="H80" s="22">
        <f>IF($F$6-$D$6 &lt;&gt; 0,(EXP(LN(1+(H44/100))/($F$6-$D$6))-1)*100,0)</f>
        <v>4.5504211896928881</v>
      </c>
      <c r="I80" s="22">
        <f>IF(D8&gt;0,((1+(I8/D8))^(1/($F$6-$D$6))-1)*100,0)</f>
        <v>3.3000074614882191</v>
      </c>
      <c r="J80" s="22">
        <f>IF($F$6-$D$6 &lt;&gt; 0,(EXP(LN(1+(J44/100))/($F$6-$D$6))-1)*100,0)</f>
        <v>6.8737100926782757</v>
      </c>
      <c r="L80" s="18" t="str">
        <f>A80</f>
        <v xml:space="preserve"> 11 Corporate managers and directors</v>
      </c>
      <c r="M80" s="22">
        <f t="shared" ref="M80:P104" si="167">IF(AND(N$6-M$6 &lt;&gt; 0,M8&lt;&gt;0,N8&lt;&gt;0),(EXP(LN(N8/M8)/(N$6-M$6))-1)*100,0)</f>
        <v>-2.6201290889111162</v>
      </c>
      <c r="N80" s="22">
        <f t="shared" si="167"/>
        <v>10.79396886767392</v>
      </c>
      <c r="O80" s="22">
        <f t="shared" si="167"/>
        <v>4.9893722937564222</v>
      </c>
      <c r="P80" s="22">
        <f t="shared" si="167"/>
        <v>3.3267179449772311</v>
      </c>
      <c r="Q80" s="22">
        <f t="shared" ref="Q80:Q104" si="168">IF(AND(Q$6-N$6 &lt;&gt; 0,N8&lt;&gt;0,Q8&lt;&gt;0),(EXP(LN(Q8/N8)/(Q$6-N$6))-1)*100,0)</f>
        <v>6.322382043842012</v>
      </c>
      <c r="S80" s="22">
        <f>IF($F$6-$D$6 &lt;&gt; 0,(EXP(LN(1+(S44/100))/($F$6-$D$6))-1)*100,0)</f>
        <v>4.1547274885647134</v>
      </c>
      <c r="T80" s="22">
        <f>IF(O8&gt;0,((1+(T8/O8))^(1/($F$6-$D$6))-1)*100,0)</f>
        <v>3.3711346395622455</v>
      </c>
      <c r="U80" s="22">
        <f>IF($F$6-$D$6 &lt;&gt; 0,(EXP(LN(1+(U44/100))/($F$6-$D$6))-1)*100,0)</f>
        <v>6.6039983658559231</v>
      </c>
      <c r="W80" s="18" t="str">
        <f>A80</f>
        <v xml:space="preserve"> 11 Corporate managers and directors</v>
      </c>
      <c r="X80" s="22">
        <f t="shared" ref="X80:AA104" si="169">IF(AND(Y$6-X$6 &lt;&gt; 0,X8&lt;&gt;0,Y8&lt;&gt;0),(EXP(LN(Y8/X8)/(Y$6-X$6))-1)*100,0)</f>
        <v>5.1611167370258393</v>
      </c>
      <c r="Y80" s="22">
        <f t="shared" si="169"/>
        <v>4.0602059540066016</v>
      </c>
      <c r="Z80" s="22">
        <f t="shared" si="169"/>
        <v>4.2863887989943006</v>
      </c>
      <c r="AA80" s="22">
        <f t="shared" si="169"/>
        <v>1.8612331092705769</v>
      </c>
      <c r="AB80" s="22">
        <f t="shared" ref="AB80:AB104" si="170">IF(AND(AB$6-Y$6 &lt;&gt; 0,Y8&lt;&gt;0,AB8&lt;&gt;0),(EXP(LN(AB8/Y8)/(AB$6-Y$6))-1)*100,0)</f>
        <v>3.3967956536611998</v>
      </c>
      <c r="AD80" s="22">
        <f>IF($F$6-$D$6 &lt;&gt; 0,(EXP(LN(1+(AD44/100))/($F$6-$D$6))-1)*100,0)</f>
        <v>3.0666782213261357</v>
      </c>
      <c r="AE80" s="22">
        <f>IF(Z8&gt;0,((1+(AE8/Z8))^(1/($F$6-$D$6))-1)*100,0)</f>
        <v>4.0921783308910831</v>
      </c>
      <c r="AF80" s="22">
        <f>IF($F$6-$D$6 &lt;&gt; 0,(EXP(LN(1+(AF44/100))/($F$6-$D$6))-1)*100,0)</f>
        <v>6.3223439636727718</v>
      </c>
      <c r="AH80" s="18" t="str">
        <f>L80</f>
        <v xml:space="preserve"> 11 Corporate managers and directors</v>
      </c>
      <c r="AI80" s="22">
        <f t="shared" ref="AI80:AL104" si="171">IF(AND(AJ$6-AI$6 &lt;&gt; 0,AI8&lt;&gt;0,AJ8&lt;&gt;0),(EXP(LN(AJ8/AI8)/(AJ$6-AI$6))-1)*100,0)</f>
        <v>1.2549803008496507</v>
      </c>
      <c r="AJ80" s="22">
        <f t="shared" si="171"/>
        <v>2.1635906223071766</v>
      </c>
      <c r="AK80" s="22">
        <f t="shared" si="171"/>
        <v>2.3228193992875124</v>
      </c>
      <c r="AL80" s="22">
        <f t="shared" si="171"/>
        <v>0.76817211698161358</v>
      </c>
      <c r="AM80" s="22">
        <f t="shared" ref="AM80:AM104" si="172">IF(AND(AM$6-AJ$6 &lt;&gt; 0,AJ8&lt;&gt;0,AM8&lt;&gt;0),(EXP(LN(AM8/AJ8)/(AM$6-AJ$6))-1)*100,0)</f>
        <v>1.7491232501017251</v>
      </c>
      <c r="AO80" s="22">
        <f>IF($F$6-$D$6 &lt;&gt; 0,(EXP(LN(1+(AO44/100))/($F$6-$D$6))-1)*100,0)</f>
        <v>1.542520535597447</v>
      </c>
      <c r="AP80" s="22">
        <f>IF(AK8&gt;0,((1+(AP8/AK8))^(1/($F$6-$D$6))-1)*100,0)</f>
        <v>3.5514579670092861</v>
      </c>
      <c r="AQ80" s="22">
        <f>IF($F$6-$D$6 &lt;&gt; 0,(EXP(LN(1+(AQ44/100))/($F$6-$D$6))-1)*100,0)</f>
        <v>4.7006006045139825</v>
      </c>
      <c r="AS80" s="18" t="str">
        <f>W80</f>
        <v xml:space="preserve"> 11 Corporate managers and directors</v>
      </c>
      <c r="AT80" s="22">
        <f t="shared" ref="AT80:AW104" si="173">IF(AND(AU$6-AT$6 &lt;&gt; 0,AT8&lt;&gt;0,AU8&lt;&gt;0),(EXP(LN(AU8/AT8)/(AU$6-AT$6))-1)*100,0)</f>
        <v>0.33750693731058323</v>
      </c>
      <c r="AU80" s="22">
        <f t="shared" si="173"/>
        <v>2.0911031501415378</v>
      </c>
      <c r="AV80" s="22">
        <f t="shared" si="173"/>
        <v>2.5397562907510718</v>
      </c>
      <c r="AW80" s="22">
        <f t="shared" si="173"/>
        <v>0.9132824891667779</v>
      </c>
      <c r="AX80" s="22">
        <f t="shared" ref="AX80:AX104" si="174">IF(AND(AX$6-AU$6 &lt;&gt; 0,AU8&lt;&gt;0,AX8&lt;&gt;0),(EXP(LN(AX8/AU8)/(AX$6-AU$6))-1)*100,0)</f>
        <v>1.8457326838002608</v>
      </c>
      <c r="AZ80" s="22">
        <f>IF($F$6-$D$6 &lt;&gt; 0,(EXP(LN(1+(AZ44/100))/($F$6-$D$6))-1)*100,0)</f>
        <v>1.7232686898080329</v>
      </c>
      <c r="BA80" s="22">
        <f>IF(AV8&gt;0,((1+(BA8/AV8))^(1/($F$6-$D$6))-1)*100,0)</f>
        <v>3.5542915277151588</v>
      </c>
      <c r="BB80" s="22">
        <f>IF($F$6-$D$6 &lt;&gt; 0,(EXP(LN(1+(BB44/100))/($F$6-$D$6))-1)*100,0)</f>
        <v>4.8406277969318179</v>
      </c>
      <c r="BD80" s="18" t="str">
        <f>AH80</f>
        <v xml:space="preserve"> 11 Corporate managers and directors</v>
      </c>
      <c r="BE80" s="22">
        <f t="shared" ref="BE80:BH104" si="175">IF(AND(BF$6-BE$6 &lt;&gt; 0,BE8&lt;&gt;0,BF8&lt;&gt;0),(EXP(LN(BF8/BE8)/(BF$6-BE$6))-1)*100,0)</f>
        <v>-6.3087464200195509E-2</v>
      </c>
      <c r="BF80" s="22">
        <f t="shared" si="175"/>
        <v>2.5773798206933263</v>
      </c>
      <c r="BG80" s="22">
        <f t="shared" si="175"/>
        <v>-1.3563068897338937</v>
      </c>
      <c r="BH80" s="22">
        <f t="shared" si="175"/>
        <v>-0.21713850721158945</v>
      </c>
      <c r="BI80" s="22">
        <f t="shared" ref="BI80:BI104" si="176">IF(AND(BI$6-BF$6 &lt;&gt; 0,BF8&lt;&gt;0,BI8&lt;&gt;0),(EXP(LN(BI8/BF8)/(BI$6-BF$6))-1)*100,0)</f>
        <v>0.32110174299568861</v>
      </c>
      <c r="BK80" s="22">
        <f>IF($F$6-$D$6 &lt;&gt; 0,(EXP(LN(1+(BK44/100))/($F$6-$D$6))-1)*100,0)</f>
        <v>-0.78835770556557883</v>
      </c>
      <c r="BL80" s="22">
        <f>IF(BG8&gt;0,((1+(BL8/BG8))^(1/($F$6-$D$6))-1)*100,0)</f>
        <v>2.5867456079475826</v>
      </c>
      <c r="BM80" s="22">
        <f>IF($F$6-$D$6 &lt;&gt; 0,(EXP(LN(1+(BM44/100))/($F$6-$D$6))-1)*100,0)</f>
        <v>1.965371028843732</v>
      </c>
      <c r="BO80" s="18" t="str">
        <f>AS80</f>
        <v xml:space="preserve"> 11 Corporate managers and directors</v>
      </c>
      <c r="BP80" s="22">
        <f t="shared" ref="BP80:BS104" si="177">IF(AND(BQ$6-BP$6 &lt;&gt; 0,BP8&lt;&gt;0,BQ8&lt;&gt;0),(EXP(LN(BQ8/BP8)/(BQ$6-BP$6))-1)*100,0)</f>
        <v>-1.6086376990480877</v>
      </c>
      <c r="BQ80" s="22">
        <f t="shared" si="177"/>
        <v>0.93092248052997206</v>
      </c>
      <c r="BR80" s="22">
        <f t="shared" si="177"/>
        <v>-2.1512798008829326</v>
      </c>
      <c r="BS80" s="22">
        <f t="shared" si="177"/>
        <v>-1.1159130358600611</v>
      </c>
      <c r="BT80" s="22">
        <f t="shared" ref="BT80:BT104" si="178">IF(AND(BT$6-BQ$6 &lt;&gt; 0,BQ8&lt;&gt;0,BT8&lt;&gt;0),(EXP(LN(BT8/BQ8)/(BT$6-BQ$6))-1)*100,0)</f>
        <v>-0.78699587589307063</v>
      </c>
      <c r="BV80" s="22">
        <f>IF($F$6-$D$6 &lt;&gt; 0,(EXP(LN(1+(BV44/100))/($F$6-$D$6))-1)*100,0)</f>
        <v>-1.6349586616297485</v>
      </c>
      <c r="BW80" s="22">
        <f>IF(BR8&gt;0,((1+(BW8/BR8))^(1/($F$6-$D$6))-1)*100,0)</f>
        <v>2.6554839787263917</v>
      </c>
      <c r="BX80" s="22">
        <f>IF($F$6-$D$6 &lt;&gt; 0,(EXP(LN(1+(BX44/100))/($F$6-$D$6))-1)*100,0)</f>
        <v>1.3867676560568976</v>
      </c>
      <c r="BZ80" s="18" t="str">
        <f>BD80</f>
        <v xml:space="preserve"> 11 Corporate managers and directors</v>
      </c>
      <c r="CA80" s="22">
        <f t="shared" ref="CA80:CD104" si="179">IF(AND(CB$6-CA$6 &lt;&gt; 0,CA8&lt;&gt;0,CB8&lt;&gt;0),(EXP(LN(CB8/CA8)/(CB$6-CA$6))-1)*100,0)</f>
        <v>-1.3407274997464302</v>
      </c>
      <c r="CB80" s="22">
        <f t="shared" si="179"/>
        <v>2.2537644641872356</v>
      </c>
      <c r="CC80" s="22">
        <f t="shared" si="179"/>
        <v>-2.154413484258122</v>
      </c>
      <c r="CD80" s="22">
        <f t="shared" si="179"/>
        <v>0.96823350977053302</v>
      </c>
      <c r="CE80" s="22">
        <f t="shared" ref="CE80:CE104" si="180">IF(AND(CE$6-CB$6 &lt;&gt; 0,CB8&lt;&gt;0,CE8&lt;&gt;0),(EXP(LN(CE8/CB8)/(CE$6-CB$6))-1)*100,0)</f>
        <v>0.33869188432287256</v>
      </c>
      <c r="CF80" s="286"/>
      <c r="CG80" s="22">
        <f>IF($F$6-$D$6 &lt;&gt; 0,(EXP(LN(1+(CG44/100))/($F$6-$D$6))-1)*100,0)</f>
        <v>-0.60535211983554493</v>
      </c>
      <c r="CH80" s="22">
        <f>IF(CC8&gt;0,((1+(CH8/CC8))^(1/($F$6-$D$6))-1)*100,0)</f>
        <v>2.469965631101223</v>
      </c>
      <c r="CI80" s="22">
        <f>IF($F$6-$D$6 &lt;&gt; 0,(EXP(LN(1+(CI44/100))/($F$6-$D$6))-1)*100,0)</f>
        <v>1.9868692582484471</v>
      </c>
      <c r="CK80" s="18" t="str">
        <f>BO80</f>
        <v xml:space="preserve"> 11 Corporate managers and directors</v>
      </c>
      <c r="CL80" s="22">
        <f t="shared" ref="CL80:CO104" si="181">IF(AND(CM$6-CL$6 &lt;&gt; 0,CL8&lt;&gt;0,CM8&lt;&gt;0),(EXP(LN(CM8/CL8)/(CM$6-CL$6))-1)*100,0)</f>
        <v>-5.1694338996173483</v>
      </c>
      <c r="CM80" s="22">
        <f t="shared" si="181"/>
        <v>1.4308937673026323</v>
      </c>
      <c r="CN80" s="22">
        <f t="shared" si="181"/>
        <v>-4.1624007773401033</v>
      </c>
      <c r="CO80" s="22">
        <f t="shared" si="181"/>
        <v>2.9017691949327906</v>
      </c>
      <c r="CP80" s="22">
        <f t="shared" ref="CP80:CP104" si="182">IF(AND(CP$6-CM$6 &lt;&gt; 0,CM8&lt;&gt;0,CP8&lt;&gt;0),(EXP(LN(CP8/CM8)/(CP$6-CM$6))-1)*100,0)</f>
        <v>9.9031333930410526E-3</v>
      </c>
      <c r="CR80" s="22">
        <f>IF($F$6-$D$6 &lt;&gt; 0,(EXP(LN(1+(CR44/100))/($F$6-$D$6))-1)*100,0)</f>
        <v>-0.69310942635139039</v>
      </c>
      <c r="CS80" s="22">
        <f>IF(CN8&gt;0,((1+(CS8/CN8))^(1/($F$6-$D$6))-1)*100,0)</f>
        <v>1.762255820348213</v>
      </c>
      <c r="CT80" s="22">
        <f>IF($F$6-$D$6 &lt;&gt; 0,(EXP(LN(1+(CT44/100))/($F$6-$D$6))-1)*100,0)</f>
        <v>1.1729995777673086</v>
      </c>
    </row>
    <row r="81" spans="1:98" x14ac:dyDescent="0.2">
      <c r="A81" s="18" t="str">
        <f t="shared" si="164"/>
        <v xml:space="preserve"> 12 Other managers and proprietors</v>
      </c>
      <c r="B81" s="22">
        <f t="shared" si="165"/>
        <v>25.335685343741265</v>
      </c>
      <c r="C81" s="22">
        <f t="shared" si="165"/>
        <v>11.24118692177365</v>
      </c>
      <c r="D81" s="22">
        <f t="shared" si="165"/>
        <v>6.7653364102719937</v>
      </c>
      <c r="E81" s="22">
        <f t="shared" si="165"/>
        <v>3.5969776681440413</v>
      </c>
      <c r="F81" s="22">
        <f t="shared" si="166"/>
        <v>7.155464724264915</v>
      </c>
      <c r="H81" s="22">
        <f t="shared" ref="H81:H106" si="183">IF($F$6-$D$6 &lt;&gt; 0,(EXP(LN(1+(H45/100))/($F$6-$D$6))-1)*100,0)</f>
        <v>5.1692263536574412</v>
      </c>
      <c r="I81" s="22">
        <f t="shared" ref="I81:I106" si="184">IF(D9&gt;0,((1+(I9/D9))^(1/($F$6-$D$6))-1)*100,0)</f>
        <v>4.0481939565534475</v>
      </c>
      <c r="J81" s="22">
        <f t="shared" ref="J81:J106" si="185">IF($F$6-$D$6 &lt;&gt; 0,(EXP(LN(1+(J45/100))/($F$6-$D$6))-1)*100,0)</f>
        <v>7.9173324307407755</v>
      </c>
      <c r="L81" s="18" t="str">
        <f t="shared" ref="L81:L104" si="186">A81</f>
        <v xml:space="preserve"> 12 Other managers and proprietors</v>
      </c>
      <c r="M81" s="22">
        <f t="shared" si="167"/>
        <v>2.4674236700876095</v>
      </c>
      <c r="N81" s="22">
        <f t="shared" si="167"/>
        <v>11.996180352833608</v>
      </c>
      <c r="O81" s="22">
        <f t="shared" si="167"/>
        <v>6.0409480486261602</v>
      </c>
      <c r="P81" s="22">
        <f t="shared" si="167"/>
        <v>3.409291338977738</v>
      </c>
      <c r="Q81" s="22">
        <f t="shared" si="168"/>
        <v>7.0891467671305053</v>
      </c>
      <c r="S81" s="22">
        <f t="shared" ref="S81:S106" si="187">IF($F$6-$D$6 &lt;&gt; 0,(EXP(LN(1+(S45/100))/($F$6-$D$6))-1)*100,0)</f>
        <v>4.7168529446038221</v>
      </c>
      <c r="T81" s="22">
        <f t="shared" ref="T81:T104" si="188">IF(O9&gt;0,((1+(T9/O9))^(1/($F$6-$D$6))-1)*100,0)</f>
        <v>3.9951578460907022</v>
      </c>
      <c r="U81" s="22">
        <f t="shared" ref="U81:U106" si="189">IF($F$6-$D$6 &lt;&gt; 0,(EXP(LN(1+(U45/100))/($F$6-$D$6))-1)*100,0)</f>
        <v>7.5209602972215572</v>
      </c>
      <c r="W81" s="18" t="str">
        <f t="shared" ref="W81:W104" si="190">A81</f>
        <v xml:space="preserve"> 12 Other managers and proprietors</v>
      </c>
      <c r="X81" s="22">
        <f t="shared" si="169"/>
        <v>9.7139205811334506</v>
      </c>
      <c r="Y81" s="22">
        <f t="shared" si="169"/>
        <v>4.5042846537899361</v>
      </c>
      <c r="Z81" s="22">
        <f t="shared" si="169"/>
        <v>5.3484523038170861</v>
      </c>
      <c r="AA81" s="22">
        <f t="shared" si="169"/>
        <v>1.8833045324520237</v>
      </c>
      <c r="AB81" s="22">
        <f t="shared" si="170"/>
        <v>3.9014861959086877</v>
      </c>
      <c r="AD81" s="22">
        <f t="shared" ref="AD81:AD106" si="191">IF($F$6-$D$6 &lt;&gt; 0,(EXP(LN(1+(AD45/100))/($F$6-$D$6))-1)*100,0)</f>
        <v>3.6013921146443417</v>
      </c>
      <c r="AE81" s="22">
        <f t="shared" ref="AE81:AE104" si="192">IF(Z9&gt;0,((1+(AE9/Z9))^(1/($F$6-$D$6))-1)*100,0)</f>
        <v>4.7690065211111632</v>
      </c>
      <c r="AF81" s="22">
        <f t="shared" ref="AF81:AF106" si="193">IF($F$6-$D$6 &lt;&gt; 0,(EXP(LN(1+(AF45/100))/($F$6-$D$6))-1)*100,0)</f>
        <v>7.2728389278603034</v>
      </c>
      <c r="AH81" s="18" t="str">
        <f t="shared" ref="AH81:AH104" si="194">L81</f>
        <v xml:space="preserve"> 12 Other managers and proprietors</v>
      </c>
      <c r="AI81" s="22">
        <f t="shared" si="171"/>
        <v>2.6775313166642611</v>
      </c>
      <c r="AJ81" s="22">
        <f t="shared" si="171"/>
        <v>2.8558865939857681</v>
      </c>
      <c r="AK81" s="22">
        <f t="shared" si="171"/>
        <v>4.3824744163317275</v>
      </c>
      <c r="AL81" s="22">
        <f t="shared" si="171"/>
        <v>1.1961191040554375</v>
      </c>
      <c r="AM81" s="22">
        <f t="shared" si="172"/>
        <v>2.8032550172795379</v>
      </c>
      <c r="AO81" s="22">
        <f t="shared" ref="AO81:AO106" si="195">IF($F$6-$D$6 &lt;&gt; 0,(EXP(LN(1+(AO45/100))/($F$6-$D$6))-1)*100,0)</f>
        <v>2.7769493291716962</v>
      </c>
      <c r="AP81" s="22">
        <f t="shared" ref="AP81:AP104" si="196">IF(AK9&gt;0,((1+(AP9/AK9))^(1/($F$6-$D$6))-1)*100,0)</f>
        <v>4.4471907729314752</v>
      </c>
      <c r="AQ81" s="22">
        <f t="shared" ref="AQ81:AQ106" si="197">IF($F$6-$D$6 &lt;&gt; 0,(EXP(LN(1+(AQ45/100))/($F$6-$D$6))-1)*100,0)</f>
        <v>6.4037101866287305</v>
      </c>
      <c r="AS81" s="18" t="str">
        <f t="shared" ref="AS81:AS104" si="198">W81</f>
        <v xml:space="preserve"> 12 Other managers and proprietors</v>
      </c>
      <c r="AT81" s="22">
        <f t="shared" si="173"/>
        <v>4.1036955558277466</v>
      </c>
      <c r="AU81" s="22">
        <f t="shared" si="173"/>
        <v>3.2218793854488226</v>
      </c>
      <c r="AV81" s="22">
        <f t="shared" si="173"/>
        <v>4.0604112951329263</v>
      </c>
      <c r="AW81" s="22">
        <f t="shared" si="173"/>
        <v>0.98916976621776787</v>
      </c>
      <c r="AX81" s="22">
        <f t="shared" si="174"/>
        <v>2.7489440568870815</v>
      </c>
      <c r="AZ81" s="22">
        <f t="shared" ref="AZ81:AZ106" si="199">IF($F$6-$D$6 &lt;&gt; 0,(EXP(LN(1+(AZ45/100))/($F$6-$D$6))-1)*100,0)</f>
        <v>2.5132895883583695</v>
      </c>
      <c r="BA81" s="22">
        <f t="shared" ref="BA81:BA104" si="200">IF(AV9&gt;0,((1+(BA9/AV9))^(1/($F$6-$D$6))-1)*100,0)</f>
        <v>4.2592671814144945</v>
      </c>
      <c r="BB81" s="22">
        <f t="shared" ref="BB81:BB106" si="201">IF($F$6-$D$6 &lt;&gt; 0,(EXP(LN(1+(BB45/100))/($F$6-$D$6))-1)*100,0)</f>
        <v>6.0499704363516482</v>
      </c>
      <c r="BD81" s="18" t="str">
        <f t="shared" ref="BD81:BD104" si="202">AH81</f>
        <v xml:space="preserve"> 12 Other managers and proprietors</v>
      </c>
      <c r="BE81" s="22">
        <f t="shared" si="175"/>
        <v>0.75066453024703605</v>
      </c>
      <c r="BF81" s="22">
        <f t="shared" si="175"/>
        <v>1.8991710394518968</v>
      </c>
      <c r="BG81" s="22">
        <f t="shared" si="175"/>
        <v>-2.1628775843187231</v>
      </c>
      <c r="BH81" s="22">
        <f t="shared" si="175"/>
        <v>-1.1357052408029533</v>
      </c>
      <c r="BI81" s="22">
        <f t="shared" si="176"/>
        <v>-0.48132202213901909</v>
      </c>
      <c r="BK81" s="22">
        <f t="shared" ref="BK81:BK106" si="203">IF($F$6-$D$6 &lt;&gt; 0,(EXP(LN(1+(BK45/100))/($F$6-$D$6))-1)*100,0)</f>
        <v>-1.650632391989626</v>
      </c>
      <c r="BL81" s="22">
        <f t="shared" ref="BL81:BL104" si="204">IF(BG9&gt;0,((1+(BL9/BG9))^(1/($F$6-$D$6))-1)*100,0)</f>
        <v>2.7515904622067433</v>
      </c>
      <c r="BM81" s="22">
        <f t="shared" ref="BM81:BM106" si="205">IF($F$6-$D$6 &lt;&gt; 0,(EXP(LN(1+(BM45/100))/($F$6-$D$6))-1)*100,0)</f>
        <v>1.4823742595619915</v>
      </c>
      <c r="BO81" s="18" t="str">
        <f t="shared" ref="BO81:BO104" si="206">AS81</f>
        <v xml:space="preserve"> 12 Other managers and proprietors</v>
      </c>
      <c r="BP81" s="22">
        <f t="shared" si="177"/>
        <v>1.1094189827235423</v>
      </c>
      <c r="BQ81" s="22">
        <f t="shared" si="177"/>
        <v>2.4820316838043643</v>
      </c>
      <c r="BR81" s="22">
        <f t="shared" si="177"/>
        <v>-0.67385675275776213</v>
      </c>
      <c r="BS81" s="22">
        <f t="shared" si="177"/>
        <v>-5.1036182080665959E-2</v>
      </c>
      <c r="BT81" s="22">
        <f t="shared" si="178"/>
        <v>0.57650309612391482</v>
      </c>
      <c r="BV81" s="22">
        <f t="shared" ref="BV81:BV106" si="207">IF($F$6-$D$6 &lt;&gt; 0,(EXP(LN(1+(BV45/100))/($F$6-$D$6))-1)*100,0)</f>
        <v>-0.36293311426671693</v>
      </c>
      <c r="BW81" s="22">
        <f t="shared" ref="BW81:BW104" si="208">IF(BR9&gt;0,((1+(BW9/BR9))^(1/($F$6-$D$6))-1)*100,0)</f>
        <v>3.3240633070882541</v>
      </c>
      <c r="BX81" s="22">
        <f t="shared" ref="BX81:BX106" si="209">IF($F$6-$D$6 &lt;&gt; 0,(EXP(LN(1+(BX45/100))/($F$6-$D$6))-1)*100,0)</f>
        <v>3.0548994454750344</v>
      </c>
      <c r="BZ81" s="18" t="str">
        <f t="shared" ref="BZ81:BZ104" si="210">BD81</f>
        <v xml:space="preserve"> 12 Other managers and proprietors</v>
      </c>
      <c r="CA81" s="22">
        <f t="shared" si="179"/>
        <v>0.46570284800218076</v>
      </c>
      <c r="CB81" s="22">
        <f t="shared" si="179"/>
        <v>3.8813917405780662</v>
      </c>
      <c r="CC81" s="22">
        <f t="shared" si="179"/>
        <v>-3.4812302628339564</v>
      </c>
      <c r="CD81" s="22">
        <f t="shared" si="179"/>
        <v>-1.1220314717079294</v>
      </c>
      <c r="CE81" s="22">
        <f t="shared" si="180"/>
        <v>-0.28748033231684733</v>
      </c>
      <c r="CF81" s="286"/>
      <c r="CG81" s="22">
        <f t="shared" ref="CG81:CG106" si="211">IF($F$6-$D$6 &lt;&gt; 0,(EXP(LN(1+(CG45/100))/($F$6-$D$6))-1)*100,0)</f>
        <v>-2.3087523036941948</v>
      </c>
      <c r="CH81" s="22">
        <f t="shared" ref="CH81:CH104" si="212">IF(CC9&gt;0,((1+(CH9/CC9))^(1/($F$6-$D$6))-1)*100,0)</f>
        <v>2.4168824115633925</v>
      </c>
      <c r="CI81" s="22">
        <f t="shared" ref="CI81:CI106" si="213">IF($F$6-$D$6 &lt;&gt; 0,(EXP(LN(1+(CI45/100))/($F$6-$D$6))-1)*100,0)</f>
        <v>0.59799528800019708</v>
      </c>
      <c r="CK81" s="18" t="str">
        <f t="shared" ref="CK81:CK104" si="214">BO81</f>
        <v xml:space="preserve"> 12 Other managers and proprietors</v>
      </c>
      <c r="CL81" s="22">
        <f t="shared" si="181"/>
        <v>-3.7197095734964325E-2</v>
      </c>
      <c r="CM81" s="22">
        <f t="shared" si="181"/>
        <v>1.3384441676509873</v>
      </c>
      <c r="CN81" s="22">
        <f t="shared" si="181"/>
        <v>-5.2357264216350003</v>
      </c>
      <c r="CO81" s="22">
        <f t="shared" si="181"/>
        <v>1.8273443527013766</v>
      </c>
      <c r="CP81" s="22">
        <f t="shared" si="182"/>
        <v>-0.74301114813689617</v>
      </c>
      <c r="CR81" s="22">
        <f t="shared" ref="CR81:CR106" si="215">IF($F$6-$D$6 &lt;&gt; 0,(EXP(LN(1+(CR45/100))/($F$6-$D$6))-1)*100,0)</f>
        <v>-1.7676513667835958</v>
      </c>
      <c r="CS81" s="22">
        <f t="shared" ref="CS81:CS104" si="216">IF(CN9&gt;0,((1+(CS9/CN9))^(1/($F$6-$D$6))-1)*100,0)</f>
        <v>1.8121444458325309</v>
      </c>
      <c r="CT81" s="22">
        <f t="shared" ref="CT81:CT106" si="217">IF($F$6-$D$6 &lt;&gt; 0,(EXP(LN(1+(CT45/100))/($F$6-$D$6))-1)*100,0)</f>
        <v>0.32890804317815547</v>
      </c>
    </row>
    <row r="82" spans="1:98" x14ac:dyDescent="0.2">
      <c r="A82" s="18" t="str">
        <f t="shared" si="164"/>
        <v xml:space="preserve"> 21 Science, research, engineering and technology professionals</v>
      </c>
      <c r="B82" s="22">
        <f t="shared" si="165"/>
        <v>-1.4982803551800816</v>
      </c>
      <c r="C82" s="22">
        <f t="shared" si="165"/>
        <v>10.188088873171285</v>
      </c>
      <c r="D82" s="22">
        <f t="shared" si="165"/>
        <v>3.8907909401575624</v>
      </c>
      <c r="E82" s="22">
        <f t="shared" si="165"/>
        <v>2.3318648737614467</v>
      </c>
      <c r="F82" s="22">
        <f t="shared" si="166"/>
        <v>5.4162421775826974</v>
      </c>
      <c r="H82" s="22">
        <f t="shared" si="183"/>
        <v>3.1083817161165817</v>
      </c>
      <c r="I82" s="22">
        <f t="shared" si="184"/>
        <v>2.4008478831017976</v>
      </c>
      <c r="J82" s="22">
        <f t="shared" si="185"/>
        <v>4.9805541581744439</v>
      </c>
      <c r="L82" s="18" t="str">
        <f t="shared" si="186"/>
        <v xml:space="preserve"> 21 Science, research, engineering and technology professionals</v>
      </c>
      <c r="M82" s="22">
        <f t="shared" si="167"/>
        <v>-1.8233088030759736</v>
      </c>
      <c r="N82" s="22">
        <f t="shared" si="167"/>
        <v>11.99345685408697</v>
      </c>
      <c r="O82" s="22">
        <f t="shared" si="167"/>
        <v>4.3566406400761704</v>
      </c>
      <c r="P82" s="22">
        <f t="shared" si="167"/>
        <v>2.8171925650890328</v>
      </c>
      <c r="Q82" s="22">
        <f t="shared" si="168"/>
        <v>6.3145798367020056</v>
      </c>
      <c r="S82" s="22">
        <f t="shared" si="187"/>
        <v>3.5840567661669986</v>
      </c>
      <c r="T82" s="22">
        <f t="shared" si="188"/>
        <v>2.5258940422764331</v>
      </c>
      <c r="U82" s="22">
        <f t="shared" si="189"/>
        <v>5.4831536071191289</v>
      </c>
      <c r="W82" s="18" t="str">
        <f t="shared" si="190"/>
        <v xml:space="preserve"> 21 Science, research, engineering and technology professionals</v>
      </c>
      <c r="X82" s="22">
        <f t="shared" si="169"/>
        <v>4.2201220353115465</v>
      </c>
      <c r="Y82" s="22">
        <f t="shared" si="169"/>
        <v>2.7042307201210702</v>
      </c>
      <c r="Z82" s="22">
        <f t="shared" si="169"/>
        <v>1.753398164345632</v>
      </c>
      <c r="AA82" s="22">
        <f t="shared" si="169"/>
        <v>0.60757408758349563</v>
      </c>
      <c r="AB82" s="22">
        <f t="shared" si="170"/>
        <v>1.684785692341717</v>
      </c>
      <c r="AD82" s="22">
        <f t="shared" si="191"/>
        <v>1.1788641193544169</v>
      </c>
      <c r="AE82" s="22">
        <f t="shared" si="192"/>
        <v>2.6862469452712645</v>
      </c>
      <c r="AF82" s="22">
        <f t="shared" si="193"/>
        <v>3.6260766526498234</v>
      </c>
      <c r="AH82" s="18" t="str">
        <f t="shared" si="194"/>
        <v xml:space="preserve"> 21 Science, research, engineering and technology professionals</v>
      </c>
      <c r="AI82" s="22">
        <f t="shared" si="171"/>
        <v>6.3070967116107823E-3</v>
      </c>
      <c r="AJ82" s="22">
        <f t="shared" si="171"/>
        <v>-0.31581210949762628</v>
      </c>
      <c r="AK82" s="22">
        <f t="shared" si="171"/>
        <v>0.63236314510253244</v>
      </c>
      <c r="AL82" s="22">
        <f t="shared" si="171"/>
        <v>0.55149653754875683</v>
      </c>
      <c r="AM82" s="22">
        <f t="shared" si="172"/>
        <v>0.2884290363975639</v>
      </c>
      <c r="AO82" s="22">
        <f t="shared" si="195"/>
        <v>0.5919217151662215</v>
      </c>
      <c r="AP82" s="22">
        <f t="shared" si="196"/>
        <v>2.4757307929763162</v>
      </c>
      <c r="AQ82" s="22">
        <f t="shared" si="197"/>
        <v>2.9534182303956547</v>
      </c>
      <c r="AS82" s="18" t="str">
        <f t="shared" si="198"/>
        <v xml:space="preserve"> 21 Science, research, engineering and technology professionals</v>
      </c>
      <c r="AT82" s="22">
        <f t="shared" si="173"/>
        <v>0.81056093660722972</v>
      </c>
      <c r="AU82" s="22">
        <f t="shared" si="173"/>
        <v>0.52737647140201904</v>
      </c>
      <c r="AV82" s="22">
        <f t="shared" si="173"/>
        <v>0.27760620175716344</v>
      </c>
      <c r="AW82" s="22">
        <f t="shared" si="173"/>
        <v>-0.55508017985044233</v>
      </c>
      <c r="AX82" s="22">
        <f t="shared" si="174"/>
        <v>8.2229064373273708E-2</v>
      </c>
      <c r="AZ82" s="22">
        <f t="shared" si="199"/>
        <v>-0.139604905196411</v>
      </c>
      <c r="BA82" s="22">
        <f t="shared" si="200"/>
        <v>2.2982971304877031</v>
      </c>
      <c r="BB82" s="22">
        <f t="shared" si="201"/>
        <v>2.1846579031408853</v>
      </c>
      <c r="BD82" s="18" t="str">
        <f t="shared" si="202"/>
        <v xml:space="preserve"> 21 Science, research, engineering and technology professionals</v>
      </c>
      <c r="BE82" s="22">
        <f t="shared" si="175"/>
        <v>-0.94351419266999192</v>
      </c>
      <c r="BF82" s="22">
        <f t="shared" si="175"/>
        <v>1.6780174460906849</v>
      </c>
      <c r="BG82" s="22">
        <f t="shared" si="175"/>
        <v>-3.2870847136451387</v>
      </c>
      <c r="BH82" s="22">
        <f t="shared" si="175"/>
        <v>-2.2356552382800321</v>
      </c>
      <c r="BI82" s="22">
        <f t="shared" si="176"/>
        <v>-1.3045012465648598</v>
      </c>
      <c r="BK82" s="22">
        <f t="shared" si="203"/>
        <v>-2.7627911087210744</v>
      </c>
      <c r="BL82" s="22">
        <f t="shared" si="204"/>
        <v>1.6625113963325777</v>
      </c>
      <c r="BM82" s="22">
        <f t="shared" si="205"/>
        <v>-0.67074878552507711</v>
      </c>
      <c r="BO82" s="18" t="str">
        <f t="shared" si="206"/>
        <v xml:space="preserve"> 21 Science, research, engineering and technology professionals</v>
      </c>
      <c r="BP82" s="22">
        <f t="shared" si="177"/>
        <v>-1.8906699263906646</v>
      </c>
      <c r="BQ82" s="22">
        <f t="shared" si="177"/>
        <v>0.95400838161472379</v>
      </c>
      <c r="BR82" s="22">
        <f t="shared" si="177"/>
        <v>-3.1316521399505581</v>
      </c>
      <c r="BS82" s="22">
        <f t="shared" si="177"/>
        <v>-0.89822234458339922</v>
      </c>
      <c r="BT82" s="22">
        <f t="shared" si="178"/>
        <v>-1.0394041416668665</v>
      </c>
      <c r="BV82" s="22">
        <f t="shared" si="207"/>
        <v>-2.0213009298747142</v>
      </c>
      <c r="BW82" s="22">
        <f t="shared" si="208"/>
        <v>1.9936965885095193</v>
      </c>
      <c r="BX82" s="22">
        <f t="shared" si="209"/>
        <v>0.33044178229546528</v>
      </c>
      <c r="BZ82" s="18" t="str">
        <f t="shared" si="210"/>
        <v xml:space="preserve"> 21 Science, research, engineering and technology professionals</v>
      </c>
      <c r="CA82" s="22">
        <f t="shared" si="179"/>
        <v>-2.7294088399084093</v>
      </c>
      <c r="CB82" s="22">
        <f t="shared" si="179"/>
        <v>3.2032660812375324</v>
      </c>
      <c r="CC82" s="22">
        <f t="shared" si="179"/>
        <v>-3.2518356912685009</v>
      </c>
      <c r="CD82" s="22">
        <f t="shared" si="179"/>
        <v>-2.0088616460759656</v>
      </c>
      <c r="CE82" s="22">
        <f t="shared" si="180"/>
        <v>-0.72474925196406303</v>
      </c>
      <c r="CF82" s="286"/>
      <c r="CG82" s="22">
        <f t="shared" si="211"/>
        <v>-2.632332089830336</v>
      </c>
      <c r="CH82" s="22">
        <f t="shared" si="212"/>
        <v>1.687149366961771</v>
      </c>
      <c r="CI82" s="22">
        <f t="shared" si="213"/>
        <v>-0.5328498054878672</v>
      </c>
      <c r="CK82" s="18" t="str">
        <f t="shared" si="214"/>
        <v xml:space="preserve"> 21 Science, research, engineering and technology professionals</v>
      </c>
      <c r="CL82" s="22">
        <f t="shared" si="181"/>
        <v>-5.8979607057982886</v>
      </c>
      <c r="CM82" s="22">
        <f t="shared" si="181"/>
        <v>5.9755214602625673</v>
      </c>
      <c r="CN82" s="22">
        <f t="shared" si="181"/>
        <v>-2.5246382914825505</v>
      </c>
      <c r="CO82" s="22">
        <f t="shared" si="181"/>
        <v>5.215678390242684</v>
      </c>
      <c r="CP82" s="22">
        <f t="shared" si="182"/>
        <v>2.8159025988276243</v>
      </c>
      <c r="CR82" s="22">
        <f t="shared" si="215"/>
        <v>1.2715967509940418</v>
      </c>
      <c r="CS82" s="22">
        <f t="shared" si="216"/>
        <v>1.6695242800354171</v>
      </c>
      <c r="CT82" s="22">
        <f t="shared" si="217"/>
        <v>2.7743183526186543</v>
      </c>
    </row>
    <row r="83" spans="1:98" x14ac:dyDescent="0.2">
      <c r="A83" s="18" t="str">
        <f t="shared" si="164"/>
        <v xml:space="preserve"> 22 Health professionals</v>
      </c>
      <c r="B83" s="22">
        <f t="shared" si="165"/>
        <v>5.4192049839293599</v>
      </c>
      <c r="C83" s="22">
        <f t="shared" si="165"/>
        <v>13.540286140072277</v>
      </c>
      <c r="D83" s="22">
        <f t="shared" si="165"/>
        <v>4.7894293770753826</v>
      </c>
      <c r="E83" s="22">
        <f t="shared" si="165"/>
        <v>3.8313148163866106</v>
      </c>
      <c r="F83" s="22">
        <f t="shared" si="166"/>
        <v>7.2997238987214219</v>
      </c>
      <c r="H83" s="22">
        <f t="shared" si="183"/>
        <v>4.3092720283322894</v>
      </c>
      <c r="I83" s="22">
        <f t="shared" si="184"/>
        <v>3.2104492355956138</v>
      </c>
      <c r="J83" s="22">
        <f t="shared" si="185"/>
        <v>6.6092696400950945</v>
      </c>
      <c r="L83" s="18" t="str">
        <f t="shared" si="186"/>
        <v xml:space="preserve"> 22 Health professionals</v>
      </c>
      <c r="M83" s="22">
        <f t="shared" si="167"/>
        <v>-1.0408206476914428</v>
      </c>
      <c r="N83" s="22">
        <f t="shared" si="167"/>
        <v>12.114274030565397</v>
      </c>
      <c r="O83" s="22">
        <f t="shared" si="167"/>
        <v>3.7325547073240095</v>
      </c>
      <c r="P83" s="22">
        <f t="shared" si="167"/>
        <v>2.7429331660473233</v>
      </c>
      <c r="Q83" s="22">
        <f t="shared" si="168"/>
        <v>6.1148051564819506</v>
      </c>
      <c r="S83" s="22">
        <f t="shared" si="187"/>
        <v>3.2365581344028449</v>
      </c>
      <c r="T83" s="22">
        <f t="shared" si="188"/>
        <v>3.2446836809223223</v>
      </c>
      <c r="U83" s="22">
        <f t="shared" si="189"/>
        <v>5.7634879908168068</v>
      </c>
      <c r="W83" s="18" t="str">
        <f t="shared" si="190"/>
        <v xml:space="preserve"> 22 Health professionals</v>
      </c>
      <c r="X83" s="22">
        <f t="shared" si="169"/>
        <v>6.7959966281434081</v>
      </c>
      <c r="Y83" s="22">
        <f t="shared" si="169"/>
        <v>5.9227245602420098</v>
      </c>
      <c r="Z83" s="22">
        <f t="shared" si="169"/>
        <v>4.3533822845822634</v>
      </c>
      <c r="AA83" s="22">
        <f t="shared" si="169"/>
        <v>2.1554221539260565</v>
      </c>
      <c r="AB83" s="22">
        <f t="shared" si="170"/>
        <v>4.1323570125266329</v>
      </c>
      <c r="AD83" s="22">
        <f t="shared" si="191"/>
        <v>3.2485535999005277</v>
      </c>
      <c r="AE83" s="22">
        <f t="shared" si="192"/>
        <v>4.1395299718480771</v>
      </c>
      <c r="AF83" s="22">
        <f t="shared" si="193"/>
        <v>6.4987974039471874</v>
      </c>
      <c r="AH83" s="18" t="str">
        <f t="shared" si="194"/>
        <v xml:space="preserve"> 22 Health professionals</v>
      </c>
      <c r="AI83" s="22">
        <f t="shared" si="171"/>
        <v>-1.4884570182659651</v>
      </c>
      <c r="AJ83" s="22">
        <f t="shared" si="171"/>
        <v>-1.7952328867461453</v>
      </c>
      <c r="AK83" s="22">
        <f t="shared" si="171"/>
        <v>-6.8204078062903513</v>
      </c>
      <c r="AL83" s="22">
        <f t="shared" si="171"/>
        <v>-8.7231681935124428</v>
      </c>
      <c r="AM83" s="22">
        <f t="shared" si="172"/>
        <v>-5.8244906795408831</v>
      </c>
      <c r="AO83" s="22">
        <f t="shared" si="195"/>
        <v>-7.7766951120144645</v>
      </c>
      <c r="AP83" s="22">
        <f t="shared" si="196"/>
        <v>1.872439316800989</v>
      </c>
      <c r="AQ83" s="22">
        <f t="shared" si="197"/>
        <v>-4.23283012874478</v>
      </c>
      <c r="AS83" s="18" t="str">
        <f t="shared" si="198"/>
        <v xml:space="preserve"> 22 Health professionals</v>
      </c>
      <c r="AT83" s="22">
        <f t="shared" si="173"/>
        <v>3.6080695312602939</v>
      </c>
      <c r="AU83" s="22">
        <f t="shared" si="173"/>
        <v>2.8910977015253803</v>
      </c>
      <c r="AV83" s="22">
        <f t="shared" si="173"/>
        <v>2.2990767816189139</v>
      </c>
      <c r="AW83" s="22">
        <f t="shared" si="173"/>
        <v>2.2284777010491696</v>
      </c>
      <c r="AX83" s="22">
        <f t="shared" si="174"/>
        <v>2.4724538655391815</v>
      </c>
      <c r="AZ83" s="22">
        <f t="shared" si="199"/>
        <v>2.2637711489638335</v>
      </c>
      <c r="BA83" s="22">
        <f t="shared" si="200"/>
        <v>3.5048411113354883</v>
      </c>
      <c r="BB83" s="22">
        <f t="shared" si="201"/>
        <v>5.2123948008787613</v>
      </c>
      <c r="BD83" s="18" t="str">
        <f t="shared" si="202"/>
        <v xml:space="preserve"> 22 Health professionals</v>
      </c>
      <c r="BE83" s="22">
        <f t="shared" si="175"/>
        <v>2.8845311896959158</v>
      </c>
      <c r="BF83" s="22">
        <f t="shared" si="175"/>
        <v>7.6015499325472913</v>
      </c>
      <c r="BG83" s="22">
        <f t="shared" si="175"/>
        <v>0.66744990824783024</v>
      </c>
      <c r="BH83" s="22">
        <f t="shared" si="175"/>
        <v>3.7312301823878569</v>
      </c>
      <c r="BI83" s="22">
        <f t="shared" si="176"/>
        <v>3.9614610274731232</v>
      </c>
      <c r="BK83" s="22">
        <f t="shared" si="203"/>
        <v>2.1878584681490176</v>
      </c>
      <c r="BL83" s="22">
        <f t="shared" si="204"/>
        <v>3.4406586487305768</v>
      </c>
      <c r="BM83" s="22">
        <f t="shared" si="205"/>
        <v>5.0980163346045826</v>
      </c>
      <c r="BO83" s="18" t="str">
        <f t="shared" si="206"/>
        <v xml:space="preserve"> 22 Health professionals</v>
      </c>
      <c r="BP83" s="22">
        <f t="shared" si="177"/>
        <v>3.9023826237131631</v>
      </c>
      <c r="BQ83" s="22">
        <f t="shared" si="177"/>
        <v>2.0380976152682306</v>
      </c>
      <c r="BR83" s="22">
        <f t="shared" si="177"/>
        <v>-1.0844872738750566</v>
      </c>
      <c r="BS83" s="22">
        <f t="shared" si="177"/>
        <v>-3.8955271418361637E-2</v>
      </c>
      <c r="BT83" s="22">
        <f t="shared" si="178"/>
        <v>0.29651634140295258</v>
      </c>
      <c r="BV83" s="22">
        <f t="shared" si="207"/>
        <v>-0.56309542244005195</v>
      </c>
      <c r="BW83" s="22">
        <f t="shared" si="208"/>
        <v>2.8552703965997628</v>
      </c>
      <c r="BX83" s="22">
        <f t="shared" si="209"/>
        <v>2.4209582304610899</v>
      </c>
      <c r="BZ83" s="18" t="str">
        <f t="shared" si="210"/>
        <v xml:space="preserve"> 22 Health professionals</v>
      </c>
      <c r="CA83" s="22">
        <f t="shared" si="179"/>
        <v>-1.270514946668011</v>
      </c>
      <c r="CB83" s="22">
        <f t="shared" si="179"/>
        <v>5.7037668481869641</v>
      </c>
      <c r="CC83" s="22">
        <f t="shared" si="179"/>
        <v>-5.3673274440171888</v>
      </c>
      <c r="CD83" s="22">
        <f t="shared" si="179"/>
        <v>1.662383321232852</v>
      </c>
      <c r="CE83" s="22">
        <f t="shared" si="180"/>
        <v>0.56123973241741787</v>
      </c>
      <c r="CF83" s="286"/>
      <c r="CG83" s="22">
        <f t="shared" si="211"/>
        <v>-1.9154291843052618</v>
      </c>
      <c r="CH83" s="22">
        <f t="shared" si="212"/>
        <v>2.0556530761796532</v>
      </c>
      <c r="CI83" s="22">
        <f t="shared" si="213"/>
        <v>0.48730551073488115</v>
      </c>
      <c r="CK83" s="18" t="str">
        <f t="shared" si="214"/>
        <v xml:space="preserve"> 22 Health professionals</v>
      </c>
      <c r="CL83" s="22">
        <f t="shared" si="181"/>
        <v>-4.3687174390509291</v>
      </c>
      <c r="CM83" s="22">
        <f t="shared" si="181"/>
        <v>2.5346366023582867</v>
      </c>
      <c r="CN83" s="22">
        <f t="shared" si="181"/>
        <v>-1.1027435159099097</v>
      </c>
      <c r="CO83" s="22">
        <f t="shared" si="181"/>
        <v>8.9581395798853372</v>
      </c>
      <c r="CP83" s="22">
        <f t="shared" si="182"/>
        <v>3.3803916772979781</v>
      </c>
      <c r="CR83" s="22">
        <f t="shared" si="215"/>
        <v>3.8058817026338287</v>
      </c>
      <c r="CS83" s="22">
        <f t="shared" si="216"/>
        <v>2.2373026398414764</v>
      </c>
      <c r="CT83" s="22">
        <f t="shared" si="217"/>
        <v>5.4526849691649781</v>
      </c>
    </row>
    <row r="84" spans="1:98" x14ac:dyDescent="0.2">
      <c r="A84" s="18" t="str">
        <f t="shared" si="164"/>
        <v xml:space="preserve"> 23 Teaching and educational professionals</v>
      </c>
      <c r="B84" s="22">
        <f t="shared" si="165"/>
        <v>2.7819716918731308</v>
      </c>
      <c r="C84" s="22">
        <f t="shared" si="165"/>
        <v>7.7097159120282033</v>
      </c>
      <c r="D84" s="22">
        <f t="shared" si="165"/>
        <v>2.3574496149567858</v>
      </c>
      <c r="E84" s="22">
        <f t="shared" si="165"/>
        <v>2.2259797755283639</v>
      </c>
      <c r="F84" s="22">
        <f t="shared" si="166"/>
        <v>4.0667214904764881</v>
      </c>
      <c r="H84" s="22">
        <f t="shared" si="183"/>
        <v>2.2916935738833022</v>
      </c>
      <c r="I84" s="22">
        <f t="shared" si="184"/>
        <v>3.0904059402933948</v>
      </c>
      <c r="J84" s="22">
        <f t="shared" si="185"/>
        <v>4.8779900989239788</v>
      </c>
      <c r="L84" s="18" t="str">
        <f t="shared" si="186"/>
        <v xml:space="preserve"> 23 Teaching and educational professionals</v>
      </c>
      <c r="M84" s="22">
        <f t="shared" si="167"/>
        <v>0.93209430148568639</v>
      </c>
      <c r="N84" s="22">
        <f t="shared" si="167"/>
        <v>7.697950228153827</v>
      </c>
      <c r="O84" s="22">
        <f t="shared" si="167"/>
        <v>2.1666541986776755</v>
      </c>
      <c r="P84" s="22">
        <f t="shared" si="167"/>
        <v>1.9559188569087116</v>
      </c>
      <c r="Q84" s="22">
        <f t="shared" si="168"/>
        <v>3.9065720180851748</v>
      </c>
      <c r="S84" s="22">
        <f t="shared" si="187"/>
        <v>2.0612321371941578</v>
      </c>
      <c r="T84" s="22">
        <f t="shared" si="188"/>
        <v>3.1964318117888801</v>
      </c>
      <c r="U84" s="22">
        <f t="shared" si="189"/>
        <v>4.786658827886292</v>
      </c>
      <c r="W84" s="18" t="str">
        <f t="shared" si="190"/>
        <v xml:space="preserve"> 23 Teaching and educational professionals</v>
      </c>
      <c r="X84" s="22">
        <f t="shared" si="169"/>
        <v>6.3982419948229063</v>
      </c>
      <c r="Y84" s="22">
        <f t="shared" si="169"/>
        <v>-2.8646994261036451</v>
      </c>
      <c r="Z84" s="22">
        <f t="shared" si="169"/>
        <v>-0.91077361122222644</v>
      </c>
      <c r="AA84" s="22">
        <f t="shared" si="169"/>
        <v>-0.82437239476420565</v>
      </c>
      <c r="AB84" s="22">
        <f t="shared" si="170"/>
        <v>-1.537809227073561</v>
      </c>
      <c r="AD84" s="22">
        <f t="shared" si="191"/>
        <v>-0.86758241612218123</v>
      </c>
      <c r="AE84" s="22">
        <f t="shared" si="192"/>
        <v>3.161621758623534</v>
      </c>
      <c r="AF84" s="22">
        <f t="shared" si="193"/>
        <v>2.5129728790683536</v>
      </c>
      <c r="AH84" s="18" t="str">
        <f t="shared" si="194"/>
        <v xml:space="preserve"> 23 Teaching and educational professionals</v>
      </c>
      <c r="AI84" s="22">
        <f t="shared" si="171"/>
        <v>-2.4864130520736993</v>
      </c>
      <c r="AJ84" s="22">
        <f t="shared" si="171"/>
        <v>-14.88042083278166</v>
      </c>
      <c r="AK84" s="22">
        <f t="shared" si="171"/>
        <v>-12.28558955051623</v>
      </c>
      <c r="AL84" s="22">
        <f t="shared" si="171"/>
        <v>2.5521678486373212E-2</v>
      </c>
      <c r="AM84" s="22">
        <f t="shared" si="172"/>
        <v>-9.2728892990404219</v>
      </c>
      <c r="AO84" s="22">
        <f t="shared" si="195"/>
        <v>-6.3320777217168667</v>
      </c>
      <c r="AP84" s="22">
        <f t="shared" si="196"/>
        <v>1.4154784251059205</v>
      </c>
      <c r="AQ84" s="22">
        <f t="shared" si="197"/>
        <v>-3.9141826988588257</v>
      </c>
      <c r="AS84" s="18" t="str">
        <f t="shared" si="198"/>
        <v xml:space="preserve"> 23 Teaching and educational professionals</v>
      </c>
      <c r="AT84" s="22">
        <f t="shared" si="173"/>
        <v>3.7890490410845246</v>
      </c>
      <c r="AU84" s="22">
        <f t="shared" si="173"/>
        <v>-6.9615465724605308</v>
      </c>
      <c r="AV84" s="22">
        <f t="shared" si="173"/>
        <v>0.27016657167995284</v>
      </c>
      <c r="AW84" s="22">
        <f t="shared" si="173"/>
        <v>0.71090379524016978</v>
      </c>
      <c r="AX84" s="22">
        <f t="shared" si="174"/>
        <v>-2.0577137530758738</v>
      </c>
      <c r="AZ84" s="22">
        <f t="shared" si="199"/>
        <v>0.49029355680660913</v>
      </c>
      <c r="BA84" s="22">
        <f t="shared" si="200"/>
        <v>3.1683978978219729</v>
      </c>
      <c r="BB84" s="22">
        <f t="shared" si="201"/>
        <v>3.5408508498760316</v>
      </c>
      <c r="BD84" s="18" t="str">
        <f t="shared" si="202"/>
        <v xml:space="preserve"> 23 Teaching and educational professionals</v>
      </c>
      <c r="BE84" s="22">
        <f t="shared" si="175"/>
        <v>5.9277817749464834</v>
      </c>
      <c r="BF84" s="22">
        <f t="shared" si="175"/>
        <v>1.4818939329734437</v>
      </c>
      <c r="BG84" s="22">
        <f t="shared" si="175"/>
        <v>-1.3131773764354815</v>
      </c>
      <c r="BH84" s="22">
        <f t="shared" si="175"/>
        <v>3.5625190309459764</v>
      </c>
      <c r="BI84" s="22">
        <f t="shared" si="176"/>
        <v>1.2239883963973242</v>
      </c>
      <c r="BK84" s="22">
        <f t="shared" si="203"/>
        <v>1.0952815222178947</v>
      </c>
      <c r="BL84" s="22">
        <f t="shared" si="204"/>
        <v>2.7678921950378133</v>
      </c>
      <c r="BM84" s="22">
        <f t="shared" si="205"/>
        <v>3.6344044229355221</v>
      </c>
      <c r="BO84" s="18" t="str">
        <f t="shared" si="206"/>
        <v xml:space="preserve"> 23 Teaching and educational professionals</v>
      </c>
      <c r="BP84" s="22">
        <f t="shared" si="177"/>
        <v>-2.1988682535966531</v>
      </c>
      <c r="BQ84" s="22">
        <f t="shared" si="177"/>
        <v>1.2598769375841368</v>
      </c>
      <c r="BR84" s="22">
        <f t="shared" si="177"/>
        <v>0.23595286594335629</v>
      </c>
      <c r="BS84" s="22">
        <f t="shared" si="177"/>
        <v>3.9833074402394697</v>
      </c>
      <c r="BT84" s="22">
        <f t="shared" si="178"/>
        <v>1.814159840675944</v>
      </c>
      <c r="BV84" s="22">
        <f t="shared" si="207"/>
        <v>2.0924380325239467</v>
      </c>
      <c r="BW84" s="22">
        <f t="shared" si="208"/>
        <v>3.2875513887575369</v>
      </c>
      <c r="BX84" s="22">
        <f t="shared" si="209"/>
        <v>4.89056435103985</v>
      </c>
      <c r="BZ84" s="18" t="str">
        <f t="shared" si="210"/>
        <v xml:space="preserve"> 23 Teaching and educational professionals</v>
      </c>
      <c r="CA84" s="22">
        <f t="shared" si="179"/>
        <v>0.1080097082077236</v>
      </c>
      <c r="CB84" s="22">
        <f t="shared" si="179"/>
        <v>4.5152615112396877</v>
      </c>
      <c r="CC84" s="22">
        <f t="shared" si="179"/>
        <v>-3.7001780792553562</v>
      </c>
      <c r="CD84" s="22">
        <f t="shared" si="179"/>
        <v>5.9418101019160563</v>
      </c>
      <c r="CE84" s="22">
        <f t="shared" si="180"/>
        <v>2.1623469963952813</v>
      </c>
      <c r="CF84" s="286"/>
      <c r="CG84" s="22">
        <f t="shared" si="211"/>
        <v>1.0058287762437113</v>
      </c>
      <c r="CH84" s="22">
        <f t="shared" si="212"/>
        <v>2.5432966619355568</v>
      </c>
      <c r="CI84" s="22">
        <f t="shared" si="213"/>
        <v>3.3535204824470144</v>
      </c>
      <c r="CK84" s="18" t="str">
        <f t="shared" si="214"/>
        <v xml:space="preserve"> 23 Teaching and educational professionals</v>
      </c>
      <c r="CL84" s="22">
        <f t="shared" si="181"/>
        <v>3.6952319340603168</v>
      </c>
      <c r="CM84" s="22">
        <f t="shared" si="181"/>
        <v>7.4840238653904656</v>
      </c>
      <c r="CN84" s="22">
        <f t="shared" si="181"/>
        <v>-1.882010332818973</v>
      </c>
      <c r="CO84" s="22">
        <f t="shared" si="181"/>
        <v>6.1587269224736119</v>
      </c>
      <c r="CP84" s="22">
        <f t="shared" si="182"/>
        <v>3.8363515074687493</v>
      </c>
      <c r="CR84" s="22">
        <f t="shared" si="215"/>
        <v>2.0592027759396059</v>
      </c>
      <c r="CS84" s="22">
        <f t="shared" si="216"/>
        <v>2.3339763927985979</v>
      </c>
      <c r="CT84" s="22">
        <f t="shared" si="217"/>
        <v>4.0374914724725874</v>
      </c>
    </row>
    <row r="85" spans="1:98" x14ac:dyDescent="0.2">
      <c r="A85" s="18" t="str">
        <f t="shared" si="164"/>
        <v xml:space="preserve"> 24 Business, media and public service professionals</v>
      </c>
      <c r="B85" s="22">
        <f t="shared" si="165"/>
        <v>-6.6543119079840789</v>
      </c>
      <c r="C85" s="22">
        <f t="shared" si="165"/>
        <v>11.748624416162357</v>
      </c>
      <c r="D85" s="22">
        <f t="shared" si="165"/>
        <v>5.2655245405376139</v>
      </c>
      <c r="E85" s="22">
        <f t="shared" si="165"/>
        <v>3.1684301085520117</v>
      </c>
      <c r="F85" s="22">
        <f t="shared" si="166"/>
        <v>6.6657657734236597</v>
      </c>
      <c r="H85" s="22">
        <f t="shared" si="183"/>
        <v>4.2117023726247371</v>
      </c>
      <c r="I85" s="22">
        <f t="shared" si="184"/>
        <v>3.2994761189312438</v>
      </c>
      <c r="J85" s="22">
        <f t="shared" si="185"/>
        <v>6.5961866409157244</v>
      </c>
      <c r="L85" s="18" t="str">
        <f t="shared" si="186"/>
        <v xml:space="preserve"> 24 Business, media and public service professionals</v>
      </c>
      <c r="M85" s="22">
        <f t="shared" si="167"/>
        <v>-2.5177760764193202</v>
      </c>
      <c r="N85" s="22">
        <f t="shared" si="167"/>
        <v>10.904342226821928</v>
      </c>
      <c r="O85" s="22">
        <f t="shared" si="167"/>
        <v>3.9258997633722315</v>
      </c>
      <c r="P85" s="22">
        <f t="shared" si="167"/>
        <v>1.9753991605842236</v>
      </c>
      <c r="Q85" s="22">
        <f t="shared" si="168"/>
        <v>5.5332353315499905</v>
      </c>
      <c r="S85" s="22">
        <f t="shared" si="187"/>
        <v>2.9460300909789794</v>
      </c>
      <c r="T85" s="22">
        <f t="shared" si="188"/>
        <v>3.1829652423385646</v>
      </c>
      <c r="U85" s="22">
        <f t="shared" si="189"/>
        <v>5.4797711528583815</v>
      </c>
      <c r="W85" s="18" t="str">
        <f t="shared" si="190"/>
        <v xml:space="preserve"> 24 Business, media and public service professionals</v>
      </c>
      <c r="X85" s="22">
        <f t="shared" si="169"/>
        <v>2.6564725726351046</v>
      </c>
      <c r="Y85" s="22">
        <f t="shared" si="169"/>
        <v>2.7501427226916508</v>
      </c>
      <c r="Z85" s="22">
        <f t="shared" si="169"/>
        <v>3.1315701243434857</v>
      </c>
      <c r="AA85" s="22">
        <f t="shared" si="169"/>
        <v>1.0548518051785472</v>
      </c>
      <c r="AB85" s="22">
        <f t="shared" si="170"/>
        <v>2.3081922752190343</v>
      </c>
      <c r="AD85" s="22">
        <f t="shared" si="191"/>
        <v>2.0879304097742635</v>
      </c>
      <c r="AE85" s="22">
        <f t="shared" si="192"/>
        <v>3.7140759275216206</v>
      </c>
      <c r="AF85" s="22">
        <f t="shared" si="193"/>
        <v>5.2594349593824363</v>
      </c>
      <c r="AH85" s="18" t="str">
        <f t="shared" si="194"/>
        <v xml:space="preserve"> 24 Business, media and public service professionals</v>
      </c>
      <c r="AI85" s="22">
        <f t="shared" si="171"/>
        <v>-7.0741801888559941</v>
      </c>
      <c r="AJ85" s="22">
        <f t="shared" si="171"/>
        <v>-7.9826379209904204</v>
      </c>
      <c r="AK85" s="22">
        <f t="shared" si="171"/>
        <v>-5.0251528683778695</v>
      </c>
      <c r="AL85" s="22">
        <f t="shared" si="171"/>
        <v>-3.3063684653075409</v>
      </c>
      <c r="AM85" s="22">
        <f t="shared" si="172"/>
        <v>-5.4578623246004927</v>
      </c>
      <c r="AO85" s="22">
        <f t="shared" si="195"/>
        <v>-4.1696140380890867</v>
      </c>
      <c r="AP85" s="22">
        <f t="shared" si="196"/>
        <v>1.9985429141330169</v>
      </c>
      <c r="AQ85" s="22">
        <f t="shared" si="197"/>
        <v>-1.3603266574682138</v>
      </c>
      <c r="AS85" s="18" t="str">
        <f t="shared" si="198"/>
        <v xml:space="preserve"> 24 Business, media and public service professionals</v>
      </c>
      <c r="AT85" s="22">
        <f t="shared" si="173"/>
        <v>-0.99901412142021639</v>
      </c>
      <c r="AU85" s="22">
        <f t="shared" si="173"/>
        <v>1.8231727093143135E-3</v>
      </c>
      <c r="AV85" s="22">
        <f t="shared" si="173"/>
        <v>1.3297593431117916</v>
      </c>
      <c r="AW85" s="22">
        <f t="shared" si="173"/>
        <v>0.33449419618498677</v>
      </c>
      <c r="AX85" s="22">
        <f t="shared" si="174"/>
        <v>0.55377932469760083</v>
      </c>
      <c r="AZ85" s="22">
        <f t="shared" si="199"/>
        <v>0.83089878956883467</v>
      </c>
      <c r="BA85" s="22">
        <f t="shared" si="200"/>
        <v>3.1239713210183595</v>
      </c>
      <c r="BB85" s="22">
        <f t="shared" si="201"/>
        <v>3.7600634942743127</v>
      </c>
      <c r="BD85" s="18" t="str">
        <f t="shared" si="202"/>
        <v xml:space="preserve"> 24 Business, media and public service professionals</v>
      </c>
      <c r="BE85" s="22">
        <f t="shared" si="175"/>
        <v>-0.42872393910234896</v>
      </c>
      <c r="BF85" s="22">
        <f t="shared" si="175"/>
        <v>2.5620727696566981</v>
      </c>
      <c r="BG85" s="22">
        <f t="shared" si="175"/>
        <v>-1.3074698914876337</v>
      </c>
      <c r="BH85" s="22">
        <f t="shared" si="175"/>
        <v>0.2495480516045312</v>
      </c>
      <c r="BI85" s="22">
        <f t="shared" si="176"/>
        <v>0.48883974397897489</v>
      </c>
      <c r="BK85" s="22">
        <f t="shared" si="203"/>
        <v>-0.53200746246188091</v>
      </c>
      <c r="BL85" s="22">
        <f t="shared" si="204"/>
        <v>2.487847466938975</v>
      </c>
      <c r="BM85" s="22">
        <f t="shared" si="205"/>
        <v>2.0636507005700411</v>
      </c>
      <c r="BO85" s="18" t="str">
        <f t="shared" si="206"/>
        <v xml:space="preserve"> 24 Business, media and public service professionals</v>
      </c>
      <c r="BP85" s="22">
        <f t="shared" si="177"/>
        <v>-4.0608146621998076</v>
      </c>
      <c r="BQ85" s="22">
        <f t="shared" si="177"/>
        <v>-0.79829894512420951</v>
      </c>
      <c r="BR85" s="22">
        <f t="shared" si="177"/>
        <v>-2.8222321872431344</v>
      </c>
      <c r="BS85" s="22">
        <f t="shared" si="177"/>
        <v>-0.85562824499371137</v>
      </c>
      <c r="BT85" s="22">
        <f t="shared" si="178"/>
        <v>-1.4965667278802108</v>
      </c>
      <c r="BV85" s="22">
        <f t="shared" si="207"/>
        <v>-1.8438553204657926</v>
      </c>
      <c r="BW85" s="22">
        <f t="shared" si="208"/>
        <v>2.3669183616283451</v>
      </c>
      <c r="BX85" s="22">
        <f t="shared" si="209"/>
        <v>0.90011477549936103</v>
      </c>
      <c r="BZ85" s="18" t="str">
        <f t="shared" si="210"/>
        <v xml:space="preserve"> 24 Business, media and public service professionals</v>
      </c>
      <c r="CA85" s="22">
        <f t="shared" si="179"/>
        <v>-1.9660594549901433</v>
      </c>
      <c r="CB85" s="22">
        <f t="shared" si="179"/>
        <v>3.8737729640933694</v>
      </c>
      <c r="CC85" s="22">
        <f t="shared" si="179"/>
        <v>-3.1025509359504322</v>
      </c>
      <c r="CD85" s="22">
        <f t="shared" si="179"/>
        <v>0.66476241883410836</v>
      </c>
      <c r="CE85" s="22">
        <f t="shared" si="180"/>
        <v>0.43811987715558498</v>
      </c>
      <c r="CF85" s="286"/>
      <c r="CG85" s="22">
        <f t="shared" si="211"/>
        <v>-1.2368556139304099</v>
      </c>
      <c r="CH85" s="22">
        <f t="shared" si="212"/>
        <v>2.1476913434051115</v>
      </c>
      <c r="CI85" s="22">
        <f t="shared" si="213"/>
        <v>1.1373552112915908</v>
      </c>
      <c r="CK85" s="18" t="str">
        <f t="shared" si="214"/>
        <v xml:space="preserve"> 24 Business, media and public service professionals</v>
      </c>
      <c r="CL85" s="22">
        <f t="shared" si="181"/>
        <v>-4.463342567252548</v>
      </c>
      <c r="CM85" s="22">
        <f t="shared" si="181"/>
        <v>7.1460596625702699</v>
      </c>
      <c r="CN85" s="22">
        <f t="shared" si="181"/>
        <v>-2.2383525296668649</v>
      </c>
      <c r="CO85" s="22">
        <f t="shared" si="181"/>
        <v>5.4295960418582645</v>
      </c>
      <c r="CP85" s="22">
        <f t="shared" si="182"/>
        <v>3.3639473467557801</v>
      </c>
      <c r="CR85" s="22">
        <f t="shared" si="215"/>
        <v>1.5232534997956959</v>
      </c>
      <c r="CS85" s="22">
        <f t="shared" si="216"/>
        <v>2.0367597729881393</v>
      </c>
      <c r="CT85" s="22">
        <f t="shared" si="217"/>
        <v>3.3225287489116351</v>
      </c>
    </row>
    <row r="86" spans="1:98" x14ac:dyDescent="0.2">
      <c r="A86" s="18" t="str">
        <f t="shared" si="164"/>
        <v xml:space="preserve"> 31 Science, engineering and technology associate professionals</v>
      </c>
      <c r="B86" s="22">
        <f t="shared" si="165"/>
        <v>-5.5032530901659493</v>
      </c>
      <c r="C86" s="22">
        <f t="shared" si="165"/>
        <v>11.85437076645619</v>
      </c>
      <c r="D86" s="22">
        <f t="shared" si="165"/>
        <v>4.4089709538807309</v>
      </c>
      <c r="E86" s="22">
        <f t="shared" si="165"/>
        <v>3.1381858376120064</v>
      </c>
      <c r="F86" s="22">
        <f t="shared" si="166"/>
        <v>6.3988059528663488</v>
      </c>
      <c r="H86" s="22">
        <f t="shared" si="183"/>
        <v>3.7716331631876487</v>
      </c>
      <c r="I86" s="22">
        <f t="shared" si="184"/>
        <v>2.8159378274471125</v>
      </c>
      <c r="J86" s="22">
        <f t="shared" si="185"/>
        <v>5.8648952999788895</v>
      </c>
      <c r="L86" s="18" t="str">
        <f t="shared" si="186"/>
        <v xml:space="preserve"> 31 Science, engineering and technology associate professionals</v>
      </c>
      <c r="M86" s="22">
        <f t="shared" si="167"/>
        <v>-4.4783931720538295</v>
      </c>
      <c r="N86" s="22">
        <f t="shared" si="167"/>
        <v>12.646308552819296</v>
      </c>
      <c r="O86" s="22">
        <f t="shared" si="167"/>
        <v>4.1538729945363118</v>
      </c>
      <c r="P86" s="22">
        <f t="shared" si="167"/>
        <v>2.884909690223747</v>
      </c>
      <c r="Q86" s="22">
        <f t="shared" si="168"/>
        <v>6.475091756642537</v>
      </c>
      <c r="S86" s="22">
        <f t="shared" si="187"/>
        <v>3.5174469204583003</v>
      </c>
      <c r="T86" s="22">
        <f t="shared" si="188"/>
        <v>2.6399274225834102</v>
      </c>
      <c r="U86" s="22">
        <f t="shared" si="189"/>
        <v>5.5154382713719752</v>
      </c>
      <c r="W86" s="18" t="str">
        <f t="shared" si="190"/>
        <v xml:space="preserve"> 31 Science, engineering and technology associate professionals</v>
      </c>
      <c r="X86" s="22">
        <f t="shared" si="169"/>
        <v>3.0974961040609816</v>
      </c>
      <c r="Y86" s="22">
        <f t="shared" si="169"/>
        <v>4.8532907859061503</v>
      </c>
      <c r="Z86" s="22">
        <f t="shared" si="169"/>
        <v>2.2304794001640538</v>
      </c>
      <c r="AA86" s="22">
        <f t="shared" si="169"/>
        <v>1.2825462090678474</v>
      </c>
      <c r="AB86" s="22">
        <f t="shared" si="170"/>
        <v>2.7777307241242388</v>
      </c>
      <c r="AD86" s="22">
        <f t="shared" si="191"/>
        <v>1.7554089659231664</v>
      </c>
      <c r="AE86" s="22">
        <f t="shared" si="192"/>
        <v>2.9290498188739411</v>
      </c>
      <c r="AF86" s="22">
        <f t="shared" si="193"/>
        <v>4.3086391254694378</v>
      </c>
      <c r="AH86" s="18" t="str">
        <f t="shared" si="194"/>
        <v xml:space="preserve"> 31 Science, engineering and technology associate professionals</v>
      </c>
      <c r="AI86" s="22">
        <f t="shared" si="171"/>
        <v>3.4917590599582438</v>
      </c>
      <c r="AJ86" s="22">
        <f t="shared" si="171"/>
        <v>1.1326000279035187</v>
      </c>
      <c r="AK86" s="22">
        <f t="shared" si="171"/>
        <v>3.4885385373001565</v>
      </c>
      <c r="AL86" s="22">
        <f t="shared" si="171"/>
        <v>1.8149500419952114</v>
      </c>
      <c r="AM86" s="22">
        <f t="shared" si="172"/>
        <v>2.1405815805270567</v>
      </c>
      <c r="AO86" s="22">
        <f t="shared" si="195"/>
        <v>2.6483335524464913</v>
      </c>
      <c r="AP86" s="22">
        <f t="shared" si="196"/>
        <v>3.2732830112470079</v>
      </c>
      <c r="AQ86" s="22">
        <f t="shared" si="197"/>
        <v>5.316922227608889</v>
      </c>
      <c r="AS86" s="18" t="str">
        <f t="shared" si="198"/>
        <v xml:space="preserve"> 31 Science, engineering and technology associate professionals</v>
      </c>
      <c r="AT86" s="22">
        <f t="shared" si="173"/>
        <v>-2.5660747152858154</v>
      </c>
      <c r="AU86" s="22">
        <f t="shared" si="173"/>
        <v>-1.9858200730877518</v>
      </c>
      <c r="AV86" s="22">
        <f t="shared" si="173"/>
        <v>-0.10593326842014417</v>
      </c>
      <c r="AW86" s="22">
        <f t="shared" si="173"/>
        <v>-0.36447601591175216</v>
      </c>
      <c r="AX86" s="22">
        <f t="shared" si="174"/>
        <v>-0.82224549329418251</v>
      </c>
      <c r="AZ86" s="22">
        <f t="shared" si="199"/>
        <v>-0.23528839463106133</v>
      </c>
      <c r="BA86" s="22">
        <f t="shared" si="200"/>
        <v>2.3062056736258496</v>
      </c>
      <c r="BB86" s="22">
        <f t="shared" si="201"/>
        <v>2.1149831953913623</v>
      </c>
      <c r="BD86" s="18" t="str">
        <f t="shared" si="202"/>
        <v xml:space="preserve"> 31 Science, engineering and technology associate professionals</v>
      </c>
      <c r="BE86" s="22">
        <f t="shared" si="175"/>
        <v>-3.0012066590430986</v>
      </c>
      <c r="BF86" s="22">
        <f t="shared" si="175"/>
        <v>-0.710620413315044</v>
      </c>
      <c r="BG86" s="22">
        <f t="shared" si="175"/>
        <v>-4.0955791637675159</v>
      </c>
      <c r="BH86" s="22">
        <f t="shared" si="175"/>
        <v>-4.9071093421085514</v>
      </c>
      <c r="BI86" s="22">
        <f t="shared" si="176"/>
        <v>-3.2547114074224948</v>
      </c>
      <c r="BK86" s="22">
        <f t="shared" si="203"/>
        <v>-4.5022062862797751</v>
      </c>
      <c r="BL86" s="22">
        <f t="shared" si="204"/>
        <v>1.7465473679573185</v>
      </c>
      <c r="BM86" s="22">
        <f t="shared" si="205"/>
        <v>-1.96612516704604</v>
      </c>
      <c r="BO86" s="18" t="str">
        <f t="shared" si="206"/>
        <v xml:space="preserve"> 31 Science, engineering and technology associate professionals</v>
      </c>
      <c r="BP86" s="22">
        <f t="shared" si="177"/>
        <v>-1.9740130866802708</v>
      </c>
      <c r="BQ86" s="22">
        <f t="shared" si="177"/>
        <v>-0.64215603752048045</v>
      </c>
      <c r="BR86" s="22">
        <f t="shared" si="177"/>
        <v>-3.2297459995769162</v>
      </c>
      <c r="BS86" s="22">
        <f t="shared" si="177"/>
        <v>-1.9636923196592937</v>
      </c>
      <c r="BT86" s="22">
        <f t="shared" si="178"/>
        <v>-1.9508886218838506</v>
      </c>
      <c r="BV86" s="22">
        <f t="shared" si="207"/>
        <v>-2.5987762115372681</v>
      </c>
      <c r="BW86" s="22">
        <f t="shared" si="208"/>
        <v>2.0451876216038389</v>
      </c>
      <c r="BX86" s="22">
        <f t="shared" si="209"/>
        <v>-7.116743830221095E-2</v>
      </c>
      <c r="BZ86" s="18" t="str">
        <f t="shared" si="210"/>
        <v xml:space="preserve"> 31 Science, engineering and technology associate professionals</v>
      </c>
      <c r="CA86" s="22">
        <f t="shared" si="179"/>
        <v>-3.9864804497782846</v>
      </c>
      <c r="CB86" s="22">
        <f t="shared" si="179"/>
        <v>4.4953257661631163</v>
      </c>
      <c r="CC86" s="22">
        <f t="shared" si="179"/>
        <v>-2.2861574351035419</v>
      </c>
      <c r="CD86" s="22">
        <f t="shared" si="179"/>
        <v>-0.36236726571668987</v>
      </c>
      <c r="CE86" s="22">
        <f t="shared" si="180"/>
        <v>0.57548117588823722</v>
      </c>
      <c r="CF86" s="286"/>
      <c r="CG86" s="22">
        <f t="shared" si="211"/>
        <v>-1.3289507579009707</v>
      </c>
      <c r="CH86" s="22">
        <f t="shared" si="212"/>
        <v>2.0223071024063177</v>
      </c>
      <c r="CI86" s="22">
        <f t="shared" si="213"/>
        <v>0.92493857413515901</v>
      </c>
      <c r="CK86" s="18" t="str">
        <f t="shared" si="214"/>
        <v xml:space="preserve"> 31 Science, engineering and technology associate professionals</v>
      </c>
      <c r="CL86" s="22">
        <f t="shared" si="181"/>
        <v>-8.3655111456397933</v>
      </c>
      <c r="CM86" s="22">
        <f t="shared" si="181"/>
        <v>6.403648916736393</v>
      </c>
      <c r="CN86" s="22">
        <f t="shared" si="181"/>
        <v>-1.4838852770253319</v>
      </c>
      <c r="CO86" s="22">
        <f t="shared" si="181"/>
        <v>4.0942744041041257</v>
      </c>
      <c r="CP86" s="22">
        <f t="shared" si="182"/>
        <v>2.9509155542328358</v>
      </c>
      <c r="CR86" s="22">
        <f t="shared" si="215"/>
        <v>1.2667935662995511</v>
      </c>
      <c r="CS86" s="22">
        <f t="shared" si="216"/>
        <v>2.0529033804882246</v>
      </c>
      <c r="CT86" s="22">
        <f t="shared" si="217"/>
        <v>3.1186793816761371</v>
      </c>
    </row>
    <row r="87" spans="1:98" x14ac:dyDescent="0.2">
      <c r="A87" s="18" t="str">
        <f t="shared" si="164"/>
        <v xml:space="preserve"> 32 Health and social care associate professionals</v>
      </c>
      <c r="B87" s="22">
        <f t="shared" si="165"/>
        <v>-8.34148631891658</v>
      </c>
      <c r="C87" s="22">
        <f t="shared" si="165"/>
        <v>8.7295270931590849</v>
      </c>
      <c r="D87" s="22">
        <f t="shared" si="165"/>
        <v>5.2791976238081295</v>
      </c>
      <c r="E87" s="22">
        <f t="shared" si="165"/>
        <v>3.2034825185068838</v>
      </c>
      <c r="F87" s="22">
        <f t="shared" si="166"/>
        <v>5.7129370978713734</v>
      </c>
      <c r="H87" s="22">
        <f t="shared" si="183"/>
        <v>4.2361733350333219</v>
      </c>
      <c r="I87" s="22">
        <f t="shared" si="184"/>
        <v>3.8497549190420255</v>
      </c>
      <c r="J87" s="22">
        <f t="shared" si="185"/>
        <v>7.0328710453948062</v>
      </c>
      <c r="L87" s="18" t="str">
        <f t="shared" si="186"/>
        <v xml:space="preserve"> 32 Health and social care associate professionals</v>
      </c>
      <c r="M87" s="22">
        <f t="shared" si="167"/>
        <v>-1.5190926550669226</v>
      </c>
      <c r="N87" s="22">
        <f t="shared" si="167"/>
        <v>14.164582360646151</v>
      </c>
      <c r="O87" s="22">
        <f t="shared" si="167"/>
        <v>4.7877459090866603</v>
      </c>
      <c r="P87" s="22">
        <f t="shared" si="167"/>
        <v>3.7749288342961096</v>
      </c>
      <c r="Q87" s="22">
        <f t="shared" si="168"/>
        <v>7.4759876960950988</v>
      </c>
      <c r="S87" s="22">
        <f t="shared" si="187"/>
        <v>4.2801077599259552</v>
      </c>
      <c r="T87" s="22">
        <f t="shared" si="188"/>
        <v>3.6979973565136826</v>
      </c>
      <c r="U87" s="22">
        <f t="shared" si="189"/>
        <v>6.9523918817644859</v>
      </c>
      <c r="W87" s="18" t="str">
        <f t="shared" si="190"/>
        <v xml:space="preserve"> 32 Health and social care associate professionals</v>
      </c>
      <c r="X87" s="22">
        <f t="shared" si="169"/>
        <v>6.2075502489238765</v>
      </c>
      <c r="Y87" s="22">
        <f t="shared" si="169"/>
        <v>7.1585624802961378</v>
      </c>
      <c r="Z87" s="22">
        <f t="shared" si="169"/>
        <v>5.1908977694093306</v>
      </c>
      <c r="AA87" s="22">
        <f t="shared" si="169"/>
        <v>2.7548575667263098</v>
      </c>
      <c r="AB87" s="22">
        <f t="shared" si="170"/>
        <v>5.0193035991577428</v>
      </c>
      <c r="AD87" s="22">
        <f t="shared" si="191"/>
        <v>3.9657430003350758</v>
      </c>
      <c r="AE87" s="22">
        <f t="shared" si="192"/>
        <v>4.5235453198957387</v>
      </c>
      <c r="AF87" s="22">
        <f t="shared" si="193"/>
        <v>7.3468030700597708</v>
      </c>
      <c r="AH87" s="18" t="str">
        <f t="shared" si="194"/>
        <v xml:space="preserve"> 32 Health and social care associate professionals</v>
      </c>
      <c r="AI87" s="22">
        <f t="shared" si="171"/>
        <v>-0.92906248791806423</v>
      </c>
      <c r="AJ87" s="22">
        <f t="shared" si="171"/>
        <v>-5.4816827899584197E-2</v>
      </c>
      <c r="AK87" s="22">
        <f t="shared" si="171"/>
        <v>-3.9340907614762832</v>
      </c>
      <c r="AL87" s="22">
        <f t="shared" si="171"/>
        <v>-4.869449175547258</v>
      </c>
      <c r="AM87" s="22">
        <f t="shared" si="172"/>
        <v>-2.9749833912490198</v>
      </c>
      <c r="AO87" s="22">
        <f t="shared" si="195"/>
        <v>-4.4029139496781333</v>
      </c>
      <c r="AP87" s="22">
        <f t="shared" si="196"/>
        <v>2.2926196592908177</v>
      </c>
      <c r="AQ87" s="22">
        <f t="shared" si="197"/>
        <v>-1.1378181467077253</v>
      </c>
      <c r="AS87" s="18" t="str">
        <f t="shared" si="198"/>
        <v xml:space="preserve"> 32 Health and social care associate professionals</v>
      </c>
      <c r="AT87" s="22">
        <f t="shared" si="173"/>
        <v>5.8391195265804718</v>
      </c>
      <c r="AU87" s="22">
        <f t="shared" si="173"/>
        <v>4.1724906463275202</v>
      </c>
      <c r="AV87" s="22">
        <f t="shared" si="173"/>
        <v>3.0999079776559801</v>
      </c>
      <c r="AW87" s="22">
        <f t="shared" si="173"/>
        <v>1.825595127979196</v>
      </c>
      <c r="AX87" s="22">
        <f t="shared" si="174"/>
        <v>3.0281956816470723</v>
      </c>
      <c r="AZ87" s="22">
        <f t="shared" si="199"/>
        <v>2.4607704805342134</v>
      </c>
      <c r="BA87" s="22">
        <f t="shared" si="200"/>
        <v>3.8124352179984111</v>
      </c>
      <c r="BB87" s="22">
        <f t="shared" si="201"/>
        <v>5.6278469831549049</v>
      </c>
      <c r="BD87" s="18" t="str">
        <f t="shared" si="202"/>
        <v xml:space="preserve"> 32 Health and social care associate professionals</v>
      </c>
      <c r="BE87" s="22">
        <f t="shared" si="175"/>
        <v>1.0583448382121441</v>
      </c>
      <c r="BF87" s="22">
        <f t="shared" si="175"/>
        <v>6.5667585390134287</v>
      </c>
      <c r="BG87" s="22">
        <f t="shared" si="175"/>
        <v>0.28911762290551035</v>
      </c>
      <c r="BH87" s="22">
        <f t="shared" si="175"/>
        <v>2.9784655276114735</v>
      </c>
      <c r="BI87" s="22">
        <f t="shared" si="176"/>
        <v>3.2461804612901712</v>
      </c>
      <c r="BK87" s="22">
        <f t="shared" si="203"/>
        <v>1.6248957781750839</v>
      </c>
      <c r="BL87" s="22">
        <f t="shared" si="204"/>
        <v>3.3184537944260795</v>
      </c>
      <c r="BM87" s="22">
        <f t="shared" si="205"/>
        <v>4.5535838194828093</v>
      </c>
      <c r="BO87" s="18" t="str">
        <f t="shared" si="206"/>
        <v xml:space="preserve"> 32 Health and social care associate professionals</v>
      </c>
      <c r="BP87" s="22">
        <f t="shared" si="177"/>
        <v>3.8856063980888589</v>
      </c>
      <c r="BQ87" s="22">
        <f t="shared" si="177"/>
        <v>2.3554436303814263</v>
      </c>
      <c r="BR87" s="22">
        <f t="shared" si="177"/>
        <v>-1.0483993557695248</v>
      </c>
      <c r="BS87" s="22">
        <f t="shared" si="177"/>
        <v>-0.21350603355485553</v>
      </c>
      <c r="BT87" s="22">
        <f t="shared" si="178"/>
        <v>0.35411318867379915</v>
      </c>
      <c r="BV87" s="22">
        <f t="shared" si="207"/>
        <v>-0.63182953955731591</v>
      </c>
      <c r="BW87" s="22">
        <f t="shared" si="208"/>
        <v>2.9647059834403855</v>
      </c>
      <c r="BX87" s="22">
        <f t="shared" si="209"/>
        <v>2.4825099578859477</v>
      </c>
      <c r="BZ87" s="18" t="str">
        <f t="shared" si="210"/>
        <v xml:space="preserve"> 32 Health and social care associate professionals</v>
      </c>
      <c r="CA87" s="22">
        <f t="shared" si="179"/>
        <v>9.7471647913338622E-2</v>
      </c>
      <c r="CB87" s="22">
        <f t="shared" si="179"/>
        <v>5.0952347766436423</v>
      </c>
      <c r="CC87" s="22">
        <f t="shared" si="179"/>
        <v>-5.2272188530981918</v>
      </c>
      <c r="CD87" s="22">
        <f t="shared" si="179"/>
        <v>-1.2695617380568902</v>
      </c>
      <c r="CE87" s="22">
        <f t="shared" si="180"/>
        <v>-0.55737689438930538</v>
      </c>
      <c r="CF87" s="286"/>
      <c r="CG87" s="22">
        <f t="shared" si="211"/>
        <v>-3.2686285740927024</v>
      </c>
      <c r="CH87" s="22">
        <f t="shared" si="212"/>
        <v>2.0058332011833047</v>
      </c>
      <c r="CI87" s="22">
        <f t="shared" si="213"/>
        <v>-0.64917464502628475</v>
      </c>
      <c r="CK87" s="18" t="str">
        <f t="shared" si="214"/>
        <v xml:space="preserve"> 32 Health and social care associate professionals</v>
      </c>
      <c r="CL87" s="22">
        <f t="shared" si="181"/>
        <v>-4.3420054267302994</v>
      </c>
      <c r="CM87" s="22">
        <f t="shared" si="181"/>
        <v>2.890789965097329</v>
      </c>
      <c r="CN87" s="22">
        <f t="shared" si="181"/>
        <v>-1.9853744195400647</v>
      </c>
      <c r="CO87" s="22">
        <f t="shared" si="181"/>
        <v>6.3115165242873861</v>
      </c>
      <c r="CP87" s="22">
        <f t="shared" si="182"/>
        <v>2.348755611193476</v>
      </c>
      <c r="CR87" s="22">
        <f t="shared" si="215"/>
        <v>2.0788101763481004</v>
      </c>
      <c r="CS87" s="22">
        <f t="shared" si="216"/>
        <v>2.1975290162624672</v>
      </c>
      <c r="CT87" s="22">
        <f t="shared" si="217"/>
        <v>3.9366588451695828</v>
      </c>
    </row>
    <row r="88" spans="1:98" x14ac:dyDescent="0.2">
      <c r="A88" s="18" t="str">
        <f t="shared" si="164"/>
        <v xml:space="preserve"> 33 Protective service occupations</v>
      </c>
      <c r="B88" s="22">
        <f t="shared" si="165"/>
        <v>4.2957544019615712</v>
      </c>
      <c r="C88" s="22">
        <f t="shared" si="165"/>
        <v>9.7025922316840365</v>
      </c>
      <c r="D88" s="22">
        <f t="shared" si="165"/>
        <v>5.7134713133163428</v>
      </c>
      <c r="E88" s="22">
        <f t="shared" si="165"/>
        <v>4.0318677681572712</v>
      </c>
      <c r="F88" s="22">
        <f t="shared" si="166"/>
        <v>6.4562604924111699</v>
      </c>
      <c r="H88" s="22">
        <f t="shared" si="183"/>
        <v>4.8692989820176669</v>
      </c>
      <c r="I88" s="22">
        <f t="shared" si="184"/>
        <v>2.6192151441833955</v>
      </c>
      <c r="J88" s="22">
        <f t="shared" si="185"/>
        <v>6.6502164385309648</v>
      </c>
      <c r="L88" s="18" t="str">
        <f t="shared" si="186"/>
        <v xml:space="preserve"> 33 Protective service occupations</v>
      </c>
      <c r="M88" s="22">
        <f t="shared" si="167"/>
        <v>-3.1780142549150958</v>
      </c>
      <c r="N88" s="22">
        <f t="shared" si="167"/>
        <v>10.430442967348252</v>
      </c>
      <c r="O88" s="22">
        <f t="shared" si="167"/>
        <v>4.342802090206721</v>
      </c>
      <c r="P88" s="22">
        <f t="shared" si="167"/>
        <v>3.5750851662278427</v>
      </c>
      <c r="Q88" s="22">
        <f t="shared" si="168"/>
        <v>6.0723529993917946</v>
      </c>
      <c r="S88" s="22">
        <f t="shared" si="187"/>
        <v>3.9582349454626797</v>
      </c>
      <c r="T88" s="22">
        <f t="shared" si="188"/>
        <v>2.058754100561222</v>
      </c>
      <c r="U88" s="22">
        <f t="shared" si="189"/>
        <v>5.4517280912329769</v>
      </c>
      <c r="W88" s="18" t="str">
        <f t="shared" si="190"/>
        <v xml:space="preserve"> 33 Protective service occupations</v>
      </c>
      <c r="X88" s="22">
        <f t="shared" si="169"/>
        <v>4.1451726600078898</v>
      </c>
      <c r="Y88" s="22">
        <f t="shared" si="169"/>
        <v>3.8491765949369539</v>
      </c>
      <c r="Z88" s="22">
        <f t="shared" si="169"/>
        <v>3.7881485762787603</v>
      </c>
      <c r="AA88" s="22">
        <f t="shared" si="169"/>
        <v>1.5664620256586659</v>
      </c>
      <c r="AB88" s="22">
        <f t="shared" si="170"/>
        <v>3.0624310053129156</v>
      </c>
      <c r="AD88" s="22">
        <f t="shared" si="191"/>
        <v>2.671296140089896</v>
      </c>
      <c r="AE88" s="22">
        <f t="shared" si="192"/>
        <v>2.9277770743171061</v>
      </c>
      <c r="AF88" s="22">
        <f t="shared" si="193"/>
        <v>5.0467477718351139</v>
      </c>
      <c r="AH88" s="18" t="str">
        <f t="shared" si="194"/>
        <v xml:space="preserve"> 33 Protective service occupations</v>
      </c>
      <c r="AI88" s="22">
        <f t="shared" si="171"/>
        <v>3.9975205002885428</v>
      </c>
      <c r="AJ88" s="22">
        <f t="shared" si="171"/>
        <v>3.0038046481850156</v>
      </c>
      <c r="AK88" s="22">
        <f t="shared" si="171"/>
        <v>2.3926505929760422</v>
      </c>
      <c r="AL88" s="22">
        <f t="shared" si="171"/>
        <v>1.0369613290589275</v>
      </c>
      <c r="AM88" s="22">
        <f t="shared" si="172"/>
        <v>2.1411577412338456</v>
      </c>
      <c r="AO88" s="22">
        <f t="shared" si="195"/>
        <v>1.7125473004307556</v>
      </c>
      <c r="AP88" s="22">
        <f t="shared" si="196"/>
        <v>2.4876593655904555</v>
      </c>
      <c r="AQ88" s="22">
        <f t="shared" si="197"/>
        <v>3.8825895957127265</v>
      </c>
      <c r="AS88" s="18" t="str">
        <f t="shared" si="198"/>
        <v xml:space="preserve"> 33 Protective service occupations</v>
      </c>
      <c r="AT88" s="22">
        <f t="shared" si="173"/>
        <v>-1.6077439818664052</v>
      </c>
      <c r="AU88" s="22">
        <f t="shared" si="173"/>
        <v>-1.749091680847159</v>
      </c>
      <c r="AV88" s="22">
        <f t="shared" si="173"/>
        <v>-1.0714345950018966</v>
      </c>
      <c r="AW88" s="22">
        <f t="shared" si="173"/>
        <v>-1.3073079014300659</v>
      </c>
      <c r="AX88" s="22">
        <f t="shared" si="174"/>
        <v>-1.3763449580695641</v>
      </c>
      <c r="AZ88" s="22">
        <f t="shared" si="199"/>
        <v>-1.1894416306196809</v>
      </c>
      <c r="BA88" s="22">
        <f t="shared" si="200"/>
        <v>2.0077891312861196</v>
      </c>
      <c r="BB88" s="22">
        <f t="shared" si="201"/>
        <v>1.0230907897047059</v>
      </c>
      <c r="BD88" s="18" t="str">
        <f t="shared" si="202"/>
        <v xml:space="preserve"> 33 Protective service occupations</v>
      </c>
      <c r="BE88" s="22">
        <f t="shared" si="175"/>
        <v>-4.5573298479646862</v>
      </c>
      <c r="BF88" s="22">
        <f t="shared" si="175"/>
        <v>-1.9725882298213149</v>
      </c>
      <c r="BG88" s="22">
        <f t="shared" si="175"/>
        <v>-3.6736761361753523</v>
      </c>
      <c r="BH88" s="22">
        <f t="shared" si="175"/>
        <v>-3.7051436708186447</v>
      </c>
      <c r="BI88" s="22">
        <f t="shared" si="176"/>
        <v>-3.1205040236354398</v>
      </c>
      <c r="BK88" s="22">
        <f t="shared" si="203"/>
        <v>-3.6894111886694558</v>
      </c>
      <c r="BL88" s="22">
        <f t="shared" si="204"/>
        <v>1.2624452108439987</v>
      </c>
      <c r="BM88" s="22">
        <f t="shared" si="205"/>
        <v>-1.9611085080232793</v>
      </c>
      <c r="BO88" s="18" t="str">
        <f t="shared" si="206"/>
        <v xml:space="preserve"> 33 Protective service occupations</v>
      </c>
      <c r="BP88" s="22">
        <f t="shared" si="177"/>
        <v>-3.7994169622952323</v>
      </c>
      <c r="BQ88" s="22">
        <f t="shared" si="177"/>
        <v>-1.004158476595729</v>
      </c>
      <c r="BR88" s="22">
        <f t="shared" si="177"/>
        <v>-3.9069477991503176</v>
      </c>
      <c r="BS88" s="22">
        <f t="shared" si="177"/>
        <v>-3.0685448958046591</v>
      </c>
      <c r="BT88" s="22">
        <f t="shared" si="178"/>
        <v>-2.6674972505711936</v>
      </c>
      <c r="BV88" s="22">
        <f t="shared" si="207"/>
        <v>-3.4886567535620694</v>
      </c>
      <c r="BW88" s="22">
        <f t="shared" si="208"/>
        <v>1.5793167426547239</v>
      </c>
      <c r="BX88" s="22">
        <f t="shared" si="209"/>
        <v>-1.3744970454733663</v>
      </c>
      <c r="BZ88" s="18" t="str">
        <f t="shared" si="210"/>
        <v xml:space="preserve"> 33 Protective service occupations</v>
      </c>
      <c r="CA88" s="22">
        <f t="shared" si="179"/>
        <v>-5.50908566140349</v>
      </c>
      <c r="CB88" s="22">
        <f t="shared" si="179"/>
        <v>0.1703362471145109</v>
      </c>
      <c r="CC88" s="22">
        <f t="shared" si="179"/>
        <v>-3.7924144276973881</v>
      </c>
      <c r="CD88" s="22">
        <f t="shared" si="179"/>
        <v>-0.37425638417662999</v>
      </c>
      <c r="CE88" s="22">
        <f t="shared" si="180"/>
        <v>-1.3478227746157811</v>
      </c>
      <c r="CF88" s="286"/>
      <c r="CG88" s="22">
        <f t="shared" si="211"/>
        <v>-2.0982520374451807</v>
      </c>
      <c r="CH88" s="22">
        <f t="shared" si="212"/>
        <v>1.6855056245186129</v>
      </c>
      <c r="CI88" s="22">
        <f t="shared" si="213"/>
        <v>-9.1933670744526186E-2</v>
      </c>
      <c r="CK88" s="18" t="str">
        <f t="shared" si="214"/>
        <v xml:space="preserve"> 33 Protective service occupations</v>
      </c>
      <c r="CL88" s="22">
        <f t="shared" si="181"/>
        <v>-9.0111044859210949</v>
      </c>
      <c r="CM88" s="22">
        <f t="shared" si="181"/>
        <v>-1.8377115270715394</v>
      </c>
      <c r="CN88" s="22">
        <f t="shared" si="181"/>
        <v>-7.5441671856453123</v>
      </c>
      <c r="CO88" s="22">
        <f t="shared" si="181"/>
        <v>-7.2824062207767053</v>
      </c>
      <c r="CP88" s="22">
        <f t="shared" si="182"/>
        <v>-5.5909312173303309</v>
      </c>
      <c r="CR88" s="22">
        <f t="shared" si="215"/>
        <v>-7.413379209514714</v>
      </c>
      <c r="CS88" s="22">
        <f t="shared" si="216"/>
        <v>0.87752935191449666</v>
      </c>
      <c r="CT88" s="22">
        <f t="shared" si="217"/>
        <v>-5.7315665490251133</v>
      </c>
    </row>
    <row r="89" spans="1:98" x14ac:dyDescent="0.2">
      <c r="A89" s="18" t="str">
        <f t="shared" si="164"/>
        <v xml:space="preserve"> 34 Culture, media and sports occupations</v>
      </c>
      <c r="B89" s="22">
        <f t="shared" si="165"/>
        <v>-0.75287672032122721</v>
      </c>
      <c r="C89" s="22">
        <f t="shared" si="165"/>
        <v>18.8640847401774</v>
      </c>
      <c r="D89" s="22">
        <f t="shared" si="165"/>
        <v>5.6704845476857502</v>
      </c>
      <c r="E89" s="22">
        <f t="shared" si="165"/>
        <v>2.8633140535206048</v>
      </c>
      <c r="F89" s="22">
        <f t="shared" si="166"/>
        <v>8.9151483294589653</v>
      </c>
      <c r="H89" s="22">
        <f t="shared" si="183"/>
        <v>4.2574517155310909</v>
      </c>
      <c r="I89" s="22">
        <f t="shared" si="184"/>
        <v>3.770227672852644</v>
      </c>
      <c r="J89" s="22">
        <f t="shared" si="185"/>
        <v>6.9891761878365433</v>
      </c>
      <c r="L89" s="18" t="str">
        <f t="shared" si="186"/>
        <v xml:space="preserve"> 34 Culture, media and sports occupations</v>
      </c>
      <c r="M89" s="22">
        <f t="shared" si="167"/>
        <v>5.3203508453741888</v>
      </c>
      <c r="N89" s="22">
        <f t="shared" si="167"/>
        <v>14.026539604339728</v>
      </c>
      <c r="O89" s="22">
        <f t="shared" si="167"/>
        <v>3.9173645793040945</v>
      </c>
      <c r="P89" s="22">
        <f t="shared" si="167"/>
        <v>1.5715213413303619</v>
      </c>
      <c r="Q89" s="22">
        <f t="shared" si="168"/>
        <v>6.3706979348411297</v>
      </c>
      <c r="S89" s="22">
        <f t="shared" si="187"/>
        <v>2.7377477566137509</v>
      </c>
      <c r="T89" s="22">
        <f t="shared" si="188"/>
        <v>3.2443781254568593</v>
      </c>
      <c r="U89" s="22">
        <f t="shared" si="189"/>
        <v>5.3638783021014325</v>
      </c>
      <c r="W89" s="18" t="str">
        <f t="shared" si="190"/>
        <v xml:space="preserve"> 34 Culture, media and sports occupations</v>
      </c>
      <c r="X89" s="22">
        <f t="shared" si="169"/>
        <v>8.1900219165951924</v>
      </c>
      <c r="Y89" s="22">
        <f t="shared" si="169"/>
        <v>3.753575696876954</v>
      </c>
      <c r="Z89" s="22">
        <f t="shared" si="169"/>
        <v>2.9259137751204145</v>
      </c>
      <c r="AA89" s="22">
        <f t="shared" si="169"/>
        <v>0.76544396694662176</v>
      </c>
      <c r="AB89" s="22">
        <f t="shared" si="170"/>
        <v>2.4738710272500075</v>
      </c>
      <c r="AD89" s="22">
        <f t="shared" si="191"/>
        <v>1.8399499079495563</v>
      </c>
      <c r="AE89" s="22">
        <f t="shared" si="192"/>
        <v>3.4244882439044</v>
      </c>
      <c r="AF89" s="22">
        <f t="shared" si="193"/>
        <v>4.8144820691808921</v>
      </c>
      <c r="AH89" s="18" t="str">
        <f t="shared" si="194"/>
        <v xml:space="preserve"> 34 Culture, media and sports occupations</v>
      </c>
      <c r="AI89" s="22">
        <f t="shared" si="171"/>
        <v>6.5985963511572043</v>
      </c>
      <c r="AJ89" s="22">
        <f t="shared" si="171"/>
        <v>-2.3877516553030942</v>
      </c>
      <c r="AK89" s="22">
        <f t="shared" si="171"/>
        <v>2.6095368851410061</v>
      </c>
      <c r="AL89" s="22">
        <f t="shared" si="171"/>
        <v>0.64456252291813509</v>
      </c>
      <c r="AM89" s="22">
        <f t="shared" si="172"/>
        <v>0.26763852878373129</v>
      </c>
      <c r="AO89" s="22">
        <f t="shared" si="195"/>
        <v>1.6223004585324663</v>
      </c>
      <c r="AP89" s="22">
        <f t="shared" si="196"/>
        <v>3.2644417742971665</v>
      </c>
      <c r="AQ89" s="22">
        <f t="shared" si="197"/>
        <v>4.5030450745667583</v>
      </c>
      <c r="AS89" s="18" t="str">
        <f t="shared" si="198"/>
        <v xml:space="preserve"> 34 Culture, media and sports occupations</v>
      </c>
      <c r="AT89" s="22">
        <f t="shared" si="173"/>
        <v>4.5944330813644241</v>
      </c>
      <c r="AU89" s="22">
        <f t="shared" si="173"/>
        <v>1.0062600759414453</v>
      </c>
      <c r="AV89" s="22">
        <f t="shared" si="173"/>
        <v>2.1994855713356909</v>
      </c>
      <c r="AW89" s="22">
        <f t="shared" si="173"/>
        <v>0.8117328939885704</v>
      </c>
      <c r="AX89" s="22">
        <f t="shared" si="174"/>
        <v>1.3373073156661919</v>
      </c>
      <c r="AZ89" s="22">
        <f t="shared" si="199"/>
        <v>1.503237590337636</v>
      </c>
      <c r="BA89" s="22">
        <f t="shared" si="200"/>
        <v>3.1814847608963914</v>
      </c>
      <c r="BB89" s="22">
        <f t="shared" si="201"/>
        <v>4.3355008345665969</v>
      </c>
      <c r="BD89" s="18" t="str">
        <f t="shared" si="202"/>
        <v xml:space="preserve"> 34 Culture, media and sports occupations</v>
      </c>
      <c r="BE89" s="22">
        <f t="shared" si="175"/>
        <v>2.852821101595393</v>
      </c>
      <c r="BF89" s="22">
        <f t="shared" si="175"/>
        <v>1.4904968346166836</v>
      </c>
      <c r="BG89" s="22">
        <f t="shared" si="175"/>
        <v>-1.5199337795193113</v>
      </c>
      <c r="BH89" s="22">
        <f t="shared" si="175"/>
        <v>-0.6053305966818523</v>
      </c>
      <c r="BI89" s="22">
        <f t="shared" si="176"/>
        <v>-0.21951711858873013</v>
      </c>
      <c r="BK89" s="22">
        <f t="shared" si="203"/>
        <v>-1.063689047945815</v>
      </c>
      <c r="BL89" s="22">
        <f t="shared" si="204"/>
        <v>2.2675689945120148</v>
      </c>
      <c r="BM89" s="22">
        <f t="shared" si="205"/>
        <v>1.4068348038932532</v>
      </c>
      <c r="BO89" s="18" t="str">
        <f t="shared" si="206"/>
        <v xml:space="preserve"> 34 Culture, media and sports occupations</v>
      </c>
      <c r="BP89" s="22">
        <f t="shared" si="177"/>
        <v>-5.460405200037366</v>
      </c>
      <c r="BQ89" s="22">
        <f t="shared" si="177"/>
        <v>-1.7882639729931538</v>
      </c>
      <c r="BR89" s="22">
        <f t="shared" si="177"/>
        <v>-4.130952212379202</v>
      </c>
      <c r="BS89" s="22">
        <f t="shared" si="177"/>
        <v>-3.8673612688852277</v>
      </c>
      <c r="BT89" s="22">
        <f t="shared" si="178"/>
        <v>-3.267839377978754</v>
      </c>
      <c r="BV89" s="22">
        <f t="shared" si="207"/>
        <v>-3.9992472088717035</v>
      </c>
      <c r="BW89" s="22">
        <f t="shared" si="208"/>
        <v>2.0019264526588865</v>
      </c>
      <c r="BX89" s="22">
        <f t="shared" si="209"/>
        <v>-1.2241893164192774</v>
      </c>
      <c r="BZ89" s="18" t="str">
        <f t="shared" si="210"/>
        <v xml:space="preserve"> 34 Culture, media and sports occupations</v>
      </c>
      <c r="CA89" s="22">
        <f t="shared" si="179"/>
        <v>2.1267838730291366</v>
      </c>
      <c r="CB89" s="22">
        <f t="shared" si="179"/>
        <v>2.3122336855710079</v>
      </c>
      <c r="CC89" s="22">
        <f t="shared" si="179"/>
        <v>-5.3529613259031272</v>
      </c>
      <c r="CD89" s="22">
        <f t="shared" si="179"/>
        <v>-3.780321264978892</v>
      </c>
      <c r="CE89" s="22">
        <f t="shared" si="180"/>
        <v>-2.3288803290617111</v>
      </c>
      <c r="CF89" s="286"/>
      <c r="CG89" s="22">
        <f t="shared" si="211"/>
        <v>-4.5698807794796963</v>
      </c>
      <c r="CH89" s="22">
        <f t="shared" si="212"/>
        <v>1.7655288634333965</v>
      </c>
      <c r="CI89" s="22">
        <f t="shared" si="213"/>
        <v>-1.9928965803609033</v>
      </c>
      <c r="CK89" s="18" t="str">
        <f t="shared" si="214"/>
        <v xml:space="preserve"> 34 Culture, media and sports occupations</v>
      </c>
      <c r="CL89" s="22">
        <f t="shared" si="181"/>
        <v>7.1217902928097931</v>
      </c>
      <c r="CM89" s="22">
        <f t="shared" si="181"/>
        <v>10.499736191569319</v>
      </c>
      <c r="CN89" s="22">
        <f t="shared" si="181"/>
        <v>-0.28443457573616993</v>
      </c>
      <c r="CO89" s="22">
        <f t="shared" si="181"/>
        <v>7.5876438968691229</v>
      </c>
      <c r="CP89" s="22">
        <f t="shared" si="182"/>
        <v>5.8348904850295202</v>
      </c>
      <c r="CR89" s="22">
        <f t="shared" si="215"/>
        <v>3.5768446316098768</v>
      </c>
      <c r="CS89" s="22">
        <f t="shared" si="216"/>
        <v>2.3309258916468956</v>
      </c>
      <c r="CT89" s="22">
        <f>IF($F$6-$D$6 &lt;&gt; 0,(EXP(LN(1+(CT53/100))/($F$6-$D$6))-1)*100,0)</f>
        <v>5.3263266942526366</v>
      </c>
    </row>
    <row r="90" spans="1:98" x14ac:dyDescent="0.2">
      <c r="A90" s="18" t="str">
        <f t="shared" si="164"/>
        <v xml:space="preserve"> 35 Business and public service associate professionals</v>
      </c>
      <c r="B90" s="22">
        <f t="shared" si="165"/>
        <v>-4.9545152342913568</v>
      </c>
      <c r="C90" s="22">
        <f t="shared" si="165"/>
        <v>13.034468559976098</v>
      </c>
      <c r="D90" s="22">
        <f t="shared" si="165"/>
        <v>5.9273191078961451</v>
      </c>
      <c r="E90" s="22">
        <f t="shared" si="165"/>
        <v>3.8904262748910901</v>
      </c>
      <c r="F90" s="22">
        <f t="shared" si="166"/>
        <v>7.546959135351794</v>
      </c>
      <c r="H90" s="22">
        <f t="shared" si="183"/>
        <v>4.903929079304481</v>
      </c>
      <c r="I90" s="22">
        <f t="shared" si="184"/>
        <v>3.1221469650476896</v>
      </c>
      <c r="J90" s="22">
        <f t="shared" si="185"/>
        <v>7.0371461036875749</v>
      </c>
      <c r="L90" s="18" t="str">
        <f t="shared" si="186"/>
        <v xml:space="preserve"> 35 Business and public service associate professionals</v>
      </c>
      <c r="M90" s="22">
        <f t="shared" si="167"/>
        <v>-1.8945412660752337</v>
      </c>
      <c r="N90" s="22">
        <f t="shared" si="167"/>
        <v>11.766878597382746</v>
      </c>
      <c r="O90" s="22">
        <f t="shared" si="167"/>
        <v>5.1420941810861764</v>
      </c>
      <c r="P90" s="22">
        <f t="shared" si="167"/>
        <v>3.2543366685535702</v>
      </c>
      <c r="Q90" s="22">
        <f t="shared" si="168"/>
        <v>6.6594521701467402</v>
      </c>
      <c r="S90" s="22">
        <f t="shared" si="187"/>
        <v>4.1939402777850576</v>
      </c>
      <c r="T90" s="22">
        <f t="shared" si="188"/>
        <v>3.2548261925642974</v>
      </c>
      <c r="U90" s="22">
        <f t="shared" si="189"/>
        <v>6.5480219555845931</v>
      </c>
      <c r="W90" s="18" t="str">
        <f t="shared" si="190"/>
        <v xml:space="preserve"> 35 Business and public service associate professionals</v>
      </c>
      <c r="X90" s="22">
        <f t="shared" si="169"/>
        <v>2.577163787411263</v>
      </c>
      <c r="Y90" s="22">
        <f t="shared" si="169"/>
        <v>3.2165384886270632</v>
      </c>
      <c r="Z90" s="22">
        <f t="shared" si="169"/>
        <v>3.9071796938363157</v>
      </c>
      <c r="AA90" s="22">
        <f t="shared" si="169"/>
        <v>1.5425797595228552</v>
      </c>
      <c r="AB90" s="22">
        <f t="shared" si="170"/>
        <v>2.883961937976709</v>
      </c>
      <c r="AD90" s="22">
        <f t="shared" si="191"/>
        <v>2.7180757298755465</v>
      </c>
      <c r="AE90" s="22">
        <f t="shared" si="192"/>
        <v>3.6237980615305476</v>
      </c>
      <c r="AF90" s="22">
        <f t="shared" si="193"/>
        <v>5.665580970609474</v>
      </c>
      <c r="AH90" s="18" t="str">
        <f t="shared" si="194"/>
        <v xml:space="preserve"> 35 Business and public service associate professionals</v>
      </c>
      <c r="AI90" s="22">
        <f t="shared" si="171"/>
        <v>2.9728310503983169</v>
      </c>
      <c r="AJ90" s="22">
        <f t="shared" si="171"/>
        <v>1.6418847377013046</v>
      </c>
      <c r="AK90" s="22">
        <f t="shared" si="171"/>
        <v>3.5344314449918368</v>
      </c>
      <c r="AL90" s="22">
        <f t="shared" si="171"/>
        <v>1.2522718127058408</v>
      </c>
      <c r="AM90" s="22">
        <f t="shared" si="172"/>
        <v>2.1380188310518466</v>
      </c>
      <c r="AO90" s="22">
        <f t="shared" si="195"/>
        <v>2.3869932884166278</v>
      </c>
      <c r="AP90" s="22">
        <f t="shared" si="196"/>
        <v>3.4248282017357301</v>
      </c>
      <c r="AQ90" s="22">
        <f t="shared" si="197"/>
        <v>5.2394733140192384</v>
      </c>
      <c r="AS90" s="18" t="str">
        <f t="shared" si="198"/>
        <v xml:space="preserve"> 35 Business and public service associate professionals</v>
      </c>
      <c r="AT90" s="22">
        <f t="shared" si="173"/>
        <v>-0.53341451777764171</v>
      </c>
      <c r="AU90" s="22">
        <f t="shared" si="173"/>
        <v>0.84032232802602191</v>
      </c>
      <c r="AV90" s="22">
        <f t="shared" si="173"/>
        <v>2.7987297142533896</v>
      </c>
      <c r="AW90" s="22">
        <f t="shared" si="173"/>
        <v>1.2799081988574157</v>
      </c>
      <c r="AX90" s="22">
        <f t="shared" si="174"/>
        <v>1.636201155872552</v>
      </c>
      <c r="AZ90" s="22">
        <f t="shared" si="199"/>
        <v>2.0364930229314515</v>
      </c>
      <c r="BA90" s="22">
        <f t="shared" si="200"/>
        <v>3.2470622644915625</v>
      </c>
      <c r="BB90" s="22">
        <f t="shared" si="201"/>
        <v>4.8113564827829691</v>
      </c>
      <c r="BD90" s="18" t="str">
        <f t="shared" si="202"/>
        <v xml:space="preserve"> 35 Business and public service associate professionals</v>
      </c>
      <c r="BE90" s="22">
        <f t="shared" si="175"/>
        <v>-0.31651009055421175</v>
      </c>
      <c r="BF90" s="22">
        <f t="shared" si="175"/>
        <v>2.9478100720078837</v>
      </c>
      <c r="BG90" s="22">
        <f t="shared" si="175"/>
        <v>-1.0235773140756632</v>
      </c>
      <c r="BH90" s="22">
        <f t="shared" si="175"/>
        <v>0.33255416470676646</v>
      </c>
      <c r="BI90" s="22">
        <f t="shared" si="176"/>
        <v>0.73883202271429749</v>
      </c>
      <c r="BK90" s="22">
        <f t="shared" si="203"/>
        <v>-0.34781843750527619</v>
      </c>
      <c r="BL90" s="22">
        <f t="shared" si="204"/>
        <v>2.4850488889745614</v>
      </c>
      <c r="BM90" s="22">
        <f t="shared" si="205"/>
        <v>2.2071325628523208</v>
      </c>
      <c r="BO90" s="18" t="str">
        <f t="shared" si="206"/>
        <v xml:space="preserve"> 35 Business and public service associate professionals</v>
      </c>
      <c r="BP90" s="22">
        <f t="shared" si="177"/>
        <v>-3.3480678106600603</v>
      </c>
      <c r="BQ90" s="22">
        <f t="shared" si="177"/>
        <v>9.42211366442125E-2</v>
      </c>
      <c r="BR90" s="22">
        <f t="shared" si="177"/>
        <v>-2.147517324330861</v>
      </c>
      <c r="BS90" s="22">
        <f t="shared" si="177"/>
        <v>-1.5205782504626453</v>
      </c>
      <c r="BT90" s="22">
        <f t="shared" si="178"/>
        <v>-1.1957905239873945</v>
      </c>
      <c r="BV90" s="22">
        <f t="shared" si="207"/>
        <v>-1.8345482837443527</v>
      </c>
      <c r="BW90" s="22">
        <f t="shared" si="208"/>
        <v>2.3584331845409867</v>
      </c>
      <c r="BX90" s="22">
        <f t="shared" si="209"/>
        <v>0.89772089163506763</v>
      </c>
      <c r="BZ90" s="18" t="str">
        <f t="shared" si="210"/>
        <v xml:space="preserve"> 35 Business and public service associate professionals</v>
      </c>
      <c r="CA90" s="22">
        <f t="shared" si="179"/>
        <v>-4.3504315684705368</v>
      </c>
      <c r="CB90" s="22">
        <f t="shared" si="179"/>
        <v>2.2284703527919891</v>
      </c>
      <c r="CC90" s="22">
        <f t="shared" si="179"/>
        <v>-4.3528625240806136</v>
      </c>
      <c r="CD90" s="22">
        <f t="shared" si="179"/>
        <v>-1.8078931526035014</v>
      </c>
      <c r="CE90" s="22">
        <f t="shared" si="180"/>
        <v>-1.347792891570232</v>
      </c>
      <c r="CF90" s="286"/>
      <c r="CG90" s="22">
        <f t="shared" si="211"/>
        <v>-3.0887316011027677</v>
      </c>
      <c r="CH90" s="22">
        <f t="shared" si="212"/>
        <v>1.8243840564659664</v>
      </c>
      <c r="CI90" s="22">
        <f t="shared" si="213"/>
        <v>-0.73509878822742847</v>
      </c>
      <c r="CK90" s="18" t="str">
        <f t="shared" si="214"/>
        <v xml:space="preserve"> 35 Business and public service associate professionals</v>
      </c>
      <c r="CL90" s="22">
        <f t="shared" si="181"/>
        <v>-5.7561916573789507</v>
      </c>
      <c r="CM90" s="22">
        <f t="shared" si="181"/>
        <v>5.8283228814734134</v>
      </c>
      <c r="CN90" s="22">
        <f t="shared" si="181"/>
        <v>-3.8427993679711503</v>
      </c>
      <c r="CO90" s="22">
        <f t="shared" si="181"/>
        <v>3.177792051467776</v>
      </c>
      <c r="CP90" s="22">
        <f t="shared" si="182"/>
        <v>1.6381266472455414</v>
      </c>
      <c r="CR90" s="22">
        <f t="shared" si="215"/>
        <v>-0.39433926195390212</v>
      </c>
      <c r="CS90" s="22">
        <f t="shared" si="216"/>
        <v>1.7180623795024053</v>
      </c>
      <c r="CT90" s="22">
        <f t="shared" si="217"/>
        <v>1.3807240353670869</v>
      </c>
    </row>
    <row r="91" spans="1:98" x14ac:dyDescent="0.2">
      <c r="A91" s="18" t="str">
        <f t="shared" si="164"/>
        <v xml:space="preserve"> 41 Administrative occupations</v>
      </c>
      <c r="B91" s="22">
        <f t="shared" si="165"/>
        <v>-4.3893206671750669</v>
      </c>
      <c r="C91" s="22">
        <f t="shared" si="165"/>
        <v>12.181993066231378</v>
      </c>
      <c r="D91" s="22">
        <f t="shared" si="165"/>
        <v>5.2601730327486829</v>
      </c>
      <c r="E91" s="22">
        <f t="shared" si="165"/>
        <v>3.131884990673317</v>
      </c>
      <c r="F91" s="22">
        <f t="shared" si="166"/>
        <v>6.7890514530552393</v>
      </c>
      <c r="H91" s="22">
        <f t="shared" si="183"/>
        <v>4.1905948697472883</v>
      </c>
      <c r="I91" s="22">
        <f t="shared" si="184"/>
        <v>3.2704366615556202</v>
      </c>
      <c r="J91" s="22">
        <f t="shared" si="185"/>
        <v>6.5570588144950204</v>
      </c>
      <c r="L91" s="18" t="str">
        <f t="shared" si="186"/>
        <v xml:space="preserve"> 41 Administrative occupations</v>
      </c>
      <c r="M91" s="22">
        <f t="shared" si="167"/>
        <v>-1.1793817970959797</v>
      </c>
      <c r="N91" s="22">
        <f t="shared" si="167"/>
        <v>10.944256293361709</v>
      </c>
      <c r="O91" s="22">
        <f t="shared" si="167"/>
        <v>4.3711316721856575</v>
      </c>
      <c r="P91" s="22">
        <f t="shared" si="167"/>
        <v>3.2823560606811686</v>
      </c>
      <c r="Q91" s="22">
        <f t="shared" si="168"/>
        <v>6.146036944879163</v>
      </c>
      <c r="S91" s="22">
        <f t="shared" si="187"/>
        <v>3.8253166805809258</v>
      </c>
      <c r="T91" s="22">
        <f t="shared" si="188"/>
        <v>3.3089968098205302</v>
      </c>
      <c r="U91" s="22">
        <f t="shared" si="189"/>
        <v>6.2894247335257392</v>
      </c>
      <c r="W91" s="18" t="str">
        <f t="shared" si="190"/>
        <v xml:space="preserve"> 41 Administrative occupations</v>
      </c>
      <c r="X91" s="22">
        <f t="shared" si="169"/>
        <v>4.6957749544543015</v>
      </c>
      <c r="Y91" s="22">
        <f t="shared" si="169"/>
        <v>3.0367714521790212</v>
      </c>
      <c r="Z91" s="22">
        <f t="shared" si="169"/>
        <v>4.0486398100739063</v>
      </c>
      <c r="AA91" s="22">
        <f t="shared" si="169"/>
        <v>2.1100335538563053</v>
      </c>
      <c r="AB91" s="22">
        <f t="shared" si="170"/>
        <v>3.0621083773809232</v>
      </c>
      <c r="AD91" s="22">
        <f t="shared" si="191"/>
        <v>3.0747791762842258</v>
      </c>
      <c r="AE91" s="22">
        <f t="shared" si="192"/>
        <v>3.9291682876207545</v>
      </c>
      <c r="AF91" s="22">
        <f t="shared" si="193"/>
        <v>6.1940234215613454</v>
      </c>
      <c r="AH91" s="18" t="str">
        <f t="shared" si="194"/>
        <v xml:space="preserve"> 41 Administrative occupations</v>
      </c>
      <c r="AI91" s="22">
        <f t="shared" si="171"/>
        <v>5.455732107795952</v>
      </c>
      <c r="AJ91" s="22">
        <f t="shared" si="171"/>
        <v>1.8030685412584013</v>
      </c>
      <c r="AK91" s="22">
        <f t="shared" si="171"/>
        <v>3.3909591846627229</v>
      </c>
      <c r="AL91" s="22">
        <f t="shared" si="171"/>
        <v>1.5204464223298464</v>
      </c>
      <c r="AM91" s="22">
        <f t="shared" si="172"/>
        <v>2.234854672991915</v>
      </c>
      <c r="AO91" s="22">
        <f t="shared" si="195"/>
        <v>2.4514340185624039</v>
      </c>
      <c r="AP91" s="22">
        <f t="shared" si="196"/>
        <v>4.0238929611560614</v>
      </c>
      <c r="AQ91" s="22">
        <f t="shared" si="197"/>
        <v>5.8020297959280098</v>
      </c>
      <c r="AS91" s="18" t="str">
        <f t="shared" si="198"/>
        <v xml:space="preserve"> 41 Administrative occupations</v>
      </c>
      <c r="AT91" s="22">
        <f t="shared" si="173"/>
        <v>1.652484839536128</v>
      </c>
      <c r="AU91" s="22">
        <f t="shared" si="173"/>
        <v>1.3474325609829085</v>
      </c>
      <c r="AV91" s="22">
        <f t="shared" si="173"/>
        <v>3.303570632487185</v>
      </c>
      <c r="AW91" s="22">
        <f t="shared" si="173"/>
        <v>1.6861388456690385</v>
      </c>
      <c r="AX91" s="22">
        <f t="shared" si="174"/>
        <v>2.1088253975706239</v>
      </c>
      <c r="AZ91" s="22">
        <f t="shared" si="199"/>
        <v>2.4916641809882512</v>
      </c>
      <c r="BA91" s="22">
        <f t="shared" si="200"/>
        <v>3.8036616581486937</v>
      </c>
      <c r="BB91" s="22">
        <f t="shared" si="201"/>
        <v>5.6438546920870802</v>
      </c>
      <c r="BD91" s="18" t="str">
        <f t="shared" si="202"/>
        <v xml:space="preserve"> 41 Administrative occupations</v>
      </c>
      <c r="BE91" s="22">
        <f t="shared" si="175"/>
        <v>-1.4577492144437043</v>
      </c>
      <c r="BF91" s="22">
        <f t="shared" si="175"/>
        <v>1.2025377695835671</v>
      </c>
      <c r="BG91" s="22">
        <f t="shared" si="175"/>
        <v>-2.4775273117981222</v>
      </c>
      <c r="BH91" s="22">
        <f t="shared" si="175"/>
        <v>-0.2608486283944389</v>
      </c>
      <c r="BI91" s="22">
        <f t="shared" si="176"/>
        <v>-0.52347813341381277</v>
      </c>
      <c r="BK91" s="22">
        <f t="shared" si="203"/>
        <v>-1.3754155112335242</v>
      </c>
      <c r="BL91" s="22">
        <f t="shared" si="204"/>
        <v>2.5908626023779524</v>
      </c>
      <c r="BM91" s="22">
        <f t="shared" si="205"/>
        <v>1.5140122943394285</v>
      </c>
      <c r="BO91" s="18" t="str">
        <f t="shared" si="206"/>
        <v xml:space="preserve"> 41 Administrative occupations</v>
      </c>
      <c r="BP91" s="22">
        <f t="shared" si="177"/>
        <v>-2.5731508762488309</v>
      </c>
      <c r="BQ91" s="22">
        <f t="shared" si="177"/>
        <v>-1.5137126665314082</v>
      </c>
      <c r="BR91" s="22">
        <f t="shared" si="177"/>
        <v>-2.8040155776460129</v>
      </c>
      <c r="BS91" s="22">
        <f t="shared" si="177"/>
        <v>-4.1498728956469444</v>
      </c>
      <c r="BT91" s="22">
        <f t="shared" si="178"/>
        <v>-2.8284954179086497</v>
      </c>
      <c r="BV91" s="22">
        <f t="shared" si="207"/>
        <v>-3.4792899895812579</v>
      </c>
      <c r="BW91" s="22">
        <f t="shared" si="208"/>
        <v>2.3903765356686701</v>
      </c>
      <c r="BX91" s="22">
        <f t="shared" si="209"/>
        <v>-0.32216682045633771</v>
      </c>
      <c r="BZ91" s="18" t="str">
        <f t="shared" si="210"/>
        <v xml:space="preserve"> 41 Administrative occupations</v>
      </c>
      <c r="CA91" s="22">
        <f t="shared" si="179"/>
        <v>-5.5720050887912205</v>
      </c>
      <c r="CB91" s="22">
        <f t="shared" si="179"/>
        <v>-6.9279754771667257E-2</v>
      </c>
      <c r="CC91" s="22">
        <f t="shared" si="179"/>
        <v>-7.4439892226547011</v>
      </c>
      <c r="CD91" s="22">
        <f t="shared" si="179"/>
        <v>-9.3183248047900236</v>
      </c>
      <c r="CE91" s="22">
        <f t="shared" si="180"/>
        <v>-5.6936231625127505</v>
      </c>
      <c r="CF91" s="286"/>
      <c r="CG91" s="22">
        <f t="shared" si="211"/>
        <v>-8.3859502768512062</v>
      </c>
      <c r="CH91" s="22">
        <f t="shared" si="212"/>
        <v>1.5248311283509786</v>
      </c>
      <c r="CI91" s="22">
        <f t="shared" si="213"/>
        <v>-5.3033831379080798</v>
      </c>
      <c r="CK91" s="18" t="str">
        <f t="shared" si="214"/>
        <v xml:space="preserve"> 41 Administrative occupations</v>
      </c>
      <c r="CL91" s="22">
        <f t="shared" si="181"/>
        <v>-10.194208314133169</v>
      </c>
      <c r="CM91" s="22">
        <f t="shared" si="181"/>
        <v>2.392512871195418</v>
      </c>
      <c r="CN91" s="22">
        <f t="shared" si="181"/>
        <v>-6.7168274817017481</v>
      </c>
      <c r="CO91" s="22">
        <f t="shared" si="181"/>
        <v>-3.3303423526459208</v>
      </c>
      <c r="CP91" s="22">
        <f t="shared" si="182"/>
        <v>-2.6235592091528703</v>
      </c>
      <c r="CR91" s="22">
        <f t="shared" si="215"/>
        <v>-5.0386797079834178</v>
      </c>
      <c r="CS91" s="22">
        <f t="shared" si="216"/>
        <v>1.3672234808137507</v>
      </c>
      <c r="CT91" s="22">
        <f t="shared" si="217"/>
        <v>-2.9432218881055627</v>
      </c>
    </row>
    <row r="92" spans="1:98" x14ac:dyDescent="0.2">
      <c r="A92" s="18" t="str">
        <f t="shared" si="164"/>
        <v xml:space="preserve"> 42 Secretarial and related occupations</v>
      </c>
      <c r="B92" s="22">
        <f t="shared" si="165"/>
        <v>9.0058277070073967</v>
      </c>
      <c r="C92" s="22">
        <f t="shared" si="165"/>
        <v>18.965166665016863</v>
      </c>
      <c r="D92" s="22">
        <f t="shared" si="165"/>
        <v>2.8170136635124132</v>
      </c>
      <c r="E92" s="22">
        <f t="shared" si="165"/>
        <v>2.6351674992699081</v>
      </c>
      <c r="F92" s="22">
        <f t="shared" si="166"/>
        <v>7.8765377330545894</v>
      </c>
      <c r="H92" s="22">
        <f t="shared" si="183"/>
        <v>2.7260503432762206</v>
      </c>
      <c r="I92" s="22">
        <f t="shared" si="184"/>
        <v>3.7293357289805318</v>
      </c>
      <c r="J92" s="22">
        <f t="shared" si="185"/>
        <v>5.760329134584552</v>
      </c>
      <c r="L92" s="18" t="str">
        <f t="shared" si="186"/>
        <v xml:space="preserve"> 42 Secretarial and related occupations</v>
      </c>
      <c r="M92" s="22">
        <f t="shared" si="167"/>
        <v>3.3636681897715404</v>
      </c>
      <c r="N92" s="22">
        <f t="shared" si="167"/>
        <v>9.8882956819785086</v>
      </c>
      <c r="O92" s="22">
        <f t="shared" si="167"/>
        <v>0.3771227826551371</v>
      </c>
      <c r="P92" s="22">
        <f t="shared" si="167"/>
        <v>1.0385534091884807</v>
      </c>
      <c r="Q92" s="22">
        <f t="shared" si="168"/>
        <v>3.6790717124853378</v>
      </c>
      <c r="S92" s="22">
        <f t="shared" si="187"/>
        <v>0.7072950750637963</v>
      </c>
      <c r="T92" s="22">
        <f t="shared" si="188"/>
        <v>3.1246391713050325</v>
      </c>
      <c r="U92" s="22">
        <f t="shared" si="189"/>
        <v>3.6653104515119939</v>
      </c>
      <c r="W92" s="18" t="str">
        <f t="shared" si="190"/>
        <v xml:space="preserve"> 42 Secretarial and related occupations</v>
      </c>
      <c r="X92" s="22">
        <f t="shared" si="169"/>
        <v>5.5973725816188313</v>
      </c>
      <c r="Y92" s="22">
        <f t="shared" si="169"/>
        <v>1.3315082140815448</v>
      </c>
      <c r="Z92" s="22">
        <f t="shared" si="169"/>
        <v>1.4259146665666744</v>
      </c>
      <c r="AA92" s="22">
        <f t="shared" si="169"/>
        <v>1.2471067423000193</v>
      </c>
      <c r="AB92" s="22">
        <f t="shared" si="170"/>
        <v>1.334816888471857</v>
      </c>
      <c r="AD92" s="22">
        <f t="shared" si="191"/>
        <v>1.3364712661798173</v>
      </c>
      <c r="AE92" s="22">
        <f t="shared" si="192"/>
        <v>3.9542017381543504</v>
      </c>
      <c r="AF92" s="22">
        <f t="shared" si="193"/>
        <v>4.9147434446786376</v>
      </c>
      <c r="AH92" s="18" t="str">
        <f t="shared" si="194"/>
        <v xml:space="preserve"> 42 Secretarial and related occupations</v>
      </c>
      <c r="AI92" s="22">
        <f t="shared" si="171"/>
        <v>1.462388290327965</v>
      </c>
      <c r="AJ92" s="22">
        <f t="shared" si="171"/>
        <v>-1.4635716216720551</v>
      </c>
      <c r="AK92" s="22">
        <f t="shared" si="171"/>
        <v>-0.21759209914123945</v>
      </c>
      <c r="AL92" s="22">
        <f t="shared" si="171"/>
        <v>0.28663626373690576</v>
      </c>
      <c r="AM92" s="22">
        <f t="shared" si="172"/>
        <v>-0.46756696048482205</v>
      </c>
      <c r="AO92" s="22">
        <f t="shared" si="195"/>
        <v>3.4204383666947002E-2</v>
      </c>
      <c r="AP92" s="22">
        <f t="shared" si="196"/>
        <v>3.607399185839677</v>
      </c>
      <c r="AQ92" s="22">
        <f t="shared" si="197"/>
        <v>3.6322742449796275</v>
      </c>
      <c r="AS92" s="18" t="str">
        <f t="shared" si="198"/>
        <v xml:space="preserve"> 42 Secretarial and related occupations</v>
      </c>
      <c r="AT92" s="22">
        <f t="shared" si="173"/>
        <v>-1.1042394635663033E-2</v>
      </c>
      <c r="AU92" s="22">
        <f t="shared" si="173"/>
        <v>-3.0829596504369894</v>
      </c>
      <c r="AV92" s="22">
        <f t="shared" si="173"/>
        <v>-1.9480484808909626</v>
      </c>
      <c r="AW92" s="22">
        <f t="shared" si="173"/>
        <v>-1.3445509443324788</v>
      </c>
      <c r="AX92" s="22">
        <f t="shared" si="174"/>
        <v>-2.1278442569762412</v>
      </c>
      <c r="AZ92" s="22">
        <f t="shared" si="199"/>
        <v>-1.6467625957221288</v>
      </c>
      <c r="BA92" s="22">
        <f t="shared" si="200"/>
        <v>3.1140579098235088</v>
      </c>
      <c r="BB92" s="22">
        <f t="shared" si="201"/>
        <v>1.8897205670014294</v>
      </c>
      <c r="BD92" s="18" t="str">
        <f t="shared" si="202"/>
        <v xml:space="preserve"> 42 Secretarial and related occupations</v>
      </c>
      <c r="BE92" s="22">
        <f t="shared" si="175"/>
        <v>-0.510419520123917</v>
      </c>
      <c r="BF92" s="22">
        <f t="shared" si="175"/>
        <v>-0.64799491768438022</v>
      </c>
      <c r="BG92" s="22">
        <f t="shared" si="175"/>
        <v>-6.0392408726842035</v>
      </c>
      <c r="BH92" s="22">
        <f t="shared" si="175"/>
        <v>-4.5138514049932077</v>
      </c>
      <c r="BI92" s="22">
        <f t="shared" si="176"/>
        <v>-3.7602447413155771</v>
      </c>
      <c r="BK92" s="22">
        <f t="shared" si="203"/>
        <v>-5.2796167230594655</v>
      </c>
      <c r="BL92" s="22">
        <f t="shared" si="204"/>
        <v>2.2541019961865638</v>
      </c>
      <c r="BM92" s="22">
        <f t="shared" si="205"/>
        <v>-1.8336294004822729</v>
      </c>
      <c r="BO92" s="18" t="str">
        <f t="shared" si="206"/>
        <v xml:space="preserve"> 42 Secretarial and related occupations</v>
      </c>
      <c r="BP92" s="22">
        <f t="shared" si="177"/>
        <v>-5.0619302652884173</v>
      </c>
      <c r="BQ92" s="22">
        <f t="shared" si="177"/>
        <v>-5.3716267364998576</v>
      </c>
      <c r="BR92" s="22">
        <f t="shared" si="177"/>
        <v>-7.3062620259873974</v>
      </c>
      <c r="BS92" s="22">
        <f t="shared" si="177"/>
        <v>-14.558376934106587</v>
      </c>
      <c r="BT92" s="22">
        <f t="shared" si="178"/>
        <v>-9.1662829274001041</v>
      </c>
      <c r="BV92" s="22">
        <f t="shared" si="207"/>
        <v>-11.006160771970986</v>
      </c>
      <c r="BW92" s="22">
        <f t="shared" si="208"/>
        <v>1.9232899845289086</v>
      </c>
      <c r="BX92" s="22">
        <f t="shared" si="209"/>
        <v>-6.303787158014762</v>
      </c>
      <c r="BZ92" s="18" t="str">
        <f t="shared" si="210"/>
        <v xml:space="preserve"> 42 Secretarial and related occupations</v>
      </c>
      <c r="CA92" s="22">
        <f t="shared" si="179"/>
        <v>-4.2211937993121396</v>
      </c>
      <c r="CB92" s="22">
        <f t="shared" si="179"/>
        <v>0.67238795984980726</v>
      </c>
      <c r="CC92" s="22">
        <f t="shared" si="179"/>
        <v>-10.254617220210738</v>
      </c>
      <c r="CD92" s="22">
        <f t="shared" si="179"/>
        <v>-16.443626234050168</v>
      </c>
      <c r="CE92" s="22">
        <f t="shared" si="180"/>
        <v>-8.9456518859535201</v>
      </c>
      <c r="CF92" s="286"/>
      <c r="CG92" s="22">
        <f t="shared" si="211"/>
        <v>-13.404395334888342</v>
      </c>
      <c r="CH92" s="22">
        <f t="shared" si="212"/>
        <v>1.4280167993645287</v>
      </c>
      <c r="CI92" s="22">
        <f t="shared" si="213"/>
        <v>-8.9991787937540142</v>
      </c>
      <c r="CK92" s="18" t="str">
        <f t="shared" si="214"/>
        <v xml:space="preserve"> 42 Secretarial and related occupations</v>
      </c>
      <c r="CL92" s="22">
        <f t="shared" si="181"/>
        <v>-7.0555610304933181</v>
      </c>
      <c r="CM92" s="22">
        <f t="shared" si="181"/>
        <v>4.807264381396914</v>
      </c>
      <c r="CN92" s="22">
        <f t="shared" si="181"/>
        <v>-6.4657174038620591</v>
      </c>
      <c r="CO92" s="22">
        <f t="shared" si="181"/>
        <v>-4.2868138003453238</v>
      </c>
      <c r="CP92" s="22">
        <f t="shared" si="182"/>
        <v>-2.1010592343162604</v>
      </c>
      <c r="CR92" s="22">
        <f t="shared" si="215"/>
        <v>-5.3825375198886967</v>
      </c>
      <c r="CS92" s="22">
        <f t="shared" si="216"/>
        <v>1.7562752034465223</v>
      </c>
      <c r="CT92" s="22">
        <f t="shared" si="217"/>
        <v>-2.6402045344441571</v>
      </c>
    </row>
    <row r="93" spans="1:98" x14ac:dyDescent="0.2">
      <c r="A93" s="18" t="str">
        <f t="shared" si="164"/>
        <v xml:space="preserve"> 51 Skilled agricultural and related trades</v>
      </c>
      <c r="B93" s="22">
        <f t="shared" si="165"/>
        <v>148.02441678769287</v>
      </c>
      <c r="C93" s="22">
        <f t="shared" si="165"/>
        <v>20.863872575758215</v>
      </c>
      <c r="D93" s="22">
        <f t="shared" si="165"/>
        <v>5.7980864355615447</v>
      </c>
      <c r="E93" s="22">
        <f t="shared" si="165"/>
        <v>4.6328063787406393</v>
      </c>
      <c r="F93" s="22">
        <f t="shared" si="166"/>
        <v>10.191322962231041</v>
      </c>
      <c r="H93" s="22">
        <f t="shared" si="183"/>
        <v>5.2138331839182595</v>
      </c>
      <c r="I93" s="22">
        <f t="shared" si="184"/>
        <v>4.4484804320703342</v>
      </c>
      <c r="J93" s="22">
        <f t="shared" si="185"/>
        <v>8.2415650845547361</v>
      </c>
      <c r="L93" s="18" t="str">
        <f t="shared" si="186"/>
        <v xml:space="preserve"> 51 Skilled agricultural and related trades</v>
      </c>
      <c r="M93" s="22">
        <f t="shared" si="167"/>
        <v>-0.72402791437894409</v>
      </c>
      <c r="N93" s="22">
        <f t="shared" si="167"/>
        <v>15.039518094107551</v>
      </c>
      <c r="O93" s="22">
        <f t="shared" si="167"/>
        <v>-0.2894947333798803</v>
      </c>
      <c r="P93" s="22">
        <f t="shared" si="167"/>
        <v>3.0721399889560574</v>
      </c>
      <c r="Q93" s="22">
        <f t="shared" si="168"/>
        <v>5.7409207885297464</v>
      </c>
      <c r="S93" s="22">
        <f t="shared" si="187"/>
        <v>1.3773897731176099</v>
      </c>
      <c r="T93" s="22">
        <f t="shared" si="188"/>
        <v>2.3644089267963464</v>
      </c>
      <c r="U93" s="22">
        <f t="shared" si="189"/>
        <v>3.4944987799478744</v>
      </c>
      <c r="W93" s="18" t="str">
        <f t="shared" si="190"/>
        <v xml:space="preserve"> 51 Skilled agricultural and related trades</v>
      </c>
      <c r="X93" s="22">
        <f t="shared" si="169"/>
        <v>8.9625107611214894</v>
      </c>
      <c r="Y93" s="22">
        <f t="shared" si="169"/>
        <v>12.42334517071253</v>
      </c>
      <c r="Z93" s="22">
        <f t="shared" si="169"/>
        <v>5.2110589497240678</v>
      </c>
      <c r="AA93" s="22">
        <f t="shared" si="169"/>
        <v>2.5487270109789684</v>
      </c>
      <c r="AB93" s="22">
        <f t="shared" si="170"/>
        <v>6.6471833167054184</v>
      </c>
      <c r="AD93" s="22">
        <f t="shared" si="191"/>
        <v>3.8713635357275455</v>
      </c>
      <c r="AE93" s="22">
        <f t="shared" si="192"/>
        <v>4.3984482605058606</v>
      </c>
      <c r="AF93" s="22">
        <f t="shared" si="193"/>
        <v>7.1772421289825195</v>
      </c>
      <c r="AH93" s="18" t="str">
        <f t="shared" si="194"/>
        <v xml:space="preserve"> 51 Skilled agricultural and related trades</v>
      </c>
      <c r="AI93" s="22">
        <f t="shared" si="171"/>
        <v>3.7046106232278664</v>
      </c>
      <c r="AJ93" s="22">
        <f t="shared" si="171"/>
        <v>10.622698518519735</v>
      </c>
      <c r="AK93" s="22">
        <f t="shared" si="171"/>
        <v>5.193059613437212</v>
      </c>
      <c r="AL93" s="22">
        <f t="shared" si="171"/>
        <v>2.3936169932358586</v>
      </c>
      <c r="AM93" s="22">
        <f t="shared" si="172"/>
        <v>6.0151844534991339</v>
      </c>
      <c r="AO93" s="22">
        <f t="shared" si="195"/>
        <v>3.7838997937778229</v>
      </c>
      <c r="AP93" s="22">
        <f t="shared" si="196"/>
        <v>4.6419956188436196</v>
      </c>
      <c r="AQ93" s="22">
        <f t="shared" si="197"/>
        <v>7.3051283485177976</v>
      </c>
      <c r="AS93" s="18" t="str">
        <f t="shared" si="198"/>
        <v xml:space="preserve"> 51 Skilled agricultural and related trades</v>
      </c>
      <c r="AT93" s="22">
        <f t="shared" si="173"/>
        <v>5.2910262615883497</v>
      </c>
      <c r="AU93" s="22">
        <f t="shared" si="173"/>
        <v>11.045677540448406</v>
      </c>
      <c r="AV93" s="22">
        <f t="shared" si="173"/>
        <v>3.8073179562007953</v>
      </c>
      <c r="AW93" s="22">
        <f t="shared" si="173"/>
        <v>2.1269515874342115</v>
      </c>
      <c r="AX93" s="22">
        <f t="shared" si="174"/>
        <v>5.5901319228466972</v>
      </c>
      <c r="AZ93" s="22">
        <f t="shared" si="199"/>
        <v>2.9637068841944281</v>
      </c>
      <c r="BA93" s="22">
        <f t="shared" si="200"/>
        <v>3.9808896796998727</v>
      </c>
      <c r="BB93" s="22">
        <f t="shared" si="201"/>
        <v>6.1521219444821584</v>
      </c>
      <c r="BD93" s="18" t="str">
        <f t="shared" si="202"/>
        <v xml:space="preserve"> 51 Skilled agricultural and related trades</v>
      </c>
      <c r="BE93" s="22">
        <f t="shared" si="175"/>
        <v>-1.3450020476044267</v>
      </c>
      <c r="BF93" s="22">
        <f t="shared" si="175"/>
        <v>10.229308844055463</v>
      </c>
      <c r="BG93" s="22">
        <f t="shared" si="175"/>
        <v>-1.1206972685776084</v>
      </c>
      <c r="BH93" s="22">
        <f t="shared" si="175"/>
        <v>8.4415207893462352E-2</v>
      </c>
      <c r="BI93" s="22">
        <f t="shared" si="176"/>
        <v>2.9412992189927323</v>
      </c>
      <c r="BK93" s="22">
        <f t="shared" si="203"/>
        <v>-0.51996587234867109</v>
      </c>
      <c r="BL93" s="22">
        <f t="shared" si="204"/>
        <v>2.8716033931636797</v>
      </c>
      <c r="BM93" s="22">
        <f t="shared" si="205"/>
        <v>2.4709444930529401</v>
      </c>
      <c r="BO93" s="18" t="str">
        <f t="shared" si="206"/>
        <v xml:space="preserve"> 51 Skilled agricultural and related trades</v>
      </c>
      <c r="BP93" s="22">
        <f t="shared" si="177"/>
        <v>1.0571098048146599</v>
      </c>
      <c r="BQ93" s="22">
        <f t="shared" si="177"/>
        <v>8.3752806925093015</v>
      </c>
      <c r="BR93" s="22">
        <f t="shared" si="177"/>
        <v>-1.7708419555989674</v>
      </c>
      <c r="BS93" s="22">
        <f t="shared" si="177"/>
        <v>-0.79982481456712939</v>
      </c>
      <c r="BT93" s="22">
        <f t="shared" si="178"/>
        <v>1.8343663336122695</v>
      </c>
      <c r="BV93" s="22">
        <f t="shared" si="207"/>
        <v>-1.2865273312596126</v>
      </c>
      <c r="BW93" s="22">
        <f t="shared" si="208"/>
        <v>2.8822737874380389</v>
      </c>
      <c r="BX93" s="22">
        <f t="shared" si="209"/>
        <v>1.9007095338332336</v>
      </c>
      <c r="BZ93" s="18" t="str">
        <f t="shared" si="210"/>
        <v xml:space="preserve"> 51 Skilled agricultural and related trades</v>
      </c>
      <c r="CA93" s="22">
        <f t="shared" si="179"/>
        <v>0.97358304562780162</v>
      </c>
      <c r="CB93" s="22">
        <f t="shared" si="179"/>
        <v>9.7083781414995407</v>
      </c>
      <c r="CC93" s="22">
        <f t="shared" si="179"/>
        <v>-2.1525879980225704</v>
      </c>
      <c r="CD93" s="22">
        <f t="shared" si="179"/>
        <v>-1.8752902333362909</v>
      </c>
      <c r="CE93" s="22">
        <f t="shared" si="180"/>
        <v>1.7472096389005376</v>
      </c>
      <c r="CF93" s="286"/>
      <c r="CG93" s="22">
        <f t="shared" si="211"/>
        <v>-2.01403720882668</v>
      </c>
      <c r="CH93" s="22">
        <f t="shared" si="212"/>
        <v>2.4076618301820174</v>
      </c>
      <c r="CI93" s="22">
        <f t="shared" si="213"/>
        <v>0.81451393395783889</v>
      </c>
      <c r="CK93" s="18" t="str">
        <f t="shared" si="214"/>
        <v xml:space="preserve"> 51 Skilled agricultural and related trades</v>
      </c>
      <c r="CL93" s="22">
        <f t="shared" si="181"/>
        <v>-5.3814892092593603</v>
      </c>
      <c r="CM93" s="22">
        <f t="shared" si="181"/>
        <v>8.3978313916369451</v>
      </c>
      <c r="CN93" s="22">
        <f t="shared" si="181"/>
        <v>-6.4929560358349185</v>
      </c>
      <c r="CO93" s="22">
        <f t="shared" si="181"/>
        <v>-7.8543278271788974</v>
      </c>
      <c r="CP93" s="22">
        <f t="shared" si="182"/>
        <v>-2.2507828259318075</v>
      </c>
      <c r="CR93" s="22">
        <f t="shared" si="215"/>
        <v>-7.1761376640062213</v>
      </c>
      <c r="CS93" s="22">
        <f t="shared" si="216"/>
        <v>1.3719779254879771</v>
      </c>
      <c r="CT93" s="22">
        <f t="shared" si="217"/>
        <v>-4.6543855986329596</v>
      </c>
    </row>
    <row r="94" spans="1:98" x14ac:dyDescent="0.2">
      <c r="A94" s="18" t="str">
        <f t="shared" si="164"/>
        <v xml:space="preserve"> 52 Skilled metal, electrical and electronic trades</v>
      </c>
      <c r="B94" s="22">
        <f t="shared" si="165"/>
        <v>1.3059566492645835</v>
      </c>
      <c r="C94" s="22">
        <f t="shared" si="165"/>
        <v>8.3855879497183761</v>
      </c>
      <c r="D94" s="22">
        <f t="shared" si="165"/>
        <v>6.7796382255477017</v>
      </c>
      <c r="E94" s="22">
        <f t="shared" si="165"/>
        <v>5.10526331684793</v>
      </c>
      <c r="F94" s="22">
        <f t="shared" si="166"/>
        <v>6.7484265927189702</v>
      </c>
      <c r="H94" s="22">
        <f t="shared" si="183"/>
        <v>5.9391428725660056</v>
      </c>
      <c r="I94" s="22">
        <f t="shared" si="184"/>
        <v>2.8588310897778246</v>
      </c>
      <c r="J94" s="22">
        <f t="shared" si="185"/>
        <v>7.7333135931221486</v>
      </c>
      <c r="L94" s="18" t="str">
        <f t="shared" si="186"/>
        <v xml:space="preserve"> 52 Skilled metal, electrical and electronic trades</v>
      </c>
      <c r="M94" s="22">
        <f t="shared" si="167"/>
        <v>8.402843295850527</v>
      </c>
      <c r="N94" s="22">
        <f t="shared" si="167"/>
        <v>8.8267442875850755</v>
      </c>
      <c r="O94" s="22">
        <f t="shared" si="167"/>
        <v>5.3438372424640557</v>
      </c>
      <c r="P94" s="22">
        <f t="shared" si="167"/>
        <v>3.2108923304628778</v>
      </c>
      <c r="Q94" s="22">
        <f t="shared" si="168"/>
        <v>5.7686029137841377</v>
      </c>
      <c r="S94" s="22">
        <f>IF($F$6-$D$6 &lt;&gt; 0,(EXP(LN(1+(S58/100))/($F$6-$D$6))-1)*100,0)</f>
        <v>4.2719110945501182</v>
      </c>
      <c r="T94" s="22">
        <f t="shared" si="188"/>
        <v>2.8726927035146677</v>
      </c>
      <c r="U94" s="22">
        <f t="shared" si="189"/>
        <v>6.3266261089251596</v>
      </c>
      <c r="W94" s="18" t="str">
        <f t="shared" si="190"/>
        <v xml:space="preserve"> 52 Skilled metal, electrical and electronic trades</v>
      </c>
      <c r="X94" s="22">
        <f t="shared" si="169"/>
        <v>3.2984662223472849</v>
      </c>
      <c r="Y94" s="22">
        <f t="shared" si="169"/>
        <v>2.8234225732742368</v>
      </c>
      <c r="Z94" s="22">
        <f t="shared" si="169"/>
        <v>4.2397185960883155</v>
      </c>
      <c r="AA94" s="22">
        <f t="shared" si="169"/>
        <v>1.8704128038982581</v>
      </c>
      <c r="AB94" s="22">
        <f t="shared" si="170"/>
        <v>2.9732572739660457</v>
      </c>
      <c r="AD94" s="22">
        <f>IF($F$6-$D$6 &lt;&gt; 0,(EXP(LN(1+(AD58/100))/($F$6-$D$6))-1)*100,0)</f>
        <v>3.0482564818333335</v>
      </c>
      <c r="AE94" s="22">
        <f t="shared" si="192"/>
        <v>3.4919635549270467</v>
      </c>
      <c r="AF94" s="22">
        <f t="shared" si="193"/>
        <v>5.8143580335217715</v>
      </c>
      <c r="AH94" s="18" t="str">
        <f t="shared" si="194"/>
        <v xml:space="preserve"> 52 Skilled metal, electrical and electronic trades</v>
      </c>
      <c r="AI94" s="22">
        <f t="shared" si="171"/>
        <v>4.8523190843752451</v>
      </c>
      <c r="AJ94" s="22">
        <f t="shared" si="171"/>
        <v>1.960925200156094</v>
      </c>
      <c r="AK94" s="22">
        <f t="shared" si="171"/>
        <v>3.1572743199251629</v>
      </c>
      <c r="AL94" s="22">
        <f t="shared" si="171"/>
        <v>1.2651885021652598</v>
      </c>
      <c r="AM94" s="22">
        <f t="shared" si="172"/>
        <v>2.1248113243433453</v>
      </c>
      <c r="AO94" s="22">
        <f>IF($F$6-$D$6 &lt;&gt; 0,(EXP(LN(1+(AO58/100))/($F$6-$D$6))-1)*100,0)</f>
        <v>2.2068531429120686</v>
      </c>
      <c r="AP94" s="22">
        <f t="shared" si="196"/>
        <v>3.1259740457834306</v>
      </c>
      <c r="AQ94" s="22">
        <f t="shared" si="197"/>
        <v>4.8409352423068652</v>
      </c>
      <c r="AS94" s="18" t="str">
        <f t="shared" si="198"/>
        <v xml:space="preserve"> 52 Skilled metal, electrical and electronic trades</v>
      </c>
      <c r="AT94" s="22">
        <f t="shared" si="173"/>
        <v>0.21553079669089925</v>
      </c>
      <c r="AU94" s="22">
        <f t="shared" si="173"/>
        <v>2.2118050851957616</v>
      </c>
      <c r="AV94" s="22">
        <f t="shared" si="173"/>
        <v>3.2396914463751036</v>
      </c>
      <c r="AW94" s="22">
        <f t="shared" si="173"/>
        <v>1.2731915418198181</v>
      </c>
      <c r="AX94" s="22">
        <f t="shared" si="174"/>
        <v>2.2384093971399732</v>
      </c>
      <c r="AZ94" s="22">
        <f>IF($F$6-$D$6 &lt;&gt; 0,(EXP(LN(1+(AZ58/100))/($F$6-$D$6))-1)*100,0)</f>
        <v>2.2517141497741422</v>
      </c>
      <c r="BA94" s="22">
        <f t="shared" si="200"/>
        <v>3.126767854245549</v>
      </c>
      <c r="BB94" s="22">
        <f t="shared" si="201"/>
        <v>4.8773121534828157</v>
      </c>
      <c r="BD94" s="18" t="str">
        <f t="shared" si="202"/>
        <v xml:space="preserve"> 52 Skilled metal, electrical and electronic trades</v>
      </c>
      <c r="BE94" s="22">
        <f t="shared" si="175"/>
        <v>-2.4275585885093154</v>
      </c>
      <c r="BF94" s="22">
        <f t="shared" si="175"/>
        <v>1.9807283995840752</v>
      </c>
      <c r="BG94" s="22">
        <f t="shared" si="175"/>
        <v>-1.773735299057877</v>
      </c>
      <c r="BH94" s="22">
        <f t="shared" si="175"/>
        <v>-1.0611121467550721</v>
      </c>
      <c r="BI94" s="22">
        <f t="shared" si="176"/>
        <v>-0.29791181808296319</v>
      </c>
      <c r="BK94" s="22">
        <f>IF($F$6-$D$6 &lt;&gt; 0,(EXP(LN(1+(BK58/100))/($F$6-$D$6))-1)*100,0)</f>
        <v>-1.4180676417343552</v>
      </c>
      <c r="BL94" s="22">
        <f t="shared" si="204"/>
        <v>1.9836476355119315</v>
      </c>
      <c r="BM94" s="22">
        <f t="shared" si="205"/>
        <v>0.80937641229281709</v>
      </c>
      <c r="BO94" s="18" t="str">
        <f t="shared" si="206"/>
        <v xml:space="preserve"> 52 Skilled metal, electrical and electronic trades</v>
      </c>
      <c r="BP94" s="22">
        <f t="shared" si="177"/>
        <v>-2.6643910918178304</v>
      </c>
      <c r="BQ94" s="22">
        <f t="shared" si="177"/>
        <v>0.40941945688734993</v>
      </c>
      <c r="BR94" s="22">
        <f t="shared" si="177"/>
        <v>-3.5942506655191497</v>
      </c>
      <c r="BS94" s="22">
        <f t="shared" si="177"/>
        <v>-2.7613913250464472</v>
      </c>
      <c r="BT94" s="22">
        <f t="shared" si="178"/>
        <v>-1.9971492181085404</v>
      </c>
      <c r="BV94" s="22">
        <f>IF($F$6-$D$6 &lt;&gt; 0,(EXP(LN(1+(BV58/100))/($F$6-$D$6))-1)*100,0)</f>
        <v>-3.1787165260073191</v>
      </c>
      <c r="BW94" s="22">
        <f t="shared" si="208"/>
        <v>1.9929221716879608</v>
      </c>
      <c r="BX94" s="22">
        <f t="shared" si="209"/>
        <v>-0.59467967897385288</v>
      </c>
      <c r="BZ94" s="18" t="str">
        <f t="shared" si="210"/>
        <v xml:space="preserve"> 52 Skilled metal, electrical and electronic trades</v>
      </c>
      <c r="CA94" s="22">
        <f t="shared" si="179"/>
        <v>-4.8597400822812826</v>
      </c>
      <c r="CB94" s="22">
        <f t="shared" si="179"/>
        <v>-7.6469709976390021E-2</v>
      </c>
      <c r="CC94" s="22">
        <f t="shared" si="179"/>
        <v>-3.1208711334121619</v>
      </c>
      <c r="CD94" s="22">
        <f t="shared" si="179"/>
        <v>-3.1795936574542383</v>
      </c>
      <c r="CE94" s="22">
        <f t="shared" si="180"/>
        <v>-2.1362999253862758</v>
      </c>
      <c r="CF94" s="286"/>
      <c r="CG94" s="22">
        <f>IF($F$6-$D$6 &lt;&gt; 0,(EXP(LN(1+(CG58/100))/($F$6-$D$6))-1)*100,0)</f>
        <v>-3.1502368460568198</v>
      </c>
      <c r="CH94" s="22">
        <f t="shared" si="212"/>
        <v>1.8941612091948778</v>
      </c>
      <c r="CI94" s="22">
        <f t="shared" si="213"/>
        <v>-0.69656830840931772</v>
      </c>
      <c r="CK94" s="18" t="str">
        <f t="shared" si="214"/>
        <v xml:space="preserve"> 52 Skilled metal, electrical and electronic trades</v>
      </c>
      <c r="CL94" s="22">
        <f t="shared" si="181"/>
        <v>-9.6022866065866079</v>
      </c>
      <c r="CM94" s="22">
        <f t="shared" si="181"/>
        <v>-2.1107121461686806</v>
      </c>
      <c r="CN94" s="22">
        <f t="shared" si="181"/>
        <v>-8.2766055039160449</v>
      </c>
      <c r="CO94" s="22">
        <f t="shared" si="181"/>
        <v>-6.3524379482760569</v>
      </c>
      <c r="CP94" s="22">
        <f t="shared" si="182"/>
        <v>-5.6147954907181052</v>
      </c>
      <c r="CR94" s="22">
        <f>IF($F$6-$D$6 &lt;&gt; 0,(EXP(LN(1+(CR58/100))/($F$6-$D$6))-1)*100,0)</f>
        <v>-7.3195151195960984</v>
      </c>
      <c r="CS94" s="22">
        <f t="shared" si="216"/>
        <v>1.2069726542542236</v>
      </c>
      <c r="CT94" s="22">
        <f t="shared" si="217"/>
        <v>-5.0582248485044783</v>
      </c>
    </row>
    <row r="95" spans="1:98" x14ac:dyDescent="0.2">
      <c r="A95" s="18" t="str">
        <f t="shared" si="164"/>
        <v xml:space="preserve"> 53 Skilled construction and building trades</v>
      </c>
      <c r="B95" s="22">
        <f t="shared" si="165"/>
        <v>3.6270600287380939</v>
      </c>
      <c r="C95" s="22">
        <f t="shared" si="165"/>
        <v>6.2645064790002536</v>
      </c>
      <c r="D95" s="22">
        <f t="shared" si="165"/>
        <v>5.591210072071906</v>
      </c>
      <c r="E95" s="22">
        <f t="shared" si="165"/>
        <v>2.4479414856257486</v>
      </c>
      <c r="F95" s="22">
        <f t="shared" si="166"/>
        <v>4.7545939159512551</v>
      </c>
      <c r="H95" s="22">
        <f t="shared" si="183"/>
        <v>4.0077021708490701</v>
      </c>
      <c r="I95" s="22">
        <f t="shared" si="184"/>
        <v>2.5850415716281994</v>
      </c>
      <c r="J95" s="22">
        <f t="shared" si="185"/>
        <v>5.8884211016572374</v>
      </c>
      <c r="L95" s="18" t="str">
        <f t="shared" si="186"/>
        <v xml:space="preserve"> 53 Skilled construction and building trades</v>
      </c>
      <c r="M95" s="22">
        <f t="shared" si="167"/>
        <v>-17.286620353824222</v>
      </c>
      <c r="N95" s="22">
        <f t="shared" si="167"/>
        <v>13.118280871105469</v>
      </c>
      <c r="O95" s="22">
        <f t="shared" si="167"/>
        <v>8.7132817455363831</v>
      </c>
      <c r="P95" s="22">
        <f t="shared" si="167"/>
        <v>4.6464318053004439</v>
      </c>
      <c r="Q95" s="22">
        <f t="shared" si="168"/>
        <v>8.7710386499729509</v>
      </c>
      <c r="S95" s="22">
        <f t="shared" si="187"/>
        <v>6.6604754560689594</v>
      </c>
      <c r="T95" s="22">
        <f t="shared" si="188"/>
        <v>3.4340529178135348</v>
      </c>
      <c r="U95" s="22">
        <f>IF($F$6-$D$6 &lt;&gt; 0,(EXP(LN(1+(U59/100))/($F$6-$D$6))-1)*100,0)</f>
        <v>8.720012671896793</v>
      </c>
      <c r="W95" s="18" t="str">
        <f t="shared" si="190"/>
        <v xml:space="preserve"> 53 Skilled construction and building trades</v>
      </c>
      <c r="X95" s="22">
        <f t="shared" si="169"/>
        <v>2.1403081948210056</v>
      </c>
      <c r="Y95" s="22">
        <f t="shared" si="169"/>
        <v>2.599954235006785</v>
      </c>
      <c r="Z95" s="22">
        <f t="shared" si="169"/>
        <v>6.5364413905977248</v>
      </c>
      <c r="AA95" s="22">
        <f t="shared" si="169"/>
        <v>2.3948224165457388</v>
      </c>
      <c r="AB95" s="22">
        <f t="shared" si="170"/>
        <v>3.8263970241131151</v>
      </c>
      <c r="AD95" s="22">
        <f t="shared" si="191"/>
        <v>4.445105184881637</v>
      </c>
      <c r="AE95" s="22">
        <f t="shared" si="192"/>
        <v>3.9169619915067289</v>
      </c>
      <c r="AF95" s="22">
        <f>IF($F$6-$D$6 &lt;&gt; 0,(EXP(LN(1+(AF59/100))/($F$6-$D$6))-1)*100,0)</f>
        <v>7.2483990707246537</v>
      </c>
      <c r="AH95" s="18" t="str">
        <f t="shared" si="194"/>
        <v xml:space="preserve"> 53 Skilled construction and building trades</v>
      </c>
      <c r="AI95" s="22">
        <f t="shared" si="171"/>
        <v>0.98970573319110411</v>
      </c>
      <c r="AJ95" s="22">
        <f t="shared" si="171"/>
        <v>5.4075271207204123</v>
      </c>
      <c r="AK95" s="22">
        <f t="shared" si="171"/>
        <v>7.5061960441023423</v>
      </c>
      <c r="AL95" s="22">
        <f t="shared" si="171"/>
        <v>2.234979636247969</v>
      </c>
      <c r="AM95" s="22">
        <f t="shared" si="172"/>
        <v>5.0271413567460677</v>
      </c>
      <c r="AO95" s="22">
        <f t="shared" si="195"/>
        <v>4.8374635487681283</v>
      </c>
      <c r="AP95" s="22">
        <f t="shared" si="196"/>
        <v>4.2682432737552789</v>
      </c>
      <c r="AQ95" s="22">
        <f>IF($F$6-$D$6 &lt;&gt; 0,(EXP(LN(1+(AQ59/100))/($F$6-$D$6))-1)*100,0)</f>
        <v>7.8175271309113725</v>
      </c>
      <c r="AS95" s="18" t="str">
        <f t="shared" si="198"/>
        <v xml:space="preserve"> 53 Skilled construction and building trades</v>
      </c>
      <c r="AT95" s="22">
        <f t="shared" si="173"/>
        <v>-2.5834754100591661</v>
      </c>
      <c r="AU95" s="22">
        <f t="shared" si="173"/>
        <v>4.6339190864849611</v>
      </c>
      <c r="AV95" s="22">
        <f t="shared" si="173"/>
        <v>6.3765969246852183</v>
      </c>
      <c r="AW95" s="22">
        <f t="shared" si="173"/>
        <v>2.063380836747708</v>
      </c>
      <c r="AX95" s="22">
        <f t="shared" si="174"/>
        <v>4.3428861048476763</v>
      </c>
      <c r="AZ95" s="22">
        <f t="shared" si="199"/>
        <v>4.1976733139533762</v>
      </c>
      <c r="BA95" s="22">
        <f t="shared" si="200"/>
        <v>4.0253899920318359</v>
      </c>
      <c r="BB95" s="22">
        <f>IF($F$6-$D$6 &lt;&gt; 0,(EXP(LN(1+(BB59/100))/($F$6-$D$6))-1)*100,0)</f>
        <v>7.1369968294620501</v>
      </c>
      <c r="BD95" s="18" t="str">
        <f t="shared" si="202"/>
        <v xml:space="preserve"> 53 Skilled construction and building trades</v>
      </c>
      <c r="BE95" s="22">
        <f t="shared" si="175"/>
        <v>-4.7080770861358978</v>
      </c>
      <c r="BF95" s="22">
        <f t="shared" si="175"/>
        <v>2.2063675216614564</v>
      </c>
      <c r="BG95" s="22">
        <f t="shared" si="175"/>
        <v>-0.49505404428359379</v>
      </c>
      <c r="BH95" s="22">
        <f t="shared" si="175"/>
        <v>-0.42896872999611535</v>
      </c>
      <c r="BI95" s="22">
        <f t="shared" si="176"/>
        <v>0.419612752292986</v>
      </c>
      <c r="BK95" s="22">
        <f t="shared" si="203"/>
        <v>-0.46201687156463001</v>
      </c>
      <c r="BL95" s="22">
        <f t="shared" si="204"/>
        <v>2.2174812427532054</v>
      </c>
      <c r="BM95" s="22">
        <f>IF($F$6-$D$6 &lt;&gt; 0,(EXP(LN(1+(BM59/100))/($F$6-$D$6))-1)*100,0)</f>
        <v>1.8397966000176291</v>
      </c>
      <c r="BO95" s="18" t="str">
        <f t="shared" si="206"/>
        <v xml:space="preserve"> 53 Skilled construction and building trades</v>
      </c>
      <c r="BP95" s="22">
        <f t="shared" si="177"/>
        <v>-3.9337532715479462</v>
      </c>
      <c r="BQ95" s="22">
        <f t="shared" si="177"/>
        <v>4.0961663077761834</v>
      </c>
      <c r="BR95" s="22">
        <f t="shared" si="177"/>
        <v>0.44459475599607501</v>
      </c>
      <c r="BS95" s="22">
        <f t="shared" si="177"/>
        <v>1.4797961214796373E-2</v>
      </c>
      <c r="BT95" s="22">
        <f t="shared" si="178"/>
        <v>1.5021378376530503</v>
      </c>
      <c r="BV95" s="22">
        <f t="shared" si="207"/>
        <v>0.22946598090325399</v>
      </c>
      <c r="BW95" s="22">
        <f t="shared" si="208"/>
        <v>2.7655651720487784</v>
      </c>
      <c r="BX95" s="22">
        <f>IF($F$6-$D$6 &lt;&gt; 0,(EXP(LN(1+(BX59/100))/($F$6-$D$6))-1)*100,0)</f>
        <v>2.9455160153821547</v>
      </c>
      <c r="BZ95" s="18" t="str">
        <f t="shared" si="210"/>
        <v xml:space="preserve"> 53 Skilled construction and building trades</v>
      </c>
      <c r="CA95" s="22">
        <f t="shared" si="179"/>
        <v>-3.5455547683174271</v>
      </c>
      <c r="CB95" s="22">
        <f t="shared" si="179"/>
        <v>2.690045989785439</v>
      </c>
      <c r="CC95" s="22">
        <f t="shared" si="179"/>
        <v>0.1303441849354936</v>
      </c>
      <c r="CD95" s="22">
        <f t="shared" si="179"/>
        <v>-4.0637715393776475E-2</v>
      </c>
      <c r="CE95" s="22">
        <f t="shared" si="180"/>
        <v>0.91890075430867135</v>
      </c>
      <c r="CF95" s="286"/>
      <c r="CG95" s="22">
        <f t="shared" si="211"/>
        <v>4.4816707634987019E-2</v>
      </c>
      <c r="CH95" s="22">
        <f t="shared" si="212"/>
        <v>2.4818887754504582</v>
      </c>
      <c r="CI95" s="22">
        <f>IF($F$6-$D$6 &lt;&gt; 0,(EXP(LN(1+(CI59/100))/($F$6-$D$6))-1)*100,0)</f>
        <v>2.5178476468979749</v>
      </c>
      <c r="CK95" s="18" t="str">
        <f t="shared" si="214"/>
        <v xml:space="preserve"> 53 Skilled construction and building trades</v>
      </c>
      <c r="CL95" s="22">
        <f t="shared" si="181"/>
        <v>-11.551874549642937</v>
      </c>
      <c r="CM95" s="22">
        <f t="shared" si="181"/>
        <v>-0.52053252598057709</v>
      </c>
      <c r="CN95" s="22">
        <f t="shared" si="181"/>
        <v>-6.7551980332187682</v>
      </c>
      <c r="CO95" s="22">
        <f t="shared" si="181"/>
        <v>-8.7608906338302326</v>
      </c>
      <c r="CP95" s="22">
        <f t="shared" si="182"/>
        <v>-5.4097499962679212</v>
      </c>
      <c r="CR95" s="22">
        <f t="shared" si="215"/>
        <v>-7.7634959223085387</v>
      </c>
      <c r="CS95" s="22">
        <f t="shared" si="216"/>
        <v>1.187523096910037</v>
      </c>
      <c r="CT95" s="22">
        <f>IF($F$6-$D$6 &lt;&gt; 0,(EXP(LN(1+(CT59/100))/($F$6-$D$6))-1)*100,0)</f>
        <v>-5.4497333560575516</v>
      </c>
    </row>
    <row r="96" spans="1:98" x14ac:dyDescent="0.2">
      <c r="A96" s="18" t="str">
        <f t="shared" si="164"/>
        <v xml:space="preserve"> 54 Textiles, printing and other skilled trades</v>
      </c>
      <c r="B96" s="22">
        <f t="shared" si="165"/>
        <v>43.150451541001367</v>
      </c>
      <c r="C96" s="22">
        <f t="shared" si="165"/>
        <v>9.1692306892165121</v>
      </c>
      <c r="D96" s="22">
        <f t="shared" si="165"/>
        <v>5.316986658955547</v>
      </c>
      <c r="E96" s="22">
        <f t="shared" si="165"/>
        <v>3.2935071431346552</v>
      </c>
      <c r="F96" s="22">
        <f t="shared" si="166"/>
        <v>5.8986846681677862</v>
      </c>
      <c r="H96" s="22">
        <f t="shared" si="183"/>
        <v>4.3003399503100503</v>
      </c>
      <c r="I96" s="22">
        <f t="shared" si="184"/>
        <v>2.989730327889939</v>
      </c>
      <c r="J96" s="22">
        <f t="shared" si="185"/>
        <v>6.4373769531883784</v>
      </c>
      <c r="L96" s="18" t="str">
        <f t="shared" si="186"/>
        <v xml:space="preserve"> 54 Textiles, printing and other skilled trades</v>
      </c>
      <c r="M96" s="22">
        <f t="shared" si="167"/>
        <v>-0.45132511839789391</v>
      </c>
      <c r="N96" s="22">
        <f t="shared" si="167"/>
        <v>11.304598870562298</v>
      </c>
      <c r="O96" s="22">
        <f t="shared" si="167"/>
        <v>5.2147331846635669</v>
      </c>
      <c r="P96" s="22">
        <f t="shared" si="167"/>
        <v>2.458704992707883</v>
      </c>
      <c r="Q96" s="22">
        <f t="shared" si="168"/>
        <v>6.2623729190533162</v>
      </c>
      <c r="S96" s="22">
        <f t="shared" si="187"/>
        <v>3.8275748934449405</v>
      </c>
      <c r="T96" s="22">
        <f t="shared" si="188"/>
        <v>3.2181652643181735</v>
      </c>
      <c r="U96" s="22">
        <f t="shared" si="189"/>
        <v>6.2210146498708152</v>
      </c>
      <c r="W96" s="18" t="str">
        <f t="shared" si="190"/>
        <v xml:space="preserve"> 54 Textiles, printing and other skilled trades</v>
      </c>
      <c r="X96" s="22">
        <f t="shared" si="169"/>
        <v>8.8000678552316192</v>
      </c>
      <c r="Y96" s="22">
        <f t="shared" si="169"/>
        <v>3.5394017808062062</v>
      </c>
      <c r="Z96" s="22">
        <f t="shared" si="169"/>
        <v>5.3927704105476426</v>
      </c>
      <c r="AA96" s="22">
        <f t="shared" si="169"/>
        <v>1.6553420811590724</v>
      </c>
      <c r="AB96" s="22">
        <f t="shared" si="170"/>
        <v>3.5179253326618198</v>
      </c>
      <c r="AD96" s="22">
        <f t="shared" si="191"/>
        <v>3.5071887791629841</v>
      </c>
      <c r="AE96" s="22">
        <f t="shared" si="192"/>
        <v>3.8894545442873296</v>
      </c>
      <c r="AF96" s="22">
        <f t="shared" si="193"/>
        <v>6.4944762341413442</v>
      </c>
      <c r="AH96" s="18" t="str">
        <f t="shared" si="194"/>
        <v xml:space="preserve"> 54 Textiles, printing and other skilled trades</v>
      </c>
      <c r="AI96" s="22">
        <f t="shared" si="171"/>
        <v>0.67422760276396598</v>
      </c>
      <c r="AJ96" s="22">
        <f t="shared" si="171"/>
        <v>0.7112557547885423</v>
      </c>
      <c r="AK96" s="22">
        <f t="shared" si="171"/>
        <v>3.1804820139791135</v>
      </c>
      <c r="AL96" s="22">
        <f t="shared" si="171"/>
        <v>0.44319769332954451</v>
      </c>
      <c r="AM96" s="22">
        <f t="shared" si="172"/>
        <v>1.4375375588821626</v>
      </c>
      <c r="AO96" s="22">
        <f t="shared" si="195"/>
        <v>1.8026402065444369</v>
      </c>
      <c r="AP96" s="22">
        <f t="shared" si="196"/>
        <v>3.585692158085374</v>
      </c>
      <c r="AQ96" s="22">
        <f t="shared" si="197"/>
        <v>4.9291302839711282</v>
      </c>
      <c r="AS96" s="18" t="str">
        <f t="shared" si="198"/>
        <v xml:space="preserve"> 54 Textiles, printing and other skilled trades</v>
      </c>
      <c r="AT96" s="22">
        <f t="shared" si="173"/>
        <v>3.9901742264481843</v>
      </c>
      <c r="AU96" s="22">
        <f t="shared" si="173"/>
        <v>2.3416758287643002</v>
      </c>
      <c r="AV96" s="22">
        <f t="shared" si="173"/>
        <v>3.6542363547621637</v>
      </c>
      <c r="AW96" s="22">
        <f t="shared" si="173"/>
        <v>0.99876893626924534</v>
      </c>
      <c r="AX96" s="22">
        <f t="shared" si="174"/>
        <v>2.3258168641027366</v>
      </c>
      <c r="AZ96" s="22">
        <f t="shared" si="199"/>
        <v>2.3178883033659003</v>
      </c>
      <c r="BA96" s="22">
        <f t="shared" si="200"/>
        <v>3.4177446991277671</v>
      </c>
      <c r="BB96" s="22">
        <f t="shared" si="201"/>
        <v>5.1794639131034215</v>
      </c>
      <c r="BD96" s="18" t="str">
        <f t="shared" si="202"/>
        <v xml:space="preserve"> 54 Textiles, printing and other skilled trades</v>
      </c>
      <c r="BE96" s="22">
        <f t="shared" si="175"/>
        <v>1.1563594117079523</v>
      </c>
      <c r="BF96" s="22">
        <f t="shared" si="175"/>
        <v>2.0525900718464829</v>
      </c>
      <c r="BG96" s="22">
        <f t="shared" si="175"/>
        <v>-9.2853048722030262E-2</v>
      </c>
      <c r="BH96" s="22">
        <f t="shared" si="175"/>
        <v>0.25722402410015555</v>
      </c>
      <c r="BI96" s="22">
        <f t="shared" si="176"/>
        <v>0.73462050110020272</v>
      </c>
      <c r="BK96" s="22">
        <f t="shared" si="203"/>
        <v>8.2032420924438298E-2</v>
      </c>
      <c r="BL96" s="22">
        <f t="shared" si="204"/>
        <v>2.3926093990007669</v>
      </c>
      <c r="BM96" s="22">
        <f t="shared" si="205"/>
        <v>2.4589691634690825</v>
      </c>
      <c r="BO96" s="18" t="str">
        <f t="shared" si="206"/>
        <v xml:space="preserve"> 54 Textiles, printing and other skilled trades</v>
      </c>
      <c r="BP96" s="22">
        <f t="shared" si="177"/>
        <v>2.0247344313323534</v>
      </c>
      <c r="BQ96" s="22">
        <f t="shared" si="177"/>
        <v>-0.34348993172741427</v>
      </c>
      <c r="BR96" s="22">
        <f t="shared" si="177"/>
        <v>-3.9320878130071679</v>
      </c>
      <c r="BS96" s="22">
        <f t="shared" si="177"/>
        <v>-4.9135189017736174</v>
      </c>
      <c r="BT96" s="22">
        <f t="shared" si="178"/>
        <v>-3.0827831519520843</v>
      </c>
      <c r="BV96" s="22">
        <f t="shared" si="207"/>
        <v>-4.4240630895277855</v>
      </c>
      <c r="BW96" s="22">
        <f t="shared" si="208"/>
        <v>1.9627950470822997</v>
      </c>
      <c r="BX96" s="22">
        <f t="shared" si="209"/>
        <v>-1.6051445034744427</v>
      </c>
      <c r="BZ96" s="18" t="str">
        <f t="shared" si="210"/>
        <v xml:space="preserve"> 54 Textiles, printing and other skilled trades</v>
      </c>
      <c r="CA96" s="22">
        <f t="shared" si="179"/>
        <v>1.2673014954618367</v>
      </c>
      <c r="CB96" s="22">
        <f t="shared" si="179"/>
        <v>2.2119214446794988</v>
      </c>
      <c r="CC96" s="22">
        <f t="shared" si="179"/>
        <v>-2.3836227080779593</v>
      </c>
      <c r="CD96" s="22">
        <f t="shared" si="179"/>
        <v>-1.7597635350683927</v>
      </c>
      <c r="CE96" s="22">
        <f t="shared" si="180"/>
        <v>-0.66448539812495877</v>
      </c>
      <c r="CF96" s="286"/>
      <c r="CG96" s="22">
        <f t="shared" si="211"/>
        <v>-2.0721899151808887</v>
      </c>
      <c r="CH96" s="22">
        <f t="shared" si="212"/>
        <v>1.9663228622041284</v>
      </c>
      <c r="CI96" s="22">
        <f t="shared" si="213"/>
        <v>0.25749149610974076</v>
      </c>
      <c r="CK96" s="18" t="str">
        <f t="shared" si="214"/>
        <v xml:space="preserve"> 54 Textiles, printing and other skilled trades</v>
      </c>
      <c r="CL96" s="22">
        <f t="shared" si="181"/>
        <v>-5.4248614609846317</v>
      </c>
      <c r="CM96" s="22">
        <f t="shared" si="181"/>
        <v>0.14438196622004185</v>
      </c>
      <c r="CN96" s="22">
        <f t="shared" si="181"/>
        <v>-6.4321058195100811</v>
      </c>
      <c r="CO96" s="22">
        <f t="shared" si="181"/>
        <v>-9.841318762285967</v>
      </c>
      <c r="CP96" s="22">
        <f t="shared" si="182"/>
        <v>-5.4662254206342968</v>
      </c>
      <c r="CR96" s="22">
        <f t="shared" si="215"/>
        <v>-8.1525289106828662</v>
      </c>
      <c r="CS96" s="22">
        <f t="shared" si="216"/>
        <v>1.2144923236845351</v>
      </c>
      <c r="CT96" s="22">
        <f t="shared" si="217"/>
        <v>-5.7086106309009672</v>
      </c>
    </row>
    <row r="97" spans="1:98" x14ac:dyDescent="0.2">
      <c r="A97" s="18" t="str">
        <f t="shared" si="164"/>
        <v xml:space="preserve"> 61 Caring personal service occupations</v>
      </c>
      <c r="B97" s="22">
        <f t="shared" si="165"/>
        <v>-12.411713003494684</v>
      </c>
      <c r="C97" s="22">
        <f t="shared" si="165"/>
        <v>13.81156085303623</v>
      </c>
      <c r="D97" s="22">
        <f t="shared" si="165"/>
        <v>6.1413460467777403</v>
      </c>
      <c r="E97" s="22">
        <f t="shared" si="165"/>
        <v>3.4140214409125624</v>
      </c>
      <c r="F97" s="22">
        <f t="shared" si="166"/>
        <v>7.7002717326896342</v>
      </c>
      <c r="H97" s="22">
        <f t="shared" si="183"/>
        <v>4.7688094608733911</v>
      </c>
      <c r="I97" s="22">
        <f t="shared" si="184"/>
        <v>3.6868117240329124</v>
      </c>
      <c r="J97" s="22">
        <f t="shared" si="185"/>
        <v>7.3351851574458671</v>
      </c>
      <c r="L97" s="18" t="str">
        <f t="shared" si="186"/>
        <v xml:space="preserve"> 61 Caring personal service occupations</v>
      </c>
      <c r="M97" s="22">
        <f t="shared" si="167"/>
        <v>-0.10523774468204072</v>
      </c>
      <c r="N97" s="22">
        <f t="shared" si="167"/>
        <v>12.93444768050116</v>
      </c>
      <c r="O97" s="22">
        <f t="shared" si="167"/>
        <v>6.7330951863765476</v>
      </c>
      <c r="P97" s="22">
        <f t="shared" si="167"/>
        <v>3.804654028126353</v>
      </c>
      <c r="Q97" s="22">
        <f t="shared" si="168"/>
        <v>7.7574867764312883</v>
      </c>
      <c r="S97" s="22">
        <f t="shared" si="187"/>
        <v>5.2586909436598273</v>
      </c>
      <c r="T97" s="22">
        <f t="shared" si="188"/>
        <v>3.9794961800299511</v>
      </c>
      <c r="U97" s="22">
        <f t="shared" si="189"/>
        <v>7.9392034841317738</v>
      </c>
      <c r="W97" s="18" t="str">
        <f t="shared" si="190"/>
        <v xml:space="preserve"> 61 Caring personal service occupations</v>
      </c>
      <c r="X97" s="22">
        <f t="shared" si="169"/>
        <v>8.0119901416370496</v>
      </c>
      <c r="Y97" s="22">
        <f t="shared" si="169"/>
        <v>5.637397226450247</v>
      </c>
      <c r="Z97" s="22">
        <f t="shared" si="169"/>
        <v>6.4671269687985422</v>
      </c>
      <c r="AA97" s="22">
        <f t="shared" si="169"/>
        <v>1.4126238707099281</v>
      </c>
      <c r="AB97" s="22">
        <f t="shared" si="170"/>
        <v>4.4820653153616385</v>
      </c>
      <c r="AD97" s="22">
        <f t="shared" si="191"/>
        <v>3.9091463822212402</v>
      </c>
      <c r="AE97" s="22">
        <f t="shared" si="192"/>
        <v>4.8051706839197683</v>
      </c>
      <c r="AF97" s="22">
        <f t="shared" si="193"/>
        <v>7.5273698318714555</v>
      </c>
      <c r="AH97" s="18" t="str">
        <f t="shared" si="194"/>
        <v xml:space="preserve"> 61 Caring personal service occupations</v>
      </c>
      <c r="AI97" s="22">
        <f t="shared" si="171"/>
        <v>5.1074427378079212</v>
      </c>
      <c r="AJ97" s="22">
        <f t="shared" si="171"/>
        <v>2.6867090749960409</v>
      </c>
      <c r="AK97" s="22">
        <f t="shared" si="171"/>
        <v>3.2494419519262907</v>
      </c>
      <c r="AL97" s="22">
        <f t="shared" si="171"/>
        <v>0.1298582308495444</v>
      </c>
      <c r="AM97" s="22">
        <f t="shared" si="172"/>
        <v>2.0129210404643771</v>
      </c>
      <c r="AO97" s="22">
        <f t="shared" si="195"/>
        <v>1.6776867609639812</v>
      </c>
      <c r="AP97" s="22">
        <f t="shared" si="196"/>
        <v>3.8842911704889627</v>
      </c>
      <c r="AQ97" s="22">
        <f t="shared" si="197"/>
        <v>5.1025632254512621</v>
      </c>
      <c r="AS97" s="18" t="str">
        <f t="shared" si="198"/>
        <v xml:space="preserve"> 61 Caring personal service occupations</v>
      </c>
      <c r="AT97" s="22">
        <f t="shared" si="173"/>
        <v>7.638960870902789</v>
      </c>
      <c r="AU97" s="22">
        <f t="shared" si="173"/>
        <v>4.4164985032504323</v>
      </c>
      <c r="AV97" s="22">
        <f t="shared" si="173"/>
        <v>5.0653975618128344</v>
      </c>
      <c r="AW97" s="22">
        <f t="shared" si="173"/>
        <v>0.82532892998350427</v>
      </c>
      <c r="AX97" s="22">
        <f t="shared" si="174"/>
        <v>3.4187998880933046</v>
      </c>
      <c r="AZ97" s="22">
        <f t="shared" si="199"/>
        <v>2.9235311691610422</v>
      </c>
      <c r="BA97" s="22">
        <f t="shared" si="200"/>
        <v>4.3105558711293179</v>
      </c>
      <c r="BB97" s="22">
        <f t="shared" si="201"/>
        <v>6.3967435263106553</v>
      </c>
      <c r="BD97" s="18" t="str">
        <f t="shared" si="202"/>
        <v xml:space="preserve"> 61 Caring personal service occupations</v>
      </c>
      <c r="BE97" s="22">
        <f t="shared" si="175"/>
        <v>5.8626749468882133</v>
      </c>
      <c r="BF97" s="22">
        <f t="shared" si="175"/>
        <v>8.1041931249201902</v>
      </c>
      <c r="BG97" s="22">
        <f t="shared" si="175"/>
        <v>1.3086192652564721</v>
      </c>
      <c r="BH97" s="22">
        <f t="shared" si="175"/>
        <v>3.0174206372880263</v>
      </c>
      <c r="BI97" s="22">
        <f t="shared" si="176"/>
        <v>4.1037888521827215</v>
      </c>
      <c r="BK97" s="22">
        <f t="shared" si="203"/>
        <v>2.1594471648696212</v>
      </c>
      <c r="BL97" s="22">
        <f t="shared" si="204"/>
        <v>3.4838576618158479</v>
      </c>
      <c r="BM97" s="22">
        <f t="shared" si="205"/>
        <v>5.1134783458407496</v>
      </c>
      <c r="BO97" s="18" t="str">
        <f t="shared" si="206"/>
        <v xml:space="preserve"> 61 Caring personal service occupations</v>
      </c>
      <c r="BP97" s="22">
        <f t="shared" si="177"/>
        <v>1.1661078946000325</v>
      </c>
      <c r="BQ97" s="22">
        <f t="shared" si="177"/>
        <v>2.985327649459002</v>
      </c>
      <c r="BR97" s="22">
        <f t="shared" si="177"/>
        <v>-3.3868548833815293E-2</v>
      </c>
      <c r="BS97" s="22">
        <f t="shared" si="177"/>
        <v>0.26659914742004354</v>
      </c>
      <c r="BT97" s="22">
        <f t="shared" si="178"/>
        <v>1.0636180676600215</v>
      </c>
      <c r="BV97" s="22">
        <f t="shared" si="207"/>
        <v>0.11625257935086175</v>
      </c>
      <c r="BW97" s="22">
        <f t="shared" si="208"/>
        <v>3.0075624982832228</v>
      </c>
      <c r="BX97" s="22">
        <f t="shared" si="209"/>
        <v>3.0967207367666783</v>
      </c>
      <c r="BZ97" s="18" t="str">
        <f t="shared" si="210"/>
        <v xml:space="preserve"> 61 Caring personal service occupations</v>
      </c>
      <c r="CA97" s="22">
        <f t="shared" si="179"/>
        <v>-6.2208497397840734</v>
      </c>
      <c r="CB97" s="22">
        <f t="shared" si="179"/>
        <v>-5.6040270430623647</v>
      </c>
      <c r="CC97" s="22">
        <f t="shared" si="179"/>
        <v>-9.4623033880001266</v>
      </c>
      <c r="CD97" s="22">
        <f t="shared" si="179"/>
        <v>-0.51880585345523977</v>
      </c>
      <c r="CE97" s="22">
        <f t="shared" si="180"/>
        <v>-5.265543887534041</v>
      </c>
      <c r="CF97" s="286"/>
      <c r="CG97" s="22">
        <f t="shared" si="211"/>
        <v>-5.0958474341647904</v>
      </c>
      <c r="CH97" s="22">
        <f t="shared" si="212"/>
        <v>1.3904567911039889</v>
      </c>
      <c r="CI97" s="22">
        <f t="shared" si="213"/>
        <v>-2.9556862303516507</v>
      </c>
      <c r="CK97" s="18" t="str">
        <f t="shared" si="214"/>
        <v xml:space="preserve"> 61 Caring personal service occupations</v>
      </c>
      <c r="CL97" s="22">
        <f t="shared" si="181"/>
        <v>-14.926337137865286</v>
      </c>
      <c r="CM97" s="22">
        <f t="shared" si="181"/>
        <v>-12.737677372894485</v>
      </c>
      <c r="CN97" s="22">
        <f t="shared" si="181"/>
        <v>-3.0916181051416691</v>
      </c>
      <c r="CO97" s="22">
        <f t="shared" si="181"/>
        <v>3.4961257117265498</v>
      </c>
      <c r="CP97" s="22">
        <f t="shared" si="182"/>
        <v>-4.3457947545866631</v>
      </c>
      <c r="CR97" s="22">
        <f t="shared" si="215"/>
        <v>0.14810070645505657</v>
      </c>
      <c r="CS97" s="22">
        <f t="shared" si="216"/>
        <v>1.437407665827406</v>
      </c>
      <c r="CT97" s="22">
        <f t="shared" si="217"/>
        <v>1.5677714721626934</v>
      </c>
    </row>
    <row r="98" spans="1:98" x14ac:dyDescent="0.2">
      <c r="A98" s="18" t="str">
        <f t="shared" si="164"/>
        <v xml:space="preserve"> 62 Leisure, travel and related personal service occupations</v>
      </c>
      <c r="B98" s="22">
        <f t="shared" si="165"/>
        <v>14.49556291566083</v>
      </c>
      <c r="C98" s="22">
        <f t="shared" si="165"/>
        <v>13.021320889898202</v>
      </c>
      <c r="D98" s="22">
        <f t="shared" si="165"/>
        <v>5.1195254404766688</v>
      </c>
      <c r="E98" s="22">
        <f t="shared" si="165"/>
        <v>1.0902451210305308</v>
      </c>
      <c r="F98" s="22">
        <f t="shared" si="166"/>
        <v>6.2961838817224391</v>
      </c>
      <c r="H98" s="22">
        <f t="shared" si="183"/>
        <v>3.0852006535573961</v>
      </c>
      <c r="I98" s="22">
        <f t="shared" si="184"/>
        <v>3.3886577127391737</v>
      </c>
      <c r="J98" s="22">
        <f t="shared" si="185"/>
        <v>5.759160043975653</v>
      </c>
      <c r="L98" s="18" t="str">
        <f t="shared" si="186"/>
        <v xml:space="preserve"> 62 Leisure, travel and related personal service occupations</v>
      </c>
      <c r="M98" s="22">
        <f t="shared" si="167"/>
        <v>8.3845487967999297</v>
      </c>
      <c r="N98" s="22">
        <f t="shared" si="167"/>
        <v>9.2719001384916844</v>
      </c>
      <c r="O98" s="22">
        <f t="shared" si="167"/>
        <v>4.1948703845730018</v>
      </c>
      <c r="P98" s="22">
        <f t="shared" si="167"/>
        <v>1.6317340128917168</v>
      </c>
      <c r="Q98" s="22">
        <f t="shared" si="168"/>
        <v>4.9851943262215315</v>
      </c>
      <c r="S98" s="22">
        <f t="shared" si="187"/>
        <v>2.9053222745677676</v>
      </c>
      <c r="T98" s="22">
        <f t="shared" si="188"/>
        <v>3.3990532753682912</v>
      </c>
      <c r="U98" s="22">
        <f t="shared" si="189"/>
        <v>5.6251445561088964</v>
      </c>
      <c r="W98" s="18" t="str">
        <f t="shared" si="190"/>
        <v xml:space="preserve"> 62 Leisure, travel and related personal service occupations</v>
      </c>
      <c r="X98" s="22">
        <f t="shared" si="169"/>
        <v>9.1239103679581</v>
      </c>
      <c r="Y98" s="22">
        <f t="shared" si="169"/>
        <v>4.7204284438148614</v>
      </c>
      <c r="Z98" s="22">
        <f t="shared" si="169"/>
        <v>5.7079089828884211</v>
      </c>
      <c r="AA98" s="22">
        <f t="shared" si="169"/>
        <v>1.6954515131181846</v>
      </c>
      <c r="AB98" s="22">
        <f t="shared" si="170"/>
        <v>4.0271755568013878</v>
      </c>
      <c r="AD98" s="22">
        <f t="shared" si="191"/>
        <v>3.6822720262361885</v>
      </c>
      <c r="AE98" s="22">
        <f t="shared" si="192"/>
        <v>4.4780127889173515</v>
      </c>
      <c r="AF98" s="22">
        <f t="shared" si="193"/>
        <v>7.0985430807822603</v>
      </c>
      <c r="AH98" s="18" t="str">
        <f t="shared" si="194"/>
        <v xml:space="preserve"> 62 Leisure, travel and related personal service occupations</v>
      </c>
      <c r="AI98" s="22">
        <f t="shared" si="171"/>
        <v>7.4896833738465673</v>
      </c>
      <c r="AJ98" s="22">
        <f t="shared" si="171"/>
        <v>5.6484633707139187</v>
      </c>
      <c r="AK98" s="22">
        <f t="shared" si="171"/>
        <v>5.2554239059140473</v>
      </c>
      <c r="AL98" s="22">
        <f t="shared" si="171"/>
        <v>1.3151198805642084</v>
      </c>
      <c r="AM98" s="22">
        <f t="shared" si="172"/>
        <v>4.0544466459369932</v>
      </c>
      <c r="AO98" s="22">
        <f t="shared" si="195"/>
        <v>3.2664799976608316</v>
      </c>
      <c r="AP98" s="22">
        <f t="shared" si="196"/>
        <v>4.4053857501547666</v>
      </c>
      <c r="AQ98" s="22">
        <f t="shared" si="197"/>
        <v>6.7299262091554013</v>
      </c>
      <c r="AS98" s="18" t="str">
        <f t="shared" si="198"/>
        <v xml:space="preserve"> 62 Leisure, travel and related personal service occupations</v>
      </c>
      <c r="AT98" s="22">
        <f t="shared" si="173"/>
        <v>5.3846576482133868</v>
      </c>
      <c r="AU98" s="22">
        <f t="shared" si="173"/>
        <v>6.3828555376801432</v>
      </c>
      <c r="AV98" s="22">
        <f t="shared" si="173"/>
        <v>6.3068253103160998</v>
      </c>
      <c r="AW98" s="22">
        <f t="shared" si="173"/>
        <v>1.9874196854748671</v>
      </c>
      <c r="AX98" s="22">
        <f t="shared" si="174"/>
        <v>4.8720599735118331</v>
      </c>
      <c r="AZ98" s="22">
        <f t="shared" si="199"/>
        <v>4.1247271706085664</v>
      </c>
      <c r="BA98" s="22">
        <f t="shared" si="200"/>
        <v>4.6347270607579594</v>
      </c>
      <c r="BB98" s="22">
        <f t="shared" si="201"/>
        <v>7.5529229836972966</v>
      </c>
      <c r="BD98" s="18" t="str">
        <f t="shared" si="202"/>
        <v xml:space="preserve"> 62 Leisure, travel and related personal service occupations</v>
      </c>
      <c r="BE98" s="22">
        <f t="shared" si="175"/>
        <v>3.7209680318279981</v>
      </c>
      <c r="BF98" s="22">
        <f t="shared" si="175"/>
        <v>4.0066231938498342</v>
      </c>
      <c r="BG98" s="22">
        <f t="shared" si="175"/>
        <v>-2.6128642394369073</v>
      </c>
      <c r="BH98" s="22">
        <f t="shared" si="175"/>
        <v>-1.1422713899491899</v>
      </c>
      <c r="BI98" s="22">
        <f t="shared" si="176"/>
        <v>4.4005714405970231E-2</v>
      </c>
      <c r="BK98" s="22">
        <f t="shared" si="203"/>
        <v>-1.8803228851219655</v>
      </c>
      <c r="BL98" s="22">
        <f t="shared" si="204"/>
        <v>2.4217563345799498</v>
      </c>
      <c r="BM98" s="22">
        <f t="shared" si="205"/>
        <v>0.93425163980707104</v>
      </c>
      <c r="BO98" s="18" t="str">
        <f t="shared" si="206"/>
        <v xml:space="preserve"> 62 Leisure, travel and related personal service occupations</v>
      </c>
      <c r="BP98" s="22">
        <f t="shared" si="177"/>
        <v>-2.975202200593885</v>
      </c>
      <c r="BQ98" s="22">
        <f t="shared" si="177"/>
        <v>1.8750456593842335</v>
      </c>
      <c r="BR98" s="22">
        <f t="shared" si="177"/>
        <v>-1.7631375550391293</v>
      </c>
      <c r="BS98" s="22">
        <f t="shared" si="177"/>
        <v>-2.3670481771969842</v>
      </c>
      <c r="BT98" s="22">
        <f t="shared" si="178"/>
        <v>-0.76925776404759283</v>
      </c>
      <c r="BV98" s="22">
        <f t="shared" si="207"/>
        <v>-2.0655583652401055</v>
      </c>
      <c r="BW98" s="22">
        <f t="shared" si="208"/>
        <v>2.6106572143895113</v>
      </c>
      <c r="BX98" s="22">
        <f t="shared" si="209"/>
        <v>1.0088896863810648</v>
      </c>
      <c r="BZ98" s="18" t="str">
        <f t="shared" si="210"/>
        <v xml:space="preserve"> 62 Leisure, travel and related personal service occupations</v>
      </c>
      <c r="CA98" s="22">
        <f t="shared" si="179"/>
        <v>2.8285201444043562</v>
      </c>
      <c r="CB98" s="22">
        <f t="shared" si="179"/>
        <v>5.3456101421371693</v>
      </c>
      <c r="CC98" s="22">
        <f t="shared" si="179"/>
        <v>-2.6884155408383181</v>
      </c>
      <c r="CD98" s="22">
        <f t="shared" si="179"/>
        <v>7.6418040995385184E-2</v>
      </c>
      <c r="CE98" s="22">
        <f t="shared" si="180"/>
        <v>0.85658211488199854</v>
      </c>
      <c r="CF98" s="286"/>
      <c r="CG98" s="22">
        <f t="shared" si="211"/>
        <v>-1.3156810502970906</v>
      </c>
      <c r="CH98" s="22">
        <f t="shared" si="212"/>
        <v>2.2436117334369232</v>
      </c>
      <c r="CI98" s="22">
        <f t="shared" si="213"/>
        <v>1.1791942547184853</v>
      </c>
      <c r="CK98" s="18" t="str">
        <f t="shared" si="214"/>
        <v xml:space="preserve"> 62 Leisure, travel and related personal service occupations</v>
      </c>
      <c r="CL98" s="22">
        <f t="shared" si="181"/>
        <v>-7.1541844025002082</v>
      </c>
      <c r="CM98" s="22">
        <f t="shared" si="181"/>
        <v>1.1815953599407791</v>
      </c>
      <c r="CN98" s="22">
        <f t="shared" si="181"/>
        <v>-6.8110683601870559</v>
      </c>
      <c r="CO98" s="22">
        <f t="shared" si="181"/>
        <v>-4.7367567004030331</v>
      </c>
      <c r="CP98" s="22">
        <f t="shared" si="182"/>
        <v>-3.5141250136183633</v>
      </c>
      <c r="CR98" s="22">
        <f t="shared" si="215"/>
        <v>-5.7796207414074878</v>
      </c>
      <c r="CS98" s="22">
        <f t="shared" si="216"/>
        <v>1.3545904781126605</v>
      </c>
      <c r="CT98" s="22">
        <f t="shared" si="217"/>
        <v>-3.5675125620451387</v>
      </c>
    </row>
    <row r="99" spans="1:98" x14ac:dyDescent="0.2">
      <c r="A99" s="18" t="str">
        <f t="shared" si="164"/>
        <v xml:space="preserve"> 71 Sales occupations</v>
      </c>
      <c r="B99" s="22">
        <f t="shared" si="165"/>
        <v>10.31772642620048</v>
      </c>
      <c r="C99" s="22">
        <f t="shared" si="165"/>
        <v>15.066362018672329</v>
      </c>
      <c r="D99" s="22">
        <f t="shared" si="165"/>
        <v>3.608799608650215</v>
      </c>
      <c r="E99" s="22">
        <f t="shared" si="165"/>
        <v>1.5076072549956576</v>
      </c>
      <c r="F99" s="22">
        <f t="shared" si="166"/>
        <v>6.564987519253096</v>
      </c>
      <c r="H99" s="22">
        <f t="shared" si="183"/>
        <v>2.5528221885502855</v>
      </c>
      <c r="I99" s="22">
        <f t="shared" si="184"/>
        <v>3.0528594228110828</v>
      </c>
      <c r="J99" s="22">
        <f t="shared" si="185"/>
        <v>5.055505831914342</v>
      </c>
      <c r="L99" s="18" t="str">
        <f t="shared" si="186"/>
        <v xml:space="preserve"> 71 Sales occupations</v>
      </c>
      <c r="M99" s="22">
        <f t="shared" si="167"/>
        <v>-4.5287534398028795</v>
      </c>
      <c r="N99" s="22">
        <f t="shared" si="167"/>
        <v>10.333197636482371</v>
      </c>
      <c r="O99" s="22">
        <f t="shared" si="167"/>
        <v>5.296605272814392</v>
      </c>
      <c r="P99" s="22">
        <f t="shared" si="167"/>
        <v>2.8159257511947589</v>
      </c>
      <c r="Q99" s="22">
        <f t="shared" si="168"/>
        <v>6.1028350561897371</v>
      </c>
      <c r="S99" s="22">
        <f t="shared" si="187"/>
        <v>4.0488728895346826</v>
      </c>
      <c r="T99" s="22">
        <f t="shared" si="188"/>
        <v>3.216521419324847</v>
      </c>
      <c r="U99" s="22">
        <f t="shared" si="189"/>
        <v>6.4003739829788131</v>
      </c>
      <c r="W99" s="18" t="str">
        <f t="shared" si="190"/>
        <v xml:space="preserve"> 71 Sales occupations</v>
      </c>
      <c r="X99" s="22">
        <f t="shared" si="169"/>
        <v>9.9756441944861329</v>
      </c>
      <c r="Y99" s="22">
        <f t="shared" si="169"/>
        <v>2.1532056137926414</v>
      </c>
      <c r="Z99" s="22">
        <f t="shared" si="169"/>
        <v>5.5985726778495115</v>
      </c>
      <c r="AA99" s="22">
        <f t="shared" si="169"/>
        <v>1.9027097060114295</v>
      </c>
      <c r="AB99" s="22">
        <f t="shared" si="170"/>
        <v>3.2044903169303307</v>
      </c>
      <c r="AD99" s="22">
        <f t="shared" si="191"/>
        <v>3.7341828760416362</v>
      </c>
      <c r="AE99" s="22">
        <f t="shared" si="192"/>
        <v>4.2213053092478914</v>
      </c>
      <c r="AF99" s="22">
        <f t="shared" si="193"/>
        <v>6.933111387261226</v>
      </c>
      <c r="AH99" s="18" t="str">
        <f t="shared" si="194"/>
        <v xml:space="preserve"> 71 Sales occupations</v>
      </c>
      <c r="AI99" s="22">
        <f t="shared" si="171"/>
        <v>5.3873274445130015</v>
      </c>
      <c r="AJ99" s="22">
        <f t="shared" si="171"/>
        <v>0.83990792329560193</v>
      </c>
      <c r="AK99" s="22">
        <f t="shared" si="171"/>
        <v>4.6908771190405707</v>
      </c>
      <c r="AL99" s="22">
        <f t="shared" si="171"/>
        <v>1.6122941816611336</v>
      </c>
      <c r="AM99" s="22">
        <f t="shared" si="172"/>
        <v>2.3675977633540679</v>
      </c>
      <c r="AO99" s="22">
        <f t="shared" si="195"/>
        <v>3.1400998833920557</v>
      </c>
      <c r="AP99" s="22">
        <f t="shared" si="196"/>
        <v>4.1784569665062277</v>
      </c>
      <c r="AQ99" s="22">
        <f t="shared" si="197"/>
        <v>6.4488982114750737</v>
      </c>
      <c r="AS99" s="18" t="str">
        <f t="shared" si="198"/>
        <v xml:space="preserve"> 71 Sales occupations</v>
      </c>
      <c r="AT99" s="22">
        <f t="shared" si="173"/>
        <v>1.9822249755461652</v>
      </c>
      <c r="AU99" s="22">
        <f t="shared" si="173"/>
        <v>-1.0579896319410587</v>
      </c>
      <c r="AV99" s="22">
        <f t="shared" si="173"/>
        <v>2.9255917858332703</v>
      </c>
      <c r="AW99" s="22">
        <f t="shared" si="173"/>
        <v>0.85285519864310988</v>
      </c>
      <c r="AX99" s="22">
        <f t="shared" si="174"/>
        <v>0.89371194772114304</v>
      </c>
      <c r="AZ99" s="22">
        <f t="shared" si="199"/>
        <v>1.8839526353944258</v>
      </c>
      <c r="BA99" s="22">
        <f t="shared" si="200"/>
        <v>3.4558835711320901</v>
      </c>
      <c r="BB99" s="22">
        <f t="shared" si="201"/>
        <v>4.8762219979797905</v>
      </c>
      <c r="BD99" s="18" t="str">
        <f t="shared" si="202"/>
        <v xml:space="preserve"> 71 Sales occupations</v>
      </c>
      <c r="BE99" s="22">
        <f t="shared" si="175"/>
        <v>1.4795759810826148E-2</v>
      </c>
      <c r="BF99" s="22">
        <f t="shared" si="175"/>
        <v>0.37921794815745091</v>
      </c>
      <c r="BG99" s="22">
        <f t="shared" si="175"/>
        <v>-0.23067439214559116</v>
      </c>
      <c r="BH99" s="22">
        <f t="shared" si="175"/>
        <v>0.33742426682148441</v>
      </c>
      <c r="BI99" s="22">
        <f t="shared" si="176"/>
        <v>0.16160248385959086</v>
      </c>
      <c r="BK99" s="22">
        <f t="shared" si="203"/>
        <v>5.2971731627970975E-2</v>
      </c>
      <c r="BL99" s="22">
        <f t="shared" si="204"/>
        <v>2.8837314391514379</v>
      </c>
      <c r="BM99" s="22">
        <f t="shared" si="205"/>
        <v>2.9247688186694765</v>
      </c>
      <c r="BO99" s="18" t="str">
        <f t="shared" si="206"/>
        <v xml:space="preserve"> 71 Sales occupations</v>
      </c>
      <c r="BP99" s="22">
        <f t="shared" si="177"/>
        <v>-3.2465221978125736</v>
      </c>
      <c r="BQ99" s="22">
        <f t="shared" si="177"/>
        <v>-3.6815926455545656</v>
      </c>
      <c r="BR99" s="22">
        <f t="shared" si="177"/>
        <v>-1.1586860335108584</v>
      </c>
      <c r="BS99" s="22">
        <f t="shared" si="177"/>
        <v>-1.4073486636822841</v>
      </c>
      <c r="BT99" s="22">
        <f t="shared" si="178"/>
        <v>-2.0891585557617609</v>
      </c>
      <c r="BV99" s="22">
        <f t="shared" si="207"/>
        <v>-1.2830956445575414</v>
      </c>
      <c r="BW99" s="22">
        <f t="shared" si="208"/>
        <v>2.8505259015048301</v>
      </c>
      <c r="BX99" s="22">
        <f t="shared" si="209"/>
        <v>1.8686821302785983</v>
      </c>
      <c r="BZ99" s="18" t="str">
        <f t="shared" si="210"/>
        <v xml:space="preserve"> 71 Sales occupations</v>
      </c>
      <c r="CA99" s="22">
        <f t="shared" si="179"/>
        <v>-2.6659208343904339</v>
      </c>
      <c r="CB99" s="22">
        <f t="shared" si="179"/>
        <v>-0.84810846510469107</v>
      </c>
      <c r="CC99" s="22">
        <f t="shared" si="179"/>
        <v>-4.8612847965787136</v>
      </c>
      <c r="CD99" s="22">
        <f t="shared" si="179"/>
        <v>-5.5399178000908105</v>
      </c>
      <c r="CE99" s="22">
        <f t="shared" si="180"/>
        <v>-3.771835553628522</v>
      </c>
      <c r="CF99" s="286"/>
      <c r="CG99" s="22">
        <f t="shared" si="211"/>
        <v>-5.2012085598717945</v>
      </c>
      <c r="CH99" s="22">
        <f t="shared" si="212"/>
        <v>1.8292855223129179</v>
      </c>
      <c r="CI99" s="22">
        <f t="shared" si="213"/>
        <v>-2.3926286762760651</v>
      </c>
      <c r="CK99" s="18" t="str">
        <f t="shared" si="214"/>
        <v xml:space="preserve"> 71 Sales occupations</v>
      </c>
      <c r="CL99" s="22">
        <f t="shared" si="181"/>
        <v>-7.7063948099467927</v>
      </c>
      <c r="CM99" s="22">
        <f t="shared" si="181"/>
        <v>-1.6633937169161062</v>
      </c>
      <c r="CN99" s="22">
        <f t="shared" si="181"/>
        <v>-12.354683843704139</v>
      </c>
      <c r="CO99" s="22">
        <f t="shared" si="181"/>
        <v>-7.6633635932498834</v>
      </c>
      <c r="CP99" s="22">
        <f t="shared" si="182"/>
        <v>-7.3299651962446033</v>
      </c>
      <c r="CR99" s="22">
        <f t="shared" si="215"/>
        <v>-10.039599319041759</v>
      </c>
      <c r="CS99" s="22">
        <f t="shared" si="216"/>
        <v>0.94059810030246993</v>
      </c>
      <c r="CT99" s="22">
        <f t="shared" si="217"/>
        <v>-7.771682617256193</v>
      </c>
    </row>
    <row r="100" spans="1:98" x14ac:dyDescent="0.2">
      <c r="A100" s="18" t="str">
        <f t="shared" si="164"/>
        <v xml:space="preserve"> 72 Customer service occupations</v>
      </c>
      <c r="B100" s="22">
        <f t="shared" si="165"/>
        <v>1.4524768111616515</v>
      </c>
      <c r="C100" s="22">
        <f t="shared" si="165"/>
        <v>13.706878102704279</v>
      </c>
      <c r="D100" s="22">
        <f t="shared" si="165"/>
        <v>6.8354209290050427</v>
      </c>
      <c r="E100" s="22">
        <f t="shared" si="165"/>
        <v>3.6066596555842212</v>
      </c>
      <c r="F100" s="22">
        <f t="shared" si="166"/>
        <v>7.9683732068569268</v>
      </c>
      <c r="H100" s="22">
        <f t="shared" si="183"/>
        <v>5.208655040127308</v>
      </c>
      <c r="I100" s="22">
        <f t="shared" si="184"/>
        <v>3.092740302575514</v>
      </c>
      <c r="J100" s="22">
        <f t="shared" si="185"/>
        <v>7.2714020158893389</v>
      </c>
      <c r="L100" s="18" t="str">
        <f t="shared" si="186"/>
        <v xml:space="preserve"> 72 Customer service occupations</v>
      </c>
      <c r="M100" s="22">
        <f t="shared" si="167"/>
        <v>-2.1036751850504021</v>
      </c>
      <c r="N100" s="22">
        <f t="shared" si="167"/>
        <v>12.245198600144015</v>
      </c>
      <c r="O100" s="22">
        <f t="shared" si="167"/>
        <v>6.3044707800029132</v>
      </c>
      <c r="P100" s="22">
        <f t="shared" si="167"/>
        <v>3.4445214170557126</v>
      </c>
      <c r="Q100" s="22">
        <f t="shared" si="168"/>
        <v>7.2693376581931091</v>
      </c>
      <c r="S100" s="22">
        <f t="shared" si="187"/>
        <v>4.8647467184791626</v>
      </c>
      <c r="T100" s="22">
        <f t="shared" si="188"/>
        <v>3.3034378467378556</v>
      </c>
      <c r="U100" s="22">
        <f t="shared" si="189"/>
        <v>7.1347785083890614</v>
      </c>
      <c r="W100" s="18" t="str">
        <f t="shared" si="190"/>
        <v xml:space="preserve"> 72 Customer service occupations</v>
      </c>
      <c r="X100" s="22">
        <f t="shared" si="169"/>
        <v>5.1425688752015919</v>
      </c>
      <c r="Y100" s="22">
        <f t="shared" si="169"/>
        <v>5.3422181715144346</v>
      </c>
      <c r="Z100" s="22">
        <f t="shared" si="169"/>
        <v>5.6740173652837456</v>
      </c>
      <c r="AA100" s="22">
        <f t="shared" si="169"/>
        <v>1.8727440839590104</v>
      </c>
      <c r="AB100" s="22">
        <f t="shared" si="170"/>
        <v>4.2820501305648628</v>
      </c>
      <c r="AD100" s="22">
        <f t="shared" si="191"/>
        <v>3.7559739358529187</v>
      </c>
      <c r="AE100" s="22">
        <f t="shared" si="192"/>
        <v>3.7881026881493529</v>
      </c>
      <c r="AF100" s="22">
        <f t="shared" si="193"/>
        <v>6.6078628405013662</v>
      </c>
      <c r="AH100" s="18" t="str">
        <f t="shared" si="194"/>
        <v xml:space="preserve"> 72 Customer service occupations</v>
      </c>
      <c r="AI100" s="22">
        <f t="shared" si="171"/>
        <v>4.5741827953032388</v>
      </c>
      <c r="AJ100" s="22">
        <f t="shared" si="171"/>
        <v>3.4304383979853359</v>
      </c>
      <c r="AK100" s="22">
        <f t="shared" si="171"/>
        <v>6.3360596742150888</v>
      </c>
      <c r="AL100" s="22">
        <f t="shared" si="171"/>
        <v>1.7547455900884801</v>
      </c>
      <c r="AM100" s="22">
        <f t="shared" si="172"/>
        <v>3.8232295124581928</v>
      </c>
      <c r="AO100" s="22">
        <f t="shared" si="195"/>
        <v>4.0201840952140522</v>
      </c>
      <c r="AP100" s="22">
        <f t="shared" si="196"/>
        <v>4.1119762260554138</v>
      </c>
      <c r="AQ100" s="22">
        <f t="shared" si="197"/>
        <v>7.0663252725480019</v>
      </c>
      <c r="AS100" s="18" t="str">
        <f t="shared" si="198"/>
        <v xml:space="preserve"> 72 Customer service occupations</v>
      </c>
      <c r="AT100" s="22">
        <f t="shared" si="173"/>
        <v>6.2995603969777658</v>
      </c>
      <c r="AU100" s="22">
        <f t="shared" si="173"/>
        <v>1.8598256492918575</v>
      </c>
      <c r="AV100" s="22">
        <f t="shared" si="173"/>
        <v>4.7434349955232324</v>
      </c>
      <c r="AW100" s="22">
        <f t="shared" si="173"/>
        <v>1.6551454036360713</v>
      </c>
      <c r="AX100" s="22">
        <f t="shared" si="174"/>
        <v>2.7431875939429862</v>
      </c>
      <c r="AZ100" s="22">
        <f t="shared" si="199"/>
        <v>3.1877372295090911</v>
      </c>
      <c r="BA100" s="22">
        <f t="shared" si="200"/>
        <v>3.4502949805281791</v>
      </c>
      <c r="BB100" s="22">
        <f t="shared" si="201"/>
        <v>5.8906144558691143</v>
      </c>
      <c r="BD100" s="18" t="str">
        <f t="shared" si="202"/>
        <v xml:space="preserve"> 72 Customer service occupations</v>
      </c>
      <c r="BE100" s="22">
        <f t="shared" si="175"/>
        <v>3.3390112382396309</v>
      </c>
      <c r="BF100" s="22">
        <f t="shared" si="175"/>
        <v>3.3118771621865273</v>
      </c>
      <c r="BG100" s="22">
        <f t="shared" si="175"/>
        <v>8.5368291403775665E-2</v>
      </c>
      <c r="BH100" s="22">
        <f t="shared" si="175"/>
        <v>1.0520409085705618</v>
      </c>
      <c r="BI100" s="22">
        <f t="shared" si="176"/>
        <v>1.4741240747882633</v>
      </c>
      <c r="BK100" s="22">
        <f t="shared" si="203"/>
        <v>0.56754312864706336</v>
      </c>
      <c r="BL100" s="22">
        <f t="shared" si="204"/>
        <v>2.7025757854280075</v>
      </c>
      <c r="BM100" s="22">
        <f t="shared" si="205"/>
        <v>3.1516555663377188</v>
      </c>
      <c r="BO100" s="18" t="str">
        <f t="shared" si="206"/>
        <v xml:space="preserve"> 72 Customer service occupations</v>
      </c>
      <c r="BP100" s="22">
        <f t="shared" si="177"/>
        <v>3.2833094881590918</v>
      </c>
      <c r="BQ100" s="22">
        <f t="shared" si="177"/>
        <v>1.0799203379645572</v>
      </c>
      <c r="BR100" s="22">
        <f t="shared" si="177"/>
        <v>0.81359162162053522</v>
      </c>
      <c r="BS100" s="22">
        <f t="shared" si="177"/>
        <v>1.2498554453914235</v>
      </c>
      <c r="BT100" s="22">
        <f t="shared" si="178"/>
        <v>1.0476295703401473</v>
      </c>
      <c r="BV100" s="22">
        <f t="shared" si="207"/>
        <v>1.0314880550603478</v>
      </c>
      <c r="BW100" s="22">
        <f t="shared" si="208"/>
        <v>2.9789677175218188</v>
      </c>
      <c r="BX100" s="22">
        <f t="shared" si="209"/>
        <v>3.7801260532785763</v>
      </c>
      <c r="BZ100" s="18" t="str">
        <f t="shared" si="210"/>
        <v xml:space="preserve"> 72 Customer service occupations</v>
      </c>
      <c r="CA100" s="22">
        <f t="shared" si="179"/>
        <v>0.33917650094132945</v>
      </c>
      <c r="CB100" s="22">
        <f t="shared" si="179"/>
        <v>1.9978952428790775</v>
      </c>
      <c r="CC100" s="22">
        <f t="shared" si="179"/>
        <v>-3.1404963973734601</v>
      </c>
      <c r="CD100" s="22">
        <f t="shared" si="179"/>
        <v>-0.43219041383891765</v>
      </c>
      <c r="CE100" s="22">
        <f t="shared" si="180"/>
        <v>-0.54709635609776486</v>
      </c>
      <c r="CF100" s="286"/>
      <c r="CG100" s="22">
        <f t="shared" si="211"/>
        <v>-1.7956792635048902</v>
      </c>
      <c r="CH100" s="22">
        <f t="shared" si="212"/>
        <v>1.83900686360563</v>
      </c>
      <c r="CI100" s="22">
        <f t="shared" si="213"/>
        <v>0.3364505933394879</v>
      </c>
      <c r="CK100" s="18" t="str">
        <f t="shared" si="214"/>
        <v xml:space="preserve"> 72 Customer service occupations</v>
      </c>
      <c r="CL100" s="22">
        <f t="shared" si="181"/>
        <v>-5.2349148352327068</v>
      </c>
      <c r="CM100" s="22">
        <f t="shared" si="181"/>
        <v>6.2673255200725864</v>
      </c>
      <c r="CN100" s="22">
        <f t="shared" si="181"/>
        <v>-1.1739414080479182</v>
      </c>
      <c r="CO100" s="22">
        <f t="shared" si="181"/>
        <v>3.8242841641888514</v>
      </c>
      <c r="CP100" s="22">
        <f t="shared" si="182"/>
        <v>2.9255959726314007</v>
      </c>
      <c r="CR100" s="22">
        <f t="shared" si="215"/>
        <v>1.294347276033192</v>
      </c>
      <c r="CS100" s="22">
        <f t="shared" si="216"/>
        <v>1.9291837516190125</v>
      </c>
      <c r="CT100" s="22">
        <f t="shared" si="217"/>
        <v>3.0297073702852506</v>
      </c>
    </row>
    <row r="101" spans="1:98" x14ac:dyDescent="0.2">
      <c r="A101" s="18" t="str">
        <f t="shared" si="164"/>
        <v xml:space="preserve"> 81 Process, plant and machine operatives</v>
      </c>
      <c r="B101" s="22">
        <f t="shared" si="165"/>
        <v>79.944067407403409</v>
      </c>
      <c r="C101" s="22">
        <f t="shared" si="165"/>
        <v>11.994702372504552</v>
      </c>
      <c r="D101" s="22">
        <f t="shared" si="165"/>
        <v>6.5803747729149986</v>
      </c>
      <c r="E101" s="22">
        <f t="shared" si="165"/>
        <v>4.222768729787707</v>
      </c>
      <c r="F101" s="22">
        <f t="shared" si="166"/>
        <v>7.5505023076230193</v>
      </c>
      <c r="H101" s="22">
        <f t="shared" si="183"/>
        <v>5.3949797243285191</v>
      </c>
      <c r="I101" s="22">
        <f t="shared" si="184"/>
        <v>3.3612769685434474</v>
      </c>
      <c r="J101" s="22">
        <f t="shared" si="185"/>
        <v>7.6141541378772271</v>
      </c>
      <c r="L101" s="18" t="str">
        <f t="shared" si="186"/>
        <v xml:space="preserve"> 81 Process, plant and machine operatives</v>
      </c>
      <c r="M101" s="22">
        <f t="shared" si="167"/>
        <v>-2.7168161594210316</v>
      </c>
      <c r="N101" s="22">
        <f t="shared" si="167"/>
        <v>8.0162785394575451</v>
      </c>
      <c r="O101" s="22">
        <f t="shared" si="167"/>
        <v>5.4035042803456612</v>
      </c>
      <c r="P101" s="22">
        <f t="shared" si="167"/>
        <v>3.719670407041531</v>
      </c>
      <c r="Q101" s="22">
        <f t="shared" si="168"/>
        <v>5.6984120560865659</v>
      </c>
      <c r="S101" s="22">
        <f t="shared" si="187"/>
        <v>4.5581977833619725</v>
      </c>
      <c r="T101" s="22">
        <f t="shared" si="188"/>
        <v>3.2170907751394751</v>
      </c>
      <c r="U101" s="22">
        <f t="shared" si="189"/>
        <v>6.8191349499505005</v>
      </c>
      <c r="W101" s="18" t="str">
        <f t="shared" si="190"/>
        <v xml:space="preserve"> 81 Process, plant and machine operatives</v>
      </c>
      <c r="X101" s="22">
        <f t="shared" si="169"/>
        <v>7.4567137215896251</v>
      </c>
      <c r="Y101" s="22">
        <f t="shared" si="169"/>
        <v>1.7058609719348805</v>
      </c>
      <c r="Z101" s="22">
        <f t="shared" si="169"/>
        <v>4.782863205032406</v>
      </c>
      <c r="AA101" s="22">
        <f t="shared" si="169"/>
        <v>1.7674144537775716</v>
      </c>
      <c r="AB101" s="22">
        <f t="shared" si="170"/>
        <v>2.7420738232847519</v>
      </c>
      <c r="AD101" s="22">
        <f t="shared" si="191"/>
        <v>3.2641325312908975</v>
      </c>
      <c r="AE101" s="22">
        <f t="shared" si="192"/>
        <v>3.7572639010987841</v>
      </c>
      <c r="AF101" s="22">
        <f t="shared" si="193"/>
        <v>6.1994790631325181</v>
      </c>
      <c r="AH101" s="18" t="str">
        <f t="shared" si="194"/>
        <v xml:space="preserve"> 81 Process, plant and machine operatives</v>
      </c>
      <c r="AI101" s="22">
        <f t="shared" si="171"/>
        <v>4.1340656790293195</v>
      </c>
      <c r="AJ101" s="22">
        <f t="shared" si="171"/>
        <v>1.5812129348889092</v>
      </c>
      <c r="AK101" s="22">
        <f t="shared" si="171"/>
        <v>4.2166606021413644</v>
      </c>
      <c r="AL101" s="22">
        <f t="shared" si="171"/>
        <v>1.9729434898271725</v>
      </c>
      <c r="AM101" s="22">
        <f t="shared" si="172"/>
        <v>2.5837334824666325</v>
      </c>
      <c r="AO101" s="22">
        <f t="shared" si="195"/>
        <v>3.0886979366829381</v>
      </c>
      <c r="AP101" s="22">
        <f t="shared" si="196"/>
        <v>3.4966530379321847</v>
      </c>
      <c r="AQ101" s="22">
        <f t="shared" si="197"/>
        <v>5.8500646694253033</v>
      </c>
      <c r="AS101" s="18" t="str">
        <f t="shared" si="198"/>
        <v xml:space="preserve"> 81 Process, plant and machine operatives</v>
      </c>
      <c r="AT101" s="22">
        <f t="shared" si="173"/>
        <v>3.708461355123549</v>
      </c>
      <c r="AU101" s="22">
        <f t="shared" si="173"/>
        <v>2.1128806968126579</v>
      </c>
      <c r="AV101" s="22">
        <f t="shared" si="173"/>
        <v>5.0769364697076158</v>
      </c>
      <c r="AW101" s="22">
        <f t="shared" si="173"/>
        <v>2.3571285859825597</v>
      </c>
      <c r="AX101" s="22">
        <f t="shared" si="174"/>
        <v>3.1736214835183629</v>
      </c>
      <c r="AZ101" s="22">
        <f t="shared" si="199"/>
        <v>3.7081168359110794</v>
      </c>
      <c r="BA101" s="22">
        <f t="shared" si="200"/>
        <v>3.5451942681992143</v>
      </c>
      <c r="BB101" s="22">
        <f t="shared" si="201"/>
        <v>6.3794144395058261</v>
      </c>
      <c r="BD101" s="18" t="str">
        <f t="shared" si="202"/>
        <v xml:space="preserve"> 81 Process, plant and machine operatives</v>
      </c>
      <c r="BE101" s="22">
        <f t="shared" si="175"/>
        <v>1.2451913514473389</v>
      </c>
      <c r="BF101" s="22">
        <f t="shared" si="175"/>
        <v>2.1226726359911074</v>
      </c>
      <c r="BG101" s="22">
        <f t="shared" si="175"/>
        <v>-3.4476690031792767E-2</v>
      </c>
      <c r="BH101" s="22">
        <f t="shared" si="175"/>
        <v>0.85393581174804112</v>
      </c>
      <c r="BI101" s="22">
        <f t="shared" si="176"/>
        <v>0.97683536789423542</v>
      </c>
      <c r="BK101" s="22">
        <f t="shared" si="203"/>
        <v>0.40874698596400361</v>
      </c>
      <c r="BL101" s="22">
        <f t="shared" si="204"/>
        <v>2.3221384656235022</v>
      </c>
      <c r="BM101" s="22">
        <f t="shared" si="205"/>
        <v>2.6558319955098275</v>
      </c>
      <c r="BO101" s="18" t="str">
        <f t="shared" si="206"/>
        <v xml:space="preserve"> 81 Process, plant and machine operatives</v>
      </c>
      <c r="BP101" s="22">
        <f t="shared" si="177"/>
        <v>0.80630550902196507</v>
      </c>
      <c r="BQ101" s="22">
        <f t="shared" si="177"/>
        <v>0.43701809608804876</v>
      </c>
      <c r="BR101" s="22">
        <f t="shared" si="177"/>
        <v>-1.4025727049925329</v>
      </c>
      <c r="BS101" s="22">
        <f t="shared" si="177"/>
        <v>-0.93574973421486352</v>
      </c>
      <c r="BT101" s="22">
        <f t="shared" si="178"/>
        <v>-0.63682731757296329</v>
      </c>
      <c r="BV101" s="22">
        <f t="shared" si="207"/>
        <v>-1.1694368471211525</v>
      </c>
      <c r="BW101" s="22">
        <f t="shared" si="208"/>
        <v>2.3992968466250542</v>
      </c>
      <c r="BX101" s="22">
        <f t="shared" si="209"/>
        <v>1.4653578153874358</v>
      </c>
      <c r="BZ101" s="18" t="str">
        <f t="shared" si="210"/>
        <v xml:space="preserve"> 81 Process, plant and machine operatives</v>
      </c>
      <c r="CA101" s="22">
        <f t="shared" si="179"/>
        <v>-2.6264559624953443</v>
      </c>
      <c r="CB101" s="22">
        <f t="shared" si="179"/>
        <v>-0.81147288229538317</v>
      </c>
      <c r="CC101" s="22">
        <f t="shared" si="179"/>
        <v>-3.7701720117928939</v>
      </c>
      <c r="CD101" s="22">
        <f t="shared" si="179"/>
        <v>-3.6825847352637275</v>
      </c>
      <c r="CE101" s="22">
        <f t="shared" si="180"/>
        <v>-2.7643943906408674</v>
      </c>
      <c r="CF101" s="286"/>
      <c r="CG101" s="22">
        <f t="shared" si="211"/>
        <v>-3.7263883341115966</v>
      </c>
      <c r="CH101" s="22">
        <f t="shared" si="212"/>
        <v>1.8632212818781246</v>
      </c>
      <c r="CI101" s="22">
        <f t="shared" si="213"/>
        <v>-1.1944775877712033</v>
      </c>
      <c r="CK101" s="18" t="str">
        <f t="shared" si="214"/>
        <v xml:space="preserve"> 81 Process, plant and machine operatives</v>
      </c>
      <c r="CL101" s="22">
        <f t="shared" si="181"/>
        <v>-9.777399988056878</v>
      </c>
      <c r="CM101" s="22">
        <f t="shared" si="181"/>
        <v>-4.5114947064012201</v>
      </c>
      <c r="CN101" s="22">
        <f t="shared" si="181"/>
        <v>-12.700576645736083</v>
      </c>
      <c r="CO101" s="22">
        <f t="shared" si="181"/>
        <v>-15.874790450751441</v>
      </c>
      <c r="CP101" s="22">
        <f t="shared" si="182"/>
        <v>-11.155705485393986</v>
      </c>
      <c r="CR101" s="22">
        <f t="shared" si="215"/>
        <v>-14.302378777436209</v>
      </c>
      <c r="CS101" s="22">
        <f t="shared" si="216"/>
        <v>0.78868840985415467</v>
      </c>
      <c r="CT101" s="22">
        <f t="shared" si="217"/>
        <v>-11.480966421670969</v>
      </c>
    </row>
    <row r="102" spans="1:98" x14ac:dyDescent="0.2">
      <c r="A102" s="18" t="str">
        <f t="shared" si="164"/>
        <v xml:space="preserve"> 82 Transport and mobile machine drivers and operatives</v>
      </c>
      <c r="B102" s="22">
        <f t="shared" si="165"/>
        <v>2.9399461962776652</v>
      </c>
      <c r="C102" s="22">
        <f t="shared" si="165"/>
        <v>8.045111157515116</v>
      </c>
      <c r="D102" s="22">
        <f t="shared" si="165"/>
        <v>8.6886345481185234</v>
      </c>
      <c r="E102" s="22">
        <f t="shared" si="165"/>
        <v>4.9569800156983534</v>
      </c>
      <c r="F102" s="22">
        <f t="shared" si="166"/>
        <v>7.2177921259573674</v>
      </c>
      <c r="H102" s="22">
        <f t="shared" si="183"/>
        <v>6.806511244401281</v>
      </c>
      <c r="I102" s="22">
        <f t="shared" si="184"/>
        <v>4.2332848273328727</v>
      </c>
      <c r="J102" s="22">
        <f t="shared" si="185"/>
        <v>9.3552088628434227</v>
      </c>
      <c r="L102" s="18" t="str">
        <f t="shared" si="186"/>
        <v xml:space="preserve"> 82 Transport and mobile machine drivers and operatives</v>
      </c>
      <c r="M102" s="22">
        <f t="shared" si="167"/>
        <v>-3.8976921100532747</v>
      </c>
      <c r="N102" s="22">
        <f t="shared" si="167"/>
        <v>7.2103782628932356</v>
      </c>
      <c r="O102" s="22">
        <f t="shared" si="167"/>
        <v>7.8463031301094999</v>
      </c>
      <c r="P102" s="22">
        <f t="shared" si="167"/>
        <v>4.586427537191784</v>
      </c>
      <c r="Q102" s="22">
        <f t="shared" si="168"/>
        <v>6.5383107632350779</v>
      </c>
      <c r="S102" s="22">
        <f t="shared" si="187"/>
        <v>6.2038585338179519</v>
      </c>
      <c r="T102" s="22">
        <f t="shared" si="188"/>
        <v>4.1941881831848882</v>
      </c>
      <c r="U102" s="22">
        <f t="shared" si="189"/>
        <v>8.8440278150379914</v>
      </c>
      <c r="W102" s="18" t="str">
        <f t="shared" si="190"/>
        <v xml:space="preserve"> 82 Transport and mobile machine drivers and operatives</v>
      </c>
      <c r="X102" s="22">
        <f t="shared" si="169"/>
        <v>6.9200427173555124</v>
      </c>
      <c r="Y102" s="22">
        <f t="shared" si="169"/>
        <v>3.2604037811033049</v>
      </c>
      <c r="Z102" s="22">
        <f t="shared" si="169"/>
        <v>6.6794555196176386</v>
      </c>
      <c r="AA102" s="22">
        <f t="shared" si="169"/>
        <v>3.1050323285096271</v>
      </c>
      <c r="AB102" s="22">
        <f t="shared" si="170"/>
        <v>4.3353532322600641</v>
      </c>
      <c r="AD102" s="22">
        <f t="shared" si="191"/>
        <v>4.8770170730364493</v>
      </c>
      <c r="AE102" s="22">
        <f t="shared" si="192"/>
        <v>5.0440319334694728</v>
      </c>
      <c r="AF102" s="22">
        <f t="shared" si="193"/>
        <v>8.4262141895357523</v>
      </c>
      <c r="AH102" s="18" t="str">
        <f t="shared" si="194"/>
        <v xml:space="preserve"> 82 Transport and mobile machine drivers and operatives</v>
      </c>
      <c r="AI102" s="22">
        <f t="shared" si="171"/>
        <v>10.838151822362541</v>
      </c>
      <c r="AJ102" s="22">
        <f t="shared" si="171"/>
        <v>-2.8347441951365959</v>
      </c>
      <c r="AK102" s="22">
        <f t="shared" si="171"/>
        <v>6.0836354199621079</v>
      </c>
      <c r="AL102" s="22">
        <f t="shared" si="171"/>
        <v>2.605094379959616</v>
      </c>
      <c r="AM102" s="22">
        <f t="shared" si="172"/>
        <v>1.8848097798769503</v>
      </c>
      <c r="AO102" s="22">
        <f t="shared" si="195"/>
        <v>4.3298683236705715</v>
      </c>
      <c r="AP102" s="22">
        <f t="shared" si="196"/>
        <v>4.7363362138847176</v>
      </c>
      <c r="AQ102" s="22">
        <f t="shared" si="197"/>
        <v>7.7849598841118972</v>
      </c>
      <c r="AS102" s="18" t="str">
        <f t="shared" si="198"/>
        <v xml:space="preserve"> 82 Transport and mobile machine drivers and operatives</v>
      </c>
      <c r="AT102" s="22">
        <f t="shared" si="173"/>
        <v>5.2567751134556362</v>
      </c>
      <c r="AU102" s="22">
        <f t="shared" si="173"/>
        <v>0.61672493308553289</v>
      </c>
      <c r="AV102" s="22">
        <f t="shared" si="173"/>
        <v>6.6955627736447365</v>
      </c>
      <c r="AW102" s="22">
        <f t="shared" si="173"/>
        <v>3.102122354737058</v>
      </c>
      <c r="AX102" s="22">
        <f t="shared" si="174"/>
        <v>3.4414771312988091</v>
      </c>
      <c r="AZ102" s="22">
        <f t="shared" si="199"/>
        <v>4.8834542136930503</v>
      </c>
      <c r="BA102" s="22">
        <f t="shared" si="200"/>
        <v>4.8462730970487033</v>
      </c>
      <c r="BB102" s="22">
        <f t="shared" si="201"/>
        <v>8.2827021815291779</v>
      </c>
      <c r="BD102" s="18" t="str">
        <f t="shared" si="202"/>
        <v xml:space="preserve"> 82 Transport and mobile machine drivers and operatives</v>
      </c>
      <c r="BE102" s="22">
        <f t="shared" si="175"/>
        <v>0.4316583239186933</v>
      </c>
      <c r="BF102" s="22">
        <f t="shared" si="175"/>
        <v>-1.2725454598939812</v>
      </c>
      <c r="BG102" s="22">
        <f t="shared" si="175"/>
        <v>1.2615348857434761</v>
      </c>
      <c r="BH102" s="22">
        <f t="shared" si="175"/>
        <v>1.8467733476137171</v>
      </c>
      <c r="BI102" s="22">
        <f t="shared" si="176"/>
        <v>0.60276259084686146</v>
      </c>
      <c r="BK102" s="22">
        <f t="shared" si="203"/>
        <v>1.5537325377053435</v>
      </c>
      <c r="BL102" s="22">
        <f t="shared" si="204"/>
        <v>3.2140673989906388</v>
      </c>
      <c r="BM102" s="22">
        <f t="shared" si="205"/>
        <v>4.4043220086075197</v>
      </c>
      <c r="BO102" s="18" t="str">
        <f t="shared" si="206"/>
        <v xml:space="preserve"> 82 Transport and mobile machine drivers and operatives</v>
      </c>
      <c r="BP102" s="22">
        <f t="shared" si="177"/>
        <v>-2.5926854189689763</v>
      </c>
      <c r="BQ102" s="22">
        <f t="shared" si="177"/>
        <v>-1.33028813631767</v>
      </c>
      <c r="BR102" s="22">
        <f t="shared" si="177"/>
        <v>-0.28490122883860769</v>
      </c>
      <c r="BS102" s="22">
        <f t="shared" si="177"/>
        <v>6.7287581785979711E-3</v>
      </c>
      <c r="BT102" s="22">
        <f t="shared" si="178"/>
        <v>-0.53781359158963093</v>
      </c>
      <c r="BV102" s="22">
        <f t="shared" si="207"/>
        <v>-0.13919269351700958</v>
      </c>
      <c r="BW102" s="22">
        <f t="shared" si="208"/>
        <v>3.2142838432962284</v>
      </c>
      <c r="BX102" s="22">
        <f t="shared" si="209"/>
        <v>3.1097594137551976</v>
      </c>
      <c r="BZ102" s="18" t="str">
        <f t="shared" si="210"/>
        <v xml:space="preserve"> 82 Transport and mobile machine drivers and operatives</v>
      </c>
      <c r="CA102" s="22">
        <f t="shared" si="179"/>
        <v>-5.9913438070856255</v>
      </c>
      <c r="CB102" s="22">
        <f t="shared" si="179"/>
        <v>-3.1244445305175561</v>
      </c>
      <c r="CC102" s="22">
        <f t="shared" si="179"/>
        <v>-1.8222590115382187</v>
      </c>
      <c r="CD102" s="22">
        <f t="shared" si="179"/>
        <v>-1.5511344247874925</v>
      </c>
      <c r="CE102" s="22">
        <f t="shared" si="180"/>
        <v>-2.1683633627225918</v>
      </c>
      <c r="CF102" s="286"/>
      <c r="CG102" s="22">
        <f t="shared" si="211"/>
        <v>-1.6867901803063634</v>
      </c>
      <c r="CH102" s="22">
        <f t="shared" si="212"/>
        <v>2.6806180933716783</v>
      </c>
      <c r="CI102" s="22">
        <f t="shared" si="213"/>
        <v>1.3755215335226945</v>
      </c>
      <c r="CK102" s="18" t="str">
        <f t="shared" si="214"/>
        <v xml:space="preserve"> 82 Transport and mobile machine drivers and operatives</v>
      </c>
      <c r="CL102" s="22">
        <f t="shared" si="181"/>
        <v>-8.5863227106540929</v>
      </c>
      <c r="CM102" s="22">
        <f t="shared" si="181"/>
        <v>-2.6907600714092261</v>
      </c>
      <c r="CN102" s="22">
        <f t="shared" si="181"/>
        <v>-4.6294374523143329</v>
      </c>
      <c r="CO102" s="22">
        <f t="shared" si="181"/>
        <v>-4.2807408354479044</v>
      </c>
      <c r="CP102" s="22">
        <f t="shared" si="182"/>
        <v>-3.8706694694204735</v>
      </c>
      <c r="CR102" s="22">
        <f t="shared" si="215"/>
        <v>-4.4552482175444048</v>
      </c>
      <c r="CS102" s="22">
        <f t="shared" si="216"/>
        <v>1.7955827801808599</v>
      </c>
      <c r="CT102" s="22">
        <f t="shared" si="217"/>
        <v>-1.8607967432995531</v>
      </c>
    </row>
    <row r="103" spans="1:98" x14ac:dyDescent="0.2">
      <c r="A103" s="18" t="str">
        <f t="shared" si="164"/>
        <v xml:space="preserve"> 91 Elementary trades and related occupations</v>
      </c>
      <c r="B103" s="22">
        <f t="shared" si="165"/>
        <v>2.3291709524585258</v>
      </c>
      <c r="C103" s="22">
        <f t="shared" si="165"/>
        <v>13.498944905937238</v>
      </c>
      <c r="D103" s="22">
        <f t="shared" si="165"/>
        <v>8.3948081638206098</v>
      </c>
      <c r="E103" s="22">
        <f t="shared" si="165"/>
        <v>2.3658979613901066</v>
      </c>
      <c r="F103" s="22">
        <f t="shared" si="166"/>
        <v>7.9904129642940136</v>
      </c>
      <c r="H103" s="22">
        <f t="shared" si="183"/>
        <v>5.3372292783615771</v>
      </c>
      <c r="I103" s="22">
        <f t="shared" si="184"/>
        <v>4.0025274381289</v>
      </c>
      <c r="J103" s="22">
        <f t="shared" si="185"/>
        <v>8.0182533302127759</v>
      </c>
      <c r="L103" s="18" t="str">
        <f t="shared" si="186"/>
        <v xml:space="preserve"> 91 Elementary trades and related occupations</v>
      </c>
      <c r="M103" s="22">
        <f t="shared" si="167"/>
        <v>16.198817276459664</v>
      </c>
      <c r="N103" s="22">
        <f t="shared" si="167"/>
        <v>10.710366813163752</v>
      </c>
      <c r="O103" s="22">
        <f t="shared" si="167"/>
        <v>8.8558253254801258</v>
      </c>
      <c r="P103" s="22">
        <f t="shared" si="167"/>
        <v>4.6797743662127189</v>
      </c>
      <c r="Q103" s="22">
        <f t="shared" si="168"/>
        <v>8.052357667099951</v>
      </c>
      <c r="S103" s="22">
        <f t="shared" si="187"/>
        <v>6.747380452726448</v>
      </c>
      <c r="T103" s="22">
        <f t="shared" si="188"/>
        <v>3.7451066147336176</v>
      </c>
      <c r="U103" s="22">
        <f t="shared" si="189"/>
        <v>8.9916977853713895</v>
      </c>
      <c r="W103" s="18" t="str">
        <f t="shared" si="190"/>
        <v xml:space="preserve"> 91 Elementary trades and related occupations</v>
      </c>
      <c r="X103" s="22">
        <f t="shared" si="169"/>
        <v>5.974480675749505</v>
      </c>
      <c r="Y103" s="22">
        <f t="shared" si="169"/>
        <v>6.4803329535933152</v>
      </c>
      <c r="Z103" s="22">
        <f t="shared" si="169"/>
        <v>7.8760452685070259</v>
      </c>
      <c r="AA103" s="22">
        <f t="shared" si="169"/>
        <v>2.2549972033022447</v>
      </c>
      <c r="AB103" s="22">
        <f t="shared" si="170"/>
        <v>5.5098452749114291</v>
      </c>
      <c r="AD103" s="22">
        <f t="shared" si="191"/>
        <v>5.0279234643553883</v>
      </c>
      <c r="AE103" s="22">
        <f t="shared" si="192"/>
        <v>4.6664441682232827</v>
      </c>
      <c r="AF103" s="22">
        <f t="shared" si="193"/>
        <v>8.2582792034501029</v>
      </c>
      <c r="AH103" s="18" t="str">
        <f t="shared" si="194"/>
        <v xml:space="preserve"> 91 Elementary trades and related occupations</v>
      </c>
      <c r="AI103" s="22">
        <f t="shared" si="171"/>
        <v>6.4329354540162864</v>
      </c>
      <c r="AJ103" s="22">
        <f t="shared" si="171"/>
        <v>4.7150427650283433</v>
      </c>
      <c r="AK103" s="22">
        <f t="shared" si="171"/>
        <v>7.4920361536766178</v>
      </c>
      <c r="AL103" s="22">
        <f t="shared" si="171"/>
        <v>2.5840406809924721</v>
      </c>
      <c r="AM103" s="22">
        <f t="shared" si="172"/>
        <v>4.9111679172955336</v>
      </c>
      <c r="AO103" s="22">
        <f t="shared" si="195"/>
        <v>5.009368199563391</v>
      </c>
      <c r="AP103" s="22">
        <f t="shared" si="196"/>
        <v>5.1526151479588389</v>
      </c>
      <c r="AQ103" s="22">
        <f t="shared" si="197"/>
        <v>8.6055459596528614</v>
      </c>
      <c r="AS103" s="18" t="str">
        <f t="shared" si="198"/>
        <v xml:space="preserve"> 91 Elementary trades and related occupations</v>
      </c>
      <c r="AT103" s="22">
        <f t="shared" si="173"/>
        <v>4.9476335727395737</v>
      </c>
      <c r="AU103" s="22">
        <f t="shared" si="173"/>
        <v>7.5334345602916519</v>
      </c>
      <c r="AV103" s="22">
        <f t="shared" si="173"/>
        <v>6.2795852805386021</v>
      </c>
      <c r="AW103" s="22">
        <f t="shared" si="173"/>
        <v>2.6430459037977583</v>
      </c>
      <c r="AX103" s="22">
        <f t="shared" si="174"/>
        <v>5.464824212210373</v>
      </c>
      <c r="AZ103" s="22">
        <f t="shared" si="199"/>
        <v>4.4454898527787723</v>
      </c>
      <c r="BA103" s="22">
        <f t="shared" si="200"/>
        <v>3.8966519347714001</v>
      </c>
      <c r="BB103" s="22">
        <f t="shared" si="201"/>
        <v>7.2334174421317288</v>
      </c>
      <c r="BD103" s="18" t="str">
        <f t="shared" si="202"/>
        <v xml:space="preserve"> 91 Elementary trades and related occupations</v>
      </c>
      <c r="BE103" s="22">
        <f t="shared" si="175"/>
        <v>0.27302622415203981</v>
      </c>
      <c r="BF103" s="22">
        <f t="shared" si="175"/>
        <v>2.7953514625003839</v>
      </c>
      <c r="BG103" s="22">
        <f t="shared" si="175"/>
        <v>5.9280076557555184E-2</v>
      </c>
      <c r="BH103" s="22">
        <f t="shared" si="175"/>
        <v>0.54463887865541238</v>
      </c>
      <c r="BI103" s="22">
        <f t="shared" si="176"/>
        <v>1.1260993889607995</v>
      </c>
      <c r="BK103" s="22">
        <f t="shared" si="203"/>
        <v>0.30166589721090098</v>
      </c>
      <c r="BL103" s="22">
        <f t="shared" si="204"/>
        <v>2.3375863534327967</v>
      </c>
      <c r="BM103" s="22">
        <f t="shared" si="205"/>
        <v>2.5832923253028994</v>
      </c>
      <c r="BO103" s="18" t="str">
        <f t="shared" si="206"/>
        <v xml:space="preserve"> 91 Elementary trades and related occupations</v>
      </c>
      <c r="BP103" s="22">
        <f t="shared" si="177"/>
        <v>-1.453959660986115</v>
      </c>
      <c r="BQ103" s="22">
        <f t="shared" si="177"/>
        <v>0.72413373211788201</v>
      </c>
      <c r="BR103" s="22">
        <f t="shared" si="177"/>
        <v>-0.70260277740207266</v>
      </c>
      <c r="BS103" s="22">
        <f t="shared" si="177"/>
        <v>-0.93124983214633028</v>
      </c>
      <c r="BT103" s="22">
        <f t="shared" si="178"/>
        <v>-0.30592152146937668</v>
      </c>
      <c r="BV103" s="22">
        <f t="shared" si="207"/>
        <v>-0.81699219239375065</v>
      </c>
      <c r="BW103" s="22">
        <f t="shared" si="208"/>
        <v>2.3983723921715994</v>
      </c>
      <c r="BX103" s="22">
        <f t="shared" si="209"/>
        <v>1.7435357012345332</v>
      </c>
      <c r="BZ103" s="18" t="str">
        <f t="shared" si="210"/>
        <v xml:space="preserve"> 91 Elementary trades and related occupations</v>
      </c>
      <c r="CA103" s="22">
        <f t="shared" si="179"/>
        <v>-1.6109569508525046</v>
      </c>
      <c r="CB103" s="22">
        <f t="shared" si="179"/>
        <v>0.92308493904853517</v>
      </c>
      <c r="CC103" s="22">
        <f t="shared" si="179"/>
        <v>-0.71747121643352951</v>
      </c>
      <c r="CD103" s="22">
        <f t="shared" si="179"/>
        <v>0.30181458030160702</v>
      </c>
      <c r="CE103" s="22">
        <f t="shared" si="180"/>
        <v>0.16685677252037401</v>
      </c>
      <c r="CF103" s="286"/>
      <c r="CG103" s="22">
        <f t="shared" si="211"/>
        <v>-0.20912971061559649</v>
      </c>
      <c r="CH103" s="22">
        <f t="shared" si="212"/>
        <v>2.3973675077962886</v>
      </c>
      <c r="CI103" s="22">
        <f t="shared" si="213"/>
        <v>2.2287318448964477</v>
      </c>
      <c r="CK103" s="18" t="str">
        <f t="shared" si="214"/>
        <v xml:space="preserve"> 91 Elementary trades and related occupations</v>
      </c>
      <c r="CL103" s="22">
        <f t="shared" si="181"/>
        <v>-9.0899616497039037</v>
      </c>
      <c r="CM103" s="22">
        <f t="shared" si="181"/>
        <v>-1.7928303116499622</v>
      </c>
      <c r="CN103" s="22">
        <f t="shared" si="181"/>
        <v>-5.8468452448929948</v>
      </c>
      <c r="CO103" s="22">
        <f t="shared" si="181"/>
        <v>-2.7014750699782764</v>
      </c>
      <c r="CP103" s="22">
        <f t="shared" si="182"/>
        <v>-3.4627827435936731</v>
      </c>
      <c r="CR103" s="22">
        <f t="shared" si="215"/>
        <v>-4.2870798941962445</v>
      </c>
      <c r="CS103" s="22">
        <f t="shared" si="216"/>
        <v>1.3754774270027914</v>
      </c>
      <c r="CT103" s="22">
        <f t="shared" si="217"/>
        <v>-2.3099169821832577</v>
      </c>
    </row>
    <row r="104" spans="1:98" x14ac:dyDescent="0.2">
      <c r="A104" s="18" t="str">
        <f t="shared" si="164"/>
        <v xml:space="preserve"> 92 Elementary administration and service occupations</v>
      </c>
      <c r="B104" s="22">
        <f t="shared" si="165"/>
        <v>6.5898563679548827</v>
      </c>
      <c r="C104" s="22">
        <f t="shared" si="165"/>
        <v>12.755546335953373</v>
      </c>
      <c r="D104" s="22">
        <f t="shared" si="165"/>
        <v>8.4685521426547172</v>
      </c>
      <c r="E104" s="22">
        <f t="shared" si="165"/>
        <v>3.1466570343532618</v>
      </c>
      <c r="F104" s="22">
        <f t="shared" si="166"/>
        <v>8.0518742854528433</v>
      </c>
      <c r="H104" s="22">
        <f t="shared" si="183"/>
        <v>5.7741393104726146</v>
      </c>
      <c r="I104" s="22">
        <f t="shared" si="184"/>
        <v>3.9174893631977126</v>
      </c>
      <c r="J104" s="22">
        <f t="shared" si="185"/>
        <v>8.3094850479205284</v>
      </c>
      <c r="L104" s="18" t="str">
        <f t="shared" si="186"/>
        <v xml:space="preserve"> 92 Elementary administration and service occupations</v>
      </c>
      <c r="M104" s="22">
        <f t="shared" si="167"/>
        <v>3.3185307567432432</v>
      </c>
      <c r="N104" s="22">
        <f t="shared" si="167"/>
        <v>15.83410835000192</v>
      </c>
      <c r="O104" s="22">
        <f t="shared" si="167"/>
        <v>9.0446031740663013</v>
      </c>
      <c r="P104" s="22">
        <f t="shared" si="167"/>
        <v>5.0422917826549396</v>
      </c>
      <c r="Q104" s="22">
        <f t="shared" si="168"/>
        <v>9.8841217981052729</v>
      </c>
      <c r="S104" s="22">
        <f t="shared" si="187"/>
        <v>7.0247402423107674</v>
      </c>
      <c r="T104" s="22">
        <f t="shared" si="188"/>
        <v>4.02139612301875</v>
      </c>
      <c r="U104" s="22">
        <f t="shared" si="189"/>
        <v>9.3969200982167109</v>
      </c>
      <c r="W104" s="18" t="str">
        <f t="shared" si="190"/>
        <v xml:space="preserve"> 92 Elementary administration and service occupations</v>
      </c>
      <c r="X104" s="22">
        <f t="shared" si="169"/>
        <v>8.1167328687526528</v>
      </c>
      <c r="Y104" s="22">
        <f t="shared" si="169"/>
        <v>7.886481249191446</v>
      </c>
      <c r="Z104" s="22">
        <f t="shared" si="169"/>
        <v>8.5266939769933714</v>
      </c>
      <c r="AA104" s="22">
        <f t="shared" si="169"/>
        <v>3.428464112234364</v>
      </c>
      <c r="AB104" s="22">
        <f t="shared" si="170"/>
        <v>6.589532944373766</v>
      </c>
      <c r="AD104" s="22">
        <f t="shared" si="191"/>
        <v>5.9469172426404482</v>
      </c>
      <c r="AE104" s="22">
        <f t="shared" si="192"/>
        <v>4.9879289782909453</v>
      </c>
      <c r="AF104" s="22">
        <f t="shared" si="193"/>
        <v>9.189854024777965</v>
      </c>
      <c r="AH104" s="18" t="str">
        <f t="shared" si="194"/>
        <v xml:space="preserve"> 92 Elementary administration and service occupations</v>
      </c>
      <c r="AI104" s="22">
        <f t="shared" si="171"/>
        <v>8.6614808390777842</v>
      </c>
      <c r="AJ104" s="22">
        <f t="shared" si="171"/>
        <v>5.0307775444293323</v>
      </c>
      <c r="AK104" s="22">
        <f t="shared" si="171"/>
        <v>7.2820835636499659</v>
      </c>
      <c r="AL104" s="22">
        <f t="shared" si="171"/>
        <v>2.5238929427398471</v>
      </c>
      <c r="AM104" s="22">
        <f t="shared" si="172"/>
        <v>4.9275718423215764</v>
      </c>
      <c r="AO104" s="22">
        <f t="shared" si="195"/>
        <v>4.876007027125695</v>
      </c>
      <c r="AP104" s="22">
        <f t="shared" si="196"/>
        <v>4.5616077895104468</v>
      </c>
      <c r="AQ104" s="22">
        <f t="shared" si="197"/>
        <v>8.0647841644714511</v>
      </c>
      <c r="AS104" s="18" t="str">
        <f t="shared" si="198"/>
        <v xml:space="preserve"> 92 Elementary administration and service occupations</v>
      </c>
      <c r="AT104" s="22">
        <f t="shared" si="173"/>
        <v>3.8550926115851647</v>
      </c>
      <c r="AU104" s="22">
        <f t="shared" si="173"/>
        <v>5.7517630895516092</v>
      </c>
      <c r="AV104" s="22">
        <f t="shared" si="173"/>
        <v>7.006639770683476</v>
      </c>
      <c r="AW104" s="22">
        <f t="shared" si="173"/>
        <v>2.7963507853551839</v>
      </c>
      <c r="AX104" s="22">
        <f t="shared" si="174"/>
        <v>5.1700338330379347</v>
      </c>
      <c r="AZ104" s="22">
        <f t="shared" si="199"/>
        <v>4.8803703188986525</v>
      </c>
      <c r="BA104" s="22">
        <f t="shared" si="200"/>
        <v>4.422673314262382</v>
      </c>
      <c r="BB104" s="22">
        <f t="shared" si="201"/>
        <v>7.9650424046207258</v>
      </c>
      <c r="BD104" s="18" t="str">
        <f t="shared" si="202"/>
        <v xml:space="preserve"> 92 Elementary administration and service occupations</v>
      </c>
      <c r="BE104" s="22">
        <f t="shared" si="175"/>
        <v>-2.0814551766994871</v>
      </c>
      <c r="BF104" s="22">
        <f t="shared" si="175"/>
        <v>1.9054275009102728</v>
      </c>
      <c r="BG104" s="22">
        <f t="shared" si="175"/>
        <v>-0.66734670863584089</v>
      </c>
      <c r="BH104" s="22">
        <f t="shared" si="175"/>
        <v>-0.14085342788614508</v>
      </c>
      <c r="BI104" s="22">
        <f t="shared" si="176"/>
        <v>0.35963361553283946</v>
      </c>
      <c r="BK104" s="22">
        <f t="shared" si="203"/>
        <v>-0.40444796870042765</v>
      </c>
      <c r="BL104" s="22">
        <f t="shared" si="204"/>
        <v>2.7983076127402917</v>
      </c>
      <c r="BM104" s="22">
        <f t="shared" si="205"/>
        <v>2.4842120074168861</v>
      </c>
      <c r="BO104" s="18" t="str">
        <f t="shared" si="206"/>
        <v xml:space="preserve"> 92 Elementary administration and service occupations</v>
      </c>
      <c r="BP104" s="22">
        <f t="shared" si="177"/>
        <v>-2.6958639164327169</v>
      </c>
      <c r="BQ104" s="22">
        <f t="shared" si="177"/>
        <v>0.43098176537859079</v>
      </c>
      <c r="BR104" s="22">
        <f t="shared" si="177"/>
        <v>0.20538649164079104</v>
      </c>
      <c r="BS104" s="22">
        <f t="shared" si="177"/>
        <v>-0.58207661090909912</v>
      </c>
      <c r="BT104" s="22">
        <f t="shared" si="178"/>
        <v>1.7152898025463159E-2</v>
      </c>
      <c r="BV104" s="22">
        <f t="shared" si="207"/>
        <v>-0.18912164798775555</v>
      </c>
      <c r="BW104" s="22">
        <f t="shared" si="208"/>
        <v>2.9750663462202009</v>
      </c>
      <c r="BX104" s="22">
        <f t="shared" si="209"/>
        <v>2.8301195359948128</v>
      </c>
      <c r="BZ104" s="18" t="str">
        <f t="shared" si="210"/>
        <v xml:space="preserve"> 92 Elementary administration and service occupations</v>
      </c>
      <c r="CA104" s="22">
        <f t="shared" si="179"/>
        <v>-3.8513049977686231</v>
      </c>
      <c r="CB104" s="22">
        <f t="shared" si="179"/>
        <v>1.3379572005314033</v>
      </c>
      <c r="CC104" s="22">
        <f t="shared" si="179"/>
        <v>-2.1915426818048145</v>
      </c>
      <c r="CD104" s="22">
        <f t="shared" si="179"/>
        <v>-1.9679692198789622</v>
      </c>
      <c r="CE104" s="22">
        <f t="shared" si="180"/>
        <v>-0.95356436753826213</v>
      </c>
      <c r="CF104" s="286"/>
      <c r="CG104" s="22">
        <f t="shared" si="211"/>
        <v>-2.0798197592883039</v>
      </c>
      <c r="CH104" s="22">
        <f t="shared" si="212"/>
        <v>2.2028790108480134</v>
      </c>
      <c r="CI104" s="22">
        <f t="shared" si="213"/>
        <v>0.52636278013598048</v>
      </c>
      <c r="CK104" s="18" t="str">
        <f t="shared" si="214"/>
        <v xml:space="preserve"> 92 Elementary administration and service occupations</v>
      </c>
      <c r="CL104" s="22">
        <f t="shared" si="181"/>
        <v>-11.463810889530812</v>
      </c>
      <c r="CM104" s="22">
        <f t="shared" si="181"/>
        <v>-3.0573406699812233</v>
      </c>
      <c r="CN104" s="22">
        <f t="shared" si="181"/>
        <v>-8.8423442541173394</v>
      </c>
      <c r="CO104" s="22">
        <f t="shared" si="181"/>
        <v>-5.6881032929161357</v>
      </c>
      <c r="CP104" s="22">
        <f t="shared" si="182"/>
        <v>-5.8923665807077752</v>
      </c>
      <c r="CR104" s="22">
        <f t="shared" si="215"/>
        <v>-7.2786356185070122</v>
      </c>
      <c r="CS104" s="22">
        <f t="shared" si="216"/>
        <v>1.0851060724843764</v>
      </c>
      <c r="CT104" s="22">
        <f t="shared" si="217"/>
        <v>-5.2422822448651711</v>
      </c>
    </row>
    <row r="105" spans="1:98" x14ac:dyDescent="0.2">
      <c r="A105" s="18"/>
      <c r="B105" s="22"/>
      <c r="C105" s="22"/>
      <c r="D105" s="22"/>
      <c r="E105" s="22"/>
      <c r="F105" s="22"/>
      <c r="H105" s="22"/>
      <c r="I105" s="22"/>
      <c r="J105" s="22"/>
      <c r="L105" s="18"/>
      <c r="M105" s="22"/>
      <c r="N105" s="22"/>
      <c r="O105" s="22"/>
      <c r="P105" s="22"/>
      <c r="Q105" s="22"/>
      <c r="S105" s="22"/>
      <c r="T105" s="22"/>
      <c r="U105" s="22"/>
      <c r="W105" s="18"/>
      <c r="X105" s="22"/>
      <c r="Y105" s="22"/>
      <c r="Z105" s="22"/>
      <c r="AA105" s="22"/>
      <c r="AB105" s="22"/>
      <c r="AD105" s="22"/>
      <c r="AE105" s="22"/>
      <c r="AF105" s="22"/>
      <c r="AH105" s="18"/>
      <c r="AI105" s="22"/>
      <c r="AJ105" s="22"/>
      <c r="AK105" s="22"/>
      <c r="AL105" s="22"/>
      <c r="AM105" s="22"/>
      <c r="AO105" s="22"/>
      <c r="AP105" s="22"/>
      <c r="AQ105" s="22"/>
      <c r="AS105" s="18"/>
      <c r="AT105" s="22"/>
      <c r="AU105" s="22"/>
      <c r="AV105" s="22"/>
      <c r="AW105" s="22"/>
      <c r="AX105" s="22"/>
      <c r="AZ105" s="22"/>
      <c r="BA105" s="22"/>
      <c r="BB105" s="22"/>
      <c r="BD105" s="18"/>
      <c r="BE105" s="22"/>
      <c r="BF105" s="22"/>
      <c r="BG105" s="22"/>
      <c r="BH105" s="22"/>
      <c r="BI105" s="22"/>
      <c r="BK105" s="22"/>
      <c r="BL105" s="22"/>
      <c r="BM105" s="22"/>
      <c r="BO105" s="18"/>
      <c r="BP105" s="22"/>
      <c r="BQ105" s="22"/>
      <c r="BR105" s="22"/>
      <c r="BS105" s="22"/>
      <c r="BT105" s="22"/>
      <c r="BV105" s="22"/>
      <c r="BW105" s="22"/>
      <c r="BX105" s="22"/>
      <c r="BZ105" s="18"/>
      <c r="CA105" s="22"/>
      <c r="CB105" s="22"/>
      <c r="CC105" s="22"/>
      <c r="CD105" s="22"/>
      <c r="CE105" s="22"/>
      <c r="CF105" s="286"/>
      <c r="CG105" s="22"/>
      <c r="CH105" s="22"/>
      <c r="CI105" s="22"/>
      <c r="CK105" s="18"/>
      <c r="CL105" s="22"/>
      <c r="CM105" s="22"/>
      <c r="CN105" s="22"/>
      <c r="CO105" s="22"/>
      <c r="CP105" s="22"/>
      <c r="CR105" s="22"/>
      <c r="CS105" s="22"/>
      <c r="CT105" s="22"/>
    </row>
    <row r="106" spans="1:98" x14ac:dyDescent="0.2">
      <c r="A106" s="28" t="str">
        <f>A34</f>
        <v>All occupations</v>
      </c>
      <c r="B106" s="30">
        <f>IF(AND(C$6-B$6 &lt;&gt; 0,B34&lt;&gt;0,C34&lt;&gt;0),(EXP(LN(C34/B34)/(C$6-B$6))-1)*100,0)</f>
        <v>1.6209235135597799</v>
      </c>
      <c r="C106" s="30">
        <f>IF(AND(D$6-C$6 &lt;&gt; 0,C34&lt;&gt;0,D34&lt;&gt;0),(EXP(LN(D34/C34)/(D$6-C$6))-1)*100,0)</f>
        <v>10.759096349262043</v>
      </c>
      <c r="D106" s="30">
        <f>IF(AND(E$6-D$6 &lt;&gt; 0,D34&lt;&gt;0,E34&lt;&gt;0),(EXP(LN(E34/D34)/(E$6-D$6))-1)*100,0)</f>
        <v>4.1366366814249433</v>
      </c>
      <c r="E106" s="30">
        <f>IF(AND(F$6-E$6 &lt;&gt; 0,E34&lt;&gt;0,F34&lt;&gt;0),(EXP(LN(F34/E34)/(F$6-E$6))-1)*100,0)</f>
        <v>3.0826332504151788</v>
      </c>
      <c r="F106" s="30">
        <f>IF(AND(F$6-C$6 &lt;&gt; 0,C34&lt;&gt;0,F34&lt;&gt;0),(EXP(LN(F34/C34)/(F$6-C$6))-1)*100,0)</f>
        <v>5.9390689159380505</v>
      </c>
      <c r="H106" s="30">
        <f t="shared" si="183"/>
        <v>3.6082946822456829</v>
      </c>
      <c r="I106" s="30">
        <f t="shared" si="184"/>
        <v>3.13886899661866</v>
      </c>
      <c r="J106" s="30">
        <f t="shared" si="185"/>
        <v>5.9806062749162781</v>
      </c>
      <c r="L106" s="28" t="str">
        <f>L34</f>
        <v>All occupations</v>
      </c>
      <c r="M106" s="30">
        <f>IF(AND(N$6-M$6 &lt;&gt; 0,M34&lt;&gt;0,N34&lt;&gt;0),(EXP(LN(N34/M34)/(N$6-M$6))-1)*100,0)</f>
        <v>-0.51849032061080935</v>
      </c>
      <c r="N106" s="30">
        <f>IF(AND(O$6-N$6 &lt;&gt; 0,N34&lt;&gt;0,O34&lt;&gt;0),(EXP(LN(O34/N34)/(O$6-N$6))-1)*100,0)</f>
        <v>10.406336646944325</v>
      </c>
      <c r="O106" s="30">
        <f>IF(AND(P$6-O$6 &lt;&gt; 0,O34&lt;&gt;0,P34&lt;&gt;0),(EXP(LN(P34/O34)/(P$6-O$6))-1)*100,0)</f>
        <v>3.9305189002570851</v>
      </c>
      <c r="P106" s="30">
        <f>IF(AND(Q$6-P$6 &lt;&gt; 0,P34&lt;&gt;0,Q34&lt;&gt;0),(EXP(LN(Q34/P34)/(Q$6-P$6))-1)*100,0)</f>
        <v>2.707280515900834</v>
      </c>
      <c r="Q106" s="30">
        <f>IF(AND(Q$6-N$6 &lt;&gt; 0,N34&lt;&gt;0,Q34&lt;&gt;0),(EXP(LN(Q34/N34)/(Q$6-N$6))-1)*100,0)</f>
        <v>5.6280936685835004</v>
      </c>
      <c r="S106" s="30">
        <f t="shared" si="187"/>
        <v>3.3170893843406546</v>
      </c>
      <c r="T106" s="30">
        <f t="shared" ref="T106" si="218">IF(O34&gt;0,((1+(T34/O34))^(1/($F$6-$D$6))-1)*100,0)</f>
        <v>3.2375944503336029</v>
      </c>
      <c r="U106" s="30">
        <f t="shared" si="189"/>
        <v>5.8226422868564054</v>
      </c>
      <c r="W106" s="28" t="str">
        <f>W34</f>
        <v>All occupations</v>
      </c>
      <c r="X106" s="30">
        <f>IF(AND(Y$6-X$6 &lt;&gt; 0,X34&lt;&gt;0,Y34&lt;&gt;0),(EXP(LN(Y34/X34)/(Y$6-X$6))-1)*100,0)</f>
        <v>5.7024620595677922</v>
      </c>
      <c r="Y106" s="30">
        <f>IF(AND(Z$6-Y$6 &lt;&gt; 0,Y34&lt;&gt;0,Z34&lt;&gt;0),(EXP(LN(Z34/Y34)/(Z$6-Y$6))-1)*100,0)</f>
        <v>3.4834471794577881</v>
      </c>
      <c r="Z106" s="30">
        <f>IF(AND(AA$6-Z$6 &lt;&gt; 0,Z34&lt;&gt;0,AA34&lt;&gt;0),(EXP(LN(AA34/Z34)/(AA$6-Z$6))-1)*100,0)</f>
        <v>3.9660233207262197</v>
      </c>
      <c r="AA106" s="30">
        <f>IF(AND(AB$6-AA$6 &lt;&gt; 0,AA34&lt;&gt;0,AB34&lt;&gt;0),(EXP(LN(AB34/AA34)/(AB$6-AA$6))-1)*100,0)</f>
        <v>1.6477307925893747</v>
      </c>
      <c r="AB106" s="30">
        <f>IF(AND(AB$6-Y$6 &lt;&gt; 0,Y34&lt;&gt;0,AB34&lt;&gt;0),(EXP(LN(AB34/Y34)/(AB$6-Y$6))-1)*100,0)</f>
        <v>3.0275413361203318</v>
      </c>
      <c r="AD106" s="30">
        <f t="shared" si="191"/>
        <v>2.8003421690864228</v>
      </c>
      <c r="AE106" s="30">
        <f t="shared" ref="AE106" si="219">IF(Z34&gt;0,((1+(AE34/Z34))^(1/($F$6-$D$6))-1)*100,0)</f>
        <v>3.9057982818122117</v>
      </c>
      <c r="AF106" s="30">
        <f t="shared" si="193"/>
        <v>5.9652332645825146</v>
      </c>
      <c r="AH106" s="28" t="str">
        <f>AH34</f>
        <v>All occupations</v>
      </c>
      <c r="AI106" s="30">
        <f>IF(AND(AJ$6-AI$6 &lt;&gt; 0,AI34&lt;&gt;0,AJ34&lt;&gt;0),(EXP(LN(AJ34/AI34)/(AJ$6-AI$6))-1)*100,0)</f>
        <v>1.4792446721711983</v>
      </c>
      <c r="AJ106" s="30">
        <f>IF(AND(AK$6-AJ$6 &lt;&gt; 0,AJ34&lt;&gt;0,AK34&lt;&gt;0),(EXP(LN(AK34/AJ34)/(AK$6-AJ$6))-1)*100,0)</f>
        <v>8.1061501942225611E-2</v>
      </c>
      <c r="AK106" s="30">
        <f>IF(AND(AL$6-AK$6 &lt;&gt; 0,AK34&lt;&gt;0,AL34&lt;&gt;0),(EXP(LN(AL34/AK34)/(AL$6-AK$6))-1)*100,0)</f>
        <v>1.0381723313450442</v>
      </c>
      <c r="AL106" s="30">
        <f>IF(AND(AM$6-AL$6 &lt;&gt; 0,AL34&lt;&gt;0,AM34&lt;&gt;0),(EXP(LN(AM34/AL34)/(AM$6-AL$6))-1)*100,0)</f>
        <v>-0.20586505574300418</v>
      </c>
      <c r="AM106" s="30">
        <f>IF(AND(AM$6-AJ$6 &lt;&gt; 0,AJ34&lt;&gt;0,AM34&lt;&gt;0),(EXP(LN(AM34/AJ34)/(AM$6-AJ$6))-1)*100,0)</f>
        <v>0.30304885015803862</v>
      </c>
      <c r="AO106" s="30">
        <f t="shared" si="195"/>
        <v>0.4142271003234832</v>
      </c>
      <c r="AP106" s="30">
        <f t="shared" ref="AP106" si="220">IF(AK34&gt;0,((1+(AP34/AK34))^(1/($F$6-$D$6))-1)*100,0)</f>
        <v>3.3098259126981944</v>
      </c>
      <c r="AQ106" s="30">
        <f t="shared" si="197"/>
        <v>3.6204178942284448</v>
      </c>
      <c r="AS106" s="28" t="str">
        <f>AS34</f>
        <v>All occupations</v>
      </c>
      <c r="AT106" s="30">
        <f>IF(AND(AU$6-AT$6 &lt;&gt; 0,AT34&lt;&gt;0,AU34&lt;&gt;0),(EXP(LN(AU34/AT34)/(AU$6-AT$6))-1)*100,0)</f>
        <v>2.0521044720267279</v>
      </c>
      <c r="AU106" s="30">
        <f>IF(AND(AV$6-AU$6 &lt;&gt; 0,AU34&lt;&gt;0,AV34&lt;&gt;0),(EXP(LN(AV34/AU34)/(AV$6-AU$6))-1)*100,0)</f>
        <v>2.2610988609963023</v>
      </c>
      <c r="AV106" s="30">
        <f>IF(AND(AW$6-AV$6 &lt;&gt; 0,AV34&lt;&gt;0,AW34&lt;&gt;0),(EXP(LN(AW34/AV34)/(AW$6-AV$6))-1)*100,0)</f>
        <v>3.5261624155198623</v>
      </c>
      <c r="AW106" s="30">
        <f>IF(AND(AX$6-AW$6 &lt;&gt; 0,AW34&lt;&gt;0,AX34&lt;&gt;0),(EXP(LN(AX34/AW34)/(AX$6-AW$6))-1)*100,0)</f>
        <v>1.3544095384054877</v>
      </c>
      <c r="AX106" s="30">
        <f>IF(AND(AX$6-AU$6 &lt;&gt; 0,AU34&lt;&gt;0,AX34&lt;&gt;0),(EXP(LN(AX34/AU34)/(AX$6-AU$6))-1)*100,0)</f>
        <v>2.3766873768042318</v>
      </c>
      <c r="AZ106" s="30">
        <f t="shared" si="199"/>
        <v>2.4345306203044093</v>
      </c>
      <c r="BA106" s="30">
        <f t="shared" ref="BA106" si="221">IF(AV34&gt;0,((1+(BA34/AV34))^(1/($F$6-$D$6))-1)*100,0)</f>
        <v>3.61932055950136</v>
      </c>
      <c r="BB106" s="30">
        <f t="shared" si="201"/>
        <v>5.4426232871580993</v>
      </c>
      <c r="BD106" s="28" t="str">
        <f>BD34</f>
        <v>All occupations</v>
      </c>
      <c r="BE106" s="30">
        <f>IF(AND(BF$6-BE$6 &lt;&gt; 0,BE34&lt;&gt;0,BF34&lt;&gt;0),(EXP(LN(BF34/BE34)/(BF$6-BE$6))-1)*100,0)</f>
        <v>-1.3611850262995606E-2</v>
      </c>
      <c r="BF106" s="30">
        <f>IF(AND(BG$6-BF$6 &lt;&gt; 0,BF34&lt;&gt;0,BG34&lt;&gt;0),(EXP(LN(BG34/BF34)/(BG$6-BF$6))-1)*100,0)</f>
        <v>2.8788465118811057</v>
      </c>
      <c r="BG106" s="30">
        <f>IF(AND(BH$6-BG$6 &lt;&gt; 0,BG34&lt;&gt;0,BH34&lt;&gt;0),(EXP(LN(BH34/BG34)/(BH$6-BG$6))-1)*100,0)</f>
        <v>-0.74773754140923243</v>
      </c>
      <c r="BH106" s="30">
        <f>IF(AND(BI$6-BH$6 &lt;&gt; 0,BH34&lt;&gt;0,BI34&lt;&gt;0),(EXP(LN(BI34/BH34)/(BI$6-BH$6))-1)*100,0)</f>
        <v>0.55861658846469986</v>
      </c>
      <c r="BI106" s="30">
        <f>IF(AND(BI$6-BF$6 &lt;&gt; 0,BF34&lt;&gt;0,BI34&lt;&gt;0),(EXP(LN(BI34/BF34)/(BI$6-BF$6))-1)*100,0)</f>
        <v>0.88546432838132461</v>
      </c>
      <c r="BK106" s="30">
        <f t="shared" si="203"/>
        <v>-9.6695719755601761E-2</v>
      </c>
      <c r="BL106" s="30">
        <f t="shared" ref="BL106" si="222">IF(BG34&gt;0,((1+(BL34/BG34))^(1/($F$6-$D$6))-1)*100,0)</f>
        <v>2.6823976231468372</v>
      </c>
      <c r="BM106" s="30">
        <f t="shared" si="205"/>
        <v>2.6062769549907383</v>
      </c>
      <c r="BO106" s="28" t="str">
        <f>BO34</f>
        <v>All occupations</v>
      </c>
      <c r="BP106" s="30">
        <f>IF(AND(BQ$6-BP$6 &lt;&gt; 0,BP34&lt;&gt;0,BQ34&lt;&gt;0),(EXP(LN(BQ34/BP34)/(BQ$6-BP$6))-1)*100,0)</f>
        <v>-1.6593252872442177</v>
      </c>
      <c r="BQ106" s="30">
        <f>IF(AND(BR$6-BQ$6 &lt;&gt; 0,BQ34&lt;&gt;0,BR34&lt;&gt;0),(EXP(LN(BR34/BQ34)/(BR$6-BQ$6))-1)*100,0)</f>
        <v>0.39111714155974919</v>
      </c>
      <c r="BR106" s="30">
        <f>IF(AND(BS$6-BR$6 &lt;&gt; 0,BR34&lt;&gt;0,BS34&lt;&gt;0),(EXP(LN(BS34/BR34)/(BS$6-BR$6))-1)*100,0)</f>
        <v>-1.3476822355616536</v>
      </c>
      <c r="BS106" s="30">
        <f>IF(AND(BT$6-BS$6 &lt;&gt; 0,BS34&lt;&gt;0,BT34&lt;&gt;0),(EXP(LN(BT34/BS34)/(BT$6-BS$6))-1)*100,0)</f>
        <v>-1.2514061995664183</v>
      </c>
      <c r="BT106" s="30">
        <f>IF(AND(BT$6-BQ$6 &lt;&gt; 0,BQ34&lt;&gt;0,BT34&lt;&gt;0),(EXP(LN(BT34/BQ34)/(BT$6-BQ$6))-1)*100,0)</f>
        <v>-0.73918577080649417</v>
      </c>
      <c r="BV106" s="30">
        <f t="shared" si="207"/>
        <v>-1.2995559564607628</v>
      </c>
      <c r="BW106" s="30">
        <f t="shared" ref="BW106" si="223">IF(BR34&gt;0,((1+(BW34/BR34))^(1/($F$6-$D$6))-1)*100,0)</f>
        <v>2.6627027481930909</v>
      </c>
      <c r="BX106" s="30">
        <f t="shared" si="209"/>
        <v>1.6511236340014612</v>
      </c>
      <c r="BZ106" s="28" t="str">
        <f>BZ34</f>
        <v>All occupations</v>
      </c>
      <c r="CA106" s="30">
        <f>IF(AND(CB$6-CA$6 &lt;&gt; 0,CA34&lt;&gt;0,CB34&lt;&gt;0),(EXP(LN(CB34/CA34)/(CB$6-CA$6))-1)*100,0)</f>
        <v>-3.1674547522424379</v>
      </c>
      <c r="CB106" s="30">
        <f>IF(AND(CC$6-CB$6 &lt;&gt; 0,CB34&lt;&gt;0,CC34&lt;&gt;0),(EXP(LN(CC34/CB34)/(CC$6-CB$6))-1)*100,0)</f>
        <v>0.96551071123336385</v>
      </c>
      <c r="CC106" s="30">
        <f>IF(AND(CD$6-CC$6 &lt;&gt; 0,CC34&lt;&gt;0,CD34&lt;&gt;0),(EXP(LN(CD34/CC34)/(CD$6-CC$6))-1)*100,0)</f>
        <v>-3.6365581879036268</v>
      </c>
      <c r="CD106" s="30">
        <f>IF(AND(CE$6-CD$6 &lt;&gt; 0,CD34&lt;&gt;0,CE34&lt;&gt;0),(EXP(LN(CE34/CD34)/(CE$6-CD$6))-1)*100,0)</f>
        <v>-2.3482696689543947</v>
      </c>
      <c r="CE106" s="30">
        <f>IF(AND(CE$6-CB$6 &lt;&gt; 0,CB34&lt;&gt;0,CE34&lt;&gt;0),(EXP(LN(CE34/CB34)/(CE$6-CB$6))-1)*100,0)</f>
        <v>-1.6920973052911736</v>
      </c>
      <c r="CF106" s="286"/>
      <c r="CG106" s="30">
        <f t="shared" si="211"/>
        <v>-2.9945525570535869</v>
      </c>
      <c r="CH106" s="30">
        <f t="shared" ref="CH106" si="224">IF(CC34&gt;0,((1+(CH34/CC34))^(1/($F$6-$D$6))-1)*100,0)</f>
        <v>2.0337513526718087</v>
      </c>
      <c r="CI106" s="30">
        <f t="shared" si="213"/>
        <v>-0.39834114662140596</v>
      </c>
      <c r="CK106" s="28" t="str">
        <f>CK34</f>
        <v>All occupations</v>
      </c>
      <c r="CL106" s="30">
        <f>IF(AND(CM$6-CL$6 &lt;&gt; 0,CL34&lt;&gt;0,CM34&lt;&gt;0),(EXP(LN(CM34/CL34)/(CM$6-CL$6))-1)*100,0)</f>
        <v>-9.092895731893746</v>
      </c>
      <c r="CM106" s="30">
        <f>IF(AND(CN$6-CM$6 &lt;&gt; 0,CM34&lt;&gt;0,CN34&lt;&gt;0),(EXP(LN(CN34/CM34)/(CN$6-CM$6))-1)*100,0)</f>
        <v>-0.81096858227069912</v>
      </c>
      <c r="CN106" s="30">
        <f>IF(AND(CO$6-CN$6 &lt;&gt; 0,CN34&lt;&gt;0,CO34&lt;&gt;0),(EXP(LN(CO34/CN34)/(CO$6-CN$6))-1)*100,0)</f>
        <v>-7.4602751315303024</v>
      </c>
      <c r="CO106" s="30">
        <f>IF(AND(CP$6-CO$6 &lt;&gt; 0,CO34&lt;&gt;0,CP34&lt;&gt;0),(EXP(LN(CP34/CO34)/(CP$6-CO$6))-1)*100,0)</f>
        <v>-4.268068304372008</v>
      </c>
      <c r="CP106" s="30">
        <f>IF(AND(CP$6-CM$6 &lt;&gt; 0,CM34&lt;&gt;0,CP34&lt;&gt;0),(EXP(LN(CP34/CM34)/(CP$6-CM$6))-1)*100,0)</f>
        <v>-4.2182226020345155</v>
      </c>
      <c r="CR106" s="30">
        <f t="shared" si="215"/>
        <v>-5.8777039153817263</v>
      </c>
      <c r="CS106" s="30">
        <f t="shared" ref="CS106" si="225">IF(CN34&gt;0,((1+(CS34/CN34))^(1/($F$6-$D$6))-1)*100,0)</f>
        <v>1.2940712960720857</v>
      </c>
      <c r="CT106" s="30">
        <f t="shared" si="217"/>
        <v>-3.7426330962707532</v>
      </c>
    </row>
    <row r="107" spans="1:98" x14ac:dyDescent="0.2">
      <c r="BZ107" s="286"/>
      <c r="CA107" s="286"/>
      <c r="CB107" s="286"/>
      <c r="CC107" s="286"/>
      <c r="CD107" s="286"/>
      <c r="CE107" s="286"/>
      <c r="CF107" s="286"/>
    </row>
    <row r="108" spans="1:98" x14ac:dyDescent="0.2">
      <c r="BZ108" s="286"/>
      <c r="CA108" s="286"/>
      <c r="CB108" s="286"/>
      <c r="CC108" s="286"/>
      <c r="CD108" s="286"/>
      <c r="CE108" s="286"/>
      <c r="CF108" s="286"/>
    </row>
    <row r="109" spans="1:98" ht="47.25" customHeight="1" x14ac:dyDescent="0.2">
      <c r="A109" s="528" t="str">
        <f>CONCATENATE(A$1," (Continued)")</f>
        <v>Basic Table 2  Employment Change by Occupation and Replacement Demand, RQF8 Doctorate, 2007-2027, Wales (Continued)</v>
      </c>
      <c r="B109" s="528"/>
      <c r="C109" s="528"/>
      <c r="D109" s="528"/>
      <c r="E109" s="528"/>
      <c r="F109" s="528"/>
      <c r="G109" s="528"/>
      <c r="H109" s="528"/>
      <c r="I109" s="528"/>
      <c r="J109" s="528"/>
      <c r="L109" s="528" t="str">
        <f>CONCATENATE(L$1," (Continued)")</f>
        <v>Basic Table 2.1  Employment Change by Occupation and Replacement Demand, RQF7 Other higher degree, 2007-2027, Wales (Continued)</v>
      </c>
      <c r="M109" s="528"/>
      <c r="N109" s="528"/>
      <c r="O109" s="528"/>
      <c r="P109" s="528"/>
      <c r="Q109" s="528"/>
      <c r="R109" s="528"/>
      <c r="S109" s="528"/>
      <c r="T109" s="528"/>
      <c r="U109" s="528"/>
      <c r="W109" s="528" t="str">
        <f>CONCATENATE(W$1," (Continued)")</f>
        <v>Basic Table 2.2  Employment Change by Occupation and Replacement Demand, RQF6 First degree, 2007-2027, Wales (Continued)</v>
      </c>
      <c r="X109" s="528"/>
      <c r="Y109" s="528"/>
      <c r="Z109" s="528"/>
      <c r="AA109" s="528"/>
      <c r="AB109" s="528"/>
      <c r="AC109" s="528"/>
      <c r="AD109" s="528"/>
      <c r="AE109" s="528"/>
      <c r="AF109" s="528"/>
      <c r="AH109" s="528" t="str">
        <f>CONCATENATE(AH$1," (Continued)")</f>
        <v>Basic Table 2.3  Employment Change by Occupation and Replacement Demand, RQF5 Foundation degree;Nursing;Teaching, 2007-2027, Wales (Continued)</v>
      </c>
      <c r="AI109" s="528"/>
      <c r="AJ109" s="528"/>
      <c r="AK109" s="528"/>
      <c r="AL109" s="528"/>
      <c r="AM109" s="528"/>
      <c r="AN109" s="528"/>
      <c r="AO109" s="528"/>
      <c r="AP109" s="528"/>
      <c r="AQ109" s="528"/>
      <c r="AS109" s="528" t="str">
        <f>CONCATENATE(AS$1," (Continued)")</f>
        <v>Basic Table 2.4  Employment Change by Occupation and Replacement Demand, RQF4 HE below degree level, 2007-2027, Wales (Continued)</v>
      </c>
      <c r="AT109" s="528"/>
      <c r="AU109" s="528"/>
      <c r="AV109" s="528"/>
      <c r="AW109" s="528"/>
      <c r="AX109" s="528"/>
      <c r="AY109" s="528"/>
      <c r="AZ109" s="528"/>
      <c r="BA109" s="528"/>
      <c r="BB109" s="528"/>
      <c r="BD109" s="528" t="str">
        <f>CONCATENATE(BD$1," (Continued)")</f>
        <v>Basic Table 2.5  Employment Change by Occupation and Replacement Demand, RQF3 A level &amp; equivalent, 2007-2027, Wales (Continued)</v>
      </c>
      <c r="BE109" s="528"/>
      <c r="BF109" s="528"/>
      <c r="BG109" s="528"/>
      <c r="BH109" s="528"/>
      <c r="BI109" s="528"/>
      <c r="BJ109" s="528"/>
      <c r="BK109" s="528"/>
      <c r="BL109" s="528"/>
      <c r="BM109" s="528"/>
      <c r="BO109" s="528" t="str">
        <f>CONCATENATE(BO$1," (Continued)")</f>
        <v>Basic Table 2.6  Employment Change by Occupation and Replacement Demand, RQF2 GCSE(A-C) &amp; equivalent, 2007-2027, Wales (Continued)</v>
      </c>
      <c r="BP109" s="528"/>
      <c r="BQ109" s="528"/>
      <c r="BR109" s="528"/>
      <c r="BS109" s="528"/>
      <c r="BT109" s="528"/>
      <c r="BU109" s="528"/>
      <c r="BV109" s="528"/>
      <c r="BW109" s="528"/>
      <c r="BX109" s="528"/>
      <c r="BZ109" s="528" t="str">
        <f>CONCATENATE(BZ$1," (Continued)")</f>
        <v>Basic Table 2.7  Employment Change by Occupation and Replacement Demand, RQF1 GCSE(below grade C) &amp; equivalent, 2007-2027, Wales (Continued)</v>
      </c>
      <c r="CA109" s="528"/>
      <c r="CB109" s="528"/>
      <c r="CC109" s="528"/>
      <c r="CD109" s="528"/>
      <c r="CE109" s="528"/>
      <c r="CF109" s="528"/>
      <c r="CG109" s="528"/>
      <c r="CH109" s="528"/>
      <c r="CI109" s="528"/>
      <c r="CK109" s="528" t="str">
        <f>CONCATENATE(CK$1," (Continued)")</f>
        <v>Basic Table 2.8  Employment Change by Occupation and Replacement Demand, No Qualification, 2007-2027, Wales (Continued)</v>
      </c>
      <c r="CL109" s="528"/>
      <c r="CM109" s="528"/>
      <c r="CN109" s="528"/>
      <c r="CO109" s="528"/>
      <c r="CP109" s="528"/>
      <c r="CQ109" s="528"/>
      <c r="CR109" s="528"/>
      <c r="CS109" s="528"/>
      <c r="CT109" s="528"/>
    </row>
    <row r="110" spans="1:98" x14ac:dyDescent="0.2">
      <c r="BZ110" s="286"/>
      <c r="CA110" s="286"/>
      <c r="CB110" s="286"/>
      <c r="CC110" s="286"/>
      <c r="CD110" s="286"/>
      <c r="CE110" s="286"/>
      <c r="CF110" s="286"/>
    </row>
    <row r="111" spans="1:98" x14ac:dyDescent="0.2">
      <c r="F111" s="19" t="s">
        <v>35</v>
      </c>
      <c r="Q111" s="19" t="s">
        <v>35</v>
      </c>
      <c r="AB111" s="19" t="s">
        <v>35</v>
      </c>
      <c r="AM111" s="19" t="s">
        <v>35</v>
      </c>
      <c r="AX111" s="19" t="s">
        <v>35</v>
      </c>
      <c r="BI111" s="19" t="s">
        <v>35</v>
      </c>
      <c r="BT111" s="19" t="s">
        <v>35</v>
      </c>
      <c r="BZ111" s="286"/>
      <c r="CA111" s="286"/>
      <c r="CB111" s="286"/>
      <c r="CC111" s="286"/>
      <c r="CD111" s="286"/>
      <c r="CE111" s="19" t="s">
        <v>35</v>
      </c>
      <c r="CF111" s="286"/>
      <c r="CP111" s="19" t="s">
        <v>35</v>
      </c>
    </row>
    <row r="112" spans="1:98" x14ac:dyDescent="0.2">
      <c r="A112" s="41"/>
      <c r="B112" s="41"/>
      <c r="C112" s="41"/>
      <c r="D112" s="41"/>
      <c r="E112" s="41"/>
      <c r="F112" s="41"/>
      <c r="L112" s="41"/>
      <c r="M112" s="41"/>
      <c r="N112" s="41"/>
      <c r="O112" s="41"/>
      <c r="P112" s="41"/>
      <c r="Q112" s="41"/>
      <c r="W112" s="41"/>
      <c r="X112" s="41"/>
      <c r="Y112" s="41"/>
      <c r="Z112" s="41"/>
      <c r="AA112" s="41"/>
      <c r="AB112" s="41"/>
      <c r="AH112" s="41"/>
      <c r="AI112" s="41"/>
      <c r="AJ112" s="41"/>
      <c r="AK112" s="41"/>
      <c r="AL112" s="41"/>
      <c r="AM112" s="41"/>
      <c r="AS112" s="41"/>
      <c r="AT112" s="41"/>
      <c r="AU112" s="41"/>
      <c r="AV112" s="41"/>
      <c r="AW112" s="41"/>
      <c r="AX112" s="41"/>
      <c r="BD112" s="41"/>
      <c r="BE112" s="41"/>
      <c r="BF112" s="41"/>
      <c r="BG112" s="41"/>
      <c r="BH112" s="41"/>
      <c r="BI112" s="41"/>
      <c r="BO112" s="41"/>
      <c r="BP112" s="41"/>
      <c r="BQ112" s="41"/>
      <c r="BR112" s="41"/>
      <c r="BS112" s="41"/>
      <c r="BT112" s="41"/>
      <c r="BZ112" s="41"/>
      <c r="CA112" s="41"/>
      <c r="CB112" s="41"/>
      <c r="CC112" s="41"/>
      <c r="CD112" s="41"/>
      <c r="CE112" s="41"/>
      <c r="CF112" s="286"/>
      <c r="CK112" s="41"/>
      <c r="CL112" s="41"/>
      <c r="CM112" s="41"/>
      <c r="CN112" s="41"/>
      <c r="CO112" s="41"/>
      <c r="CP112" s="41"/>
    </row>
    <row r="113" spans="1:94" x14ac:dyDescent="0.2">
      <c r="A113" s="2"/>
      <c r="B113" s="2"/>
      <c r="C113" s="2"/>
      <c r="D113" s="2"/>
      <c r="E113" s="2"/>
      <c r="F113" s="2"/>
      <c r="L113" s="2"/>
      <c r="M113" s="2"/>
      <c r="N113" s="2"/>
      <c r="O113" s="2"/>
      <c r="P113" s="2"/>
      <c r="Q113" s="2"/>
      <c r="W113" s="2"/>
      <c r="X113" s="2"/>
      <c r="Y113" s="2"/>
      <c r="Z113" s="2"/>
      <c r="AA113" s="2"/>
      <c r="AB113" s="2"/>
      <c r="AH113" s="2"/>
      <c r="AI113" s="2"/>
      <c r="AJ113" s="2"/>
      <c r="AK113" s="2"/>
      <c r="AL113" s="2"/>
      <c r="AM113" s="2"/>
      <c r="AS113" s="2"/>
      <c r="AT113" s="2"/>
      <c r="AU113" s="2"/>
      <c r="AV113" s="2"/>
      <c r="AW113" s="2"/>
      <c r="AX113" s="2"/>
      <c r="BD113" s="2"/>
      <c r="BE113" s="2"/>
      <c r="BF113" s="2"/>
      <c r="BG113" s="2"/>
      <c r="BH113" s="2"/>
      <c r="BI113" s="2"/>
      <c r="BO113" s="2"/>
      <c r="BP113" s="2"/>
      <c r="BQ113" s="2"/>
      <c r="BR113" s="2"/>
      <c r="BS113" s="2"/>
      <c r="BT113" s="2"/>
      <c r="BZ113" s="2"/>
      <c r="CA113" s="2"/>
      <c r="CB113" s="2"/>
      <c r="CC113" s="2"/>
      <c r="CD113" s="2"/>
      <c r="CE113" s="2"/>
      <c r="CF113" s="286"/>
      <c r="CK113" s="2"/>
      <c r="CL113" s="2"/>
      <c r="CM113" s="2"/>
      <c r="CN113" s="2"/>
      <c r="CO113" s="2"/>
      <c r="CP113" s="2"/>
    </row>
    <row r="114" spans="1:94" x14ac:dyDescent="0.2">
      <c r="A114" s="50" t="s">
        <v>15</v>
      </c>
      <c r="B114" s="76" t="str">
        <f>CONCATENATE(B$6,"-",C$6)</f>
        <v>2007-2012</v>
      </c>
      <c r="C114" s="76" t="str">
        <f>CONCATENATE(C$6,"-",D$6)</f>
        <v>2012-2017</v>
      </c>
      <c r="D114" s="76" t="str">
        <f>CONCATENATE(D$6,"-",E$6)</f>
        <v>2017-2022</v>
      </c>
      <c r="E114" s="76" t="str">
        <f>CONCATENATE(E$6,"-",F$6)</f>
        <v>2022-2027</v>
      </c>
      <c r="F114" s="76" t="str">
        <f>CONCATENATE(D$6,"-",F$6)</f>
        <v>2017-2027</v>
      </c>
      <c r="L114" s="50" t="s">
        <v>15</v>
      </c>
      <c r="M114" s="76" t="str">
        <f>CONCATENATE(M$6,"-",N$6)</f>
        <v>2007-2012</v>
      </c>
      <c r="N114" s="76" t="str">
        <f>CONCATENATE(N$6,"-",O$6)</f>
        <v>2012-2017</v>
      </c>
      <c r="O114" s="76" t="str">
        <f>CONCATENATE(O$6,"-",P$6)</f>
        <v>2017-2022</v>
      </c>
      <c r="P114" s="76" t="str">
        <f>CONCATENATE(P$6,"-",Q$6)</f>
        <v>2022-2027</v>
      </c>
      <c r="Q114" s="76" t="str">
        <f>CONCATENATE(O$6,"-",Q$6)</f>
        <v>2017-2027</v>
      </c>
      <c r="W114" s="50" t="s">
        <v>15</v>
      </c>
      <c r="X114" s="76" t="str">
        <f>CONCATENATE(X$6,"-",Y$6)</f>
        <v>2007-2012</v>
      </c>
      <c r="Y114" s="76" t="str">
        <f>CONCATENATE(Y$6,"-",Z$6)</f>
        <v>2012-2017</v>
      </c>
      <c r="Z114" s="76" t="str">
        <f>CONCATENATE(Z$6,"-",AA$6)</f>
        <v>2017-2022</v>
      </c>
      <c r="AA114" s="76" t="str">
        <f>CONCATENATE(AA$6,"-",AB$6)</f>
        <v>2022-2027</v>
      </c>
      <c r="AB114" s="76" t="str">
        <f>CONCATENATE(Z$6,"-",AB$6)</f>
        <v>2017-2027</v>
      </c>
      <c r="AH114" s="50" t="s">
        <v>15</v>
      </c>
      <c r="AI114" s="76" t="str">
        <f>CONCATENATE(AI$6,"-",AJ$6)</f>
        <v>2007-2012</v>
      </c>
      <c r="AJ114" s="76" t="str">
        <f>CONCATENATE(AJ$6,"-",AK$6)</f>
        <v>2012-2017</v>
      </c>
      <c r="AK114" s="76" t="str">
        <f>CONCATENATE(AK$6,"-",AL$6)</f>
        <v>2017-2022</v>
      </c>
      <c r="AL114" s="76" t="str">
        <f>CONCATENATE(AL$6,"-",AM$6)</f>
        <v>2022-2027</v>
      </c>
      <c r="AM114" s="76" t="str">
        <f>CONCATENATE(AK$6,"-",AM$6)</f>
        <v>2017-2027</v>
      </c>
      <c r="AS114" s="50" t="s">
        <v>15</v>
      </c>
      <c r="AT114" s="76" t="str">
        <f>CONCATENATE(AT$6,"-",AU$6)</f>
        <v>2007-2012</v>
      </c>
      <c r="AU114" s="76" t="str">
        <f>CONCATENATE(AU$6,"-",AV$6)</f>
        <v>2012-2017</v>
      </c>
      <c r="AV114" s="76" t="str">
        <f>CONCATENATE(AV$6,"-",AW$6)</f>
        <v>2017-2022</v>
      </c>
      <c r="AW114" s="76" t="str">
        <f>CONCATENATE(AW$6,"-",AX$6)</f>
        <v>2022-2027</v>
      </c>
      <c r="AX114" s="76" t="str">
        <f>CONCATENATE(AV$6,"-",AX$6)</f>
        <v>2017-2027</v>
      </c>
      <c r="BD114" s="50" t="s">
        <v>15</v>
      </c>
      <c r="BE114" s="76" t="str">
        <f>CONCATENATE(BE$6,"-",BF$6)</f>
        <v>2007-2012</v>
      </c>
      <c r="BF114" s="76" t="str">
        <f>CONCATENATE(BF$6,"-",BG$6)</f>
        <v>2012-2017</v>
      </c>
      <c r="BG114" s="76" t="str">
        <f>CONCATENATE(BG$6,"-",BH$6)</f>
        <v>2017-2022</v>
      </c>
      <c r="BH114" s="76" t="str">
        <f>CONCATENATE(BH$6,"-",BI$6)</f>
        <v>2022-2027</v>
      </c>
      <c r="BI114" s="76" t="str">
        <f>CONCATENATE(BG$6,"-",BI$6)</f>
        <v>2017-2027</v>
      </c>
      <c r="BO114" s="50" t="s">
        <v>15</v>
      </c>
      <c r="BP114" s="76" t="str">
        <f>CONCATENATE(BP$6,"-",BQ$6)</f>
        <v>2007-2012</v>
      </c>
      <c r="BQ114" s="76" t="str">
        <f>CONCATENATE(BQ$6,"-",BR$6)</f>
        <v>2012-2017</v>
      </c>
      <c r="BR114" s="76" t="str">
        <f>CONCATENATE(BR$6,"-",BS$6)</f>
        <v>2017-2022</v>
      </c>
      <c r="BS114" s="76" t="str">
        <f>CONCATENATE(BS$6,"-",BT$6)</f>
        <v>2022-2027</v>
      </c>
      <c r="BT114" s="76" t="str">
        <f>CONCATENATE(BR$6,"-",BT$6)</f>
        <v>2017-2027</v>
      </c>
      <c r="BZ114" s="50" t="s">
        <v>15</v>
      </c>
      <c r="CA114" s="76" t="str">
        <f>CONCATENATE(CA$6,"-",CB$6)</f>
        <v>2007-2012</v>
      </c>
      <c r="CB114" s="76" t="str">
        <f>CONCATENATE(CB$6,"-",CC$6)</f>
        <v>2012-2017</v>
      </c>
      <c r="CC114" s="76" t="str">
        <f>CONCATENATE(CC$6,"-",CD$6)</f>
        <v>2017-2022</v>
      </c>
      <c r="CD114" s="76" t="str">
        <f>CONCATENATE(CD$6,"-",CE$6)</f>
        <v>2022-2027</v>
      </c>
      <c r="CE114" s="76" t="str">
        <f>CONCATENATE(CC$6,"-",CE$6)</f>
        <v>2017-2027</v>
      </c>
      <c r="CF114" s="286"/>
      <c r="CK114" s="50" t="s">
        <v>15</v>
      </c>
      <c r="CL114" s="76" t="str">
        <f>CONCATENATE(CL$6,"-",CM$6)</f>
        <v>2007-2012</v>
      </c>
      <c r="CM114" s="76" t="str">
        <f>CONCATENATE(CM$6,"-",CN$6)</f>
        <v>2012-2017</v>
      </c>
      <c r="CN114" s="76" t="str">
        <f>CONCATENATE(CN$6,"-",CO$6)</f>
        <v>2017-2022</v>
      </c>
      <c r="CO114" s="76" t="str">
        <f>CONCATENATE(CO$6,"-",CP$6)</f>
        <v>2022-2027</v>
      </c>
      <c r="CP114" s="76" t="str">
        <f>CONCATENATE(CN$6,"-",CP$6)</f>
        <v>2017-2027</v>
      </c>
    </row>
    <row r="115" spans="1:94" x14ac:dyDescent="0.2">
      <c r="B115" s="77"/>
      <c r="C115" s="77"/>
      <c r="D115" s="77"/>
      <c r="E115" s="77"/>
      <c r="F115" s="77"/>
      <c r="M115" s="77"/>
      <c r="N115" s="77"/>
      <c r="O115" s="77"/>
      <c r="P115" s="77"/>
      <c r="Q115" s="77"/>
      <c r="X115" s="77"/>
      <c r="Y115" s="77"/>
      <c r="Z115" s="77"/>
      <c r="AA115" s="77"/>
      <c r="AB115" s="77"/>
      <c r="AI115" s="77"/>
      <c r="AJ115" s="77"/>
      <c r="AK115" s="77"/>
      <c r="AL115" s="77"/>
      <c r="AM115" s="77"/>
      <c r="AT115" s="77"/>
      <c r="AU115" s="77"/>
      <c r="AV115" s="77"/>
      <c r="AW115" s="77"/>
      <c r="AX115" s="77"/>
      <c r="BE115" s="77"/>
      <c r="BF115" s="77"/>
      <c r="BG115" s="77"/>
      <c r="BH115" s="77"/>
      <c r="BI115" s="77"/>
      <c r="BP115" s="77"/>
      <c r="BQ115" s="77"/>
      <c r="BR115" s="77"/>
      <c r="BS115" s="77"/>
      <c r="BT115" s="77"/>
      <c r="BZ115" s="286"/>
      <c r="CA115" s="77"/>
      <c r="CB115" s="77"/>
      <c r="CC115" s="77"/>
      <c r="CD115" s="77"/>
      <c r="CE115" s="77"/>
      <c r="CF115" s="286"/>
      <c r="CL115" s="77"/>
      <c r="CM115" s="77"/>
      <c r="CN115" s="77"/>
      <c r="CO115" s="77"/>
      <c r="CP115" s="77"/>
    </row>
    <row r="116" spans="1:94" x14ac:dyDescent="0.2">
      <c r="A116" s="18" t="str">
        <f t="shared" ref="A116:A140" si="226">A8</f>
        <v xml:space="preserve"> 11 Corporate managers and directors</v>
      </c>
      <c r="B116" s="31">
        <f>C8-B8</f>
        <v>-0.22757153385226192</v>
      </c>
      <c r="C116" s="31">
        <f t="shared" ref="B116:E140" si="227">D8-C8</f>
        <v>0.37646300961341062</v>
      </c>
      <c r="D116" s="31">
        <f t="shared" si="227"/>
        <v>0.28889595619184649</v>
      </c>
      <c r="E116" s="31">
        <f t="shared" si="227"/>
        <v>0.2495017174792904</v>
      </c>
      <c r="F116" s="31">
        <f>F8-D8</f>
        <v>0.53839767367113689</v>
      </c>
      <c r="L116" s="18" t="str">
        <f>A116</f>
        <v xml:space="preserve"> 11 Corporate managers and directors</v>
      </c>
      <c r="M116" s="31">
        <f t="shared" ref="M116:P140" si="228">N8-M8</f>
        <v>-0.77285205463211692</v>
      </c>
      <c r="N116" s="31">
        <f t="shared" si="228"/>
        <v>3.6445273343499904</v>
      </c>
      <c r="O116" s="31">
        <f t="shared" si="228"/>
        <v>2.5050786292393568</v>
      </c>
      <c r="P116" s="31">
        <f t="shared" si="228"/>
        <v>2.0610508888220842</v>
      </c>
      <c r="Q116" s="31">
        <f>Q8-O8</f>
        <v>4.566129518061441</v>
      </c>
      <c r="W116" s="18" t="str">
        <f>A116</f>
        <v xml:space="preserve"> 11 Corporate managers and directors</v>
      </c>
      <c r="X116" s="31">
        <f t="shared" ref="X116:AA140" si="229">Y8-X8</f>
        <v>3.7873674912679984</v>
      </c>
      <c r="Y116" s="31">
        <f t="shared" si="229"/>
        <v>3.7485664887213055</v>
      </c>
      <c r="Z116" s="31">
        <f t="shared" si="229"/>
        <v>4.8505955796743336</v>
      </c>
      <c r="AA116" s="31">
        <f t="shared" si="229"/>
        <v>2.4750727602923952</v>
      </c>
      <c r="AB116" s="31">
        <f>AB8-Z8</f>
        <v>7.3256683399667288</v>
      </c>
      <c r="AH116" s="18" t="str">
        <f>L116</f>
        <v xml:space="preserve"> 11 Corporate managers and directors</v>
      </c>
      <c r="AI116" s="31">
        <f t="shared" ref="AI116:AL140" si="230">AJ8-AI8</f>
        <v>0.24821117740846876</v>
      </c>
      <c r="AJ116" s="31">
        <f t="shared" si="230"/>
        <v>0.46380177841898718</v>
      </c>
      <c r="AK116" s="31">
        <f t="shared" si="230"/>
        <v>0.55595060363004301</v>
      </c>
      <c r="AL116" s="31">
        <f t="shared" si="230"/>
        <v>0.19991253240615858</v>
      </c>
      <c r="AM116" s="31">
        <f>AM8-AK8</f>
        <v>0.75586313603620159</v>
      </c>
      <c r="AS116" s="18" t="str">
        <f>W116</f>
        <v xml:space="preserve"> 11 Corporate managers and directors</v>
      </c>
      <c r="AT116" s="31">
        <f t="shared" ref="AT116:AW140" si="231">AU8-AT8</f>
        <v>8.9836545443874982E-2</v>
      </c>
      <c r="AU116" s="31">
        <f t="shared" si="231"/>
        <v>0.58626310966766759</v>
      </c>
      <c r="AV116" s="31">
        <f t="shared" si="231"/>
        <v>0.79679126089871044</v>
      </c>
      <c r="AW116" s="31">
        <f t="shared" si="231"/>
        <v>0.3144082306692777</v>
      </c>
      <c r="AX116" s="31">
        <f>AX8-AV8</f>
        <v>1.1111994915679881</v>
      </c>
      <c r="BD116" s="18" t="str">
        <f>AH116</f>
        <v xml:space="preserve"> 11 Corporate managers and directors</v>
      </c>
      <c r="BE116" s="31">
        <f t="shared" ref="BE116:BH140" si="232">BF8-BE8</f>
        <v>-3.8891886170629775E-2</v>
      </c>
      <c r="BF116" s="31">
        <f t="shared" si="232"/>
        <v>1.6697688949125329</v>
      </c>
      <c r="BG116" s="31">
        <f t="shared" si="232"/>
        <v>-0.92242094077781189</v>
      </c>
      <c r="BH116" s="31">
        <f t="shared" si="232"/>
        <v>-0.14110713652388185</v>
      </c>
      <c r="BI116" s="31">
        <f>BI8-BG8</f>
        <v>-1.0635280773016937</v>
      </c>
      <c r="BO116" s="18" t="str">
        <f>AS116</f>
        <v xml:space="preserve"> 11 Corporate managers and directors</v>
      </c>
      <c r="BP116" s="31">
        <f t="shared" ref="BP116:BS140" si="233">BQ8-BP8</f>
        <v>-0.90869488939539167</v>
      </c>
      <c r="BQ116" s="31">
        <f t="shared" si="233"/>
        <v>0.51017109016712858</v>
      </c>
      <c r="BR116" s="31">
        <f t="shared" si="233"/>
        <v>-1.1610484591916208</v>
      </c>
      <c r="BS116" s="31">
        <f t="shared" si="233"/>
        <v>-0.55150743369718747</v>
      </c>
      <c r="BT116" s="31">
        <f>BT8-BR8</f>
        <v>-1.7125558928888083</v>
      </c>
      <c r="BZ116" s="18" t="str">
        <f>BD116</f>
        <v xml:space="preserve"> 11 Corporate managers and directors</v>
      </c>
      <c r="CA116" s="83">
        <f t="shared" ref="CA116:CD140" si="234">CB8-CA8</f>
        <v>-0.44592237686759262</v>
      </c>
      <c r="CB116" s="83">
        <f t="shared" si="234"/>
        <v>0.75289808657104196</v>
      </c>
      <c r="CC116" s="83">
        <f t="shared" si="234"/>
        <v>-0.73666053914913121</v>
      </c>
      <c r="CD116" s="83">
        <f t="shared" si="234"/>
        <v>0.31604289522930973</v>
      </c>
      <c r="CE116" s="83">
        <f>CE8-CC8</f>
        <v>-0.42061764391982148</v>
      </c>
      <c r="CF116" s="286"/>
      <c r="CK116" s="18" t="str">
        <f>BO116</f>
        <v xml:space="preserve"> 11 Corporate managers and directors</v>
      </c>
      <c r="CL116" s="83">
        <f t="shared" ref="CL116:CO140" si="235">CM8-CL8</f>
        <v>-0.59084019866222071</v>
      </c>
      <c r="CM116" s="83">
        <f t="shared" si="235"/>
        <v>0.1431148949779224</v>
      </c>
      <c r="CN116" s="83">
        <f t="shared" si="235"/>
        <v>-0.39966947641421635</v>
      </c>
      <c r="CO116" s="83">
        <f t="shared" si="235"/>
        <v>0.25944422482147766</v>
      </c>
      <c r="CP116" s="83">
        <f>CP8-CN8</f>
        <v>-0.14022525159273869</v>
      </c>
    </row>
    <row r="117" spans="1:94" x14ac:dyDescent="0.2">
      <c r="A117" s="18" t="str">
        <f t="shared" si="226"/>
        <v xml:space="preserve"> 12 Other managers and proprietors</v>
      </c>
      <c r="B117" s="31">
        <f t="shared" si="227"/>
        <v>0.21289635688623679</v>
      </c>
      <c r="C117" s="31">
        <f t="shared" si="227"/>
        <v>0.22131555024397154</v>
      </c>
      <c r="D117" s="31">
        <f t="shared" si="227"/>
        <v>0.20753403003988669</v>
      </c>
      <c r="E117" s="31">
        <f t="shared" si="227"/>
        <v>0.1436830149911319</v>
      </c>
      <c r="F117" s="31">
        <f t="shared" ref="F117:F142" si="236">F9-D9</f>
        <v>0.35121704503101858</v>
      </c>
      <c r="L117" s="18" t="str">
        <f t="shared" ref="L117:L140" si="237">A117</f>
        <v xml:space="preserve"> 12 Other managers and proprietors</v>
      </c>
      <c r="M117" s="31">
        <f t="shared" si="228"/>
        <v>0.24217991697333718</v>
      </c>
      <c r="N117" s="31">
        <f t="shared" si="228"/>
        <v>1.6084304949930788</v>
      </c>
      <c r="O117" s="31">
        <f t="shared" si="228"/>
        <v>1.2675212902332262</v>
      </c>
      <c r="P117" s="31">
        <f t="shared" si="228"/>
        <v>0.91001624752615662</v>
      </c>
      <c r="Q117" s="31">
        <f t="shared" ref="Q117:Q140" si="238">Q9-O9</f>
        <v>2.1775375377593829</v>
      </c>
      <c r="W117" s="18" t="str">
        <f t="shared" ref="W117:W140" si="239">A117</f>
        <v xml:space="preserve"> 12 Other managers and proprietors</v>
      </c>
      <c r="X117" s="31">
        <f t="shared" si="229"/>
        <v>2.5347265871156761</v>
      </c>
      <c r="Y117" s="31">
        <f t="shared" si="229"/>
        <v>1.6839642641509922</v>
      </c>
      <c r="Z117" s="31">
        <f t="shared" si="229"/>
        <v>2.5347167462014379</v>
      </c>
      <c r="AA117" s="31">
        <f t="shared" si="229"/>
        <v>1.0806504746449086</v>
      </c>
      <c r="AB117" s="31">
        <f t="shared" ref="AB117:AB140" si="240">AB9-Z9</f>
        <v>3.6153672208463465</v>
      </c>
      <c r="AH117" s="18" t="str">
        <f t="shared" ref="AH117:AH140" si="241">L117</f>
        <v xml:space="preserve"> 12 Other managers and proprietors</v>
      </c>
      <c r="AI117" s="31">
        <f t="shared" si="230"/>
        <v>0.2929780143465357</v>
      </c>
      <c r="AJ117" s="31">
        <f t="shared" si="230"/>
        <v>0.35790446464297609</v>
      </c>
      <c r="AK117" s="31">
        <f t="shared" si="230"/>
        <v>0.65184228654006038</v>
      </c>
      <c r="AL117" s="31">
        <f t="shared" si="230"/>
        <v>0.20685727292899658</v>
      </c>
      <c r="AM117" s="31">
        <f t="shared" ref="AM117:AM140" si="242">AM9-AK9</f>
        <v>0.85869955946905696</v>
      </c>
      <c r="AS117" s="18" t="str">
        <f t="shared" ref="AS117:AS140" si="243">W117</f>
        <v xml:space="preserve"> 12 Other managers and proprietors</v>
      </c>
      <c r="AT117" s="31">
        <f t="shared" si="231"/>
        <v>0.44191767343964661</v>
      </c>
      <c r="AU117" s="31">
        <f t="shared" si="231"/>
        <v>0.41682321632899466</v>
      </c>
      <c r="AV117" s="31">
        <f t="shared" si="231"/>
        <v>0.62596514080351495</v>
      </c>
      <c r="AW117" s="31">
        <f t="shared" si="231"/>
        <v>0.17498930108304345</v>
      </c>
      <c r="AX117" s="31">
        <f t="shared" ref="AX117:AX140" si="244">AX9-AV9</f>
        <v>0.8009544418865584</v>
      </c>
      <c r="BD117" s="18" t="str">
        <f t="shared" ref="BD117:BD140" si="245">AH117</f>
        <v xml:space="preserve"> 12 Other managers and proprietors</v>
      </c>
      <c r="BE117" s="31">
        <f t="shared" si="232"/>
        <v>0.26917716510934753</v>
      </c>
      <c r="BF117" s="31">
        <f t="shared" si="232"/>
        <v>0.72338729467060769</v>
      </c>
      <c r="BG117" s="31">
        <f t="shared" si="232"/>
        <v>-0.83447234858168251</v>
      </c>
      <c r="BH117" s="31">
        <f t="shared" si="232"/>
        <v>-0.40094484087811377</v>
      </c>
      <c r="BI117" s="31">
        <f t="shared" ref="BI117:BI140" si="246">BI9-BG9</f>
        <v>-1.2354171894597963</v>
      </c>
      <c r="BO117" s="18" t="str">
        <f t="shared" ref="BO117:BO140" si="247">AS117</f>
        <v xml:space="preserve"> 12 Other managers and proprietors</v>
      </c>
      <c r="BP117" s="31">
        <f t="shared" si="233"/>
        <v>0.45269080082226321</v>
      </c>
      <c r="BQ117" s="31">
        <f t="shared" si="233"/>
        <v>1.0999978839833648</v>
      </c>
      <c r="BR117" s="31">
        <f t="shared" si="233"/>
        <v>-0.31694307919713793</v>
      </c>
      <c r="BS117" s="31">
        <f t="shared" si="233"/>
        <v>-2.3497379713823818E-2</v>
      </c>
      <c r="BT117" s="31">
        <f t="shared" ref="BT117:BT140" si="248">BT9-BR9</f>
        <v>-0.34044045891096175</v>
      </c>
      <c r="BZ117" s="18" t="str">
        <f t="shared" ref="BZ117:BZ140" si="249">BD117</f>
        <v xml:space="preserve"> 12 Other managers and proprietors</v>
      </c>
      <c r="CA117" s="83">
        <f t="shared" si="234"/>
        <v>0.12089168238529346</v>
      </c>
      <c r="CB117" s="83">
        <f t="shared" si="234"/>
        <v>1.1041400996784931</v>
      </c>
      <c r="CC117" s="83">
        <f t="shared" si="234"/>
        <v>-1.0340030823936992</v>
      </c>
      <c r="CD117" s="83">
        <f t="shared" si="234"/>
        <v>-0.29264339127587924</v>
      </c>
      <c r="CE117" s="83">
        <f t="shared" ref="CE117:CE140" si="250">CE9-CC9</f>
        <v>-1.3266464736695784</v>
      </c>
      <c r="CF117" s="286"/>
      <c r="CK117" s="18" t="str">
        <f t="shared" ref="CK117:CK140" si="251">BO117</f>
        <v xml:space="preserve"> 12 Other managers and proprietors</v>
      </c>
      <c r="CL117" s="83">
        <f t="shared" si="235"/>
        <v>-5.6822341455147196E-3</v>
      </c>
      <c r="CM117" s="83">
        <f t="shared" si="235"/>
        <v>0.20977358562593729</v>
      </c>
      <c r="CN117" s="83">
        <f t="shared" si="235"/>
        <v>-0.76898506089735807</v>
      </c>
      <c r="CO117" s="83">
        <f t="shared" si="235"/>
        <v>0.23621707752549881</v>
      </c>
      <c r="CP117" s="83">
        <f t="shared" ref="CP117:CP140" si="252">CP9-CN9</f>
        <v>-0.53276798337185927</v>
      </c>
    </row>
    <row r="118" spans="1:94" x14ac:dyDescent="0.2">
      <c r="A118" s="18" t="str">
        <f t="shared" si="226"/>
        <v xml:space="preserve"> 21 Science, research, engineering and technology professionals</v>
      </c>
      <c r="B118" s="31">
        <f t="shared" si="227"/>
        <v>-0.1238742315635093</v>
      </c>
      <c r="C118" s="31">
        <f t="shared" si="227"/>
        <v>0.98642012236770915</v>
      </c>
      <c r="D118" s="31">
        <f t="shared" si="227"/>
        <v>0.5396574279941011</v>
      </c>
      <c r="E118" s="31">
        <f t="shared" si="227"/>
        <v>0.37943270764299486</v>
      </c>
      <c r="F118" s="31">
        <f t="shared" si="236"/>
        <v>0.91909013563709596</v>
      </c>
      <c r="L118" s="18" t="str">
        <f t="shared" si="237"/>
        <v xml:space="preserve"> 21 Science, research, engineering and technology professionals</v>
      </c>
      <c r="M118" s="31">
        <f t="shared" si="228"/>
        <v>-0.54365109123540378</v>
      </c>
      <c r="N118" s="31">
        <f t="shared" si="228"/>
        <v>4.2975851834005585</v>
      </c>
      <c r="O118" s="31">
        <f t="shared" si="228"/>
        <v>2.3620157736004899</v>
      </c>
      <c r="P118" s="31">
        <f t="shared" si="228"/>
        <v>1.8330952820373057</v>
      </c>
      <c r="Q118" s="31">
        <f t="shared" si="238"/>
        <v>4.1951110556377955</v>
      </c>
      <c r="W118" s="18" t="str">
        <f t="shared" si="239"/>
        <v xml:space="preserve"> 21 Science, research, engineering and technology professionals</v>
      </c>
      <c r="X118" s="31">
        <f t="shared" si="229"/>
        <v>2.6203513308611655</v>
      </c>
      <c r="Y118" s="31">
        <f t="shared" si="229"/>
        <v>2.0029820965820129</v>
      </c>
      <c r="Z118" s="31">
        <f t="shared" si="229"/>
        <v>1.4561253420253983</v>
      </c>
      <c r="AA118" s="31">
        <f t="shared" si="229"/>
        <v>0.53791084930622191</v>
      </c>
      <c r="AB118" s="31">
        <f t="shared" si="240"/>
        <v>1.9940361913316202</v>
      </c>
      <c r="AH118" s="18" t="str">
        <f t="shared" si="241"/>
        <v xml:space="preserve"> 21 Science, research, engineering and technology professionals</v>
      </c>
      <c r="AI118" s="31">
        <f t="shared" si="230"/>
        <v>5.659676293654492E-4</v>
      </c>
      <c r="AJ118" s="31">
        <f t="shared" si="230"/>
        <v>-2.8166309409060286E-2</v>
      </c>
      <c r="AK118" s="31">
        <f t="shared" si="230"/>
        <v>5.6576333366047837E-2</v>
      </c>
      <c r="AL118" s="31">
        <f t="shared" si="230"/>
        <v>5.0839000987472627E-2</v>
      </c>
      <c r="AM118" s="31">
        <f t="shared" si="242"/>
        <v>0.10741533435352046</v>
      </c>
      <c r="AS118" s="18" t="str">
        <f t="shared" si="243"/>
        <v xml:space="preserve"> 21 Science, research, engineering and technology professionals</v>
      </c>
      <c r="AT118" s="31">
        <f t="shared" si="231"/>
        <v>0.17805251734129879</v>
      </c>
      <c r="AU118" s="31">
        <f t="shared" si="231"/>
        <v>0.11993714352466966</v>
      </c>
      <c r="AV118" s="31">
        <f t="shared" si="231"/>
        <v>6.449327029933638E-2</v>
      </c>
      <c r="AW118" s="31">
        <f t="shared" si="231"/>
        <v>-0.12859620489897416</v>
      </c>
      <c r="AX118" s="31">
        <f t="shared" si="244"/>
        <v>-6.4102934599637784E-2</v>
      </c>
      <c r="BD118" s="18" t="str">
        <f t="shared" si="245"/>
        <v xml:space="preserve"> 21 Science, research, engineering and technology professionals</v>
      </c>
      <c r="BE118" s="31">
        <f t="shared" si="232"/>
        <v>-0.27699842687317133</v>
      </c>
      <c r="BF118" s="31">
        <f t="shared" si="232"/>
        <v>0.49511884344434343</v>
      </c>
      <c r="BG118" s="31">
        <f t="shared" si="232"/>
        <v>-0.95441843373465218</v>
      </c>
      <c r="BH118" s="31">
        <f t="shared" si="232"/>
        <v>-0.5608983004289847</v>
      </c>
      <c r="BI118" s="31">
        <f t="shared" si="246"/>
        <v>-1.5153167341636369</v>
      </c>
      <c r="BO118" s="18" t="str">
        <f t="shared" si="247"/>
        <v xml:space="preserve"> 21 Science, research, engineering and technology professionals</v>
      </c>
      <c r="BP118" s="31">
        <f t="shared" si="233"/>
        <v>-0.43002226500989771</v>
      </c>
      <c r="BQ118" s="31">
        <f t="shared" si="233"/>
        <v>0.20877880854206499</v>
      </c>
      <c r="BR118" s="31">
        <f t="shared" si="233"/>
        <v>-0.66228151627036658</v>
      </c>
      <c r="BS118" s="31">
        <f t="shared" si="233"/>
        <v>-0.16941713680294024</v>
      </c>
      <c r="BT118" s="31">
        <f t="shared" si="248"/>
        <v>-0.83169865307330682</v>
      </c>
      <c r="BZ118" s="18" t="str">
        <f t="shared" si="249"/>
        <v xml:space="preserve"> 21 Science, research, engineering and technology professionals</v>
      </c>
      <c r="CA118" s="83">
        <f t="shared" si="234"/>
        <v>-0.33151096532812518</v>
      </c>
      <c r="CB118" s="83">
        <f t="shared" si="234"/>
        <v>0.38146350683661057</v>
      </c>
      <c r="CC118" s="83">
        <f t="shared" si="234"/>
        <v>-0.39847146251337762</v>
      </c>
      <c r="CD118" s="83">
        <f t="shared" si="234"/>
        <v>-0.21390688978814287</v>
      </c>
      <c r="CE118" s="83">
        <f t="shared" si="250"/>
        <v>-0.61237835230152049</v>
      </c>
      <c r="CF118" s="286"/>
      <c r="CK118" s="18" t="str">
        <f t="shared" si="251"/>
        <v xml:space="preserve"> 21 Science, research, engineering and technology professionals</v>
      </c>
      <c r="CL118" s="83">
        <f t="shared" si="235"/>
        <v>-0.18652064219214304</v>
      </c>
      <c r="CM118" s="83">
        <f t="shared" si="235"/>
        <v>0.17679388392594175</v>
      </c>
      <c r="CN118" s="83">
        <f t="shared" si="235"/>
        <v>-8.4240143916845422E-2</v>
      </c>
      <c r="CO118" s="83">
        <f t="shared" si="235"/>
        <v>0.17877808882096213</v>
      </c>
      <c r="CP118" s="83">
        <f t="shared" si="252"/>
        <v>9.4537944904116711E-2</v>
      </c>
    </row>
    <row r="119" spans="1:94" x14ac:dyDescent="0.2">
      <c r="A119" s="18" t="str">
        <f t="shared" si="226"/>
        <v xml:space="preserve"> 22 Health professionals</v>
      </c>
      <c r="B119" s="31">
        <f t="shared" si="227"/>
        <v>0.86972427547194275</v>
      </c>
      <c r="C119" s="31">
        <f t="shared" si="227"/>
        <v>3.3258543746391189</v>
      </c>
      <c r="D119" s="31">
        <f t="shared" si="227"/>
        <v>1.8647262070505883</v>
      </c>
      <c r="E119" s="31">
        <f t="shared" si="227"/>
        <v>1.8490639563848994</v>
      </c>
      <c r="F119" s="31">
        <f t="shared" si="236"/>
        <v>3.7137901634354877</v>
      </c>
      <c r="L119" s="18" t="str">
        <f t="shared" si="237"/>
        <v xml:space="preserve"> 22 Health professionals</v>
      </c>
      <c r="M119" s="31">
        <f t="shared" si="228"/>
        <v>-0.52205900910032099</v>
      </c>
      <c r="N119" s="31">
        <f t="shared" si="228"/>
        <v>7.4980143283103189</v>
      </c>
      <c r="O119" s="31">
        <f t="shared" si="228"/>
        <v>3.4624884729135204</v>
      </c>
      <c r="P119" s="31">
        <f t="shared" si="228"/>
        <v>2.9962733167433235</v>
      </c>
      <c r="Q119" s="31">
        <f>Q11-O11</f>
        <v>6.4587617896568439</v>
      </c>
      <c r="W119" s="18" t="str">
        <f t="shared" si="239"/>
        <v xml:space="preserve"> 22 Health professionals</v>
      </c>
      <c r="X119" s="31">
        <f t="shared" si="229"/>
        <v>7.1548073281280011</v>
      </c>
      <c r="Y119" s="31">
        <f t="shared" si="229"/>
        <v>8.5127646063708013</v>
      </c>
      <c r="Z119" s="31">
        <f t="shared" si="229"/>
        <v>8.0855181036433521</v>
      </c>
      <c r="AA119" s="31">
        <f t="shared" si="229"/>
        <v>4.7409459293152381</v>
      </c>
      <c r="AB119" s="31">
        <f>AB11-Z11</f>
        <v>12.82646403295859</v>
      </c>
      <c r="AH119" s="18" t="str">
        <f t="shared" si="241"/>
        <v xml:space="preserve"> 22 Health professionals</v>
      </c>
      <c r="AI119" s="31">
        <f t="shared" si="230"/>
        <v>-1.3799578123270173</v>
      </c>
      <c r="AJ119" s="31">
        <f t="shared" si="230"/>
        <v>-1.5346935139353306</v>
      </c>
      <c r="AK119" s="31">
        <f t="shared" si="230"/>
        <v>-4.8169584332853805</v>
      </c>
      <c r="AL119" s="31">
        <f t="shared" si="230"/>
        <v>-4.1664575197449238</v>
      </c>
      <c r="AM119" s="31">
        <f>AM11-AK11</f>
        <v>-8.9834159530303044</v>
      </c>
      <c r="AS119" s="18" t="str">
        <f t="shared" si="243"/>
        <v xml:space="preserve"> 22 Health professionals</v>
      </c>
      <c r="AT119" s="31">
        <f t="shared" si="231"/>
        <v>0.29461231778862151</v>
      </c>
      <c r="AU119" s="31">
        <f t="shared" si="231"/>
        <v>0.27783205861810045</v>
      </c>
      <c r="AV119" s="31">
        <f t="shared" si="231"/>
        <v>0.25178018074053821</v>
      </c>
      <c r="AW119" s="31">
        <f t="shared" si="231"/>
        <v>0.27303722943582187</v>
      </c>
      <c r="AX119" s="31">
        <f>AX11-AV11</f>
        <v>0.52481741017636008</v>
      </c>
      <c r="BD119" s="18" t="str">
        <f t="shared" si="245"/>
        <v xml:space="preserve"> 22 Health professionals</v>
      </c>
      <c r="BE119" s="31">
        <f t="shared" si="232"/>
        <v>0.85697469877914934</v>
      </c>
      <c r="BF119" s="31">
        <f t="shared" si="232"/>
        <v>2.8606159254385517</v>
      </c>
      <c r="BG119" s="31">
        <f t="shared" si="232"/>
        <v>0.31542821417817102</v>
      </c>
      <c r="BH119" s="31">
        <f t="shared" si="232"/>
        <v>1.9381330440130373</v>
      </c>
      <c r="BI119" s="31">
        <f>BI11-BG11</f>
        <v>2.2535612581912083</v>
      </c>
      <c r="BO119" s="18" t="str">
        <f t="shared" si="247"/>
        <v xml:space="preserve"> 22 Health professionals</v>
      </c>
      <c r="BP119" s="31">
        <f t="shared" si="233"/>
        <v>1.0035996908415452</v>
      </c>
      <c r="BQ119" s="31">
        <f t="shared" si="233"/>
        <v>0.61150132308724192</v>
      </c>
      <c r="BR119" s="31">
        <f t="shared" si="233"/>
        <v>-0.33813304415953116</v>
      </c>
      <c r="BS119" s="31">
        <f t="shared" si="233"/>
        <v>-1.1744448048988332E-2</v>
      </c>
      <c r="BT119" s="31">
        <f>BT11-BR11</f>
        <v>-0.34987749220851949</v>
      </c>
      <c r="BZ119" s="18" t="str">
        <f t="shared" si="249"/>
        <v xml:space="preserve"> 22 Health professionals</v>
      </c>
      <c r="CA119" s="83">
        <f t="shared" si="234"/>
        <v>-0.18908731092312481</v>
      </c>
      <c r="CB119" s="83">
        <f t="shared" si="234"/>
        <v>0.91544093616907851</v>
      </c>
      <c r="CC119" s="83">
        <f t="shared" si="234"/>
        <v>-0.91109931694525192</v>
      </c>
      <c r="CD119" s="83">
        <f t="shared" si="234"/>
        <v>0.24647896368077093</v>
      </c>
      <c r="CE119" s="83">
        <f>CE11-CC11</f>
        <v>-0.66462035326448099</v>
      </c>
      <c r="CF119" s="286"/>
      <c r="CK119" s="18" t="str">
        <f t="shared" si="251"/>
        <v xml:space="preserve"> 22 Health professionals</v>
      </c>
      <c r="CL119" s="83">
        <f t="shared" si="235"/>
        <v>-7.4533876229757878E-2</v>
      </c>
      <c r="CM119" s="83">
        <f t="shared" si="235"/>
        <v>3.9706574227432123E-2</v>
      </c>
      <c r="CN119" s="83">
        <f t="shared" si="235"/>
        <v>-1.8204671516274473E-2</v>
      </c>
      <c r="CO119" s="83">
        <f t="shared" si="235"/>
        <v>0.17105525030311336</v>
      </c>
      <c r="CP119" s="83">
        <f>CP11-CN11</f>
        <v>0.15285057878683889</v>
      </c>
    </row>
    <row r="120" spans="1:94" x14ac:dyDescent="0.2">
      <c r="A120" s="18" t="str">
        <f t="shared" si="226"/>
        <v xml:space="preserve"> 23 Teaching and educational professionals</v>
      </c>
      <c r="B120" s="31">
        <f t="shared" si="227"/>
        <v>0.72343470489445938</v>
      </c>
      <c r="C120" s="31">
        <f t="shared" si="227"/>
        <v>2.5375310099177506</v>
      </c>
      <c r="D120" s="31">
        <f t="shared" si="227"/>
        <v>1.0107925221420526</v>
      </c>
      <c r="E120" s="31">
        <f t="shared" si="227"/>
        <v>1.0695385884479034</v>
      </c>
      <c r="F120" s="31">
        <f t="shared" si="236"/>
        <v>2.080331110589956</v>
      </c>
      <c r="L120" s="18" t="str">
        <f t="shared" si="237"/>
        <v xml:space="preserve"> 23 Teaching and educational professionals</v>
      </c>
      <c r="M120" s="31">
        <f t="shared" si="228"/>
        <v>1.44823384111141</v>
      </c>
      <c r="N120" s="31">
        <f t="shared" si="228"/>
        <v>14.341842879657939</v>
      </c>
      <c r="O120" s="31">
        <f t="shared" si="228"/>
        <v>5.2368962231187766</v>
      </c>
      <c r="P120" s="31">
        <f t="shared" si="228"/>
        <v>5.2402380136923767</v>
      </c>
      <c r="Q120" s="31">
        <f t="shared" si="238"/>
        <v>10.477134236811153</v>
      </c>
      <c r="W120" s="18" t="str">
        <f t="shared" si="239"/>
        <v xml:space="preserve"> 23 Teaching and educational professionals</v>
      </c>
      <c r="X120" s="31">
        <f t="shared" si="229"/>
        <v>7.7718200289461947</v>
      </c>
      <c r="Y120" s="31">
        <f t="shared" si="229"/>
        <v>-3.942724534187338</v>
      </c>
      <c r="Z120" s="31">
        <f t="shared" si="229"/>
        <v>-1.1271494079990703</v>
      </c>
      <c r="AA120" s="31">
        <f t="shared" si="229"/>
        <v>-0.97628613306595113</v>
      </c>
      <c r="AB120" s="31">
        <f t="shared" si="240"/>
        <v>-2.1034355410650214</v>
      </c>
      <c r="AH120" s="18" t="str">
        <f t="shared" si="241"/>
        <v xml:space="preserve"> 23 Teaching and educational professionals</v>
      </c>
      <c r="AI120" s="31">
        <f t="shared" si="230"/>
        <v>-0.93386163155574398</v>
      </c>
      <c r="AJ120" s="31">
        <f t="shared" si="230"/>
        <v>-3.8504716425932095</v>
      </c>
      <c r="AK120" s="31">
        <f t="shared" si="230"/>
        <v>-1.4953728674858604</v>
      </c>
      <c r="AL120" s="31">
        <f t="shared" si="230"/>
        <v>2.0618751290206738E-3</v>
      </c>
      <c r="AM120" s="31">
        <f t="shared" si="242"/>
        <v>-1.4933109923568397</v>
      </c>
      <c r="AS120" s="18" t="str">
        <f t="shared" si="243"/>
        <v xml:space="preserve"> 23 Teaching and educational professionals</v>
      </c>
      <c r="AT120" s="31">
        <f t="shared" si="231"/>
        <v>0.19322778554078179</v>
      </c>
      <c r="AU120" s="31">
        <f t="shared" si="231"/>
        <v>-0.34489177041090391</v>
      </c>
      <c r="AV120" s="31">
        <f t="shared" si="231"/>
        <v>1.0781622142032599E-2</v>
      </c>
      <c r="AW120" s="31">
        <f t="shared" si="231"/>
        <v>2.9010162147175556E-2</v>
      </c>
      <c r="AX120" s="31">
        <f t="shared" si="244"/>
        <v>3.9791784289208154E-2</v>
      </c>
      <c r="BD120" s="18" t="str">
        <f t="shared" si="245"/>
        <v xml:space="preserve"> 23 Teaching and educational professionals</v>
      </c>
      <c r="BE120" s="31">
        <f t="shared" si="232"/>
        <v>0.94864488584328255</v>
      </c>
      <c r="BF120" s="31">
        <f t="shared" si="232"/>
        <v>0.28939438255739969</v>
      </c>
      <c r="BG120" s="31">
        <f t="shared" si="232"/>
        <v>-0.26101309958377161</v>
      </c>
      <c r="BH120" s="31">
        <f t="shared" si="232"/>
        <v>0.73069302546892434</v>
      </c>
      <c r="BI120" s="31">
        <f t="shared" si="246"/>
        <v>0.46967992588515273</v>
      </c>
      <c r="BO120" s="18" t="str">
        <f t="shared" si="247"/>
        <v xml:space="preserve"> 23 Teaching and educational professionals</v>
      </c>
      <c r="BP120" s="31">
        <f t="shared" si="233"/>
        <v>-0.32625441839513725</v>
      </c>
      <c r="BQ120" s="31">
        <f t="shared" si="233"/>
        <v>0.17924421724989914</v>
      </c>
      <c r="BR120" s="31">
        <f t="shared" si="233"/>
        <v>3.5013526491668223E-2</v>
      </c>
      <c r="BS120" s="31">
        <f t="shared" si="233"/>
        <v>0.64463253428439016</v>
      </c>
      <c r="BT120" s="31">
        <f t="shared" si="248"/>
        <v>0.67964606077605838</v>
      </c>
      <c r="BZ120" s="18" t="str">
        <f t="shared" si="249"/>
        <v xml:space="preserve"> 23 Teaching and educational professionals</v>
      </c>
      <c r="CA120" s="83">
        <f t="shared" si="234"/>
        <v>1.0717984264886127E-2</v>
      </c>
      <c r="CB120" s="83">
        <f t="shared" si="234"/>
        <v>0.49197757030879985</v>
      </c>
      <c r="CC120" s="83">
        <f t="shared" si="234"/>
        <v>-0.42662434962403761</v>
      </c>
      <c r="CD120" s="83">
        <f t="shared" si="234"/>
        <v>0.68798926607548916</v>
      </c>
      <c r="CE120" s="83">
        <f t="shared" si="250"/>
        <v>0.26136491645145155</v>
      </c>
      <c r="CF120" s="286"/>
      <c r="CK120" s="18" t="str">
        <f t="shared" si="251"/>
        <v xml:space="preserve"> 23 Teaching and educational professionals</v>
      </c>
      <c r="CL120" s="83">
        <f t="shared" si="235"/>
        <v>7.0702691418653485E-2</v>
      </c>
      <c r="CM120" s="83">
        <f t="shared" si="235"/>
        <v>0.1851746574593085</v>
      </c>
      <c r="CN120" s="83">
        <f t="shared" si="235"/>
        <v>-5.5398062400422998E-2</v>
      </c>
      <c r="CO120" s="83">
        <f t="shared" si="235"/>
        <v>0.19360391594408333</v>
      </c>
      <c r="CP120" s="83">
        <f t="shared" si="252"/>
        <v>0.13820585354366033</v>
      </c>
    </row>
    <row r="121" spans="1:94" x14ac:dyDescent="0.2">
      <c r="A121" s="18" t="str">
        <f t="shared" si="226"/>
        <v xml:space="preserve"> 24 Business, media and public service professionals</v>
      </c>
      <c r="B121" s="31">
        <f t="shared" si="227"/>
        <v>-0.20930296407208382</v>
      </c>
      <c r="C121" s="31">
        <f t="shared" si="227"/>
        <v>0.37819323638503677</v>
      </c>
      <c r="D121" s="31">
        <f t="shared" si="227"/>
        <v>0.25957667466845469</v>
      </c>
      <c r="E121" s="31">
        <f t="shared" si="227"/>
        <v>0.1935975108069754</v>
      </c>
      <c r="F121" s="31">
        <f t="shared" si="236"/>
        <v>0.45317418547543009</v>
      </c>
      <c r="L121" s="18" t="str">
        <f t="shared" si="237"/>
        <v xml:space="preserve"> 24 Business, media and public service professionals</v>
      </c>
      <c r="M121" s="31">
        <f t="shared" si="228"/>
        <v>-0.94605737228141518</v>
      </c>
      <c r="N121" s="31">
        <f t="shared" si="228"/>
        <v>4.7155482748266282</v>
      </c>
      <c r="O121" s="31">
        <f t="shared" si="228"/>
        <v>2.4783784905559756</v>
      </c>
      <c r="P121" s="31">
        <f t="shared" si="228"/>
        <v>1.454011605378783</v>
      </c>
      <c r="Q121" s="31">
        <f t="shared" si="238"/>
        <v>3.9323900959347586</v>
      </c>
      <c r="W121" s="18" t="str">
        <f t="shared" si="239"/>
        <v xml:space="preserve"> 24 Business, media and public service professionals</v>
      </c>
      <c r="X121" s="31">
        <f t="shared" si="229"/>
        <v>1.9431979246704127</v>
      </c>
      <c r="Y121" s="31">
        <f t="shared" si="229"/>
        <v>2.2977984812837704</v>
      </c>
      <c r="Z121" s="31">
        <f t="shared" si="229"/>
        <v>3.0195529586563019</v>
      </c>
      <c r="AA121" s="31">
        <f t="shared" si="229"/>
        <v>1.1384033262696782</v>
      </c>
      <c r="AB121" s="31">
        <f t="shared" si="240"/>
        <v>4.1579562849259801</v>
      </c>
      <c r="AH121" s="18" t="str">
        <f t="shared" si="241"/>
        <v xml:space="preserve"> 24 Business, media and public service professionals</v>
      </c>
      <c r="AI121" s="31">
        <f t="shared" si="230"/>
        <v>-1.0589892775545264</v>
      </c>
      <c r="AJ121" s="31">
        <f t="shared" si="230"/>
        <v>-0.8131615822992031</v>
      </c>
      <c r="AK121" s="31">
        <f t="shared" si="230"/>
        <v>-0.35822736022430512</v>
      </c>
      <c r="AL121" s="31">
        <f t="shared" si="230"/>
        <v>-0.1885034598964952</v>
      </c>
      <c r="AM121" s="31">
        <f t="shared" si="242"/>
        <v>-0.54673082012080032</v>
      </c>
      <c r="AS121" s="18" t="str">
        <f t="shared" si="243"/>
        <v xml:space="preserve"> 24 Business, media and public service professionals</v>
      </c>
      <c r="AT121" s="31">
        <f t="shared" si="231"/>
        <v>-0.12850238618216814</v>
      </c>
      <c r="AU121" s="31">
        <f t="shared" si="231"/>
        <v>2.2754012414250013E-4</v>
      </c>
      <c r="AV121" s="31">
        <f t="shared" si="231"/>
        <v>0.1704420654564629</v>
      </c>
      <c r="AW121" s="31">
        <f t="shared" si="231"/>
        <v>4.4898615559390453E-2</v>
      </c>
      <c r="AX121" s="31">
        <f t="shared" si="244"/>
        <v>0.21534068101585335</v>
      </c>
      <c r="BD121" s="18" t="str">
        <f t="shared" si="245"/>
        <v xml:space="preserve"> 24 Business, media and public service professionals</v>
      </c>
      <c r="BE121" s="31">
        <f t="shared" si="232"/>
        <v>-0.1136079959186338</v>
      </c>
      <c r="BF121" s="31">
        <f t="shared" si="232"/>
        <v>0.70545336775071199</v>
      </c>
      <c r="BG121" s="31">
        <f t="shared" si="232"/>
        <v>-0.3781244814972986</v>
      </c>
      <c r="BH121" s="31">
        <f t="shared" si="232"/>
        <v>6.9711183334036697E-2</v>
      </c>
      <c r="BI121" s="31">
        <f t="shared" si="246"/>
        <v>-0.30841329816326191</v>
      </c>
      <c r="BO121" s="18" t="str">
        <f t="shared" si="247"/>
        <v xml:space="preserve"> 24 Business, media and public service professionals</v>
      </c>
      <c r="BP121" s="31">
        <f t="shared" si="233"/>
        <v>-0.92596989712629352</v>
      </c>
      <c r="BQ121" s="31">
        <f t="shared" si="233"/>
        <v>-0.15792736248004813</v>
      </c>
      <c r="BR121" s="31">
        <f t="shared" si="233"/>
        <v>-0.51511445647671161</v>
      </c>
      <c r="BS121" s="31">
        <f t="shared" si="233"/>
        <v>-0.14076970229081764</v>
      </c>
      <c r="BT121" s="31">
        <f t="shared" si="248"/>
        <v>-0.65588415876752926</v>
      </c>
      <c r="BZ121" s="18" t="str">
        <f t="shared" si="249"/>
        <v xml:space="preserve"> 24 Business, media and public service professionals</v>
      </c>
      <c r="CA121" s="83">
        <f t="shared" si="234"/>
        <v>-0.22158545507766236</v>
      </c>
      <c r="CB121" s="83">
        <f t="shared" si="234"/>
        <v>0.44429954897853108</v>
      </c>
      <c r="CC121" s="83">
        <f t="shared" si="234"/>
        <v>-0.37428912249258683</v>
      </c>
      <c r="CD121" s="83">
        <f t="shared" si="234"/>
        <v>7.3864283001812581E-2</v>
      </c>
      <c r="CE121" s="83">
        <f t="shared" si="250"/>
        <v>-0.30042483949077425</v>
      </c>
      <c r="CF121" s="286"/>
      <c r="CK121" s="18" t="str">
        <f t="shared" si="251"/>
        <v xml:space="preserve"> 24 Business, media and public service professionals</v>
      </c>
      <c r="CL121" s="83">
        <f t="shared" si="235"/>
        <v>-0.13015632847438929</v>
      </c>
      <c r="CM121" s="83">
        <f t="shared" si="235"/>
        <v>0.20916842222243137</v>
      </c>
      <c r="CN121" s="83">
        <f t="shared" si="235"/>
        <v>-7.669715173213798E-2</v>
      </c>
      <c r="CO121" s="83">
        <f t="shared" si="235"/>
        <v>0.19365990680053835</v>
      </c>
      <c r="CP121" s="83">
        <f t="shared" si="252"/>
        <v>0.11696275506840037</v>
      </c>
    </row>
    <row r="122" spans="1:94" x14ac:dyDescent="0.2">
      <c r="A122" s="18" t="str">
        <f t="shared" si="226"/>
        <v xml:space="preserve"> 31 Science, engineering and technology associate professionals</v>
      </c>
      <c r="B122" s="31">
        <f t="shared" si="227"/>
        <v>-8.3022900136581645E-2</v>
      </c>
      <c r="C122" s="31">
        <f t="shared" si="227"/>
        <v>0.19057177525866703</v>
      </c>
      <c r="D122" s="31">
        <f t="shared" si="227"/>
        <v>0.10698532692515939</v>
      </c>
      <c r="E122" s="31">
        <f t="shared" si="227"/>
        <v>9.211375907766628E-2</v>
      </c>
      <c r="F122" s="31">
        <f t="shared" si="236"/>
        <v>0.19909908600282566</v>
      </c>
      <c r="L122" s="18" t="str">
        <f t="shared" si="237"/>
        <v xml:space="preserve"> 31 Science, engineering and technology associate professionals</v>
      </c>
      <c r="M122" s="31">
        <f t="shared" si="228"/>
        <v>-0.41331587067577003</v>
      </c>
      <c r="N122" s="31">
        <f t="shared" si="228"/>
        <v>1.3064443637872105</v>
      </c>
      <c r="O122" s="31">
        <f t="shared" si="228"/>
        <v>0.65714534750823894</v>
      </c>
      <c r="P122" s="31">
        <f t="shared" si="228"/>
        <v>0.54538374846069582</v>
      </c>
      <c r="Q122" s="31">
        <f t="shared" si="238"/>
        <v>1.2025290959689348</v>
      </c>
      <c r="W122" s="18" t="str">
        <f t="shared" si="239"/>
        <v xml:space="preserve"> 31 Science, engineering and technology associate professionals</v>
      </c>
      <c r="X122" s="31">
        <f t="shared" si="229"/>
        <v>0.73552857111649761</v>
      </c>
      <c r="Y122" s="31">
        <f t="shared" si="229"/>
        <v>1.3902870391870916</v>
      </c>
      <c r="Z122" s="31">
        <f t="shared" si="229"/>
        <v>0.76843959831121733</v>
      </c>
      <c r="AA122" s="31">
        <f t="shared" si="229"/>
        <v>0.48412127312827913</v>
      </c>
      <c r="AB122" s="31">
        <f t="shared" si="240"/>
        <v>1.2525608714394965</v>
      </c>
      <c r="AH122" s="18" t="str">
        <f t="shared" si="241"/>
        <v xml:space="preserve"> 31 Science, engineering and technology associate professionals</v>
      </c>
      <c r="AI122" s="31">
        <f t="shared" si="230"/>
        <v>0.16442249126507824</v>
      </c>
      <c r="AJ122" s="31">
        <f t="shared" si="230"/>
        <v>6.0399980359834293E-2</v>
      </c>
      <c r="AK122" s="31">
        <f t="shared" si="230"/>
        <v>0.20630855212262889</v>
      </c>
      <c r="AL122" s="31">
        <f t="shared" si="230"/>
        <v>0.12321631246337517</v>
      </c>
      <c r="AM122" s="31">
        <f t="shared" si="242"/>
        <v>0.32952486458600405</v>
      </c>
      <c r="AS122" s="18" t="str">
        <f t="shared" si="243"/>
        <v xml:space="preserve"> 31 Science, engineering and technology associate professionals</v>
      </c>
      <c r="AT122" s="31">
        <f t="shared" si="231"/>
        <v>-0.40675220574617477</v>
      </c>
      <c r="AU122" s="31">
        <f t="shared" si="231"/>
        <v>-0.27963414656504204</v>
      </c>
      <c r="AV122" s="31">
        <f t="shared" si="231"/>
        <v>-1.4010530297210888E-2</v>
      </c>
      <c r="AW122" s="31">
        <f t="shared" si="231"/>
        <v>-4.7702809597935492E-2</v>
      </c>
      <c r="AX122" s="31">
        <f t="shared" si="244"/>
        <v>-6.171333989514638E-2</v>
      </c>
      <c r="BD122" s="18" t="str">
        <f t="shared" si="245"/>
        <v xml:space="preserve"> 31 Science, engineering and technology associate professionals</v>
      </c>
      <c r="BE122" s="31">
        <f t="shared" si="232"/>
        <v>-0.77452495822975642</v>
      </c>
      <c r="BF122" s="31">
        <f t="shared" si="232"/>
        <v>-0.16485445984992531</v>
      </c>
      <c r="BG122" s="31">
        <f t="shared" si="232"/>
        <v>-0.85684267947825177</v>
      </c>
      <c r="BH122" s="31">
        <f t="shared" si="232"/>
        <v>-0.81952686307511513</v>
      </c>
      <c r="BI122" s="31">
        <f t="shared" si="246"/>
        <v>-1.6763695425533669</v>
      </c>
      <c r="BO122" s="18" t="str">
        <f t="shared" si="247"/>
        <v xml:space="preserve"> 31 Science, engineering and technology associate professionals</v>
      </c>
      <c r="BP122" s="31">
        <f t="shared" si="233"/>
        <v>-0.39284848778983195</v>
      </c>
      <c r="BQ122" s="31">
        <f t="shared" si="233"/>
        <v>-0.11879249954389781</v>
      </c>
      <c r="BR122" s="31">
        <f t="shared" si="233"/>
        <v>-0.54935998942858255</v>
      </c>
      <c r="BS122" s="31">
        <f t="shared" si="233"/>
        <v>-0.29071299373129023</v>
      </c>
      <c r="BT122" s="31">
        <f t="shared" si="248"/>
        <v>-0.84007298315987278</v>
      </c>
      <c r="BZ122" s="18" t="str">
        <f t="shared" si="249"/>
        <v xml:space="preserve"> 31 Science, engineering and technology associate professionals</v>
      </c>
      <c r="CA122" s="83">
        <f t="shared" si="234"/>
        <v>-0.49423147143565993</v>
      </c>
      <c r="CB122" s="83">
        <f t="shared" si="234"/>
        <v>0.53878279986420408</v>
      </c>
      <c r="CC122" s="83">
        <f t="shared" si="234"/>
        <v>-0.29809476146440783</v>
      </c>
      <c r="CD122" s="83">
        <f t="shared" si="234"/>
        <v>-4.3740698250118282E-2</v>
      </c>
      <c r="CE122" s="83">
        <f t="shared" si="250"/>
        <v>-0.34183545971452611</v>
      </c>
      <c r="CF122" s="286"/>
      <c r="CK122" s="18" t="str">
        <f t="shared" si="251"/>
        <v xml:space="preserve"> 31 Science, engineering and technology associate professionals</v>
      </c>
      <c r="CL122" s="83">
        <f t="shared" si="235"/>
        <v>-0.22222231920760599</v>
      </c>
      <c r="CM122" s="83">
        <f t="shared" si="235"/>
        <v>0.14763021942018933</v>
      </c>
      <c r="CN122" s="83">
        <f t="shared" si="235"/>
        <v>-3.9852674071965355E-2</v>
      </c>
      <c r="CO122" s="83">
        <f t="shared" si="235"/>
        <v>0.11408054240285959</v>
      </c>
      <c r="CP122" s="83">
        <f t="shared" si="252"/>
        <v>7.4227868330894231E-2</v>
      </c>
    </row>
    <row r="123" spans="1:94" x14ac:dyDescent="0.2">
      <c r="A123" s="18" t="str">
        <f t="shared" si="226"/>
        <v xml:space="preserve"> 32 Health and social care associate professionals</v>
      </c>
      <c r="B123" s="31">
        <f t="shared" si="227"/>
        <v>-4.2543531457659697E-2</v>
      </c>
      <c r="C123" s="31">
        <f t="shared" si="227"/>
        <v>4.0508141293010752E-2</v>
      </c>
      <c r="D123" s="31">
        <f t="shared" si="227"/>
        <v>3.4750294028787168E-2</v>
      </c>
      <c r="E123" s="31">
        <f t="shared" si="227"/>
        <v>2.6164490332026086E-2</v>
      </c>
      <c r="F123" s="31">
        <f t="shared" si="236"/>
        <v>6.0914784360813254E-2</v>
      </c>
      <c r="L123" s="18" t="str">
        <f t="shared" si="237"/>
        <v xml:space="preserve"> 32 Health and social care associate professionals</v>
      </c>
      <c r="M123" s="31">
        <f t="shared" si="228"/>
        <v>-0.15759810151921916</v>
      </c>
      <c r="N123" s="31">
        <f t="shared" si="228"/>
        <v>1.8611445352229137</v>
      </c>
      <c r="O123" s="31">
        <f t="shared" si="228"/>
        <v>1.0122307797586498</v>
      </c>
      <c r="P123" s="31">
        <f t="shared" si="228"/>
        <v>0.98814416126947435</v>
      </c>
      <c r="Q123" s="31">
        <f t="shared" si="238"/>
        <v>2.0003749410281242</v>
      </c>
      <c r="W123" s="18" t="str">
        <f t="shared" si="239"/>
        <v xml:space="preserve"> 32 Health and social care associate professionals</v>
      </c>
      <c r="X123" s="31">
        <f t="shared" si="229"/>
        <v>1.9821095193718596</v>
      </c>
      <c r="Y123" s="31">
        <f t="shared" si="229"/>
        <v>3.1481330527764877</v>
      </c>
      <c r="Z123" s="31">
        <f t="shared" si="229"/>
        <v>3.1013045979724616</v>
      </c>
      <c r="AA123" s="31">
        <f t="shared" si="229"/>
        <v>2.019060677806662</v>
      </c>
      <c r="AB123" s="31">
        <f t="shared" si="240"/>
        <v>5.1203652757791236</v>
      </c>
      <c r="AH123" s="18" t="str">
        <f t="shared" si="241"/>
        <v xml:space="preserve"> 32 Health and social care associate professionals</v>
      </c>
      <c r="AI123" s="31">
        <f t="shared" si="230"/>
        <v>-0.33190177071378546</v>
      </c>
      <c r="AJ123" s="31">
        <f t="shared" si="230"/>
        <v>-1.9019688200458518E-2</v>
      </c>
      <c r="AK123" s="31">
        <f t="shared" si="230"/>
        <v>-1.2596714491890806</v>
      </c>
      <c r="AL123" s="31">
        <f t="shared" si="230"/>
        <v>-1.2520538168580586</v>
      </c>
      <c r="AM123" s="31">
        <f t="shared" si="242"/>
        <v>-2.5117252660471392</v>
      </c>
      <c r="AS123" s="18" t="str">
        <f t="shared" si="243"/>
        <v xml:space="preserve"> 32 Health and social care associate professionals</v>
      </c>
      <c r="AT123" s="31">
        <f t="shared" si="231"/>
        <v>0.24176638079482271</v>
      </c>
      <c r="AU123" s="31">
        <f t="shared" si="231"/>
        <v>0.2219302040223976</v>
      </c>
      <c r="AV123" s="31">
        <f t="shared" si="231"/>
        <v>0.19798157158588325</v>
      </c>
      <c r="AW123" s="31">
        <f t="shared" si="231"/>
        <v>0.13240568794621277</v>
      </c>
      <c r="AX123" s="31">
        <f t="shared" si="244"/>
        <v>0.33038725953209602</v>
      </c>
      <c r="BD123" s="18" t="str">
        <f t="shared" si="245"/>
        <v xml:space="preserve"> 32 Health and social care associate professionals</v>
      </c>
      <c r="BE123" s="31">
        <f t="shared" si="232"/>
        <v>0.14267878785039478</v>
      </c>
      <c r="BF123" s="31">
        <f t="shared" si="232"/>
        <v>1.0417186265160132</v>
      </c>
      <c r="BG123" s="31">
        <f t="shared" si="232"/>
        <v>5.5602613917338672E-2</v>
      </c>
      <c r="BH123" s="31">
        <f t="shared" si="232"/>
        <v>0.6132504833433825</v>
      </c>
      <c r="BI123" s="31">
        <f t="shared" si="246"/>
        <v>0.66885309726072117</v>
      </c>
      <c r="BO123" s="18" t="str">
        <f t="shared" si="247"/>
        <v xml:space="preserve"> 32 Health and social care associate professionals</v>
      </c>
      <c r="BP123" s="31">
        <f t="shared" si="233"/>
        <v>0.44398298641156764</v>
      </c>
      <c r="BQ123" s="31">
        <f t="shared" si="233"/>
        <v>0.31584407802930281</v>
      </c>
      <c r="BR123" s="31">
        <f t="shared" si="233"/>
        <v>-0.1475428342052556</v>
      </c>
      <c r="BS123" s="31">
        <f t="shared" si="233"/>
        <v>-2.8984597401719991E-2</v>
      </c>
      <c r="BT123" s="31">
        <f t="shared" si="248"/>
        <v>-0.17652743160697559</v>
      </c>
      <c r="BZ123" s="18" t="str">
        <f t="shared" si="249"/>
        <v xml:space="preserve"> 32 Health and social care associate professionals</v>
      </c>
      <c r="CA123" s="83">
        <f t="shared" si="234"/>
        <v>5.7547398006891903E-3</v>
      </c>
      <c r="CB123" s="83">
        <f t="shared" si="234"/>
        <v>0.33405546181220513</v>
      </c>
      <c r="CC123" s="83">
        <f t="shared" si="234"/>
        <v>-0.35745417962060655</v>
      </c>
      <c r="CD123" s="83">
        <f t="shared" si="234"/>
        <v>-7.1841666080318278E-2</v>
      </c>
      <c r="CE123" s="83">
        <f t="shared" si="250"/>
        <v>-0.42929584570092483</v>
      </c>
      <c r="CF123" s="286"/>
      <c r="CK123" s="18" t="str">
        <f t="shared" si="251"/>
        <v xml:space="preserve"> 32 Health and social care associate professionals</v>
      </c>
      <c r="CL123" s="83">
        <f t="shared" si="235"/>
        <v>-3.4316361512904237E-2</v>
      </c>
      <c r="CM123" s="83">
        <f t="shared" si="235"/>
        <v>2.1146643183275304E-2</v>
      </c>
      <c r="CN123" s="83">
        <f t="shared" si="235"/>
        <v>-1.5191497484837974E-2</v>
      </c>
      <c r="CO123" s="83">
        <f t="shared" si="235"/>
        <v>5.156749384284634E-2</v>
      </c>
      <c r="CP123" s="83">
        <f t="shared" si="252"/>
        <v>3.6375996358008367E-2</v>
      </c>
    </row>
    <row r="124" spans="1:94" x14ac:dyDescent="0.2">
      <c r="A124" s="18" t="str">
        <f t="shared" si="226"/>
        <v xml:space="preserve"> 33 Protective service occupations</v>
      </c>
      <c r="B124" s="31">
        <f t="shared" si="227"/>
        <v>7.4332472877197756E-3</v>
      </c>
      <c r="C124" s="31">
        <f t="shared" si="227"/>
        <v>2.307862225032109E-2</v>
      </c>
      <c r="D124" s="31">
        <f t="shared" si="227"/>
        <v>1.9941417412883453E-2</v>
      </c>
      <c r="E124" s="31">
        <f t="shared" si="227"/>
        <v>1.7964888143163563E-2</v>
      </c>
      <c r="F124" s="31">
        <f t="shared" si="236"/>
        <v>3.7906305556047015E-2</v>
      </c>
      <c r="L124" s="18" t="str">
        <f t="shared" si="237"/>
        <v xml:space="preserve"> 33 Protective service occupations</v>
      </c>
      <c r="M124" s="31">
        <f t="shared" si="228"/>
        <v>-0.10821989219251571</v>
      </c>
      <c r="N124" s="31">
        <f t="shared" si="228"/>
        <v>0.39661278817546375</v>
      </c>
      <c r="O124" s="31">
        <f t="shared" si="228"/>
        <v>0.24018395400490777</v>
      </c>
      <c r="P124" s="31">
        <f t="shared" si="228"/>
        <v>0.24082944874261014</v>
      </c>
      <c r="Q124" s="31">
        <f t="shared" si="238"/>
        <v>0.48101340274751792</v>
      </c>
      <c r="W124" s="18" t="str">
        <f t="shared" si="239"/>
        <v xml:space="preserve"> 33 Protective service occupations</v>
      </c>
      <c r="X124" s="31">
        <f t="shared" si="229"/>
        <v>0.61830680455526732</v>
      </c>
      <c r="Y124" s="31">
        <f t="shared" si="229"/>
        <v>0.69928781199495704</v>
      </c>
      <c r="Z124" s="31">
        <f t="shared" si="229"/>
        <v>0.83023436558726971</v>
      </c>
      <c r="AA124" s="31">
        <f t="shared" si="229"/>
        <v>0.39549610656916379</v>
      </c>
      <c r="AB124" s="31">
        <f t="shared" si="240"/>
        <v>1.2257304721564335</v>
      </c>
      <c r="AH124" s="18" t="str">
        <f t="shared" si="241"/>
        <v xml:space="preserve"> 33 Protective service occupations</v>
      </c>
      <c r="AI124" s="31">
        <f t="shared" si="230"/>
        <v>0.16925815285366508</v>
      </c>
      <c r="AJ124" s="31">
        <f t="shared" si="230"/>
        <v>0.1516768757638467</v>
      </c>
      <c r="AK124" s="31">
        <f t="shared" si="230"/>
        <v>0.13838428862946195</v>
      </c>
      <c r="AL124" s="31">
        <f t="shared" si="230"/>
        <v>6.5696225584409129E-2</v>
      </c>
      <c r="AM124" s="31">
        <f t="shared" si="242"/>
        <v>0.20408051421387108</v>
      </c>
      <c r="AS124" s="18" t="str">
        <f t="shared" si="243"/>
        <v xml:space="preserve"> 33 Protective service occupations</v>
      </c>
      <c r="AT124" s="31">
        <f t="shared" si="231"/>
        <v>-8.7811860434234834E-2</v>
      </c>
      <c r="AU124" s="31">
        <f t="shared" si="231"/>
        <v>-8.7846790200380664E-2</v>
      </c>
      <c r="AV124" s="31">
        <f t="shared" si="231"/>
        <v>-4.9939858773706214E-2</v>
      </c>
      <c r="AW124" s="31">
        <f t="shared" si="231"/>
        <v>-5.7467124219954924E-2</v>
      </c>
      <c r="AX124" s="31">
        <f t="shared" si="244"/>
        <v>-0.10740698299366114</v>
      </c>
      <c r="BD124" s="18" t="str">
        <f t="shared" si="245"/>
        <v xml:space="preserve"> 33 Protective service occupations</v>
      </c>
      <c r="BE124" s="31">
        <f t="shared" si="232"/>
        <v>-0.95283629661340674</v>
      </c>
      <c r="BF124" s="31">
        <f t="shared" si="232"/>
        <v>-0.34394975111815373</v>
      </c>
      <c r="BG124" s="31">
        <f t="shared" si="232"/>
        <v>-0.56043836692185867</v>
      </c>
      <c r="BH124" s="31">
        <f t="shared" si="232"/>
        <v>-0.46847222240381603</v>
      </c>
      <c r="BI124" s="31">
        <f t="shared" si="246"/>
        <v>-1.0289105893256747</v>
      </c>
      <c r="BO124" s="18" t="str">
        <f t="shared" si="247"/>
        <v xml:space="preserve"> 33 Protective service occupations</v>
      </c>
      <c r="BP124" s="31">
        <f t="shared" si="233"/>
        <v>-0.86137271799569604</v>
      </c>
      <c r="BQ124" s="31">
        <f t="shared" si="233"/>
        <v>-0.1983518557289079</v>
      </c>
      <c r="BR124" s="31">
        <f t="shared" si="233"/>
        <v>-0.69239154674499481</v>
      </c>
      <c r="BS124" s="31">
        <f t="shared" si="233"/>
        <v>-0.4530897838540473</v>
      </c>
      <c r="BT124" s="31">
        <f t="shared" si="248"/>
        <v>-1.1454813305990421</v>
      </c>
      <c r="BZ124" s="18" t="str">
        <f t="shared" si="249"/>
        <v xml:space="preserve"> 33 Protective service occupations</v>
      </c>
      <c r="CA124" s="83">
        <f t="shared" si="234"/>
        <v>-0.67656670613589087</v>
      </c>
      <c r="CB124" s="83">
        <f t="shared" si="234"/>
        <v>1.7652013721836113E-2</v>
      </c>
      <c r="CC124" s="83">
        <f t="shared" si="234"/>
        <v>-0.36617331453652158</v>
      </c>
      <c r="CD124" s="83">
        <f t="shared" si="234"/>
        <v>-3.1891017263820265E-2</v>
      </c>
      <c r="CE124" s="83">
        <f t="shared" si="250"/>
        <v>-0.39806433180034184</v>
      </c>
      <c r="CF124" s="286"/>
      <c r="CK124" s="18" t="str">
        <f t="shared" si="251"/>
        <v xml:space="preserve"> 33 Protective service occupations</v>
      </c>
      <c r="CL124" s="83">
        <f t="shared" si="235"/>
        <v>-0.21285504010236622</v>
      </c>
      <c r="CM124" s="83">
        <f t="shared" si="235"/>
        <v>-3.1240775064867721E-2</v>
      </c>
      <c r="CN124" s="83">
        <f t="shared" si="235"/>
        <v>-0.10429837651200582</v>
      </c>
      <c r="CO124" s="83">
        <f t="shared" si="235"/>
        <v>-6.8372227531569241E-2</v>
      </c>
      <c r="CP124" s="83">
        <f t="shared" si="252"/>
        <v>-0.17267060404357507</v>
      </c>
    </row>
    <row r="125" spans="1:94" x14ac:dyDescent="0.2">
      <c r="A125" s="18" t="str">
        <f t="shared" si="226"/>
        <v xml:space="preserve"> 34 Culture, media and sports occupations</v>
      </c>
      <c r="B125" s="31">
        <f t="shared" si="227"/>
        <v>-6.6305091396314519E-3</v>
      </c>
      <c r="C125" s="31">
        <f t="shared" si="227"/>
        <v>0.23636089921649495</v>
      </c>
      <c r="D125" s="31">
        <f t="shared" si="227"/>
        <v>0.12973379355377235</v>
      </c>
      <c r="E125" s="31">
        <f t="shared" si="227"/>
        <v>8.1603692510156978E-2</v>
      </c>
      <c r="F125" s="31">
        <f t="shared" si="236"/>
        <v>0.21133748606392933</v>
      </c>
      <c r="L125" s="18" t="str">
        <f t="shared" si="237"/>
        <v xml:space="preserve"> 34 Culture, media and sports occupations</v>
      </c>
      <c r="M125" s="31">
        <f t="shared" si="228"/>
        <v>0.59744217173625636</v>
      </c>
      <c r="N125" s="31">
        <f t="shared" si="228"/>
        <v>2.4274123808067918</v>
      </c>
      <c r="O125" s="31">
        <f t="shared" si="228"/>
        <v>1.0684820466441369</v>
      </c>
      <c r="P125" s="31">
        <f t="shared" si="228"/>
        <v>0.4956399987839335</v>
      </c>
      <c r="Q125" s="31">
        <f t="shared" si="238"/>
        <v>1.5641220454280704</v>
      </c>
      <c r="W125" s="18" t="str">
        <f t="shared" si="239"/>
        <v xml:space="preserve"> 34 Culture, media and sports occupations</v>
      </c>
      <c r="X125" s="31">
        <f t="shared" si="229"/>
        <v>2.6483408084084985</v>
      </c>
      <c r="Y125" s="31">
        <f t="shared" si="229"/>
        <v>1.6466590944169646</v>
      </c>
      <c r="Z125" s="31">
        <f t="shared" si="229"/>
        <v>1.5179251180673337</v>
      </c>
      <c r="AA125" s="31">
        <f t="shared" si="229"/>
        <v>0.43930260715554681</v>
      </c>
      <c r="AB125" s="31">
        <f t="shared" si="240"/>
        <v>1.9572277252228805</v>
      </c>
      <c r="AH125" s="18" t="str">
        <f t="shared" si="241"/>
        <v xml:space="preserve"> 34 Culture, media and sports occupations</v>
      </c>
      <c r="AI125" s="31">
        <f t="shared" si="230"/>
        <v>0.33351389682515509</v>
      </c>
      <c r="AJ125" s="31">
        <f t="shared" si="230"/>
        <v>-0.13880224130552277</v>
      </c>
      <c r="AK125" s="31">
        <f t="shared" si="230"/>
        <v>0.14855720178095244</v>
      </c>
      <c r="AL125" s="31">
        <f t="shared" si="230"/>
        <v>4.0129976154821945E-2</v>
      </c>
      <c r="AM125" s="31">
        <f t="shared" si="242"/>
        <v>0.18868717793577439</v>
      </c>
      <c r="AS125" s="18" t="str">
        <f t="shared" si="243"/>
        <v xml:space="preserve"> 34 Culture, media and sports occupations</v>
      </c>
      <c r="AT125" s="31">
        <f t="shared" si="231"/>
        <v>0.31930160692601461</v>
      </c>
      <c r="AU125" s="31">
        <f t="shared" si="231"/>
        <v>8.1483429477033686E-2</v>
      </c>
      <c r="AV125" s="31">
        <f t="shared" si="231"/>
        <v>0.19177168347855855</v>
      </c>
      <c r="AW125" s="31">
        <f t="shared" si="231"/>
        <v>7.6748100197075564E-2</v>
      </c>
      <c r="AX125" s="31">
        <f t="shared" si="244"/>
        <v>0.26851978367563412</v>
      </c>
      <c r="BD125" s="18" t="str">
        <f t="shared" si="245"/>
        <v xml:space="preserve"> 34 Culture, media and sports occupations</v>
      </c>
      <c r="BE125" s="31">
        <f t="shared" si="232"/>
        <v>0.44827745366205241</v>
      </c>
      <c r="BF125" s="31">
        <f t="shared" si="232"/>
        <v>0.262333822704786</v>
      </c>
      <c r="BG125" s="31">
        <f t="shared" si="232"/>
        <v>-0.27122362080282869</v>
      </c>
      <c r="BH125" s="31">
        <f t="shared" si="232"/>
        <v>-0.10190154996218537</v>
      </c>
      <c r="BI125" s="31">
        <f t="shared" si="246"/>
        <v>-0.37312517076501406</v>
      </c>
      <c r="BO125" s="18" t="str">
        <f t="shared" si="247"/>
        <v xml:space="preserve"> 34 Culture, media and sports occupations</v>
      </c>
      <c r="BP125" s="31">
        <f t="shared" si="233"/>
        <v>-0.6836343581255222</v>
      </c>
      <c r="BQ125" s="31">
        <f t="shared" si="233"/>
        <v>-0.18195819927802637</v>
      </c>
      <c r="BR125" s="31">
        <f t="shared" si="233"/>
        <v>-0.36649529435468597</v>
      </c>
      <c r="BS125" s="31">
        <f t="shared" si="233"/>
        <v>-0.27932684504401983</v>
      </c>
      <c r="BT125" s="31">
        <f t="shared" si="248"/>
        <v>-0.64582213939870581</v>
      </c>
      <c r="BZ125" s="18" t="str">
        <f t="shared" si="249"/>
        <v xml:space="preserve"> 34 Culture, media and sports occupations</v>
      </c>
      <c r="CA125" s="83">
        <f t="shared" si="234"/>
        <v>0.15389022845381284</v>
      </c>
      <c r="CB125" s="83">
        <f t="shared" si="234"/>
        <v>0.18656410717388949</v>
      </c>
      <c r="CC125" s="83">
        <f t="shared" si="234"/>
        <v>-0.41540713449423183</v>
      </c>
      <c r="CD125" s="83">
        <f t="shared" si="234"/>
        <v>-0.22992625478064599</v>
      </c>
      <c r="CE125" s="83">
        <f t="shared" si="250"/>
        <v>-0.64533338927487782</v>
      </c>
      <c r="CF125" s="286"/>
      <c r="CK125" s="18" t="str">
        <f t="shared" si="251"/>
        <v xml:space="preserve"> 34 Culture, media and sports occupations</v>
      </c>
      <c r="CL125" s="83">
        <f t="shared" si="235"/>
        <v>0.12932655223395323</v>
      </c>
      <c r="CM125" s="83">
        <f t="shared" si="235"/>
        <v>0.28767324858339971</v>
      </c>
      <c r="CN125" s="83">
        <f t="shared" si="235"/>
        <v>-1.0351341520240975E-2</v>
      </c>
      <c r="CO125" s="83">
        <f t="shared" si="235"/>
        <v>0.31860427943442049</v>
      </c>
      <c r="CP125" s="83">
        <f t="shared" si="252"/>
        <v>0.30825293791417951</v>
      </c>
    </row>
    <row r="126" spans="1:94" x14ac:dyDescent="0.2">
      <c r="A126" s="18" t="str">
        <f t="shared" si="226"/>
        <v xml:space="preserve"> 35 Business and public service associate professionals</v>
      </c>
      <c r="B126" s="31">
        <f t="shared" si="227"/>
        <v>-0.15513039241268933</v>
      </c>
      <c r="C126" s="31">
        <f t="shared" si="227"/>
        <v>0.45329716007307252</v>
      </c>
      <c r="D126" s="31">
        <f t="shared" si="227"/>
        <v>0.33016966807326953</v>
      </c>
      <c r="E126" s="31">
        <f t="shared" si="227"/>
        <v>0.27748817662022907</v>
      </c>
      <c r="F126" s="31">
        <f t="shared" si="236"/>
        <v>0.60765784469349859</v>
      </c>
      <c r="L126" s="18" t="str">
        <f t="shared" si="237"/>
        <v xml:space="preserve"> 35 Business and public service associate professionals</v>
      </c>
      <c r="M126" s="31">
        <f t="shared" si="228"/>
        <v>-0.57247776251224902</v>
      </c>
      <c r="N126" s="31">
        <f t="shared" si="228"/>
        <v>4.2444651343775037</v>
      </c>
      <c r="O126" s="31">
        <f t="shared" si="228"/>
        <v>2.8348195646987122</v>
      </c>
      <c r="P126" s="31">
        <f t="shared" si="228"/>
        <v>2.2199762046952003</v>
      </c>
      <c r="Q126" s="31">
        <f t="shared" si="238"/>
        <v>5.0547957693939125</v>
      </c>
      <c r="W126" s="18" t="str">
        <f t="shared" si="239"/>
        <v xml:space="preserve"> 35 Business and public service associate professionals</v>
      </c>
      <c r="X126" s="31">
        <f t="shared" si="229"/>
        <v>1.9247413334144952</v>
      </c>
      <c r="Y126" s="31">
        <f t="shared" si="229"/>
        <v>2.7632729918993313</v>
      </c>
      <c r="Z126" s="31">
        <f t="shared" si="229"/>
        <v>3.9869427719386614</v>
      </c>
      <c r="AA126" s="31">
        <f t="shared" si="229"/>
        <v>1.8185334043062298</v>
      </c>
      <c r="AB126" s="31">
        <f t="shared" si="240"/>
        <v>5.8054761762448912</v>
      </c>
      <c r="AH126" s="18" t="str">
        <f t="shared" si="241"/>
        <v xml:space="preserve"> 35 Business and public service associate professionals</v>
      </c>
      <c r="AI126" s="31">
        <f t="shared" si="230"/>
        <v>0.65985244120834974</v>
      </c>
      <c r="AJ126" s="31">
        <f t="shared" si="230"/>
        <v>0.41084232547723509</v>
      </c>
      <c r="AK126" s="31">
        <f t="shared" si="230"/>
        <v>0.99643380493901557</v>
      </c>
      <c r="AL126" s="31">
        <f t="shared" si="230"/>
        <v>0.40126834237799613</v>
      </c>
      <c r="AM126" s="31">
        <f t="shared" si="242"/>
        <v>1.3977021473170117</v>
      </c>
      <c r="AS126" s="18" t="str">
        <f t="shared" si="243"/>
        <v xml:space="preserve"> 35 Business and public service associate professionals</v>
      </c>
      <c r="AT126" s="31">
        <f t="shared" si="231"/>
        <v>-0.11618844122896377</v>
      </c>
      <c r="AU126" s="31">
        <f t="shared" si="231"/>
        <v>0.18317325551563002</v>
      </c>
      <c r="AV126" s="31">
        <f t="shared" si="231"/>
        <v>0.66153940944591128</v>
      </c>
      <c r="AW126" s="31">
        <f t="shared" si="231"/>
        <v>0.33691692410485086</v>
      </c>
      <c r="AX126" s="31">
        <f t="shared" si="244"/>
        <v>0.99845633355076213</v>
      </c>
      <c r="BD126" s="18" t="str">
        <f t="shared" si="245"/>
        <v xml:space="preserve"> 35 Business and public service associate professionals</v>
      </c>
      <c r="BE126" s="31">
        <f t="shared" si="232"/>
        <v>-0.20044394778426344</v>
      </c>
      <c r="BF126" s="31">
        <f t="shared" si="232"/>
        <v>1.9614215127409551</v>
      </c>
      <c r="BG126" s="31">
        <f t="shared" si="232"/>
        <v>-0.72742197600391201</v>
      </c>
      <c r="BH126" s="31">
        <f t="shared" si="232"/>
        <v>0.23065664373972794</v>
      </c>
      <c r="BI126" s="31">
        <f t="shared" si="246"/>
        <v>-0.49676533226418407</v>
      </c>
      <c r="BO126" s="18" t="str">
        <f t="shared" si="247"/>
        <v xml:space="preserve"> 35 Business and public service associate professionals</v>
      </c>
      <c r="BP126" s="31">
        <f t="shared" si="233"/>
        <v>-1.9732760431945984</v>
      </c>
      <c r="BQ126" s="31">
        <f t="shared" si="233"/>
        <v>5.0175122234447755E-2</v>
      </c>
      <c r="BR126" s="31">
        <f t="shared" si="233"/>
        <v>-1.0986307697768272</v>
      </c>
      <c r="BS126" s="31">
        <f t="shared" si="233"/>
        <v>-0.70668794987882677</v>
      </c>
      <c r="BT126" s="31">
        <f t="shared" si="248"/>
        <v>-1.8053187196556539</v>
      </c>
      <c r="BZ126" s="18" t="str">
        <f t="shared" si="249"/>
        <v xml:space="preserve"> 35 Business and public service associate professionals</v>
      </c>
      <c r="CA126" s="83">
        <f t="shared" si="234"/>
        <v>-1.4273890913466767</v>
      </c>
      <c r="CB126" s="83">
        <f t="shared" si="234"/>
        <v>0.6676698597946702</v>
      </c>
      <c r="CC126" s="83">
        <f t="shared" si="234"/>
        <v>-1.2765513085416691</v>
      </c>
      <c r="CD126" s="83">
        <f t="shared" si="234"/>
        <v>-0.44657037150762413</v>
      </c>
      <c r="CE126" s="83">
        <f t="shared" si="250"/>
        <v>-1.7231216800492932</v>
      </c>
      <c r="CF126" s="286"/>
      <c r="CK126" s="18" t="str">
        <f t="shared" si="251"/>
        <v xml:space="preserve"> 35 Business and public service associate professionals</v>
      </c>
      <c r="CL126" s="83">
        <f t="shared" si="235"/>
        <v>-0.4651438407030053</v>
      </c>
      <c r="CM126" s="83">
        <f t="shared" si="235"/>
        <v>0.44139291842466677</v>
      </c>
      <c r="CN126" s="83">
        <f t="shared" si="235"/>
        <v>-0.31839981102325043</v>
      </c>
      <c r="CO126" s="83">
        <f t="shared" si="235"/>
        <v>0.24907305264591773</v>
      </c>
      <c r="CP126" s="83">
        <f t="shared" si="252"/>
        <v>-6.9326758377332709E-2</v>
      </c>
    </row>
    <row r="127" spans="1:94" x14ac:dyDescent="0.2">
      <c r="A127" s="18" t="str">
        <f t="shared" si="226"/>
        <v xml:space="preserve"> 41 Administrative occupations</v>
      </c>
      <c r="B127" s="31">
        <f t="shared" si="227"/>
        <v>-0.10966119903618837</v>
      </c>
      <c r="C127" s="31">
        <f t="shared" si="227"/>
        <v>0.33852237457842754</v>
      </c>
      <c r="D127" s="31">
        <f t="shared" si="227"/>
        <v>0.22624810778558635</v>
      </c>
      <c r="E127" s="31">
        <f t="shared" si="227"/>
        <v>0.16681730314507304</v>
      </c>
      <c r="F127" s="31">
        <f t="shared" si="236"/>
        <v>0.39306541093065939</v>
      </c>
      <c r="L127" s="18" t="str">
        <f t="shared" si="237"/>
        <v xml:space="preserve"> 41 Administrative occupations</v>
      </c>
      <c r="M127" s="31">
        <f t="shared" si="228"/>
        <v>-0.28461483884581806</v>
      </c>
      <c r="N127" s="31">
        <f t="shared" si="228"/>
        <v>3.1706928598233493</v>
      </c>
      <c r="O127" s="31">
        <f t="shared" si="228"/>
        <v>1.8670592077182482</v>
      </c>
      <c r="P127" s="31">
        <f t="shared" si="228"/>
        <v>1.6990322568769916</v>
      </c>
      <c r="Q127" s="31">
        <f t="shared" si="238"/>
        <v>3.5660914645952397</v>
      </c>
      <c r="W127" s="18" t="str">
        <f t="shared" si="239"/>
        <v xml:space="preserve"> 41 Administrative occupations</v>
      </c>
      <c r="X127" s="31">
        <f t="shared" si="229"/>
        <v>4.1923906464640233</v>
      </c>
      <c r="Y127" s="31">
        <f t="shared" si="229"/>
        <v>3.2992332587927997</v>
      </c>
      <c r="Z127" s="31">
        <f t="shared" si="229"/>
        <v>5.2126053860336654</v>
      </c>
      <c r="AA127" s="31">
        <f t="shared" si="229"/>
        <v>3.1870334077266378</v>
      </c>
      <c r="AB127" s="31">
        <f t="shared" si="240"/>
        <v>8.3996387937603032</v>
      </c>
      <c r="AH127" s="18" t="str">
        <f t="shared" si="241"/>
        <v xml:space="preserve"> 41 Administrative occupations</v>
      </c>
      <c r="AI127" s="31">
        <f t="shared" si="230"/>
        <v>1.6858119959700195</v>
      </c>
      <c r="AJ127" s="31">
        <f t="shared" si="230"/>
        <v>0.67548321552003276</v>
      </c>
      <c r="AK127" s="31">
        <f t="shared" si="230"/>
        <v>1.433893130804007</v>
      </c>
      <c r="AL127" s="31">
        <f t="shared" si="230"/>
        <v>0.73170516901644334</v>
      </c>
      <c r="AM127" s="31">
        <f t="shared" si="242"/>
        <v>2.1655982998204504</v>
      </c>
      <c r="AS127" s="18" t="str">
        <f t="shared" si="243"/>
        <v xml:space="preserve"> 41 Administrative occupations</v>
      </c>
      <c r="AT127" s="31">
        <f t="shared" si="231"/>
        <v>0.56735468354299989</v>
      </c>
      <c r="AU127" s="31">
        <f t="shared" si="231"/>
        <v>0.49907387851296114</v>
      </c>
      <c r="AV127" s="31">
        <f t="shared" si="231"/>
        <v>1.360476952524583</v>
      </c>
      <c r="AW127" s="31">
        <f t="shared" si="231"/>
        <v>0.79092114370830657</v>
      </c>
      <c r="AX127" s="31">
        <f t="shared" si="244"/>
        <v>2.1513980962328896</v>
      </c>
      <c r="BD127" s="18" t="str">
        <f t="shared" si="245"/>
        <v xml:space="preserve"> 41 Administrative occupations</v>
      </c>
      <c r="BE127" s="31">
        <f t="shared" si="232"/>
        <v>-2.0033539838491308</v>
      </c>
      <c r="BF127" s="31">
        <f t="shared" si="232"/>
        <v>1.6195421259621483</v>
      </c>
      <c r="BG127" s="31">
        <f t="shared" si="232"/>
        <v>-3.2908405067340354</v>
      </c>
      <c r="BH127" s="31">
        <f t="shared" si="232"/>
        <v>-0.31948616582392475</v>
      </c>
      <c r="BI127" s="31">
        <f t="shared" si="246"/>
        <v>-3.6103266725579601</v>
      </c>
      <c r="BO127" s="18" t="str">
        <f t="shared" si="247"/>
        <v xml:space="preserve"> 41 Administrative occupations</v>
      </c>
      <c r="BP127" s="31">
        <f t="shared" si="233"/>
        <v>-4.6212375572922184</v>
      </c>
      <c r="BQ127" s="31">
        <f t="shared" si="233"/>
        <v>-2.4374175822097612</v>
      </c>
      <c r="BR127" s="31">
        <f t="shared" si="233"/>
        <v>-4.0770032399208063</v>
      </c>
      <c r="BS127" s="31">
        <f t="shared" si="233"/>
        <v>-5.0951201923356955</v>
      </c>
      <c r="BT127" s="31">
        <f t="shared" si="248"/>
        <v>-9.1721234322565017</v>
      </c>
      <c r="BZ127" s="18" t="str">
        <f t="shared" si="249"/>
        <v xml:space="preserve"> 41 Administrative occupations</v>
      </c>
      <c r="CA127" s="83">
        <f t="shared" si="234"/>
        <v>-5.5108190857297501</v>
      </c>
      <c r="CB127" s="83">
        <f t="shared" si="234"/>
        <v>-5.7422886085099378E-2</v>
      </c>
      <c r="CC127" s="83">
        <f t="shared" si="234"/>
        <v>-5.3062286410006916</v>
      </c>
      <c r="CD127" s="83">
        <f t="shared" si="234"/>
        <v>-4.3463251472506448</v>
      </c>
      <c r="CE127" s="83">
        <f t="shared" si="250"/>
        <v>-9.6525537882513355</v>
      </c>
      <c r="CF127" s="286"/>
      <c r="CK127" s="18" t="str">
        <f t="shared" si="251"/>
        <v xml:space="preserve"> 41 Administrative occupations</v>
      </c>
      <c r="CL127" s="83">
        <f t="shared" si="235"/>
        <v>-2.7480451172909728</v>
      </c>
      <c r="CM127" s="83">
        <f t="shared" si="235"/>
        <v>0.48440497166853369</v>
      </c>
      <c r="CN127" s="83">
        <f t="shared" si="235"/>
        <v>-1.2758052101522286</v>
      </c>
      <c r="CO127" s="83">
        <f t="shared" si="235"/>
        <v>-0.47807942639230649</v>
      </c>
      <c r="CP127" s="83">
        <f t="shared" si="252"/>
        <v>-1.7538846365445351</v>
      </c>
    </row>
    <row r="128" spans="1:94" x14ac:dyDescent="0.2">
      <c r="A128" s="18" t="str">
        <f t="shared" si="226"/>
        <v xml:space="preserve"> 42 Secretarial and related occupations</v>
      </c>
      <c r="B128" s="31">
        <f t="shared" si="227"/>
        <v>1.2187011748345349E-2</v>
      </c>
      <c r="C128" s="31">
        <f t="shared" si="227"/>
        <v>4.8118023101691033E-2</v>
      </c>
      <c r="D128" s="31">
        <f t="shared" si="227"/>
        <v>1.2355255478948363E-2</v>
      </c>
      <c r="E128" s="31">
        <f t="shared" si="227"/>
        <v>1.3231741522921031E-2</v>
      </c>
      <c r="F128" s="31">
        <f t="shared" si="236"/>
        <v>2.5586997001869394E-2</v>
      </c>
      <c r="L128" s="18" t="str">
        <f t="shared" si="237"/>
        <v xml:space="preserve"> 42 Secretarial and related occupations</v>
      </c>
      <c r="M128" s="31">
        <f t="shared" si="228"/>
        <v>0.12635400271964592</v>
      </c>
      <c r="N128" s="31">
        <f t="shared" si="228"/>
        <v>0.49920940502082378</v>
      </c>
      <c r="O128" s="31">
        <f t="shared" si="228"/>
        <v>2.5230157840441914E-2</v>
      </c>
      <c r="P128" s="31">
        <f t="shared" si="228"/>
        <v>7.1743854842082788E-2</v>
      </c>
      <c r="Q128" s="31">
        <f t="shared" si="238"/>
        <v>9.6974012682524702E-2</v>
      </c>
      <c r="W128" s="18" t="str">
        <f t="shared" si="239"/>
        <v xml:space="preserve"> 42 Secretarial and related occupations</v>
      </c>
      <c r="X128" s="31">
        <f t="shared" si="229"/>
        <v>0.95930280011269398</v>
      </c>
      <c r="Y128" s="31">
        <f t="shared" si="229"/>
        <v>0.27513907825027406</v>
      </c>
      <c r="Z128" s="31">
        <f t="shared" si="229"/>
        <v>0.31538746227795045</v>
      </c>
      <c r="AA128" s="31">
        <f t="shared" si="229"/>
        <v>0.29501643575628389</v>
      </c>
      <c r="AB128" s="31">
        <f t="shared" si="240"/>
        <v>0.61040389803423434</v>
      </c>
      <c r="AH128" s="18" t="str">
        <f t="shared" si="241"/>
        <v xml:space="preserve"> 42 Secretarial and related occupations</v>
      </c>
      <c r="AI128" s="31">
        <f t="shared" si="230"/>
        <v>0.13278859632728346</v>
      </c>
      <c r="AJ128" s="31">
        <f t="shared" si="230"/>
        <v>-0.13477948886857427</v>
      </c>
      <c r="AK128" s="31">
        <f t="shared" si="230"/>
        <v>-1.908354325379924E-2</v>
      </c>
      <c r="AL128" s="31">
        <f t="shared" si="230"/>
        <v>2.5118667232105762E-2</v>
      </c>
      <c r="AM128" s="31">
        <f t="shared" si="242"/>
        <v>6.0351239783065225E-3</v>
      </c>
      <c r="AS128" s="18" t="str">
        <f t="shared" si="243"/>
        <v xml:space="preserve"> 42 Secretarial and related occupations</v>
      </c>
      <c r="AT128" s="31">
        <f t="shared" si="231"/>
        <v>-8.7394622703929059E-4</v>
      </c>
      <c r="AU128" s="31">
        <f t="shared" si="231"/>
        <v>-0.2293356015486705</v>
      </c>
      <c r="AV128" s="31">
        <f t="shared" si="231"/>
        <v>-0.12675310023797959</v>
      </c>
      <c r="AW128" s="31">
        <f t="shared" si="231"/>
        <v>-8.0252484371786226E-2</v>
      </c>
      <c r="AX128" s="31">
        <f t="shared" si="244"/>
        <v>-0.20700558460976581</v>
      </c>
      <c r="BD128" s="18" t="str">
        <f t="shared" si="245"/>
        <v xml:space="preserve"> 42 Secretarial and related occupations</v>
      </c>
      <c r="BE128" s="31">
        <f t="shared" si="232"/>
        <v>-0.18513735889359406</v>
      </c>
      <c r="BF128" s="31">
        <f t="shared" si="232"/>
        <v>-0.22847118912251752</v>
      </c>
      <c r="BG128" s="31">
        <f t="shared" si="232"/>
        <v>-1.850676918546867</v>
      </c>
      <c r="BH128" s="31">
        <f t="shared" si="232"/>
        <v>-1.0443789217422976</v>
      </c>
      <c r="BI128" s="31">
        <f t="shared" si="246"/>
        <v>-2.8950558402891646</v>
      </c>
      <c r="BO128" s="18" t="str">
        <f t="shared" si="247"/>
        <v xml:space="preserve"> 42 Secretarial and related occupations</v>
      </c>
      <c r="BP128" s="31">
        <f t="shared" si="233"/>
        <v>-2.9711807754655748</v>
      </c>
      <c r="BQ128" s="31">
        <f t="shared" si="233"/>
        <v>-2.4167657483780367</v>
      </c>
      <c r="BR128" s="31">
        <f t="shared" si="233"/>
        <v>-2.399731133022339</v>
      </c>
      <c r="BS128" s="31">
        <f t="shared" si="233"/>
        <v>-2.8331366360891352</v>
      </c>
      <c r="BT128" s="31">
        <f t="shared" si="248"/>
        <v>-5.2328677691114738</v>
      </c>
      <c r="BZ128" s="18" t="str">
        <f t="shared" si="249"/>
        <v xml:space="preserve"> 42 Secretarial and related occupations</v>
      </c>
      <c r="CA128" s="83">
        <f t="shared" si="234"/>
        <v>-1.8181074538290023</v>
      </c>
      <c r="CB128" s="83">
        <f t="shared" si="234"/>
        <v>0.25742171855595863</v>
      </c>
      <c r="CC128" s="83">
        <f t="shared" si="234"/>
        <v>-3.2640101573991513</v>
      </c>
      <c r="CD128" s="83">
        <f t="shared" si="234"/>
        <v>-2.6957132332203284</v>
      </c>
      <c r="CE128" s="83">
        <f t="shared" si="250"/>
        <v>-5.9597233906194802</v>
      </c>
      <c r="CF128" s="286"/>
      <c r="CK128" s="18" t="str">
        <f t="shared" si="251"/>
        <v xml:space="preserve"> 42 Secretarial and related occupations</v>
      </c>
      <c r="CL128" s="83">
        <f t="shared" si="235"/>
        <v>-0.68344714093992698</v>
      </c>
      <c r="CM128" s="83">
        <f t="shared" si="235"/>
        <v>0.40941053811498751</v>
      </c>
      <c r="CN128" s="83">
        <f t="shared" si="235"/>
        <v>-0.5558723147366349</v>
      </c>
      <c r="CO128" s="83">
        <f t="shared" si="235"/>
        <v>-0.27557753557172893</v>
      </c>
      <c r="CP128" s="83">
        <f t="shared" si="252"/>
        <v>-0.83144985030836382</v>
      </c>
    </row>
    <row r="129" spans="1:94" x14ac:dyDescent="0.2">
      <c r="A129" s="18" t="str">
        <f t="shared" si="226"/>
        <v xml:space="preserve"> 51 Skilled agricultural and related trades</v>
      </c>
      <c r="B129" s="31">
        <f t="shared" si="227"/>
        <v>9.5449676086432692E-2</v>
      </c>
      <c r="C129" s="31">
        <f t="shared" si="227"/>
        <v>0.15235597193489098</v>
      </c>
      <c r="D129" s="31">
        <f t="shared" si="227"/>
        <v>8.1002409424561467E-2</v>
      </c>
      <c r="E129" s="31">
        <f t="shared" si="227"/>
        <v>8.3818177570666064E-2</v>
      </c>
      <c r="F129" s="31">
        <f t="shared" si="236"/>
        <v>0.16482058699522753</v>
      </c>
      <c r="L129" s="18" t="str">
        <f t="shared" si="237"/>
        <v xml:space="preserve"> 51 Skilled agricultural and related trades</v>
      </c>
      <c r="M129" s="31">
        <f t="shared" si="228"/>
        <v>-1.4198151549657312E-2</v>
      </c>
      <c r="N129" s="31">
        <f t="shared" si="228"/>
        <v>0.38940638535019412</v>
      </c>
      <c r="O129" s="31">
        <f t="shared" si="228"/>
        <v>-1.1126214542081403E-2</v>
      </c>
      <c r="P129" s="31">
        <f t="shared" si="228"/>
        <v>0.12446493413134396</v>
      </c>
      <c r="Q129" s="31">
        <f t="shared" si="238"/>
        <v>0.11333871958926256</v>
      </c>
      <c r="W129" s="18" t="str">
        <f t="shared" si="239"/>
        <v xml:space="preserve"> 51 Skilled agricultural and related trades</v>
      </c>
      <c r="X129" s="31">
        <f t="shared" si="229"/>
        <v>1.133756097836021</v>
      </c>
      <c r="Y129" s="31">
        <f t="shared" si="229"/>
        <v>2.5859257012907104</v>
      </c>
      <c r="Z129" s="31">
        <f t="shared" si="229"/>
        <v>1.687244628243457</v>
      </c>
      <c r="AA129" s="31">
        <f t="shared" si="229"/>
        <v>1.0087304075569605</v>
      </c>
      <c r="AB129" s="31">
        <f t="shared" si="240"/>
        <v>2.6959750358004175</v>
      </c>
      <c r="AH129" s="18" t="str">
        <f t="shared" si="241"/>
        <v xml:space="preserve"> 51 Skilled agricultural and related trades</v>
      </c>
      <c r="AI129" s="31">
        <f t="shared" si="230"/>
        <v>0.25355377306745086</v>
      </c>
      <c r="AJ129" s="31">
        <f t="shared" si="230"/>
        <v>1.0011222468586736</v>
      </c>
      <c r="AK129" s="31">
        <f t="shared" si="230"/>
        <v>0.72757613158850321</v>
      </c>
      <c r="AL129" s="31">
        <f t="shared" si="230"/>
        <v>0.40845786822503838</v>
      </c>
      <c r="AM129" s="31">
        <f t="shared" si="242"/>
        <v>1.1360339998135416</v>
      </c>
      <c r="AS129" s="18" t="str">
        <f t="shared" si="243"/>
        <v xml:space="preserve"> 51 Skilled agricultural and related trades</v>
      </c>
      <c r="AT129" s="31">
        <f t="shared" si="231"/>
        <v>0.51453781557296052</v>
      </c>
      <c r="AU129" s="31">
        <f t="shared" si="231"/>
        <v>1.5590115408745708</v>
      </c>
      <c r="AV129" s="31">
        <f t="shared" si="231"/>
        <v>0.78539339157878052</v>
      </c>
      <c r="AW129" s="31">
        <f t="shared" si="231"/>
        <v>0.51141858674377527</v>
      </c>
      <c r="AX129" s="31">
        <f t="shared" si="244"/>
        <v>1.2968119783225558</v>
      </c>
      <c r="BD129" s="18" t="str">
        <f t="shared" si="245"/>
        <v xml:space="preserve"> 51 Skilled agricultural and related trades</v>
      </c>
      <c r="BE129" s="31">
        <f t="shared" si="232"/>
        <v>-0.30232957130920823</v>
      </c>
      <c r="BF129" s="31">
        <f t="shared" si="232"/>
        <v>2.7076141589266323</v>
      </c>
      <c r="BG129" s="31">
        <f t="shared" si="232"/>
        <v>-0.38483539922438936</v>
      </c>
      <c r="BH129" s="31">
        <f t="shared" si="232"/>
        <v>2.8067364828892494E-2</v>
      </c>
      <c r="BI129" s="31">
        <f t="shared" si="246"/>
        <v>-0.35676803439549687</v>
      </c>
      <c r="BO129" s="18" t="str">
        <f t="shared" si="247"/>
        <v xml:space="preserve"> 51 Skilled agricultural and related trades</v>
      </c>
      <c r="BP129" s="31">
        <f t="shared" si="233"/>
        <v>0.34457011522845171</v>
      </c>
      <c r="BQ129" s="31">
        <f t="shared" si="233"/>
        <v>3.3302393824931666</v>
      </c>
      <c r="BR129" s="31">
        <f t="shared" si="233"/>
        <v>-0.85952904969219723</v>
      </c>
      <c r="BS129" s="31">
        <f t="shared" si="233"/>
        <v>-0.36200214830984123</v>
      </c>
      <c r="BT129" s="31">
        <f t="shared" si="248"/>
        <v>-1.2215311980020385</v>
      </c>
      <c r="BZ129" s="18" t="str">
        <f t="shared" si="249"/>
        <v xml:space="preserve"> 51 Skilled agricultural and related trades</v>
      </c>
      <c r="CA129" s="83">
        <f t="shared" si="234"/>
        <v>0.22944826483226155</v>
      </c>
      <c r="CB129" s="83">
        <f t="shared" si="234"/>
        <v>2.8591840516959008</v>
      </c>
      <c r="CC129" s="83">
        <f t="shared" si="234"/>
        <v>-0.79498424124635569</v>
      </c>
      <c r="CD129" s="83">
        <f t="shared" si="234"/>
        <v>-0.62462720353137691</v>
      </c>
      <c r="CE129" s="83">
        <f t="shared" si="250"/>
        <v>-1.4196114447777326</v>
      </c>
      <c r="CF129" s="286"/>
      <c r="CK129" s="18" t="str">
        <f t="shared" si="251"/>
        <v xml:space="preserve"> 51 Skilled agricultural and related trades</v>
      </c>
      <c r="CL129" s="83">
        <f t="shared" si="235"/>
        <v>-1.4144380513010644</v>
      </c>
      <c r="CM129" s="83">
        <f t="shared" si="235"/>
        <v>2.2044999264542096</v>
      </c>
      <c r="CN129" s="83">
        <f t="shared" si="235"/>
        <v>-1.8943980174758552</v>
      </c>
      <c r="CO129" s="83">
        <f t="shared" si="235"/>
        <v>-1.5942887369169165</v>
      </c>
      <c r="CP129" s="83">
        <f t="shared" si="252"/>
        <v>-3.4886867543927718</v>
      </c>
    </row>
    <row r="130" spans="1:94" x14ac:dyDescent="0.2">
      <c r="A130" s="18" t="str">
        <f t="shared" si="226"/>
        <v xml:space="preserve"> 52 Skilled metal, electrical and electronic trades</v>
      </c>
      <c r="B130" s="31">
        <f t="shared" si="227"/>
        <v>2.362688721136541E-3</v>
      </c>
      <c r="C130" s="31">
        <f t="shared" si="227"/>
        <v>1.8646542295289718E-2</v>
      </c>
      <c r="D130" s="31">
        <f t="shared" si="227"/>
        <v>2.1838243298939422E-2</v>
      </c>
      <c r="E130" s="31">
        <f t="shared" si="227"/>
        <v>2.2077643880008074E-2</v>
      </c>
      <c r="F130" s="31">
        <f t="shared" si="236"/>
        <v>4.3915887178947496E-2</v>
      </c>
      <c r="L130" s="18" t="str">
        <f t="shared" si="237"/>
        <v xml:space="preserve"> 52 Skilled metal, electrical and electronic trades</v>
      </c>
      <c r="M130" s="31">
        <f t="shared" si="228"/>
        <v>0.24241386039362167</v>
      </c>
      <c r="N130" s="31">
        <f t="shared" si="228"/>
        <v>0.38441853979013796</v>
      </c>
      <c r="O130" s="31">
        <f t="shared" si="228"/>
        <v>0.33140263528427627</v>
      </c>
      <c r="P130" s="31">
        <f t="shared" si="228"/>
        <v>0.24755078469159142</v>
      </c>
      <c r="Q130" s="31">
        <f t="shared" si="238"/>
        <v>0.57895341997586769</v>
      </c>
      <c r="W130" s="18" t="str">
        <f t="shared" si="239"/>
        <v xml:space="preserve"> 52 Skilled metal, electrical and electronic trades</v>
      </c>
      <c r="X130" s="31">
        <f t="shared" si="229"/>
        <v>0.40426179149718822</v>
      </c>
      <c r="Y130" s="31">
        <f t="shared" si="229"/>
        <v>0.40315459686078592</v>
      </c>
      <c r="Z130" s="31">
        <f t="shared" si="229"/>
        <v>0.71579273444542846</v>
      </c>
      <c r="AA130" s="31">
        <f t="shared" si="229"/>
        <v>0.37066720126300812</v>
      </c>
      <c r="AB130" s="31">
        <f t="shared" si="240"/>
        <v>1.0864599357084366</v>
      </c>
      <c r="AH130" s="18" t="str">
        <f t="shared" si="241"/>
        <v xml:space="preserve"> 52 Skilled metal, electrical and electronic trades</v>
      </c>
      <c r="AI130" s="31">
        <f t="shared" si="230"/>
        <v>0.21661800182449997</v>
      </c>
      <c r="AJ130" s="31">
        <f t="shared" si="230"/>
        <v>0.10471214949506735</v>
      </c>
      <c r="AK130" s="31">
        <f t="shared" si="230"/>
        <v>0.19028526859738304</v>
      </c>
      <c r="AL130" s="31">
        <f t="shared" si="230"/>
        <v>8.5766385827184877E-2</v>
      </c>
      <c r="AM130" s="31">
        <f t="shared" si="242"/>
        <v>0.27605165442456792</v>
      </c>
      <c r="AS130" s="18" t="str">
        <f t="shared" si="243"/>
        <v xml:space="preserve"> 52 Skilled metal, electrical and electronic trades</v>
      </c>
      <c r="AT130" s="31">
        <f t="shared" si="231"/>
        <v>4.9236816469350408E-2</v>
      </c>
      <c r="AU130" s="31">
        <f t="shared" si="231"/>
        <v>0.53154558113077499</v>
      </c>
      <c r="AV130" s="31">
        <f t="shared" si="231"/>
        <v>0.88659938562001006</v>
      </c>
      <c r="AW130" s="31">
        <f t="shared" si="231"/>
        <v>0.39289340610372481</v>
      </c>
      <c r="AX130" s="31">
        <f t="shared" si="244"/>
        <v>1.2794927917237349</v>
      </c>
      <c r="BD130" s="18" t="str">
        <f t="shared" si="245"/>
        <v xml:space="preserve"> 52 Skilled metal, electrical and electronic trades</v>
      </c>
      <c r="BE130" s="31">
        <f t="shared" si="232"/>
        <v>-3.0292690906032682</v>
      </c>
      <c r="BF130" s="31">
        <f t="shared" si="232"/>
        <v>2.3873472987512088</v>
      </c>
      <c r="BG130" s="31">
        <f t="shared" si="232"/>
        <v>-2.1875656820698488</v>
      </c>
      <c r="BH130" s="31">
        <f t="shared" si="232"/>
        <v>-1.2138383333196821</v>
      </c>
      <c r="BI130" s="31">
        <f t="shared" si="246"/>
        <v>-3.4014040153895309</v>
      </c>
      <c r="BO130" s="18" t="str">
        <f t="shared" si="247"/>
        <v xml:space="preserve"> 52 Skilled metal, electrical and electronic trades</v>
      </c>
      <c r="BP130" s="31">
        <f t="shared" si="233"/>
        <v>-2.075576595458287</v>
      </c>
      <c r="BQ130" s="31">
        <f t="shared" si="233"/>
        <v>0.29632207588431747</v>
      </c>
      <c r="BR130" s="31">
        <f t="shared" si="233"/>
        <v>-2.4507985331176272</v>
      </c>
      <c r="BS130" s="31">
        <f t="shared" si="233"/>
        <v>-1.5943080374295668</v>
      </c>
      <c r="BT130" s="31">
        <f t="shared" si="248"/>
        <v>-4.045106570547194</v>
      </c>
      <c r="BZ130" s="18" t="str">
        <f t="shared" si="249"/>
        <v xml:space="preserve"> 52 Skilled metal, electrical and electronic trades</v>
      </c>
      <c r="CA130" s="83">
        <f t="shared" si="234"/>
        <v>-1.9619847327342779</v>
      </c>
      <c r="CB130" s="83">
        <f t="shared" si="234"/>
        <v>-2.648033969106045E-2</v>
      </c>
      <c r="CC130" s="83">
        <f t="shared" si="234"/>
        <v>-1.0130011517121682</v>
      </c>
      <c r="CD130" s="83">
        <f t="shared" si="234"/>
        <v>-0.87972523917316447</v>
      </c>
      <c r="CE130" s="83">
        <f t="shared" si="250"/>
        <v>-1.8927263908853327</v>
      </c>
      <c r="CF130" s="286"/>
      <c r="CK130" s="18" t="str">
        <f t="shared" si="251"/>
        <v xml:space="preserve"> 52 Skilled metal, electrical and electronic trades</v>
      </c>
      <c r="CL130" s="83">
        <f t="shared" si="235"/>
        <v>-1.930956726761857</v>
      </c>
      <c r="CM130" s="83">
        <f t="shared" si="235"/>
        <v>-0.29754383866298406</v>
      </c>
      <c r="CN130" s="83">
        <f t="shared" si="235"/>
        <v>-0.92721093061406301</v>
      </c>
      <c r="CO130" s="83">
        <f t="shared" si="235"/>
        <v>-0.48010121224165436</v>
      </c>
      <c r="CP130" s="83">
        <f t="shared" si="252"/>
        <v>-1.4073121428557174</v>
      </c>
    </row>
    <row r="131" spans="1:94" x14ac:dyDescent="0.2">
      <c r="A131" s="18" t="str">
        <f t="shared" si="226"/>
        <v xml:space="preserve"> 53 Skilled construction and building trades</v>
      </c>
      <c r="B131" s="31">
        <f t="shared" si="227"/>
        <v>1.8338038401834161E-3</v>
      </c>
      <c r="C131" s="31">
        <f t="shared" si="227"/>
        <v>3.9896238780762969E-3</v>
      </c>
      <c r="D131" s="31">
        <f t="shared" si="227"/>
        <v>4.7605120599822116E-3</v>
      </c>
      <c r="E131" s="31">
        <f t="shared" si="227"/>
        <v>2.5692597089063858E-3</v>
      </c>
      <c r="F131" s="31">
        <f t="shared" si="236"/>
        <v>7.3297717688885974E-3</v>
      </c>
      <c r="L131" s="18" t="str">
        <f t="shared" si="237"/>
        <v xml:space="preserve"> 53 Skilled construction and building trades</v>
      </c>
      <c r="M131" s="31">
        <f t="shared" si="228"/>
        <v>-0.45308215050265727</v>
      </c>
      <c r="N131" s="31">
        <f t="shared" si="228"/>
        <v>0.24388826706822836</v>
      </c>
      <c r="O131" s="31">
        <f t="shared" si="228"/>
        <v>0.27485832259733489</v>
      </c>
      <c r="P131" s="31">
        <f t="shared" si="228"/>
        <v>0.20521645516237497</v>
      </c>
      <c r="Q131" s="31">
        <f t="shared" si="238"/>
        <v>0.48007477775970986</v>
      </c>
      <c r="W131" s="18" t="str">
        <f t="shared" si="239"/>
        <v xml:space="preserve"> 53 Skilled construction and building trades</v>
      </c>
      <c r="X131" s="31">
        <f t="shared" si="229"/>
        <v>0.162256945402665</v>
      </c>
      <c r="Y131" s="31">
        <f t="shared" si="229"/>
        <v>0.22114128867935934</v>
      </c>
      <c r="Z131" s="31">
        <f t="shared" si="229"/>
        <v>0.68381227226546759</v>
      </c>
      <c r="AA131" s="31">
        <f t="shared" si="229"/>
        <v>0.31653592375735551</v>
      </c>
      <c r="AB131" s="31">
        <f t="shared" si="240"/>
        <v>1.0003481960228231</v>
      </c>
      <c r="AH131" s="18" t="str">
        <f t="shared" si="241"/>
        <v xml:space="preserve"> 53 Skilled construction and building trades</v>
      </c>
      <c r="AI131" s="31">
        <f t="shared" si="230"/>
        <v>4.6090104489404649E-2</v>
      </c>
      <c r="AJ131" s="31">
        <f t="shared" si="230"/>
        <v>0.28895921318218276</v>
      </c>
      <c r="AK131" s="31">
        <f t="shared" si="230"/>
        <v>0.54426242023143567</v>
      </c>
      <c r="AL131" s="31">
        <f t="shared" si="230"/>
        <v>0.20946003308600258</v>
      </c>
      <c r="AM131" s="31">
        <f t="shared" si="242"/>
        <v>0.75372245331743826</v>
      </c>
      <c r="AS131" s="18" t="str">
        <f t="shared" si="243"/>
        <v xml:space="preserve"> 53 Skilled construction and building trades</v>
      </c>
      <c r="AT131" s="31">
        <f t="shared" si="231"/>
        <v>-0.21713700999118912</v>
      </c>
      <c r="AU131" s="31">
        <f t="shared" si="231"/>
        <v>0.3947426736433548</v>
      </c>
      <c r="AV131" s="31">
        <f t="shared" si="231"/>
        <v>0.70539385095915619</v>
      </c>
      <c r="AW131" s="31">
        <f t="shared" si="231"/>
        <v>0.28524844592906007</v>
      </c>
      <c r="AX131" s="31">
        <f t="shared" si="244"/>
        <v>0.99064229688821626</v>
      </c>
      <c r="BD131" s="18" t="str">
        <f t="shared" si="245"/>
        <v xml:space="preserve"> 53 Skilled construction and building trades</v>
      </c>
      <c r="BE131" s="31">
        <f t="shared" si="232"/>
        <v>-4.719500889062747</v>
      </c>
      <c r="BF131" s="31">
        <f t="shared" si="232"/>
        <v>1.9955005488645092</v>
      </c>
      <c r="BG131" s="31">
        <f t="shared" si="232"/>
        <v>-0.47310079523491311</v>
      </c>
      <c r="BH131" s="31">
        <f t="shared" si="232"/>
        <v>-0.40042763745595167</v>
      </c>
      <c r="BI131" s="31">
        <f t="shared" si="246"/>
        <v>-0.87352843269086478</v>
      </c>
      <c r="BO131" s="18" t="str">
        <f t="shared" si="247"/>
        <v xml:space="preserve"> 53 Skilled construction and building trades</v>
      </c>
      <c r="BP131" s="31">
        <f t="shared" si="233"/>
        <v>-3.1900329196908697</v>
      </c>
      <c r="BQ131" s="31">
        <f t="shared" si="233"/>
        <v>3.1911558549529797</v>
      </c>
      <c r="BR131" s="31">
        <f t="shared" si="233"/>
        <v>0.39355097477926648</v>
      </c>
      <c r="BS131" s="31">
        <f t="shared" si="233"/>
        <v>1.3278170505156339E-2</v>
      </c>
      <c r="BT131" s="31">
        <f t="shared" si="248"/>
        <v>0.40682914528442282</v>
      </c>
      <c r="BZ131" s="18" t="str">
        <f t="shared" si="249"/>
        <v xml:space="preserve"> 53 Skilled construction and building trades</v>
      </c>
      <c r="CA131" s="83">
        <f t="shared" si="234"/>
        <v>-1.4872550788212298</v>
      </c>
      <c r="CB131" s="83">
        <f t="shared" si="234"/>
        <v>1.0671478226834612</v>
      </c>
      <c r="CC131" s="83">
        <f t="shared" si="234"/>
        <v>5.6100633450537174E-2</v>
      </c>
      <c r="CD131" s="83">
        <f t="shared" si="234"/>
        <v>-1.754481544386266E-2</v>
      </c>
      <c r="CE131" s="83">
        <f t="shared" si="250"/>
        <v>3.8555818006674514E-2</v>
      </c>
      <c r="CF131" s="286"/>
      <c r="CK131" s="18" t="str">
        <f t="shared" si="251"/>
        <v xml:space="preserve"> 53 Skilled construction and building trades</v>
      </c>
      <c r="CL131" s="83">
        <f t="shared" si="235"/>
        <v>-3.995571494340532</v>
      </c>
      <c r="CM131" s="83">
        <f t="shared" si="235"/>
        <v>-0.12144957599321415</v>
      </c>
      <c r="CN131" s="83">
        <f t="shared" si="235"/>
        <v>-1.3556459070566964</v>
      </c>
      <c r="CO131" s="83">
        <f t="shared" si="235"/>
        <v>-1.1907329763398593</v>
      </c>
      <c r="CP131" s="83">
        <f t="shared" si="252"/>
        <v>-2.5463788833965557</v>
      </c>
    </row>
    <row r="132" spans="1:94" x14ac:dyDescent="0.2">
      <c r="A132" s="18" t="str">
        <f t="shared" si="226"/>
        <v xml:space="preserve"> 54 Textiles, printing and other skilled trades</v>
      </c>
      <c r="B132" s="31">
        <f t="shared" si="227"/>
        <v>6.3105170930249005E-2</v>
      </c>
      <c r="C132" s="31">
        <f t="shared" si="227"/>
        <v>4.1679667856945907E-2</v>
      </c>
      <c r="D132" s="31">
        <f t="shared" si="227"/>
        <v>3.4704230586163523E-2</v>
      </c>
      <c r="E132" s="31">
        <f t="shared" si="227"/>
        <v>2.6749019012433345E-2</v>
      </c>
      <c r="F132" s="31">
        <f t="shared" si="236"/>
        <v>6.1453249598596868E-2</v>
      </c>
      <c r="L132" s="18" t="str">
        <f t="shared" si="237"/>
        <v xml:space="preserve"> 54 Textiles, printing and other skilled trades</v>
      </c>
      <c r="M132" s="31">
        <f t="shared" si="228"/>
        <v>-1.4793072255842143E-2</v>
      </c>
      <c r="N132" s="31">
        <f t="shared" si="228"/>
        <v>0.45805440028022937</v>
      </c>
      <c r="O132" s="31">
        <f t="shared" si="228"/>
        <v>0.3196971641596198</v>
      </c>
      <c r="P132" s="31">
        <f t="shared" si="228"/>
        <v>0.18393954847800176</v>
      </c>
      <c r="Q132" s="31">
        <f t="shared" si="238"/>
        <v>0.50363671263762155</v>
      </c>
      <c r="W132" s="18" t="str">
        <f t="shared" si="239"/>
        <v xml:space="preserve"> 54 Textiles, printing and other skilled trades</v>
      </c>
      <c r="X132" s="31">
        <f t="shared" si="229"/>
        <v>0.97086050093538101</v>
      </c>
      <c r="Y132" s="31">
        <f t="shared" si="229"/>
        <v>0.53596956029874621</v>
      </c>
      <c r="Z132" s="31">
        <f t="shared" si="229"/>
        <v>1.0084001839419319</v>
      </c>
      <c r="AA132" s="31">
        <f t="shared" si="229"/>
        <v>0.37352637616519413</v>
      </c>
      <c r="AB132" s="31">
        <f t="shared" si="240"/>
        <v>1.381926560107126</v>
      </c>
      <c r="AH132" s="18" t="str">
        <f t="shared" si="241"/>
        <v xml:space="preserve"> 54 Textiles, printing and other skilled trades</v>
      </c>
      <c r="AI132" s="31">
        <f t="shared" si="230"/>
        <v>3.6249333928793481E-2</v>
      </c>
      <c r="AJ132" s="31">
        <f t="shared" si="230"/>
        <v>3.9576049624306497E-2</v>
      </c>
      <c r="AK132" s="31">
        <f t="shared" si="230"/>
        <v>0.19263382953344887</v>
      </c>
      <c r="AL132" s="31">
        <f t="shared" si="230"/>
        <v>2.9720333211635808E-2</v>
      </c>
      <c r="AM132" s="31">
        <f t="shared" si="242"/>
        <v>0.22235416274508468</v>
      </c>
      <c r="AS132" s="18" t="str">
        <f t="shared" si="243"/>
        <v xml:space="preserve"> 54 Textiles, printing and other skilled trades</v>
      </c>
      <c r="AT132" s="31">
        <f t="shared" si="231"/>
        <v>0.22831833284567415</v>
      </c>
      <c r="AU132" s="31">
        <f t="shared" si="231"/>
        <v>0.15766151545280982</v>
      </c>
      <c r="AV132" s="31">
        <f t="shared" si="231"/>
        <v>0.28356580467631298</v>
      </c>
      <c r="AW132" s="31">
        <f t="shared" si="231"/>
        <v>8.7942579803995891E-2</v>
      </c>
      <c r="AX132" s="31">
        <f t="shared" si="244"/>
        <v>0.37150838448030887</v>
      </c>
      <c r="BD132" s="18" t="str">
        <f t="shared" si="245"/>
        <v xml:space="preserve"> 54 Textiles, printing and other skilled trades</v>
      </c>
      <c r="BE132" s="31">
        <f t="shared" si="232"/>
        <v>0.56088646484380078</v>
      </c>
      <c r="BF132" s="31">
        <f t="shared" si="232"/>
        <v>1.0735785971168532</v>
      </c>
      <c r="BG132" s="31">
        <f t="shared" si="232"/>
        <v>-5.1500814858401966E-2</v>
      </c>
      <c r="BH132" s="31">
        <f t="shared" si="232"/>
        <v>0.143005576856158</v>
      </c>
      <c r="BI132" s="31">
        <f t="shared" si="246"/>
        <v>9.1504761997756034E-2</v>
      </c>
      <c r="BO132" s="18" t="str">
        <f t="shared" si="247"/>
        <v xml:space="preserve"> 54 Textiles, printing and other skilled trades</v>
      </c>
      <c r="BP132" s="31">
        <f t="shared" si="233"/>
        <v>1.1281300800877041</v>
      </c>
      <c r="BQ132" s="31">
        <f t="shared" si="233"/>
        <v>-0.20177322943708553</v>
      </c>
      <c r="BR132" s="31">
        <f t="shared" si="233"/>
        <v>-2.1131968291066645</v>
      </c>
      <c r="BS132" s="31">
        <f t="shared" si="233"/>
        <v>-2.1187767724438542</v>
      </c>
      <c r="BT132" s="31">
        <f t="shared" si="248"/>
        <v>-4.2319736015505187</v>
      </c>
      <c r="BZ132" s="18" t="str">
        <f t="shared" si="249"/>
        <v xml:space="preserve"> 54 Textiles, printing and other skilled trades</v>
      </c>
      <c r="CA132" s="83">
        <f t="shared" si="234"/>
        <v>0.5371168677790088</v>
      </c>
      <c r="CB132" s="83">
        <f t="shared" si="234"/>
        <v>1.0174389067107033</v>
      </c>
      <c r="CC132" s="83">
        <f t="shared" si="234"/>
        <v>-1.1157607083918251</v>
      </c>
      <c r="CD132" s="83">
        <f t="shared" si="234"/>
        <v>-0.73929688339857602</v>
      </c>
      <c r="CE132" s="83">
        <f t="shared" si="250"/>
        <v>-1.8550575917904011</v>
      </c>
      <c r="CF132" s="286"/>
      <c r="CK132" s="18" t="str">
        <f t="shared" si="251"/>
        <v xml:space="preserve"> 54 Textiles, printing and other skilled trades</v>
      </c>
      <c r="CL132" s="83">
        <f t="shared" si="235"/>
        <v>-1.4029188449395145</v>
      </c>
      <c r="CM132" s="83">
        <f t="shared" si="235"/>
        <v>3.1578518440327663E-2</v>
      </c>
      <c r="CN132" s="83">
        <f t="shared" si="235"/>
        <v>-1.2424596478727095</v>
      </c>
      <c r="CO132" s="83">
        <f t="shared" si="235"/>
        <v>-1.2738277951579409</v>
      </c>
      <c r="CP132" s="83">
        <f t="shared" si="252"/>
        <v>-2.5162874430306506</v>
      </c>
    </row>
    <row r="133" spans="1:94" x14ac:dyDescent="0.2">
      <c r="A133" s="18" t="str">
        <f t="shared" si="226"/>
        <v xml:space="preserve"> 61 Caring personal service occupations</v>
      </c>
      <c r="B133" s="31">
        <f t="shared" si="227"/>
        <v>-4.6051023297664216E-2</v>
      </c>
      <c r="C133" s="31">
        <f t="shared" si="227"/>
        <v>4.4566204269664476E-2</v>
      </c>
      <c r="D133" s="31">
        <f t="shared" si="227"/>
        <v>3.2482801911917117E-2</v>
      </c>
      <c r="E133" s="31">
        <f t="shared" si="227"/>
        <v>2.3036501699790879E-2</v>
      </c>
      <c r="F133" s="31">
        <f t="shared" si="236"/>
        <v>5.5519303611707996E-2</v>
      </c>
      <c r="L133" s="18" t="str">
        <f t="shared" si="237"/>
        <v xml:space="preserve"> 61 Caring personal service occupations</v>
      </c>
      <c r="M133" s="31">
        <f t="shared" si="228"/>
        <v>-1.2040467150803202E-2</v>
      </c>
      <c r="N133" s="31">
        <f t="shared" si="228"/>
        <v>1.9094373704605374</v>
      </c>
      <c r="O133" s="31">
        <f t="shared" si="228"/>
        <v>1.6139382200640382</v>
      </c>
      <c r="P133" s="31">
        <f t="shared" si="228"/>
        <v>1.1914651438288937</v>
      </c>
      <c r="Q133" s="31">
        <f t="shared" si="238"/>
        <v>2.8054033638929319</v>
      </c>
      <c r="W133" s="18" t="str">
        <f t="shared" si="239"/>
        <v xml:space="preserve"> 61 Caring personal service occupations</v>
      </c>
      <c r="X133" s="31">
        <f t="shared" si="229"/>
        <v>3.1159281588864074</v>
      </c>
      <c r="Y133" s="31">
        <f t="shared" si="229"/>
        <v>3.0740142818633966</v>
      </c>
      <c r="Z133" s="31">
        <f t="shared" si="229"/>
        <v>4.7165175323894761</v>
      </c>
      <c r="AA133" s="31">
        <f t="shared" si="229"/>
        <v>1.2739390752848934</v>
      </c>
      <c r="AB133" s="31">
        <f t="shared" si="240"/>
        <v>5.9904566076743695</v>
      </c>
      <c r="AH133" s="18" t="str">
        <f t="shared" si="241"/>
        <v xml:space="preserve"> 61 Caring personal service occupations</v>
      </c>
      <c r="AI133" s="31">
        <f t="shared" si="230"/>
        <v>2.1832340393829632</v>
      </c>
      <c r="AJ133" s="31">
        <f t="shared" si="230"/>
        <v>1.4037006094879576</v>
      </c>
      <c r="AK133" s="31">
        <f t="shared" si="230"/>
        <v>1.9602864400212656</v>
      </c>
      <c r="AL133" s="31">
        <f t="shared" si="230"/>
        <v>8.6362918380405773E-2</v>
      </c>
      <c r="AM133" s="31">
        <f t="shared" si="242"/>
        <v>2.0466493584016714</v>
      </c>
      <c r="AS133" s="18" t="str">
        <f t="shared" si="243"/>
        <v xml:space="preserve"> 61 Caring personal service occupations</v>
      </c>
      <c r="AT133" s="31">
        <f t="shared" si="231"/>
        <v>1.622190636705676</v>
      </c>
      <c r="AU133" s="31">
        <f t="shared" si="231"/>
        <v>1.2707281850757548</v>
      </c>
      <c r="AV133" s="31">
        <f t="shared" si="231"/>
        <v>1.8325840496111585</v>
      </c>
      <c r="AW133" s="31">
        <f t="shared" si="231"/>
        <v>0.35120878408244849</v>
      </c>
      <c r="AX133" s="31">
        <f t="shared" si="244"/>
        <v>2.183792833693607</v>
      </c>
      <c r="BD133" s="18" t="str">
        <f t="shared" si="245"/>
        <v xml:space="preserve"> 61 Caring personal service occupations</v>
      </c>
      <c r="BE133" s="31">
        <f t="shared" si="232"/>
        <v>8.5583168552548905</v>
      </c>
      <c r="BF133" s="31">
        <f t="shared" si="232"/>
        <v>16.44905880793177</v>
      </c>
      <c r="BG133" s="31">
        <f t="shared" si="232"/>
        <v>3.4237706993876742</v>
      </c>
      <c r="BH133" s="31">
        <f t="shared" si="232"/>
        <v>8.7176228544046452</v>
      </c>
      <c r="BI133" s="31">
        <f t="shared" si="246"/>
        <v>12.141393553792319</v>
      </c>
      <c r="BO133" s="18" t="str">
        <f t="shared" si="247"/>
        <v xml:space="preserve"> 61 Caring personal service occupations</v>
      </c>
      <c r="BP133" s="31">
        <f t="shared" si="233"/>
        <v>1.8687068276763732</v>
      </c>
      <c r="BQ133" s="31">
        <f t="shared" si="233"/>
        <v>5.2573590401795727</v>
      </c>
      <c r="BR133" s="31">
        <f t="shared" si="233"/>
        <v>-6.5047165377329463E-2</v>
      </c>
      <c r="BS133" s="31">
        <f t="shared" si="233"/>
        <v>0.51423874924746116</v>
      </c>
      <c r="BT133" s="31">
        <f t="shared" si="248"/>
        <v>0.44919158387013169</v>
      </c>
      <c r="BZ133" s="18" t="str">
        <f t="shared" si="249"/>
        <v xml:space="preserve"> 61 Caring personal service occupations</v>
      </c>
      <c r="CA133" s="83">
        <f t="shared" si="234"/>
        <v>-4.1622945185254334</v>
      </c>
      <c r="CB133" s="83">
        <f t="shared" si="234"/>
        <v>-2.7533576136098237</v>
      </c>
      <c r="CC133" s="83">
        <f t="shared" si="234"/>
        <v>-3.2263931303713731</v>
      </c>
      <c r="CD133" s="83">
        <f t="shared" si="234"/>
        <v>-0.12865455504219625</v>
      </c>
      <c r="CE133" s="83">
        <f t="shared" si="250"/>
        <v>-3.3550476854135693</v>
      </c>
      <c r="CF133" s="286"/>
      <c r="CK133" s="18" t="str">
        <f t="shared" si="251"/>
        <v xml:space="preserve"> 61 Caring personal service occupations</v>
      </c>
      <c r="CL133" s="83">
        <f t="shared" si="235"/>
        <v>-3.5338920006125556</v>
      </c>
      <c r="CM133" s="83">
        <f t="shared" si="235"/>
        <v>-1.4033766196798108</v>
      </c>
      <c r="CN133" s="83">
        <f t="shared" si="235"/>
        <v>-0.20886746652339383</v>
      </c>
      <c r="CO133" s="83">
        <f t="shared" si="235"/>
        <v>0.23029722770206096</v>
      </c>
      <c r="CP133" s="83">
        <f t="shared" si="252"/>
        <v>2.1429761178667128E-2</v>
      </c>
    </row>
    <row r="134" spans="1:94" x14ac:dyDescent="0.2">
      <c r="A134" s="18" t="str">
        <f t="shared" si="226"/>
        <v xml:space="preserve"> 62 Leisure, travel and related personal service occupations</v>
      </c>
      <c r="B134" s="31">
        <f t="shared" si="227"/>
        <v>1.559539898932372E-2</v>
      </c>
      <c r="C134" s="31">
        <f t="shared" si="227"/>
        <v>2.6770884896470365E-2</v>
      </c>
      <c r="D134" s="31">
        <f t="shared" si="227"/>
        <v>1.6583689803498024E-2</v>
      </c>
      <c r="E134" s="31">
        <f t="shared" si="227"/>
        <v>4.1822821490101331E-3</v>
      </c>
      <c r="F134" s="31">
        <f t="shared" si="236"/>
        <v>2.0765971952508157E-2</v>
      </c>
      <c r="L134" s="18" t="str">
        <f t="shared" si="237"/>
        <v xml:space="preserve"> 62 Leisure, travel and related personal service occupations</v>
      </c>
      <c r="M134" s="31">
        <f t="shared" si="228"/>
        <v>0.14068658699094516</v>
      </c>
      <c r="N134" s="31">
        <f t="shared" si="228"/>
        <v>0.23684166391295786</v>
      </c>
      <c r="O134" s="31">
        <f t="shared" si="228"/>
        <v>0.15085177994661991</v>
      </c>
      <c r="P134" s="31">
        <f t="shared" si="228"/>
        <v>6.8463583578798337E-2</v>
      </c>
      <c r="Q134" s="31">
        <f t="shared" si="238"/>
        <v>0.21931536352541825</v>
      </c>
      <c r="W134" s="18" t="str">
        <f t="shared" si="239"/>
        <v xml:space="preserve"> 62 Leisure, travel and related personal service occupations</v>
      </c>
      <c r="X134" s="31">
        <f t="shared" si="229"/>
        <v>0.78030049223186349</v>
      </c>
      <c r="Y134" s="31">
        <f t="shared" si="229"/>
        <v>0.57214076585984142</v>
      </c>
      <c r="Z134" s="31">
        <f t="shared" si="229"/>
        <v>0.88863109884381775</v>
      </c>
      <c r="AA134" s="31">
        <f t="shared" si="229"/>
        <v>0.3215442833635298</v>
      </c>
      <c r="AB134" s="31">
        <f t="shared" si="240"/>
        <v>1.2101753822073475</v>
      </c>
      <c r="AH134" s="18" t="str">
        <f t="shared" si="241"/>
        <v xml:space="preserve"> 62 Leisure, travel and related personal service occupations</v>
      </c>
      <c r="AI134" s="31">
        <f t="shared" si="230"/>
        <v>0.40437074864827294</v>
      </c>
      <c r="AJ134" s="31">
        <f t="shared" si="230"/>
        <v>0.42181378051298402</v>
      </c>
      <c r="AK134" s="31">
        <f t="shared" si="230"/>
        <v>0.51251322959168588</v>
      </c>
      <c r="AL134" s="31">
        <f t="shared" si="230"/>
        <v>0.15313697821486105</v>
      </c>
      <c r="AM134" s="31">
        <f t="shared" si="242"/>
        <v>0.66565020780654693</v>
      </c>
      <c r="AS134" s="18" t="str">
        <f t="shared" si="243"/>
        <v xml:space="preserve"> 62 Leisure, travel and related personal service occupations</v>
      </c>
      <c r="AT134" s="31">
        <f t="shared" si="231"/>
        <v>0.42300785142939001</v>
      </c>
      <c r="AU134" s="31">
        <f t="shared" si="231"/>
        <v>0.6648875411416646</v>
      </c>
      <c r="AV134" s="31">
        <f t="shared" si="231"/>
        <v>0.8938055995406069</v>
      </c>
      <c r="AW134" s="31">
        <f t="shared" si="231"/>
        <v>0.35078704120097415</v>
      </c>
      <c r="AX134" s="31">
        <f t="shared" si="244"/>
        <v>1.244592640741581</v>
      </c>
      <c r="BD134" s="18" t="str">
        <f t="shared" si="245"/>
        <v xml:space="preserve"> 62 Leisure, travel and related personal service occupations</v>
      </c>
      <c r="BE134" s="31">
        <f t="shared" si="232"/>
        <v>1.2025116374651637</v>
      </c>
      <c r="BF134" s="31">
        <f t="shared" si="232"/>
        <v>1.5632341376011212</v>
      </c>
      <c r="BG134" s="31">
        <f t="shared" si="232"/>
        <v>-1.0868833328829304</v>
      </c>
      <c r="BH134" s="31">
        <f t="shared" si="232"/>
        <v>-0.4286613724910957</v>
      </c>
      <c r="BI134" s="31">
        <f t="shared" si="246"/>
        <v>-1.5155447053740261</v>
      </c>
      <c r="BO134" s="18" t="str">
        <f t="shared" si="247"/>
        <v xml:space="preserve"> 62 Leisure, travel and related personal service occupations</v>
      </c>
      <c r="BP134" s="31">
        <f t="shared" si="233"/>
        <v>-1.3444983637857373</v>
      </c>
      <c r="BQ134" s="31">
        <f t="shared" si="233"/>
        <v>0.80277393738579406</v>
      </c>
      <c r="BR134" s="31">
        <f t="shared" si="233"/>
        <v>-0.77020721432824857</v>
      </c>
      <c r="BS134" s="31">
        <f t="shared" si="233"/>
        <v>-0.93466621342802636</v>
      </c>
      <c r="BT134" s="31">
        <f t="shared" si="248"/>
        <v>-1.7048734277562749</v>
      </c>
      <c r="BZ134" s="18" t="str">
        <f t="shared" si="249"/>
        <v xml:space="preserve"> 62 Leisure, travel and related personal service occupations</v>
      </c>
      <c r="CA134" s="83">
        <f t="shared" si="234"/>
        <v>0.62428786152344262</v>
      </c>
      <c r="CB134" s="83">
        <f t="shared" si="234"/>
        <v>1.4263818587366792</v>
      </c>
      <c r="CC134" s="83">
        <f t="shared" si="234"/>
        <v>-0.79260852422196049</v>
      </c>
      <c r="CD134" s="83">
        <f t="shared" si="234"/>
        <v>2.0777492891679294E-2</v>
      </c>
      <c r="CE134" s="83">
        <f t="shared" si="250"/>
        <v>-0.77183103133028119</v>
      </c>
      <c r="CF134" s="286"/>
      <c r="CK134" s="18" t="str">
        <f t="shared" si="251"/>
        <v xml:space="preserve"> 62 Leisure, travel and related personal service occupations</v>
      </c>
      <c r="CL134" s="83">
        <f t="shared" si="235"/>
        <v>-0.97099833848040973</v>
      </c>
      <c r="CM134" s="83">
        <f t="shared" si="235"/>
        <v>0.13070342256195389</v>
      </c>
      <c r="CN134" s="83">
        <f t="shared" si="235"/>
        <v>-0.6810288097413133</v>
      </c>
      <c r="CO134" s="83">
        <f t="shared" si="235"/>
        <v>-0.34692727556696279</v>
      </c>
      <c r="CP134" s="83">
        <f t="shared" si="252"/>
        <v>-1.0279560853082761</v>
      </c>
    </row>
    <row r="135" spans="1:94" x14ac:dyDescent="0.2">
      <c r="A135" s="18" t="str">
        <f t="shared" si="226"/>
        <v xml:space="preserve"> 71 Sales occupations</v>
      </c>
      <c r="B135" s="31">
        <f t="shared" si="227"/>
        <v>3.1654970363749847E-2</v>
      </c>
      <c r="C135" s="31">
        <f t="shared" si="227"/>
        <v>8.2992217084593228E-2</v>
      </c>
      <c r="D135" s="31">
        <f t="shared" si="227"/>
        <v>3.1919689088749592E-2</v>
      </c>
      <c r="E135" s="31">
        <f t="shared" si="227"/>
        <v>1.5265912005527349E-2</v>
      </c>
      <c r="F135" s="31">
        <f t="shared" si="236"/>
        <v>4.7185601094276941E-2</v>
      </c>
      <c r="L135" s="18" t="str">
        <f t="shared" si="237"/>
        <v xml:space="preserve"> 71 Sales occupations</v>
      </c>
      <c r="M135" s="31">
        <f t="shared" si="228"/>
        <v>-0.40138574620572665</v>
      </c>
      <c r="N135" s="31">
        <f t="shared" si="228"/>
        <v>0.97747702399083103</v>
      </c>
      <c r="O135" s="31">
        <f t="shared" si="228"/>
        <v>0.74093858254604772</v>
      </c>
      <c r="P135" s="31">
        <f t="shared" si="228"/>
        <v>0.48523083615422324</v>
      </c>
      <c r="Q135" s="31">
        <f t="shared" si="238"/>
        <v>1.226169418700271</v>
      </c>
      <c r="W135" s="18" t="str">
        <f t="shared" si="239"/>
        <v xml:space="preserve"> 71 Sales occupations</v>
      </c>
      <c r="X135" s="31">
        <f t="shared" si="229"/>
        <v>3.3983131902454424</v>
      </c>
      <c r="Y135" s="31">
        <f t="shared" si="229"/>
        <v>1.0094374420008467</v>
      </c>
      <c r="Z135" s="31">
        <f t="shared" si="229"/>
        <v>3.1277654443437388</v>
      </c>
      <c r="AA135" s="31">
        <f t="shared" si="229"/>
        <v>1.2964069146458854</v>
      </c>
      <c r="AB135" s="31">
        <f t="shared" si="240"/>
        <v>4.4241723589896242</v>
      </c>
      <c r="AH135" s="18" t="str">
        <f t="shared" si="241"/>
        <v xml:space="preserve"> 71 Sales occupations</v>
      </c>
      <c r="AI135" s="31">
        <f t="shared" si="230"/>
        <v>0.78894427217982788</v>
      </c>
      <c r="AJ135" s="31">
        <f t="shared" si="230"/>
        <v>0.14600577163615158</v>
      </c>
      <c r="AK135" s="31">
        <f t="shared" si="230"/>
        <v>0.91830988804590152</v>
      </c>
      <c r="AL135" s="31">
        <f t="shared" si="230"/>
        <v>0.3732479000653619</v>
      </c>
      <c r="AM135" s="31">
        <f t="shared" si="242"/>
        <v>1.2915577881112634</v>
      </c>
      <c r="AS135" s="18" t="str">
        <f t="shared" si="243"/>
        <v xml:space="preserve"> 71 Sales occupations</v>
      </c>
      <c r="AT135" s="31">
        <f t="shared" si="231"/>
        <v>0.26774887464820951</v>
      </c>
      <c r="AU135" s="31">
        <f t="shared" si="231"/>
        <v>-0.14834498002920116</v>
      </c>
      <c r="AV135" s="31">
        <f t="shared" si="231"/>
        <v>0.42121714224240847</v>
      </c>
      <c r="AW135" s="31">
        <f t="shared" si="231"/>
        <v>0.13607689305670467</v>
      </c>
      <c r="AX135" s="31">
        <f t="shared" si="244"/>
        <v>0.55729403529911314</v>
      </c>
      <c r="BD135" s="18" t="str">
        <f t="shared" si="245"/>
        <v xml:space="preserve"> 71 Sales occupations</v>
      </c>
      <c r="BE135" s="31">
        <f t="shared" si="232"/>
        <v>1.8625170541323399E-2</v>
      </c>
      <c r="BF135" s="31">
        <f t="shared" si="232"/>
        <v>0.48121422258158475</v>
      </c>
      <c r="BG135" s="31">
        <f t="shared" si="232"/>
        <v>-0.2946934930255658</v>
      </c>
      <c r="BH135" s="31">
        <f t="shared" si="232"/>
        <v>0.43098989968290269</v>
      </c>
      <c r="BI135" s="31">
        <f t="shared" si="246"/>
        <v>0.13629640665733689</v>
      </c>
      <c r="BO135" s="18" t="str">
        <f t="shared" si="247"/>
        <v xml:space="preserve"> 71 Sales occupations</v>
      </c>
      <c r="BP135" s="31">
        <f t="shared" si="233"/>
        <v>-5.6018753735855178</v>
      </c>
      <c r="BQ135" s="31">
        <f t="shared" si="233"/>
        <v>-5.3395798151885252</v>
      </c>
      <c r="BR135" s="31">
        <f t="shared" si="233"/>
        <v>-1.4651770821617127</v>
      </c>
      <c r="BS135" s="31">
        <f t="shared" si="233"/>
        <v>-1.6705478687123012</v>
      </c>
      <c r="BT135" s="31">
        <f t="shared" si="248"/>
        <v>-3.1357249508740139</v>
      </c>
      <c r="BZ135" s="18" t="str">
        <f t="shared" si="249"/>
        <v xml:space="preserve"> 71 Sales occupations</v>
      </c>
      <c r="CA135" s="83">
        <f t="shared" si="234"/>
        <v>-2.690465679962049</v>
      </c>
      <c r="CB135" s="83">
        <f t="shared" si="234"/>
        <v>-0.77543044490931479</v>
      </c>
      <c r="CC135" s="83">
        <f t="shared" si="234"/>
        <v>-3.93103176866871</v>
      </c>
      <c r="CD135" s="83">
        <f t="shared" si="234"/>
        <v>-3.4447602748163106</v>
      </c>
      <c r="CE135" s="83">
        <f t="shared" si="250"/>
        <v>-7.3757920434850206</v>
      </c>
      <c r="CF135" s="286"/>
      <c r="CK135" s="18" t="str">
        <f t="shared" si="251"/>
        <v xml:space="preserve"> 71 Sales occupations</v>
      </c>
      <c r="CL135" s="83">
        <f t="shared" si="235"/>
        <v>-4.5065123840170216</v>
      </c>
      <c r="CM135" s="83">
        <f t="shared" si="235"/>
        <v>-0.73495818317981154</v>
      </c>
      <c r="CN135" s="83">
        <f t="shared" si="235"/>
        <v>-4.0560594686599103</v>
      </c>
      <c r="CO135" s="83">
        <f t="shared" si="235"/>
        <v>-1.428430232703696</v>
      </c>
      <c r="CP135" s="83">
        <f t="shared" si="252"/>
        <v>-5.4844897013636063</v>
      </c>
    </row>
    <row r="136" spans="1:94" x14ac:dyDescent="0.2">
      <c r="A136" s="18" t="str">
        <f t="shared" si="226"/>
        <v xml:space="preserve"> 72 Customer service occupations</v>
      </c>
      <c r="B136" s="31">
        <f t="shared" si="227"/>
        <v>4.008544701747524E-3</v>
      </c>
      <c r="C136" s="31">
        <f t="shared" si="227"/>
        <v>5.1907219238124101E-2</v>
      </c>
      <c r="D136" s="31">
        <f t="shared" si="227"/>
        <v>4.2914246734810216E-2</v>
      </c>
      <c r="E136" s="31">
        <f t="shared" si="227"/>
        <v>2.9546820375551036E-2</v>
      </c>
      <c r="F136" s="31">
        <f t="shared" si="236"/>
        <v>7.2461067110361252E-2</v>
      </c>
      <c r="L136" s="18" t="str">
        <f t="shared" si="237"/>
        <v xml:space="preserve"> 72 Customer service occupations</v>
      </c>
      <c r="M136" s="31">
        <f t="shared" si="228"/>
        <v>-7.1325871109149452E-2</v>
      </c>
      <c r="N136" s="31">
        <f t="shared" si="228"/>
        <v>0.49710844017119316</v>
      </c>
      <c r="O136" s="31">
        <f t="shared" si="228"/>
        <v>0.40512010606546567</v>
      </c>
      <c r="P136" s="31">
        <f t="shared" si="228"/>
        <v>0.28379818040523674</v>
      </c>
      <c r="Q136" s="31">
        <f t="shared" si="238"/>
        <v>0.68891828647070241</v>
      </c>
      <c r="W136" s="18" t="str">
        <f t="shared" si="239"/>
        <v xml:space="preserve"> 72 Customer service occupations</v>
      </c>
      <c r="X136" s="31">
        <f t="shared" si="229"/>
        <v>0.76877696428077735</v>
      </c>
      <c r="Y136" s="31">
        <f t="shared" si="229"/>
        <v>1.030306954592918</v>
      </c>
      <c r="Z136" s="31">
        <f t="shared" si="229"/>
        <v>1.428978705343507</v>
      </c>
      <c r="AA136" s="31">
        <f t="shared" si="229"/>
        <v>0.57605212900116243</v>
      </c>
      <c r="AB136" s="31">
        <f t="shared" si="240"/>
        <v>2.0050308343446694</v>
      </c>
      <c r="AH136" s="18" t="str">
        <f t="shared" si="241"/>
        <v xml:space="preserve"> 72 Customer service occupations</v>
      </c>
      <c r="AI136" s="31">
        <f t="shared" si="230"/>
        <v>0.20360238949783471</v>
      </c>
      <c r="AJ136" s="31">
        <f t="shared" si="230"/>
        <v>0.18664428231465857</v>
      </c>
      <c r="AK136" s="31">
        <f t="shared" si="230"/>
        <v>0.43244846034445095</v>
      </c>
      <c r="AL136" s="31">
        <f t="shared" si="230"/>
        <v>0.14858464672647442</v>
      </c>
      <c r="AM136" s="31">
        <f t="shared" si="242"/>
        <v>0.58103310707092537</v>
      </c>
      <c r="AS136" s="18" t="str">
        <f t="shared" si="243"/>
        <v xml:space="preserve"> 72 Customer service occupations</v>
      </c>
      <c r="AT136" s="31">
        <f t="shared" si="231"/>
        <v>0.44248328778514789</v>
      </c>
      <c r="AU136" s="31">
        <f t="shared" si="231"/>
        <v>0.1622508803361129</v>
      </c>
      <c r="AV136" s="31">
        <f t="shared" si="231"/>
        <v>0.48067888698771144</v>
      </c>
      <c r="AW136" s="31">
        <f t="shared" si="231"/>
        <v>0.19880263011464683</v>
      </c>
      <c r="AX136" s="31">
        <f t="shared" si="244"/>
        <v>0.67948151710235827</v>
      </c>
      <c r="BD136" s="18" t="str">
        <f t="shared" si="245"/>
        <v xml:space="preserve"> 72 Customer service occupations</v>
      </c>
      <c r="BE136" s="31">
        <f t="shared" si="232"/>
        <v>0.94910047318135149</v>
      </c>
      <c r="BF136" s="31">
        <f t="shared" si="232"/>
        <v>1.1088032289920227</v>
      </c>
      <c r="BG136" s="31">
        <f t="shared" si="232"/>
        <v>3.1536113405418398E-2</v>
      </c>
      <c r="BH136" s="31">
        <f t="shared" si="232"/>
        <v>0.39791783896517519</v>
      </c>
      <c r="BI136" s="31">
        <f t="shared" si="246"/>
        <v>0.42945395237059358</v>
      </c>
      <c r="BO136" s="18" t="str">
        <f t="shared" si="247"/>
        <v xml:space="preserve"> 72 Customer service occupations</v>
      </c>
      <c r="BP136" s="31">
        <f t="shared" si="233"/>
        <v>1.0585187525660142</v>
      </c>
      <c r="BQ136" s="31">
        <f t="shared" si="233"/>
        <v>0.39155757414907288</v>
      </c>
      <c r="BR136" s="31">
        <f t="shared" si="233"/>
        <v>0.30961474352394269</v>
      </c>
      <c r="BS136" s="31">
        <f t="shared" si="233"/>
        <v>0.49964267577473542</v>
      </c>
      <c r="BT136" s="31">
        <f t="shared" si="248"/>
        <v>0.80925741929867812</v>
      </c>
      <c r="BZ136" s="18" t="str">
        <f t="shared" si="249"/>
        <v xml:space="preserve"> 72 Customer service occupations</v>
      </c>
      <c r="CA136" s="83">
        <f t="shared" si="234"/>
        <v>6.0200590439872581E-2</v>
      </c>
      <c r="CB136" s="83">
        <f t="shared" si="234"/>
        <v>0.37282642194217708</v>
      </c>
      <c r="CC136" s="83">
        <f t="shared" si="234"/>
        <v>-0.58379789703155494</v>
      </c>
      <c r="CD136" s="83">
        <f t="shared" si="234"/>
        <v>-7.23052849031256E-2</v>
      </c>
      <c r="CE136" s="83">
        <f t="shared" si="250"/>
        <v>-0.65610318193468053</v>
      </c>
      <c r="CF136" s="286"/>
      <c r="CK136" s="18" t="str">
        <f t="shared" si="251"/>
        <v xml:space="preserve"> 72 Customer service occupations</v>
      </c>
      <c r="CL136" s="83">
        <f t="shared" si="235"/>
        <v>-0.30343008419370932</v>
      </c>
      <c r="CM136" s="83">
        <f t="shared" si="235"/>
        <v>0.34940130786738355</v>
      </c>
      <c r="CN136" s="83">
        <f t="shared" si="235"/>
        <v>-7.6434241721603513E-2</v>
      </c>
      <c r="CO136" s="83">
        <f t="shared" si="235"/>
        <v>0.25939103315968115</v>
      </c>
      <c r="CP136" s="83">
        <f t="shared" si="252"/>
        <v>0.18295679143807764</v>
      </c>
    </row>
    <row r="137" spans="1:94" x14ac:dyDescent="0.2">
      <c r="A137" s="18" t="str">
        <f t="shared" si="226"/>
        <v xml:space="preserve"> 81 Process, plant and machine operatives</v>
      </c>
      <c r="B137" s="31">
        <f t="shared" si="227"/>
        <v>6.1047114860029193E-2</v>
      </c>
      <c r="C137" s="31">
        <f t="shared" si="227"/>
        <v>4.9116723441687576E-2</v>
      </c>
      <c r="D137" s="31">
        <f t="shared" si="227"/>
        <v>4.2622804647898346E-2</v>
      </c>
      <c r="E137" s="31">
        <f t="shared" si="227"/>
        <v>3.588607827569909E-2</v>
      </c>
      <c r="F137" s="31">
        <f t="shared" si="236"/>
        <v>7.8508882923597437E-2</v>
      </c>
      <c r="L137" s="18" t="str">
        <f t="shared" si="237"/>
        <v xml:space="preserve"> 81 Process, plant and machine operatives</v>
      </c>
      <c r="M137" s="31">
        <f t="shared" si="228"/>
        <v>-9.0616925022368178E-2</v>
      </c>
      <c r="N137" s="31">
        <f t="shared" si="228"/>
        <v>0.28871096265016638</v>
      </c>
      <c r="O137" s="31">
        <f t="shared" si="228"/>
        <v>0.27162307167163868</v>
      </c>
      <c r="P137" s="31">
        <f t="shared" si="228"/>
        <v>0.23521233097046612</v>
      </c>
      <c r="Q137" s="31">
        <f t="shared" si="238"/>
        <v>0.5068354026421048</v>
      </c>
      <c r="W137" s="18" t="str">
        <f t="shared" si="239"/>
        <v xml:space="preserve"> 81 Process, plant and machine operatives</v>
      </c>
      <c r="X137" s="31">
        <f t="shared" si="229"/>
        <v>0.6313354211951121</v>
      </c>
      <c r="Y137" s="31">
        <f t="shared" si="229"/>
        <v>0.18447157350620458</v>
      </c>
      <c r="Z137" s="31">
        <f t="shared" si="229"/>
        <v>0.59857077663411973</v>
      </c>
      <c r="AA137" s="31">
        <f t="shared" si="229"/>
        <v>0.26305102518370527</v>
      </c>
      <c r="AB137" s="31">
        <f t="shared" si="240"/>
        <v>0.86162180181782499</v>
      </c>
      <c r="AH137" s="18" t="str">
        <f t="shared" si="241"/>
        <v xml:space="preserve"> 81 Process, plant and machine operatives</v>
      </c>
      <c r="AI137" s="31">
        <f t="shared" si="230"/>
        <v>0.19977009520678324</v>
      </c>
      <c r="AJ137" s="31">
        <f t="shared" si="230"/>
        <v>8.8908482398598165E-2</v>
      </c>
      <c r="AK137" s="31">
        <f t="shared" si="230"/>
        <v>0.27031469242124317</v>
      </c>
      <c r="AL137" s="31">
        <f t="shared" si="230"/>
        <v>0.14866961540205836</v>
      </c>
      <c r="AM137" s="31">
        <f t="shared" si="242"/>
        <v>0.41898430782330154</v>
      </c>
      <c r="AS137" s="18" t="str">
        <f t="shared" si="243"/>
        <v xml:space="preserve"> 81 Process, plant and machine operatives</v>
      </c>
      <c r="AT137" s="31">
        <f t="shared" si="231"/>
        <v>0.43278861391724321</v>
      </c>
      <c r="AU137" s="31">
        <f t="shared" si="231"/>
        <v>0.28653312257027608</v>
      </c>
      <c r="AV137" s="31">
        <f t="shared" si="231"/>
        <v>0.81102206345251648</v>
      </c>
      <c r="AW137" s="31">
        <f t="shared" si="231"/>
        <v>0.45681859558359861</v>
      </c>
      <c r="AX137" s="31">
        <f t="shared" si="244"/>
        <v>1.2678406590361151</v>
      </c>
      <c r="BD137" s="18" t="str">
        <f t="shared" si="245"/>
        <v xml:space="preserve"> 81 Process, plant and machine operatives</v>
      </c>
      <c r="BE137" s="31">
        <f t="shared" si="232"/>
        <v>1.0253901747601262</v>
      </c>
      <c r="BF137" s="31">
        <f t="shared" si="232"/>
        <v>1.8924687689498008</v>
      </c>
      <c r="BG137" s="31">
        <f t="shared" si="232"/>
        <v>-3.2699923054767766E-2</v>
      </c>
      <c r="BH137" s="31">
        <f t="shared" si="232"/>
        <v>0.82302717639776901</v>
      </c>
      <c r="BI137" s="31">
        <f t="shared" si="246"/>
        <v>0.79032725334300125</v>
      </c>
      <c r="BO137" s="18" t="str">
        <f t="shared" si="247"/>
        <v xml:space="preserve"> 81 Process, plant and machine operatives</v>
      </c>
      <c r="BP137" s="31">
        <f t="shared" si="233"/>
        <v>0.91586687627231811</v>
      </c>
      <c r="BQ137" s="31">
        <f t="shared" si="233"/>
        <v>0.51293591844365238</v>
      </c>
      <c r="BR137" s="31">
        <f t="shared" si="233"/>
        <v>-1.6217356280608151</v>
      </c>
      <c r="BS137" s="31">
        <f t="shared" si="233"/>
        <v>-1.0176461450390093</v>
      </c>
      <c r="BT137" s="31">
        <f t="shared" si="248"/>
        <v>-2.6393817730998244</v>
      </c>
      <c r="BZ137" s="18" t="str">
        <f t="shared" si="249"/>
        <v xml:space="preserve"> 81 Process, plant and machine operatives</v>
      </c>
      <c r="CA137" s="83">
        <f t="shared" si="234"/>
        <v>-2.8092049607610576</v>
      </c>
      <c r="CB137" s="83">
        <f t="shared" si="234"/>
        <v>-0.7878696222318986</v>
      </c>
      <c r="CC137" s="83">
        <f t="shared" si="234"/>
        <v>-3.3125133541351861</v>
      </c>
      <c r="CD137" s="83">
        <f t="shared" si="234"/>
        <v>-2.6745948142834877</v>
      </c>
      <c r="CE137" s="83">
        <f t="shared" si="250"/>
        <v>-5.9871081684186738</v>
      </c>
      <c r="CF137" s="286"/>
      <c r="CK137" s="18" t="str">
        <f t="shared" si="251"/>
        <v xml:space="preserve"> 81 Process, plant and machine operatives</v>
      </c>
      <c r="CL137" s="83">
        <f t="shared" si="235"/>
        <v>-7.8493982735819401</v>
      </c>
      <c r="CM137" s="83">
        <f t="shared" si="235"/>
        <v>-2.4050252690772886</v>
      </c>
      <c r="CN137" s="83">
        <f t="shared" si="235"/>
        <v>-4.5661898557904079</v>
      </c>
      <c r="CO137" s="83">
        <f t="shared" si="235"/>
        <v>-2.7179350517592118</v>
      </c>
      <c r="CP137" s="83">
        <f t="shared" si="252"/>
        <v>-7.2841249075496197</v>
      </c>
    </row>
    <row r="138" spans="1:94" x14ac:dyDescent="0.2">
      <c r="A138" s="18" t="str">
        <f t="shared" si="226"/>
        <v xml:space="preserve"> 82 Transport and mobile machine drivers and operatives</v>
      </c>
      <c r="B138" s="31">
        <f t="shared" si="227"/>
        <v>9.0369481696016829E-3</v>
      </c>
      <c r="C138" s="31">
        <f t="shared" si="227"/>
        <v>3.1652564532956243E-2</v>
      </c>
      <c r="D138" s="31">
        <f t="shared" si="227"/>
        <v>5.0982988799599005E-2</v>
      </c>
      <c r="E138" s="31">
        <f t="shared" si="227"/>
        <v>4.095168412907732E-2</v>
      </c>
      <c r="F138" s="31">
        <f t="shared" si="236"/>
        <v>9.1934672928676325E-2</v>
      </c>
      <c r="L138" s="18" t="str">
        <f t="shared" si="237"/>
        <v xml:space="preserve"> 82 Transport and mobile machine drivers and operatives</v>
      </c>
      <c r="M138" s="31">
        <f t="shared" si="228"/>
        <v>-8.8375936717905113E-2</v>
      </c>
      <c r="N138" s="31">
        <f t="shared" si="228"/>
        <v>0.16733100187928313</v>
      </c>
      <c r="O138" s="31">
        <f t="shared" si="228"/>
        <v>0.26120196418180452</v>
      </c>
      <c r="P138" s="31">
        <f t="shared" si="228"/>
        <v>0.20871340776983305</v>
      </c>
      <c r="Q138" s="31">
        <f t="shared" si="238"/>
        <v>0.46991537195163757</v>
      </c>
      <c r="W138" s="18" t="str">
        <f t="shared" si="239"/>
        <v xml:space="preserve"> 82 Transport and mobile machine drivers and operatives</v>
      </c>
      <c r="X138" s="31">
        <f t="shared" si="229"/>
        <v>0.49395189626579183</v>
      </c>
      <c r="Y138" s="31">
        <f t="shared" si="229"/>
        <v>0.30227117442813878</v>
      </c>
      <c r="Z138" s="31">
        <f t="shared" si="229"/>
        <v>0.77838868130990857</v>
      </c>
      <c r="AA138" s="31">
        <f t="shared" si="229"/>
        <v>0.46549566980931134</v>
      </c>
      <c r="AB138" s="31">
        <f t="shared" si="240"/>
        <v>1.2438843511192199</v>
      </c>
      <c r="AH138" s="18" t="str">
        <f t="shared" si="241"/>
        <v xml:space="preserve"> 82 Transport and mobile machine drivers and operatives</v>
      </c>
      <c r="AI138" s="31">
        <f t="shared" si="230"/>
        <v>0.35824278322679093</v>
      </c>
      <c r="AJ138" s="31">
        <f t="shared" si="230"/>
        <v>-0.1192880503563245</v>
      </c>
      <c r="AK138" s="31">
        <f t="shared" si="230"/>
        <v>0.26499064205888723</v>
      </c>
      <c r="AL138" s="31">
        <f t="shared" si="230"/>
        <v>0.1422156713197309</v>
      </c>
      <c r="AM138" s="31">
        <f t="shared" si="242"/>
        <v>0.40720631337861812</v>
      </c>
      <c r="AS138" s="18" t="str">
        <f t="shared" si="243"/>
        <v xml:space="preserve"> 82 Transport and mobile machine drivers and operatives</v>
      </c>
      <c r="AT138" s="31">
        <f t="shared" si="231"/>
        <v>0.32015888425440675</v>
      </c>
      <c r="AU138" s="31">
        <f t="shared" si="231"/>
        <v>4.4228818139698589E-2</v>
      </c>
      <c r="AV138" s="31">
        <f t="shared" si="231"/>
        <v>0.55912670546596455</v>
      </c>
      <c r="AW138" s="31">
        <f t="shared" si="231"/>
        <v>0.33337966740599212</v>
      </c>
      <c r="AX138" s="31">
        <f t="shared" si="244"/>
        <v>0.89250637287195667</v>
      </c>
      <c r="BD138" s="18" t="str">
        <f t="shared" si="245"/>
        <v xml:space="preserve"> 82 Transport and mobile machine drivers and operatives</v>
      </c>
      <c r="BE138" s="31">
        <f t="shared" si="232"/>
        <v>0.15919662683680436</v>
      </c>
      <c r="BF138" s="31">
        <f t="shared" si="232"/>
        <v>-0.46346613096453471</v>
      </c>
      <c r="BG138" s="31">
        <f t="shared" si="232"/>
        <v>0.45336064118637065</v>
      </c>
      <c r="BH138" s="31">
        <f t="shared" si="232"/>
        <v>0.71492976838613842</v>
      </c>
      <c r="BI138" s="31">
        <f t="shared" si="246"/>
        <v>1.1682904095725091</v>
      </c>
      <c r="BO138" s="18" t="str">
        <f t="shared" si="247"/>
        <v xml:space="preserve"> 82 Transport and mobile machine drivers and operatives</v>
      </c>
      <c r="BP138" s="31">
        <f t="shared" si="233"/>
        <v>-1.5608808664362197</v>
      </c>
      <c r="BQ138" s="31">
        <f t="shared" si="233"/>
        <v>-0.72025507463093774</v>
      </c>
      <c r="BR138" s="31">
        <f t="shared" si="233"/>
        <v>-0.14731060266825757</v>
      </c>
      <c r="BS138" s="31">
        <f t="shared" si="233"/>
        <v>3.4499459090735485E-3</v>
      </c>
      <c r="BT138" s="31">
        <f t="shared" si="248"/>
        <v>-0.14386065675918402</v>
      </c>
      <c r="BZ138" s="18" t="str">
        <f t="shared" si="249"/>
        <v xml:space="preserve"> 82 Transport and mobile machine drivers and operatives</v>
      </c>
      <c r="CA138" s="83">
        <f t="shared" si="234"/>
        <v>-3.7022783221683628</v>
      </c>
      <c r="CB138" s="83">
        <f t="shared" si="234"/>
        <v>-1.5011727852317325</v>
      </c>
      <c r="CC138" s="83">
        <f t="shared" si="234"/>
        <v>-0.76673630167024509</v>
      </c>
      <c r="CD138" s="83">
        <f t="shared" si="234"/>
        <v>-0.59855649616015505</v>
      </c>
      <c r="CE138" s="83">
        <f t="shared" si="250"/>
        <v>-1.3652927978304001</v>
      </c>
      <c r="CF138" s="286"/>
      <c r="CK138" s="18" t="str">
        <f t="shared" si="251"/>
        <v xml:space="preserve"> 82 Transport and mobile machine drivers and operatives</v>
      </c>
      <c r="CL138" s="83">
        <f t="shared" si="235"/>
        <v>-2.8684345074787618</v>
      </c>
      <c r="CM138" s="83">
        <f t="shared" si="235"/>
        <v>-0.64548080781215322</v>
      </c>
      <c r="CN138" s="83">
        <f t="shared" si="235"/>
        <v>-0.93213698459428285</v>
      </c>
      <c r="CO138" s="83">
        <f t="shared" si="235"/>
        <v>-0.68480638731117294</v>
      </c>
      <c r="CP138" s="83">
        <f t="shared" si="252"/>
        <v>-1.6169433719054558</v>
      </c>
    </row>
    <row r="139" spans="1:94" x14ac:dyDescent="0.2">
      <c r="A139" s="18" t="str">
        <f t="shared" si="226"/>
        <v xml:space="preserve"> 91 Elementary trades and related occupations</v>
      </c>
      <c r="B139" s="31">
        <f t="shared" si="227"/>
        <v>1.0746506497323659E-4</v>
      </c>
      <c r="C139" s="31">
        <f t="shared" si="227"/>
        <v>8.7308552095404423E-4</v>
      </c>
      <c r="D139" s="31">
        <f t="shared" si="227"/>
        <v>9.2392991948141937E-4</v>
      </c>
      <c r="E139" s="31">
        <f t="shared" si="227"/>
        <v>3.4544560832734618E-4</v>
      </c>
      <c r="F139" s="31">
        <f t="shared" si="236"/>
        <v>1.2693755278087655E-3</v>
      </c>
      <c r="L139" s="18" t="str">
        <f t="shared" si="237"/>
        <v xml:space="preserve"> 91 Elementary trades and related occupations</v>
      </c>
      <c r="M139" s="31">
        <f t="shared" si="228"/>
        <v>9.4620529648240997E-2</v>
      </c>
      <c r="N139" s="31">
        <f t="shared" si="228"/>
        <v>0.11885914402410599</v>
      </c>
      <c r="O139" s="31">
        <f t="shared" si="228"/>
        <v>0.1575294187262179</v>
      </c>
      <c r="P139" s="31">
        <f t="shared" si="228"/>
        <v>0.11706417227681221</v>
      </c>
      <c r="Q139" s="31">
        <f t="shared" si="238"/>
        <v>0.2745935910030301</v>
      </c>
      <c r="W139" s="18" t="str">
        <f t="shared" si="239"/>
        <v xml:space="preserve"> 91 Elementary trades and related occupations</v>
      </c>
      <c r="X139" s="31">
        <f t="shared" si="229"/>
        <v>0.23550860938609586</v>
      </c>
      <c r="Y139" s="31">
        <f t="shared" si="229"/>
        <v>0.34490231477756272</v>
      </c>
      <c r="Z139" s="31">
        <f t="shared" si="229"/>
        <v>0.58999383122299864</v>
      </c>
      <c r="AA139" s="31">
        <f t="shared" si="229"/>
        <v>0.2205729812687891</v>
      </c>
      <c r="AB139" s="31">
        <f t="shared" si="240"/>
        <v>0.81056681249178775</v>
      </c>
      <c r="AH139" s="18" t="str">
        <f t="shared" si="241"/>
        <v xml:space="preserve"> 91 Elementary trades and related occupations</v>
      </c>
      <c r="AI139" s="31">
        <f t="shared" si="230"/>
        <v>0.17668059905329714</v>
      </c>
      <c r="AJ139" s="31">
        <f t="shared" si="230"/>
        <v>0.17090170214904155</v>
      </c>
      <c r="AK139" s="31">
        <f t="shared" si="230"/>
        <v>0.36139591875134069</v>
      </c>
      <c r="AL139" s="31">
        <f t="shared" si="230"/>
        <v>0.16217710972784816</v>
      </c>
      <c r="AM139" s="31">
        <f t="shared" si="242"/>
        <v>0.52357302847918885</v>
      </c>
      <c r="AS139" s="18" t="str">
        <f t="shared" si="243"/>
        <v xml:space="preserve"> 91 Elementary trades and related occupations</v>
      </c>
      <c r="AT139" s="31">
        <f t="shared" si="231"/>
        <v>0.1943293691508029</v>
      </c>
      <c r="AU139" s="31">
        <f t="shared" si="231"/>
        <v>0.39665695778765309</v>
      </c>
      <c r="AV139" s="31">
        <f t="shared" si="231"/>
        <v>0.46366510493792501</v>
      </c>
      <c r="AW139" s="31">
        <f t="shared" si="231"/>
        <v>0.24607794982049547</v>
      </c>
      <c r="AX139" s="31">
        <f t="shared" si="244"/>
        <v>0.70974305475842048</v>
      </c>
      <c r="BD139" s="18" t="str">
        <f t="shared" si="245"/>
        <v xml:space="preserve"> 91 Elementary trades and related occupations</v>
      </c>
      <c r="BE139" s="31">
        <f t="shared" si="232"/>
        <v>5.9866144841093316E-2</v>
      </c>
      <c r="BF139" s="31">
        <f t="shared" si="232"/>
        <v>0.65349082122668456</v>
      </c>
      <c r="BG139" s="31">
        <f t="shared" si="232"/>
        <v>1.5059727083436059E-2</v>
      </c>
      <c r="BH139" s="31">
        <f t="shared" si="232"/>
        <v>0.14012628377084191</v>
      </c>
      <c r="BI139" s="31">
        <f t="shared" si="246"/>
        <v>0.15518601085427797</v>
      </c>
      <c r="BO139" s="18" t="str">
        <f t="shared" si="247"/>
        <v xml:space="preserve"> 91 Elementary trades and related occupations</v>
      </c>
      <c r="BP139" s="31">
        <f t="shared" si="233"/>
        <v>-0.57593650789490169</v>
      </c>
      <c r="BQ139" s="31">
        <f t="shared" si="233"/>
        <v>0.27845504988236858</v>
      </c>
      <c r="BR139" s="31">
        <f t="shared" si="233"/>
        <v>-0.27222093177708562</v>
      </c>
      <c r="BS139" s="31">
        <f t="shared" si="233"/>
        <v>-0.3467218811087216</v>
      </c>
      <c r="BT139" s="31">
        <f t="shared" si="248"/>
        <v>-0.61894281288580721</v>
      </c>
      <c r="BZ139" s="18" t="str">
        <f t="shared" si="249"/>
        <v xml:space="preserve"> 91 Elementary trades and related occupations</v>
      </c>
      <c r="CA139" s="83">
        <f t="shared" si="234"/>
        <v>-0.70994277616365231</v>
      </c>
      <c r="CB139" s="83">
        <f t="shared" si="234"/>
        <v>0.3945703447190958</v>
      </c>
      <c r="CC139" s="83">
        <f t="shared" si="234"/>
        <v>-0.31073510654267267</v>
      </c>
      <c r="CD139" s="83">
        <f t="shared" si="234"/>
        <v>0.12868963045869997</v>
      </c>
      <c r="CE139" s="83">
        <f t="shared" si="250"/>
        <v>-0.1820454760839727</v>
      </c>
      <c r="CF139" s="286"/>
      <c r="CK139" s="18" t="str">
        <f t="shared" si="251"/>
        <v xml:space="preserve"> 91 Elementary trades and related occupations</v>
      </c>
      <c r="CL139" s="83">
        <f t="shared" si="235"/>
        <v>-3.0536478473137967</v>
      </c>
      <c r="CM139" s="83">
        <f t="shared" si="235"/>
        <v>-0.43263692100125972</v>
      </c>
      <c r="CN139" s="83">
        <f t="shared" si="235"/>
        <v>-1.1886071698269185</v>
      </c>
      <c r="CO139" s="83">
        <f t="shared" si="235"/>
        <v>-0.43269849277095496</v>
      </c>
      <c r="CP139" s="83">
        <f t="shared" si="252"/>
        <v>-1.6213056625978735</v>
      </c>
    </row>
    <row r="140" spans="1:94" x14ac:dyDescent="0.2">
      <c r="A140" s="18" t="str">
        <f t="shared" si="226"/>
        <v xml:space="preserve"> 92 Elementary administration and service occupations</v>
      </c>
      <c r="B140" s="31">
        <f t="shared" si="227"/>
        <v>2.0017736246251097E-2</v>
      </c>
      <c r="C140" s="31">
        <f t="shared" si="227"/>
        <v>6.0274573206977086E-2</v>
      </c>
      <c r="D140" s="31">
        <f t="shared" si="227"/>
        <v>6.6971742971909248E-2</v>
      </c>
      <c r="E140" s="31">
        <f t="shared" si="227"/>
        <v>3.3597325821517698E-2</v>
      </c>
      <c r="F140" s="31">
        <f t="shared" si="236"/>
        <v>0.10056906879342695</v>
      </c>
      <c r="L140" s="18" t="str">
        <f t="shared" si="237"/>
        <v xml:space="preserve"> 92 Elementary administration and service occupations</v>
      </c>
      <c r="M140" s="31">
        <f t="shared" si="228"/>
        <v>0.22012802387698205</v>
      </c>
      <c r="N140" s="31">
        <f t="shared" si="228"/>
        <v>1.5863814382735528</v>
      </c>
      <c r="O140" s="31">
        <f t="shared" si="228"/>
        <v>1.6513240715233071</v>
      </c>
      <c r="P140" s="31">
        <f t="shared" si="228"/>
        <v>1.3104224857420492</v>
      </c>
      <c r="Q140" s="31">
        <f t="shared" si="238"/>
        <v>2.9617465572653563</v>
      </c>
      <c r="W140" s="18" t="str">
        <f t="shared" si="239"/>
        <v xml:space="preserve"> 92 Elementary administration and service occupations</v>
      </c>
      <c r="X140" s="31">
        <f t="shared" si="229"/>
        <v>2.3007563757367304</v>
      </c>
      <c r="Y140" s="31">
        <f t="shared" si="229"/>
        <v>3.28732981111167</v>
      </c>
      <c r="Z140" s="31">
        <f t="shared" si="229"/>
        <v>5.2616157698487953</v>
      </c>
      <c r="AA140" s="31">
        <f t="shared" si="229"/>
        <v>2.8768533308359903</v>
      </c>
      <c r="AB140" s="31">
        <f t="shared" si="240"/>
        <v>8.1384691006847856</v>
      </c>
      <c r="AH140" s="18" t="str">
        <f t="shared" si="241"/>
        <v xml:space="preserve"> 92 Elementary administration and service occupations</v>
      </c>
      <c r="AI140" s="31">
        <f t="shared" si="230"/>
        <v>1.2405069342924713</v>
      </c>
      <c r="AJ140" s="31">
        <f t="shared" si="230"/>
        <v>1.0152095375851351</v>
      </c>
      <c r="AK140" s="31">
        <f t="shared" si="230"/>
        <v>1.9646181073178868</v>
      </c>
      <c r="AL140" s="31">
        <f t="shared" si="230"/>
        <v>0.87993677041034957</v>
      </c>
      <c r="AM140" s="31">
        <f t="shared" si="242"/>
        <v>2.8445548777282363</v>
      </c>
      <c r="AS140" s="18" t="str">
        <f t="shared" si="243"/>
        <v xml:space="preserve"> 92 Elementary administration and service occupations</v>
      </c>
      <c r="AT140" s="31">
        <f t="shared" si="231"/>
        <v>0.6431987663251939</v>
      </c>
      <c r="AU140" s="31">
        <f t="shared" si="231"/>
        <v>1.2042208402065722</v>
      </c>
      <c r="AV140" s="31">
        <f t="shared" si="231"/>
        <v>1.98944360623483</v>
      </c>
      <c r="AW140" s="31">
        <f t="shared" si="231"/>
        <v>1.0240982291408898</v>
      </c>
      <c r="AX140" s="31">
        <f t="shared" si="244"/>
        <v>3.0135418353757197</v>
      </c>
      <c r="BD140" s="18" t="str">
        <f t="shared" si="245"/>
        <v xml:space="preserve"> 92 Elementary administration and service occupations</v>
      </c>
      <c r="BE140" s="31">
        <f t="shared" si="232"/>
        <v>-2.7958216594702137</v>
      </c>
      <c r="BF140" s="31">
        <f t="shared" si="232"/>
        <v>2.4950939096501727</v>
      </c>
      <c r="BG140" s="31">
        <f t="shared" si="232"/>
        <v>-0.91219306549266932</v>
      </c>
      <c r="BH140" s="31">
        <f t="shared" si="232"/>
        <v>-0.18816370880922406</v>
      </c>
      <c r="BI140" s="31">
        <f t="shared" si="246"/>
        <v>-1.1003567743018934</v>
      </c>
      <c r="BO140" s="18" t="str">
        <f t="shared" si="247"/>
        <v xml:space="preserve"> 92 Elementary administration and service occupations</v>
      </c>
      <c r="BP140" s="31">
        <f t="shared" si="233"/>
        <v>-6.0604259857913405</v>
      </c>
      <c r="BQ140" s="31">
        <f t="shared" si="233"/>
        <v>0.89965734494242611</v>
      </c>
      <c r="BR140" s="31">
        <f t="shared" si="233"/>
        <v>0.43608300946196721</v>
      </c>
      <c r="BS140" s="31">
        <f t="shared" si="233"/>
        <v>-1.2291163278309511</v>
      </c>
      <c r="BT140" s="31">
        <f t="shared" si="248"/>
        <v>-0.79303331836898394</v>
      </c>
      <c r="BZ140" s="18" t="str">
        <f t="shared" si="249"/>
        <v xml:space="preserve"> 92 Elementary administration and service occupations</v>
      </c>
      <c r="CA140" s="83">
        <f t="shared" si="234"/>
        <v>-7.270191347120992</v>
      </c>
      <c r="CB140" s="83">
        <f t="shared" si="234"/>
        <v>2.3022987295947317</v>
      </c>
      <c r="CC140" s="83">
        <f t="shared" si="234"/>
        <v>-3.755563886918182</v>
      </c>
      <c r="CD140" s="83">
        <f t="shared" si="234"/>
        <v>-3.0322644539681249</v>
      </c>
      <c r="CE140" s="83">
        <f t="shared" si="250"/>
        <v>-6.7878283408863069</v>
      </c>
      <c r="CF140" s="286"/>
      <c r="CK140" s="18" t="str">
        <f t="shared" si="251"/>
        <v xml:space="preserve"> 92 Elementary administration and service occupations</v>
      </c>
      <c r="CL140" s="83">
        <f t="shared" si="235"/>
        <v>-17.095674354503721</v>
      </c>
      <c r="CM140" s="83">
        <f t="shared" si="235"/>
        <v>-2.9328785226508884</v>
      </c>
      <c r="CN140" s="83">
        <f t="shared" si="235"/>
        <v>-6.4706150327807688</v>
      </c>
      <c r="CO140" s="83">
        <f t="shared" si="235"/>
        <v>-2.7901716723039485</v>
      </c>
      <c r="CP140" s="83">
        <f t="shared" si="252"/>
        <v>-9.2607867050847172</v>
      </c>
    </row>
    <row r="141" spans="1:94" x14ac:dyDescent="0.2">
      <c r="A141" s="18"/>
      <c r="C141" s="31"/>
      <c r="F141" s="31"/>
      <c r="L141" s="18"/>
      <c r="N141" s="31"/>
      <c r="Q141" s="31"/>
      <c r="W141" s="18"/>
      <c r="Y141" s="31"/>
      <c r="AB141" s="31"/>
      <c r="AH141" s="18"/>
      <c r="AJ141" s="31"/>
      <c r="AM141" s="31"/>
      <c r="AS141" s="18"/>
      <c r="AU141" s="31"/>
      <c r="AX141" s="31"/>
      <c r="BD141" s="18"/>
      <c r="BF141" s="31"/>
      <c r="BI141" s="31"/>
      <c r="BO141" s="18"/>
      <c r="BQ141" s="31"/>
      <c r="BT141" s="31"/>
      <c r="BZ141" s="18"/>
      <c r="CA141" s="84"/>
      <c r="CB141" s="83"/>
      <c r="CC141" s="84"/>
      <c r="CD141" s="84"/>
      <c r="CE141" s="83"/>
      <c r="CF141" s="286"/>
      <c r="CK141" s="18"/>
      <c r="CL141" s="84"/>
      <c r="CM141" s="83"/>
      <c r="CN141" s="84"/>
      <c r="CO141" s="84"/>
      <c r="CP141" s="83"/>
    </row>
    <row r="142" spans="1:94" x14ac:dyDescent="0.2">
      <c r="A142" s="28" t="str">
        <f t="shared" ref="A142" si="253">A34</f>
        <v>All occupations</v>
      </c>
      <c r="B142" s="33">
        <f>C34-B34</f>
        <v>1.1261068292941125</v>
      </c>
      <c r="C142" s="33">
        <f>D34-C34</f>
        <v>9.7210595770953176</v>
      </c>
      <c r="D142" s="33">
        <f>E34-D34</f>
        <v>5.4590739705928435</v>
      </c>
      <c r="E142" s="33">
        <f>F34-E34</f>
        <v>4.8782276973409502</v>
      </c>
      <c r="F142" s="33">
        <f t="shared" si="236"/>
        <v>10.337301667933794</v>
      </c>
      <c r="L142" s="28" t="str">
        <f t="shared" ref="L142" si="254">L34</f>
        <v>All occupations</v>
      </c>
      <c r="M142" s="33">
        <f>N34-M34</f>
        <v>-2.3546053800585014</v>
      </c>
      <c r="N142" s="33">
        <f t="shared" ref="N142" si="255">O34-N34</f>
        <v>57.269844600604017</v>
      </c>
      <c r="O142" s="33">
        <f>P34-O34</f>
        <v>31.184889060058907</v>
      </c>
      <c r="P142" s="33">
        <f>Q34-P34</f>
        <v>25.416976891060699</v>
      </c>
      <c r="Q142" s="33">
        <f>Q34-O34</f>
        <v>56.601865951119606</v>
      </c>
      <c r="W142" s="28" t="str">
        <f t="shared" ref="W142" si="256">W34</f>
        <v>All occupations</v>
      </c>
      <c r="X142" s="33">
        <f>Y34-X34</f>
        <v>53.268997618332293</v>
      </c>
      <c r="Y142" s="33">
        <f t="shared" ref="Y142" si="257">Z34-Y34</f>
        <v>41.076429195509576</v>
      </c>
      <c r="Z142" s="33">
        <f>AA34-Z34</f>
        <v>56.037910281222992</v>
      </c>
      <c r="AA142" s="33">
        <f>AB34-AA34</f>
        <v>26.998636437347102</v>
      </c>
      <c r="AB142" s="33">
        <f>AB34-Z34</f>
        <v>83.036546718570094</v>
      </c>
      <c r="AH142" s="28" t="str">
        <f t="shared" ref="AH142" si="258">AH34</f>
        <v>All occupations</v>
      </c>
      <c r="AI142" s="33">
        <f>AJ34-AI34</f>
        <v>6.0905553164812289</v>
      </c>
      <c r="AJ142" s="33">
        <f t="shared" ref="AJ142" si="259">AK34-AJ34</f>
        <v>0.34927994845998001</v>
      </c>
      <c r="AK142" s="33">
        <f>AL34-AK34</f>
        <v>4.5782675768772094</v>
      </c>
      <c r="AL142" s="33">
        <f>AM34-AL34</f>
        <v>-0.93247319162171038</v>
      </c>
      <c r="AM142" s="33">
        <f>AM34-AK34</f>
        <v>3.645794385255499</v>
      </c>
      <c r="AS142" s="28" t="str">
        <f t="shared" ref="AS142" si="260">AS34</f>
        <v>All occupations</v>
      </c>
      <c r="AT142" s="33">
        <f>AU34-AT34</f>
        <v>6.5068029101123415</v>
      </c>
      <c r="AU142" s="33">
        <f t="shared" ref="AU142" si="261">AV34-AU34</f>
        <v>7.9691582033966455</v>
      </c>
      <c r="AV142" s="33">
        <f>AW34-AV34</f>
        <v>14.253815259374008</v>
      </c>
      <c r="AW142" s="33">
        <f>AX34-AW34</f>
        <v>6.2340695807488231</v>
      </c>
      <c r="AX142" s="33">
        <f>AX34-AV34</f>
        <v>20.487884840122831</v>
      </c>
      <c r="BD142" s="28" t="str">
        <f t="shared" ref="BD142" si="262">BD34</f>
        <v>All occupations</v>
      </c>
      <c r="BE142" s="33">
        <f>BF34-BE34</f>
        <v>-0.19306952580927828</v>
      </c>
      <c r="BF142" s="33">
        <f t="shared" ref="BF142" si="263">BG34-BF34</f>
        <v>43.235417766235287</v>
      </c>
      <c r="BG142" s="33">
        <f>BH34-BG34</f>
        <v>-12.036607869348018</v>
      </c>
      <c r="BH142" s="33">
        <f>BI34-BH34</f>
        <v>8.8903240902773746</v>
      </c>
      <c r="BI142" s="33">
        <f>BI34-BG34</f>
        <v>-3.146283779070643</v>
      </c>
      <c r="BO142" s="28" t="str">
        <f t="shared" ref="BO142" si="264">BO34</f>
        <v>All occupations</v>
      </c>
      <c r="BP142" s="33">
        <f>BQ34-BP34</f>
        <v>-27.28765189252681</v>
      </c>
      <c r="BQ142" s="33">
        <f t="shared" ref="BQ142" si="265">BR34-BQ34</f>
        <v>6.1633473347315544</v>
      </c>
      <c r="BR142" s="33">
        <f>BS34-BR34</f>
        <v>-20.915636144781899</v>
      </c>
      <c r="BS142" s="33">
        <f>BT34-BS34</f>
        <v>-18.182538417469914</v>
      </c>
      <c r="BT142" s="33">
        <f>BT34-BR34</f>
        <v>-39.098174562251813</v>
      </c>
      <c r="BZ142" s="28" t="str">
        <f t="shared" ref="BZ142" si="266">BZ34</f>
        <v>All occupations</v>
      </c>
      <c r="CA142" s="85">
        <f>CB34-CA34</f>
        <v>-34.166529113451247</v>
      </c>
      <c r="CB142" s="85">
        <f t="shared" ref="CB142" si="267">CC34-CB34</f>
        <v>9.630480153789108</v>
      </c>
      <c r="CC142" s="85">
        <f>CD34-CC34</f>
        <v>-34.712092807635031</v>
      </c>
      <c r="CD142" s="85">
        <f>CE34-CD34</f>
        <v>-19.11104615880015</v>
      </c>
      <c r="CE142" s="85">
        <f>CE34-CC34</f>
        <v>-53.823138966435181</v>
      </c>
      <c r="CF142" s="286"/>
      <c r="CK142" s="28" t="str">
        <f t="shared" ref="CK142" si="268">CK34</f>
        <v>All occupations</v>
      </c>
      <c r="CL142" s="85">
        <f>CM34-CL34</f>
        <v>-54.079606763333089</v>
      </c>
      <c r="CM142" s="85">
        <f t="shared" ref="CM142" si="269">CN34-CM34</f>
        <v>-3.5330167799643846</v>
      </c>
      <c r="CN142" s="85">
        <f>CO34-CN34</f>
        <v>-27.322619325036335</v>
      </c>
      <c r="CO142" s="85">
        <f>CP34-CO34</f>
        <v>-11.306176929164458</v>
      </c>
      <c r="CP142" s="85">
        <f>CP34-CN34</f>
        <v>-38.628796254200793</v>
      </c>
    </row>
    <row r="143" spans="1:94" x14ac:dyDescent="0.2">
      <c r="BZ143" s="286"/>
      <c r="CA143" s="286"/>
      <c r="CB143" s="286"/>
      <c r="CC143" s="286"/>
      <c r="CD143" s="286"/>
      <c r="CE143" s="286"/>
      <c r="CF143" s="286"/>
    </row>
    <row r="144" spans="1:94" x14ac:dyDescent="0.2">
      <c r="BZ144" s="286"/>
      <c r="CA144" s="286"/>
      <c r="CB144" s="286"/>
      <c r="CC144" s="286"/>
      <c r="CD144" s="286"/>
      <c r="CE144" s="286"/>
      <c r="CF144" s="286"/>
    </row>
    <row r="145" spans="78:84" x14ac:dyDescent="0.2">
      <c r="BZ145" s="286"/>
      <c r="CA145" s="286"/>
      <c r="CB145" s="286"/>
      <c r="CC145" s="286"/>
      <c r="CD145" s="286"/>
      <c r="CE145" s="286"/>
      <c r="CF145" s="286"/>
    </row>
    <row r="146" spans="78:84" x14ac:dyDescent="0.2">
      <c r="BZ146" s="286"/>
      <c r="CA146" s="286"/>
      <c r="CB146" s="286"/>
      <c r="CC146" s="286"/>
      <c r="CD146" s="286"/>
      <c r="CE146" s="286"/>
      <c r="CF146" s="286"/>
    </row>
    <row r="147" spans="78:84" x14ac:dyDescent="0.2">
      <c r="BZ147" s="286"/>
      <c r="CA147" s="286"/>
      <c r="CB147" s="286"/>
      <c r="CC147" s="286"/>
      <c r="CD147" s="286"/>
      <c r="CE147" s="286"/>
      <c r="CF147" s="286"/>
    </row>
    <row r="148" spans="78:84" x14ac:dyDescent="0.2">
      <c r="BZ148" s="286"/>
      <c r="CA148" s="286"/>
      <c r="CB148" s="286"/>
      <c r="CC148" s="286"/>
      <c r="CD148" s="286"/>
      <c r="CE148" s="286"/>
      <c r="CF148" s="286"/>
    </row>
    <row r="149" spans="78:84" x14ac:dyDescent="0.2">
      <c r="BZ149" s="286"/>
      <c r="CA149" s="286"/>
      <c r="CB149" s="286"/>
      <c r="CC149" s="286"/>
      <c r="CD149" s="286"/>
      <c r="CE149" s="286"/>
      <c r="CF149" s="286"/>
    </row>
    <row r="150" spans="78:84" x14ac:dyDescent="0.2">
      <c r="BZ150" s="286"/>
      <c r="CA150" s="286"/>
      <c r="CB150" s="286"/>
      <c r="CC150" s="286"/>
      <c r="CD150" s="286"/>
      <c r="CE150" s="286"/>
      <c r="CF150" s="286"/>
    </row>
    <row r="151" spans="78:84" x14ac:dyDescent="0.2">
      <c r="BZ151" s="286"/>
      <c r="CA151" s="286"/>
      <c r="CB151" s="286"/>
      <c r="CC151" s="286"/>
      <c r="CD151" s="286"/>
      <c r="CE151" s="286"/>
      <c r="CF151" s="286"/>
    </row>
    <row r="152" spans="78:84" x14ac:dyDescent="0.2">
      <c r="BZ152" s="286"/>
      <c r="CA152" s="286"/>
      <c r="CB152" s="286"/>
      <c r="CC152" s="286"/>
      <c r="CD152" s="286"/>
      <c r="CE152" s="286"/>
      <c r="CF152" s="286"/>
    </row>
    <row r="153" spans="78:84" x14ac:dyDescent="0.2">
      <c r="BZ153" s="286"/>
      <c r="CA153" s="286"/>
      <c r="CB153" s="286"/>
      <c r="CC153" s="286"/>
      <c r="CD153" s="286"/>
      <c r="CE153" s="286"/>
      <c r="CF153" s="286"/>
    </row>
    <row r="154" spans="78:84" x14ac:dyDescent="0.2">
      <c r="BZ154" s="286"/>
      <c r="CA154" s="286"/>
      <c r="CB154" s="286"/>
      <c r="CC154" s="286"/>
      <c r="CD154" s="286"/>
      <c r="CE154" s="286"/>
      <c r="CF154" s="286"/>
    </row>
    <row r="155" spans="78:84" x14ac:dyDescent="0.2">
      <c r="BZ155" s="286"/>
      <c r="CA155" s="286"/>
      <c r="CB155" s="286"/>
      <c r="CC155" s="286"/>
      <c r="CD155" s="286"/>
      <c r="CE155" s="286"/>
      <c r="CF155" s="286"/>
    </row>
    <row r="156" spans="78:84" x14ac:dyDescent="0.2">
      <c r="BZ156" s="286"/>
      <c r="CA156" s="286"/>
      <c r="CB156" s="286"/>
      <c r="CC156" s="286"/>
      <c r="CD156" s="286"/>
      <c r="CE156" s="286"/>
      <c r="CF156" s="286"/>
    </row>
    <row r="157" spans="78:84" x14ac:dyDescent="0.2">
      <c r="BZ157" s="286"/>
      <c r="CA157" s="286"/>
      <c r="CB157" s="286"/>
      <c r="CC157" s="286"/>
      <c r="CD157" s="286"/>
      <c r="CE157" s="286"/>
      <c r="CF157" s="286"/>
    </row>
    <row r="158" spans="78:84" x14ac:dyDescent="0.2">
      <c r="BZ158" s="286"/>
      <c r="CA158" s="286"/>
      <c r="CB158" s="286"/>
      <c r="CC158" s="286"/>
      <c r="CD158" s="286"/>
      <c r="CE158" s="286"/>
      <c r="CF158" s="286"/>
    </row>
    <row r="159" spans="78:84" x14ac:dyDescent="0.2">
      <c r="BZ159" s="286"/>
      <c r="CA159" s="286"/>
      <c r="CB159" s="286"/>
      <c r="CC159" s="286"/>
      <c r="CD159" s="286"/>
      <c r="CE159" s="286"/>
      <c r="CF159" s="286"/>
    </row>
    <row r="160" spans="78:84" x14ac:dyDescent="0.2">
      <c r="BZ160" s="286"/>
      <c r="CA160" s="286"/>
      <c r="CB160" s="286"/>
      <c r="CC160" s="286"/>
      <c r="CD160" s="286"/>
      <c r="CE160" s="286"/>
      <c r="CF160" s="286"/>
    </row>
    <row r="161" spans="78:84" x14ac:dyDescent="0.2">
      <c r="BZ161" s="286"/>
      <c r="CA161" s="286"/>
      <c r="CB161" s="286"/>
      <c r="CC161" s="286"/>
      <c r="CD161" s="286"/>
      <c r="CE161" s="286"/>
      <c r="CF161" s="286"/>
    </row>
    <row r="162" spans="78:84" x14ac:dyDescent="0.2">
      <c r="BZ162" s="286"/>
      <c r="CA162" s="286"/>
      <c r="CB162" s="286"/>
      <c r="CC162" s="286"/>
      <c r="CD162" s="286"/>
      <c r="CE162" s="286"/>
      <c r="CF162" s="286"/>
    </row>
    <row r="163" spans="78:84" x14ac:dyDescent="0.2">
      <c r="BZ163" s="286"/>
      <c r="CA163" s="286"/>
      <c r="CB163" s="286"/>
      <c r="CC163" s="286"/>
      <c r="CD163" s="286"/>
      <c r="CE163" s="286"/>
      <c r="CF163" s="286"/>
    </row>
    <row r="164" spans="78:84" x14ac:dyDescent="0.2">
      <c r="BZ164" s="286"/>
      <c r="CA164" s="286"/>
      <c r="CB164" s="286"/>
      <c r="CC164" s="286"/>
      <c r="CD164" s="286"/>
      <c r="CE164" s="286"/>
      <c r="CF164" s="286"/>
    </row>
    <row r="165" spans="78:84" x14ac:dyDescent="0.2">
      <c r="BZ165" s="286"/>
      <c r="CA165" s="286"/>
      <c r="CB165" s="286"/>
      <c r="CC165" s="286"/>
      <c r="CD165" s="286"/>
      <c r="CE165" s="286"/>
      <c r="CF165" s="286"/>
    </row>
    <row r="166" spans="78:84" x14ac:dyDescent="0.2">
      <c r="BZ166" s="286"/>
      <c r="CA166" s="286"/>
      <c r="CB166" s="286"/>
      <c r="CC166" s="286"/>
      <c r="CD166" s="286"/>
      <c r="CE166" s="286"/>
      <c r="CF166" s="286"/>
    </row>
    <row r="167" spans="78:84" x14ac:dyDescent="0.2">
      <c r="BZ167" s="286"/>
      <c r="CA167" s="286"/>
      <c r="CB167" s="286"/>
      <c r="CC167" s="286"/>
      <c r="CD167" s="286"/>
      <c r="CE167" s="286"/>
      <c r="CF167" s="286"/>
    </row>
    <row r="168" spans="78:84" x14ac:dyDescent="0.2">
      <c r="BZ168" s="286"/>
      <c r="CA168" s="286"/>
      <c r="CB168" s="286"/>
      <c r="CC168" s="286"/>
      <c r="CD168" s="286"/>
      <c r="CE168" s="286"/>
      <c r="CF168" s="286"/>
    </row>
    <row r="169" spans="78:84" x14ac:dyDescent="0.2">
      <c r="BZ169" s="286"/>
      <c r="CA169" s="286"/>
      <c r="CB169" s="286"/>
      <c r="CC169" s="286"/>
      <c r="CD169" s="286"/>
      <c r="CE169" s="286"/>
      <c r="CF169" s="286"/>
    </row>
    <row r="170" spans="78:84" x14ac:dyDescent="0.2">
      <c r="BZ170" s="286"/>
      <c r="CA170" s="286"/>
      <c r="CB170" s="286"/>
      <c r="CC170" s="286"/>
      <c r="CD170" s="286"/>
      <c r="CE170" s="286"/>
      <c r="CF170" s="286"/>
    </row>
    <row r="171" spans="78:84" x14ac:dyDescent="0.2">
      <c r="BZ171" s="286"/>
      <c r="CA171" s="286"/>
      <c r="CB171" s="286"/>
      <c r="CC171" s="286"/>
      <c r="CD171" s="286"/>
      <c r="CE171" s="286"/>
      <c r="CF171" s="286"/>
    </row>
    <row r="172" spans="78:84" x14ac:dyDescent="0.2">
      <c r="BZ172" s="286"/>
      <c r="CA172" s="286"/>
      <c r="CB172" s="286"/>
      <c r="CC172" s="286"/>
      <c r="CD172" s="286"/>
      <c r="CE172" s="286"/>
      <c r="CF172" s="286"/>
    </row>
    <row r="173" spans="78:84" x14ac:dyDescent="0.2">
      <c r="BZ173" s="286"/>
      <c r="CA173" s="286"/>
      <c r="CB173" s="286"/>
      <c r="CC173" s="286"/>
      <c r="CD173" s="286"/>
      <c r="CE173" s="286"/>
      <c r="CF173" s="286"/>
    </row>
    <row r="174" spans="78:84" x14ac:dyDescent="0.2">
      <c r="BZ174" s="286"/>
      <c r="CA174" s="286"/>
      <c r="CB174" s="286"/>
      <c r="CC174" s="286"/>
      <c r="CD174" s="286"/>
      <c r="CE174" s="286"/>
      <c r="CF174" s="286"/>
    </row>
    <row r="175" spans="78:84" x14ac:dyDescent="0.2">
      <c r="BZ175" s="286"/>
      <c r="CA175" s="286"/>
      <c r="CB175" s="286"/>
      <c r="CC175" s="286"/>
      <c r="CD175" s="286"/>
      <c r="CE175" s="286"/>
      <c r="CF175" s="286"/>
    </row>
    <row r="176" spans="78:84" x14ac:dyDescent="0.2">
      <c r="BZ176" s="286"/>
      <c r="CA176" s="286"/>
      <c r="CB176" s="286"/>
      <c r="CC176" s="286"/>
      <c r="CD176" s="286"/>
      <c r="CE176" s="286"/>
      <c r="CF176" s="286"/>
    </row>
    <row r="177" spans="78:84" x14ac:dyDescent="0.2">
      <c r="BZ177" s="286"/>
      <c r="CA177" s="286"/>
      <c r="CB177" s="286"/>
      <c r="CC177" s="286"/>
      <c r="CD177" s="286"/>
      <c r="CE177" s="286"/>
      <c r="CF177" s="286"/>
    </row>
  </sheetData>
  <mergeCells count="36">
    <mergeCell ref="W1:AF1"/>
    <mergeCell ref="L1:U1"/>
    <mergeCell ref="A1:J1"/>
    <mergeCell ref="A37:J37"/>
    <mergeCell ref="L37:U37"/>
    <mergeCell ref="W37:AF37"/>
    <mergeCell ref="A73:J73"/>
    <mergeCell ref="L73:U73"/>
    <mergeCell ref="W73:AF73"/>
    <mergeCell ref="A109:J109"/>
    <mergeCell ref="L109:U109"/>
    <mergeCell ref="W109:AF109"/>
    <mergeCell ref="AH1:AQ1"/>
    <mergeCell ref="AH37:AQ37"/>
    <mergeCell ref="AH73:AQ73"/>
    <mergeCell ref="AH109:AQ109"/>
    <mergeCell ref="AS1:BB1"/>
    <mergeCell ref="AS37:BB37"/>
    <mergeCell ref="AS73:BB73"/>
    <mergeCell ref="AS109:BB109"/>
    <mergeCell ref="BD1:BM1"/>
    <mergeCell ref="BD37:BM37"/>
    <mergeCell ref="BD73:BM73"/>
    <mergeCell ref="BD109:BM109"/>
    <mergeCell ref="BO1:BX1"/>
    <mergeCell ref="BO37:BX37"/>
    <mergeCell ref="BO73:BX73"/>
    <mergeCell ref="BO109:BX109"/>
    <mergeCell ref="BZ1:CI1"/>
    <mergeCell ref="BZ37:CI37"/>
    <mergeCell ref="BZ73:CI73"/>
    <mergeCell ref="BZ109:CI109"/>
    <mergeCell ref="CK1:CT1"/>
    <mergeCell ref="CK37:CT37"/>
    <mergeCell ref="CK73:CT73"/>
    <mergeCell ref="CK109:CT109"/>
  </mergeCells>
  <pageMargins left="0.39370078740157483" right="0.39370078740157483" top="0.19685039370078741" bottom="0.19685039370078741" header="0.19685039370078741" footer="0.19685039370078741"/>
  <pageSetup paperSize="9" scale="72" fitToHeight="0" orientation="portrait" r:id="rId1"/>
  <headerFooter alignWithMargins="0"/>
  <rowBreaks count="1" manualBreakCount="1">
    <brk id="72" max="16383" man="1"/>
  </rowBreaks>
  <colBreaks count="8" manualBreakCount="8">
    <brk id="10" max="141" man="1"/>
    <brk id="21" max="141" man="1"/>
    <brk id="32" max="141" man="1"/>
    <brk id="43" max="141" man="1"/>
    <brk id="54" max="141" man="1"/>
    <brk id="65" max="141" man="1"/>
    <brk id="76" max="141" man="1"/>
    <brk id="87" max="141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G36"/>
  <sheetViews>
    <sheetView showGridLines="0" zoomScale="85" zoomScaleNormal="85" workbookViewId="0"/>
  </sheetViews>
  <sheetFormatPr defaultColWidth="9.140625" defaultRowHeight="12.75" x14ac:dyDescent="0.2"/>
  <cols>
    <col min="1" max="1" width="55.7109375" style="123" customWidth="1"/>
    <col min="2" max="4" width="11.7109375" style="123" customWidth="1"/>
    <col min="5" max="5" width="14.7109375" style="123" customWidth="1"/>
    <col min="6" max="8" width="11.7109375" style="123" customWidth="1"/>
    <col min="9" max="9" width="16.5703125" style="123" customWidth="1"/>
    <col min="10" max="11" width="11.7109375" style="123" customWidth="1"/>
    <col min="12" max="12" width="2.7109375" style="123" customWidth="1"/>
    <col min="13" max="22" width="11.7109375" style="123" customWidth="1"/>
    <col min="23" max="23" width="2.7109375" style="123" customWidth="1"/>
    <col min="24" max="32" width="11.7109375" style="123" customWidth="1"/>
    <col min="33" max="33" width="12.85546875" style="123" customWidth="1"/>
    <col min="34" max="16384" width="9.140625" style="123"/>
  </cols>
  <sheetData>
    <row r="1" spans="1:33" ht="15.75" x14ac:dyDescent="0.25">
      <c r="A1" s="23" t="str">
        <f>CONCATENATE("Basic Table 3  Occupation by Qualification in ",A$6,", ",Info!B5)</f>
        <v>Basic Table 3  Occupation by Qualification in 2017, Wales</v>
      </c>
    </row>
    <row r="2" spans="1:33" ht="15.75" x14ac:dyDescent="0.25">
      <c r="A2" s="23"/>
    </row>
    <row r="3" spans="1:33" x14ac:dyDescent="0.2">
      <c r="AG3" s="124"/>
    </row>
    <row r="4" spans="1:33" x14ac:dyDescent="0.2">
      <c r="A4" s="132"/>
      <c r="B4" s="131" t="s">
        <v>514</v>
      </c>
      <c r="C4" s="130"/>
      <c r="D4" s="130"/>
      <c r="E4" s="130"/>
      <c r="F4" s="130"/>
      <c r="G4" s="130"/>
      <c r="H4" s="130"/>
      <c r="I4" s="130"/>
      <c r="J4" s="130"/>
      <c r="K4" s="130"/>
      <c r="L4" s="132"/>
      <c r="M4" s="131" t="s">
        <v>512</v>
      </c>
      <c r="N4" s="130"/>
      <c r="O4" s="130"/>
      <c r="P4" s="130"/>
      <c r="Q4" s="130"/>
      <c r="R4" s="130"/>
      <c r="S4" s="130"/>
      <c r="T4" s="130"/>
      <c r="U4" s="130"/>
      <c r="V4" s="130"/>
      <c r="W4" s="132"/>
      <c r="X4" s="131" t="s">
        <v>513</v>
      </c>
      <c r="Y4" s="130"/>
      <c r="Z4" s="130"/>
      <c r="AA4" s="130"/>
      <c r="AB4" s="130"/>
      <c r="AC4" s="130"/>
      <c r="AD4" s="130"/>
      <c r="AE4" s="130"/>
      <c r="AF4" s="130"/>
    </row>
    <row r="5" spans="1:33" x14ac:dyDescent="0.2">
      <c r="A5" s="129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9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9"/>
      <c r="X5" s="124"/>
      <c r="Y5" s="124"/>
      <c r="Z5" s="124"/>
      <c r="AA5" s="124"/>
      <c r="AB5" s="124"/>
      <c r="AC5" s="124"/>
      <c r="AD5" s="124"/>
      <c r="AE5" s="124"/>
      <c r="AF5" s="124"/>
      <c r="AG5" s="124"/>
    </row>
    <row r="6" spans="1:33" ht="51" x14ac:dyDescent="0.2">
      <c r="A6" s="136">
        <f>'Basic T2'!D6</f>
        <v>2017</v>
      </c>
      <c r="B6" s="346" t="str">
        <f>name!$F$4</f>
        <v>RQF8 Doctorate</v>
      </c>
      <c r="C6" s="346" t="str">
        <f>name!$F$5</f>
        <v>RQF7 Other higher degree</v>
      </c>
      <c r="D6" s="346" t="str">
        <f>name!$F$6</f>
        <v>RQF6 First degree</v>
      </c>
      <c r="E6" s="346" t="str">
        <f>name!$F$7</f>
        <v>RQF5 Foundation degree;Nursing;Teaching</v>
      </c>
      <c r="F6" s="346" t="str">
        <f>name!$F$8</f>
        <v>RQF4 HE below degree level</v>
      </c>
      <c r="G6" s="346" t="str">
        <f>name!$F$9</f>
        <v>RQF3 A level &amp; equivalent</v>
      </c>
      <c r="H6" s="346" t="str">
        <f>name!$F$10</f>
        <v>RQF2 GCSE(A-C) &amp; equivalent</v>
      </c>
      <c r="I6" s="346" t="str">
        <f>name!$F$11</f>
        <v>RQF1 GCSE(below grade C) &amp; equivalent</v>
      </c>
      <c r="J6" s="346" t="str">
        <f>name!$F$12</f>
        <v>No Qualification</v>
      </c>
      <c r="K6" s="346" t="str">
        <f>name!$F$3</f>
        <v>All qualifications</v>
      </c>
      <c r="L6" s="124"/>
      <c r="M6" s="346" t="str">
        <f>name!$F$4</f>
        <v>RQF8 Doctorate</v>
      </c>
      <c r="N6" s="346" t="str">
        <f>name!$F$5</f>
        <v>RQF7 Other higher degree</v>
      </c>
      <c r="O6" s="346" t="str">
        <f>name!$F$6</f>
        <v>RQF6 First degree</v>
      </c>
      <c r="P6" s="346" t="str">
        <f>name!$F$7</f>
        <v>RQF5 Foundation degree;Nursing;Teaching</v>
      </c>
      <c r="Q6" s="346" t="str">
        <f>name!$F$8</f>
        <v>RQF4 HE below degree level</v>
      </c>
      <c r="R6" s="346" t="str">
        <f>name!$F$9</f>
        <v>RQF3 A level &amp; equivalent</v>
      </c>
      <c r="S6" s="346" t="str">
        <f>name!$F$10</f>
        <v>RQF2 GCSE(A-C) &amp; equivalent</v>
      </c>
      <c r="T6" s="346" t="str">
        <f>name!$F$11</f>
        <v>RQF1 GCSE(below grade C) &amp; equivalent</v>
      </c>
      <c r="U6" s="346" t="str">
        <f>name!$F$12</f>
        <v>No Qualification</v>
      </c>
      <c r="V6" s="346" t="str">
        <f>name!$F$3</f>
        <v>All qualifications</v>
      </c>
      <c r="W6" s="124"/>
      <c r="X6" s="346" t="str">
        <f>name!$F$4</f>
        <v>RQF8 Doctorate</v>
      </c>
      <c r="Y6" s="346" t="str">
        <f>name!$F$5</f>
        <v>RQF7 Other higher degree</v>
      </c>
      <c r="Z6" s="346" t="str">
        <f>name!$F$6</f>
        <v>RQF6 First degree</v>
      </c>
      <c r="AA6" s="346" t="str">
        <f>name!$F$7</f>
        <v>RQF5 Foundation degree;Nursing;Teaching</v>
      </c>
      <c r="AB6" s="346" t="str">
        <f>name!$F$8</f>
        <v>RQF4 HE below degree level</v>
      </c>
      <c r="AC6" s="346" t="str">
        <f>name!$F$9</f>
        <v>RQF3 A level &amp; equivalent</v>
      </c>
      <c r="AD6" s="346" t="str">
        <f>name!$F$10</f>
        <v>RQF2 GCSE(A-C) &amp; equivalent</v>
      </c>
      <c r="AE6" s="346" t="str">
        <f>name!$F$11</f>
        <v>RQF1 GCSE(below grade C) &amp; equivalent</v>
      </c>
      <c r="AF6" s="346" t="str">
        <f>name!$F$12</f>
        <v>No Qualification</v>
      </c>
      <c r="AG6" s="346" t="str">
        <f>name!$F$3</f>
        <v>All qualifications</v>
      </c>
    </row>
    <row r="8" spans="1:33" x14ac:dyDescent="0.2">
      <c r="A8" s="12" t="str">
        <f>name!D4</f>
        <v xml:space="preserve"> 11 Corporate managers and directors</v>
      </c>
      <c r="B8" s="84">
        <f>'Basic T2'!D8</f>
        <v>0.96060313506145878</v>
      </c>
      <c r="C8" s="84">
        <f>'Basic T2'!O8</f>
        <v>9.0883648292283628</v>
      </c>
      <c r="D8" s="84">
        <f>'Basic T2'!Z8</f>
        <v>20.773683414307659</v>
      </c>
      <c r="E8" s="84">
        <f>'Basic T2'!AK8</f>
        <v>4.5695853498285439</v>
      </c>
      <c r="F8" s="84">
        <f>'Basic T2'!AV8</f>
        <v>5.9638238260868999</v>
      </c>
      <c r="G8" s="84">
        <f>'Basic T2'!BG8</f>
        <v>13.97595679337579</v>
      </c>
      <c r="H8" s="84">
        <f>'Basic T2'!BR8</f>
        <v>11.26854288028037</v>
      </c>
      <c r="I8" s="84">
        <f>'Basic T2'!CC8</f>
        <v>7.1396985417921597</v>
      </c>
      <c r="J8" s="84">
        <f>'Basic T2'!CN8</f>
        <v>2.0870388652202632</v>
      </c>
      <c r="K8" s="448">
        <f>SUM(B8:J8)</f>
        <v>75.827297635181509</v>
      </c>
      <c r="L8" s="133"/>
      <c r="M8" s="133">
        <f t="shared" ref="M8:M32" si="0">B8/B$34*100</f>
        <v>3.9533273800243256</v>
      </c>
      <c r="N8" s="133">
        <f t="shared" ref="N8:N32" si="1">C8/C$34*100</f>
        <v>6.1957361156863415</v>
      </c>
      <c r="O8" s="133">
        <f t="shared" ref="O8:O32" si="2">D8/D$34*100</f>
        <v>7.9578632142661228</v>
      </c>
      <c r="P8" s="133">
        <f t="shared" ref="P8:U23" si="3">E8/E$34*100</f>
        <v>5.2897161221606082</v>
      </c>
      <c r="Q8" s="133">
        <f t="shared" si="3"/>
        <v>7.9156692856322683</v>
      </c>
      <c r="R8" s="133">
        <f t="shared" si="3"/>
        <v>4.2766324028325418</v>
      </c>
      <c r="S8" s="133">
        <f t="shared" si="3"/>
        <v>3.5338550325573808</v>
      </c>
      <c r="T8" s="133">
        <f t="shared" si="3"/>
        <v>3.4776029280904757</v>
      </c>
      <c r="U8" s="133">
        <f t="shared" si="3"/>
        <v>2.4546903621619869</v>
      </c>
      <c r="V8" s="133">
        <f t="shared" ref="V8:V32" si="4">K8/K$34*100</f>
        <v>4.9568100640061026</v>
      </c>
      <c r="W8" s="133"/>
      <c r="X8" s="133">
        <f t="shared" ref="X8:X32" si="5">IF($K8&gt;0,B8/$K8*100,0)</f>
        <v>1.2668302379481986</v>
      </c>
      <c r="Y8" s="133">
        <f t="shared" ref="Y8:AG23" si="6">IF($K8&gt;0,C8/$K8*100,0)</f>
        <v>11.985610871897464</v>
      </c>
      <c r="Z8" s="133">
        <f t="shared" si="6"/>
        <v>27.39604873465689</v>
      </c>
      <c r="AA8" s="133">
        <f t="shared" si="6"/>
        <v>6.0263064784579612</v>
      </c>
      <c r="AB8" s="133">
        <f t="shared" si="6"/>
        <v>7.8650090562107424</v>
      </c>
      <c r="AC8" s="133">
        <f t="shared" si="6"/>
        <v>18.431300111229838</v>
      </c>
      <c r="AD8" s="133">
        <f t="shared" si="6"/>
        <v>14.860799780173251</v>
      </c>
      <c r="AE8" s="133">
        <f t="shared" si="6"/>
        <v>9.4157365018367223</v>
      </c>
      <c r="AF8" s="133">
        <f>IF($K8&gt;0,J8/$K8*100,0)</f>
        <v>2.7523582275889287</v>
      </c>
      <c r="AG8" s="133">
        <f t="shared" si="6"/>
        <v>100</v>
      </c>
    </row>
    <row r="9" spans="1:33" x14ac:dyDescent="0.2">
      <c r="A9" s="12" t="str">
        <f>name!D5</f>
        <v xml:space="preserve"> 12 Other managers and proprietors</v>
      </c>
      <c r="B9" s="84">
        <f>'Basic T2'!D9</f>
        <v>0.53593233830796416</v>
      </c>
      <c r="C9" s="84">
        <f>'Basic T2'!O9</f>
        <v>3.7191175781388655</v>
      </c>
      <c r="D9" s="84">
        <f>'Basic T2'!Z9</f>
        <v>8.517196657056564</v>
      </c>
      <c r="E9" s="84">
        <f>'Basic T2'!AK9</f>
        <v>2.7252058502807022</v>
      </c>
      <c r="F9" s="84">
        <f>'Basic T2'!AV9</f>
        <v>2.8428326051361248</v>
      </c>
      <c r="G9" s="84">
        <f>'Basic T2'!BG9</f>
        <v>8.0574021205860547</v>
      </c>
      <c r="H9" s="84">
        <f>'Basic T2'!BR9</f>
        <v>9.5344728119065163</v>
      </c>
      <c r="I9" s="84">
        <f>'Basic T2'!CC9</f>
        <v>6.3686946322645843</v>
      </c>
      <c r="J9" s="84">
        <f>'Basic T2'!CN9</f>
        <v>3.2615682098289702</v>
      </c>
      <c r="K9" s="448">
        <f>SUM(B9:J9)</f>
        <v>45.562422803506351</v>
      </c>
      <c r="L9" s="133"/>
      <c r="M9" s="133">
        <f t="shared" si="0"/>
        <v>2.205610110503939</v>
      </c>
      <c r="N9" s="133">
        <f t="shared" si="1"/>
        <v>2.5354034009784905</v>
      </c>
      <c r="O9" s="133">
        <f t="shared" si="2"/>
        <v>3.2627187299474758</v>
      </c>
      <c r="P9" s="133">
        <f t="shared" si="3"/>
        <v>3.1546768949128237</v>
      </c>
      <c r="Q9" s="133">
        <f t="shared" si="3"/>
        <v>3.7732373378029584</v>
      </c>
      <c r="R9" s="133">
        <f t="shared" si="3"/>
        <v>2.4655590669743868</v>
      </c>
      <c r="S9" s="133">
        <f t="shared" si="3"/>
        <v>2.9900445059405096</v>
      </c>
      <c r="T9" s="133">
        <f t="shared" si="3"/>
        <v>3.1020624990866943</v>
      </c>
      <c r="U9" s="133">
        <f>J9/J$34*100</f>
        <v>3.8361240816452842</v>
      </c>
      <c r="V9" s="133">
        <f t="shared" si="4"/>
        <v>2.978403331469071</v>
      </c>
      <c r="W9" s="133"/>
      <c r="X9" s="133">
        <f t="shared" si="5"/>
        <v>1.1762595255727279</v>
      </c>
      <c r="Y9" s="133">
        <f t="shared" si="6"/>
        <v>8.1626861551634899</v>
      </c>
      <c r="Z9" s="133">
        <f t="shared" si="6"/>
        <v>18.693467407973539</v>
      </c>
      <c r="AA9" s="133">
        <f t="shared" si="6"/>
        <v>5.9812575420615657</v>
      </c>
      <c r="AB9" s="133">
        <f t="shared" si="6"/>
        <v>6.2394236965760053</v>
      </c>
      <c r="AC9" s="133">
        <f t="shared" si="6"/>
        <v>17.684314452140988</v>
      </c>
      <c r="AD9" s="133">
        <f t="shared" si="6"/>
        <v>20.926176057461042</v>
      </c>
      <c r="AE9" s="133">
        <f t="shared" si="6"/>
        <v>13.977954288625908</v>
      </c>
      <c r="AF9" s="133">
        <f t="shared" si="6"/>
        <v>7.1584608744247227</v>
      </c>
      <c r="AG9" s="133">
        <f t="shared" si="6"/>
        <v>100</v>
      </c>
    </row>
    <row r="10" spans="1:33" x14ac:dyDescent="0.2">
      <c r="A10" s="12" t="str">
        <f>name!D6</f>
        <v xml:space="preserve"> 21 Science, research, engineering and technology professionals</v>
      </c>
      <c r="B10" s="84">
        <f>'Basic T2'!D10</f>
        <v>2.5663956230162617</v>
      </c>
      <c r="C10" s="84">
        <f>'Basic T2'!O10</f>
        <v>9.9387418202930888</v>
      </c>
      <c r="D10" s="84">
        <f>'Basic T2'!Z10</f>
        <v>16.03685334374066</v>
      </c>
      <c r="E10" s="84">
        <f>'Basic T2'!AK10</f>
        <v>1.7668742556194115</v>
      </c>
      <c r="F10" s="84">
        <f>'Basic T2'!AV10</f>
        <v>4.6206596188503646</v>
      </c>
      <c r="G10" s="84">
        <f>'Basic T2'!BG10</f>
        <v>6.2016025531874437</v>
      </c>
      <c r="H10" s="84">
        <f>'Basic T2'!BR10</f>
        <v>4.5029359557783692</v>
      </c>
      <c r="I10" s="84">
        <f>'Basic T2'!CC10</f>
        <v>2.6154031168182503</v>
      </c>
      <c r="J10" s="84">
        <f>'Basic T2'!CN10</f>
        <v>0.70190170228417992</v>
      </c>
      <c r="K10" s="448">
        <f t="shared" ref="K10:K32" si="7">SUM(B10:J10)</f>
        <v>48.951367989588036</v>
      </c>
      <c r="L10" s="133"/>
      <c r="M10" s="133">
        <f t="shared" si="0"/>
        <v>10.561908153459912</v>
      </c>
      <c r="N10" s="133">
        <f t="shared" si="1"/>
        <v>6.7754566192629717</v>
      </c>
      <c r="O10" s="133">
        <f t="shared" si="2"/>
        <v>6.1433055829106431</v>
      </c>
      <c r="P10" s="133">
        <f t="shared" si="3"/>
        <v>2.0453197654205555</v>
      </c>
      <c r="Q10" s="133">
        <f t="shared" si="3"/>
        <v>6.132913126022677</v>
      </c>
      <c r="R10" s="133">
        <f t="shared" si="3"/>
        <v>1.897685777121257</v>
      </c>
      <c r="S10" s="133">
        <f t="shared" si="3"/>
        <v>1.4121366939516009</v>
      </c>
      <c r="T10" s="133">
        <f t="shared" si="3"/>
        <v>1.273910023503745</v>
      </c>
      <c r="U10" s="133">
        <f t="shared" si="3"/>
        <v>0.82554827918848106</v>
      </c>
      <c r="V10" s="133">
        <f t="shared" si="4"/>
        <v>3.1999377673335085</v>
      </c>
      <c r="W10" s="133"/>
      <c r="X10" s="133">
        <f t="shared" si="5"/>
        <v>5.2427454602742349</v>
      </c>
      <c r="Y10" s="133">
        <f t="shared" si="6"/>
        <v>20.303297391825822</v>
      </c>
      <c r="Z10" s="133">
        <f t="shared" si="6"/>
        <v>32.760786883732649</v>
      </c>
      <c r="AA10" s="133">
        <f t="shared" si="6"/>
        <v>3.6094481690383526</v>
      </c>
      <c r="AB10" s="133">
        <f t="shared" si="6"/>
        <v>9.4392859865186605</v>
      </c>
      <c r="AC10" s="133">
        <f t="shared" si="6"/>
        <v>12.668905503328375</v>
      </c>
      <c r="AD10" s="133">
        <f t="shared" si="6"/>
        <v>9.1987949279295815</v>
      </c>
      <c r="AE10" s="133">
        <f t="shared" si="6"/>
        <v>5.3428601165437231</v>
      </c>
      <c r="AF10" s="133">
        <f t="shared" si="6"/>
        <v>1.4338755608085856</v>
      </c>
      <c r="AG10" s="133">
        <f t="shared" si="6"/>
        <v>100</v>
      </c>
    </row>
    <row r="11" spans="1:33" x14ac:dyDescent="0.2">
      <c r="A11" s="12" t="str">
        <f>name!D7</f>
        <v xml:space="preserve"> 22 Health professionals</v>
      </c>
      <c r="B11" s="84">
        <f>'Basic T2'!D11</f>
        <v>7.0758120609665367</v>
      </c>
      <c r="C11" s="84">
        <f>'Basic T2'!O11</f>
        <v>17.218644175600517</v>
      </c>
      <c r="D11" s="84">
        <f>'Basic T2'!Z11</f>
        <v>34.049416818545311</v>
      </c>
      <c r="E11" s="84">
        <f>'Basic T2'!AK11</f>
        <v>16.187733888589253</v>
      </c>
      <c r="F11" s="84">
        <f>'Basic T2'!AV11</f>
        <v>2.0918486969481549</v>
      </c>
      <c r="G11" s="84">
        <f>'Basic T2'!BG11</f>
        <v>9.326409959813585</v>
      </c>
      <c r="H11" s="84">
        <f>'Basic T2'!BR11</f>
        <v>6.3725419184576673</v>
      </c>
      <c r="I11" s="84">
        <f>'Basic T2'!CC11</f>
        <v>3.7795016192012976</v>
      </c>
      <c r="J11" s="84">
        <f>'Basic T2'!CN11</f>
        <v>0.33753315810623785</v>
      </c>
      <c r="K11" s="448">
        <f t="shared" si="7"/>
        <v>96.439442296228577</v>
      </c>
      <c r="L11" s="133"/>
      <c r="M11" s="133">
        <f t="shared" si="0"/>
        <v>29.120248035350897</v>
      </c>
      <c r="N11" s="133">
        <f t="shared" si="1"/>
        <v>11.738324504626881</v>
      </c>
      <c r="O11" s="133">
        <f t="shared" si="2"/>
        <v>13.043454844454534</v>
      </c>
      <c r="P11" s="133">
        <f t="shared" si="3"/>
        <v>18.738793648953092</v>
      </c>
      <c r="Q11" s="133">
        <f t="shared" si="3"/>
        <v>2.7764707616266056</v>
      </c>
      <c r="R11" s="133">
        <f t="shared" si="3"/>
        <v>2.8538745236493281</v>
      </c>
      <c r="S11" s="133">
        <f t="shared" si="3"/>
        <v>1.9984517579582739</v>
      </c>
      <c r="T11" s="133">
        <f t="shared" si="3"/>
        <v>1.8409188876422657</v>
      </c>
      <c r="U11" s="133">
        <f t="shared" si="3"/>
        <v>0.39699279391523801</v>
      </c>
      <c r="V11" s="133">
        <f t="shared" si="4"/>
        <v>6.3042204199466241</v>
      </c>
      <c r="W11" s="133"/>
      <c r="X11" s="133">
        <f t="shared" si="5"/>
        <v>7.3370520323335047</v>
      </c>
      <c r="Y11" s="133">
        <f t="shared" si="6"/>
        <v>17.854358927865636</v>
      </c>
      <c r="Z11" s="133">
        <f t="shared" si="6"/>
        <v>35.306526051817357</v>
      </c>
      <c r="AA11" s="133">
        <f t="shared" si="6"/>
        <v>16.785387288808803</v>
      </c>
      <c r="AB11" s="133">
        <f t="shared" si="6"/>
        <v>2.1690800435393642</v>
      </c>
      <c r="AC11" s="133">
        <f t="shared" si="6"/>
        <v>9.6707423205186966</v>
      </c>
      <c r="AD11" s="133">
        <f t="shared" si="6"/>
        <v>6.6078170577588207</v>
      </c>
      <c r="AE11" s="133">
        <f t="shared" si="6"/>
        <v>3.9190413478252779</v>
      </c>
      <c r="AF11" s="133">
        <f t="shared" si="6"/>
        <v>0.34999492953251726</v>
      </c>
      <c r="AG11" s="133">
        <f t="shared" si="6"/>
        <v>100</v>
      </c>
    </row>
    <row r="12" spans="1:33" x14ac:dyDescent="0.2">
      <c r="A12" s="12" t="str">
        <f>name!D8</f>
        <v xml:space="preserve"> 23 Teaching and educational professionals</v>
      </c>
      <c r="B12" s="84">
        <f>'Basic T2'!D12</f>
        <v>8.1804071417823501</v>
      </c>
      <c r="C12" s="84">
        <f>'Basic T2'!O12</f>
        <v>46.290992750313578</v>
      </c>
      <c r="D12" s="84">
        <f>'Basic T2'!Z12</f>
        <v>25.206457423792934</v>
      </c>
      <c r="E12" s="84">
        <f>'Basic T2'!AK12</f>
        <v>3.1103316550965756</v>
      </c>
      <c r="F12" s="84">
        <f>'Basic T2'!AV12</f>
        <v>0.79384526182301862</v>
      </c>
      <c r="G12" s="84">
        <f>'Basic T2'!BG12</f>
        <v>4.08107607975706</v>
      </c>
      <c r="H12" s="84">
        <f>'Basic T2'!BR12</f>
        <v>2.9538683432068527</v>
      </c>
      <c r="I12" s="84">
        <f>'Basic T2'!CC12</f>
        <v>2.4830464895393494</v>
      </c>
      <c r="J12" s="84">
        <f>'Basic T2'!CN12</f>
        <v>0.61129173712473706</v>
      </c>
      <c r="K12" s="448">
        <f t="shared" si="7"/>
        <v>93.711316882436449</v>
      </c>
      <c r="L12" s="133"/>
      <c r="M12" s="133">
        <f t="shared" si="0"/>
        <v>33.66616904835066</v>
      </c>
      <c r="N12" s="133">
        <f t="shared" si="1"/>
        <v>31.557577298362421</v>
      </c>
      <c r="O12" s="133">
        <f t="shared" si="2"/>
        <v>9.6559447977633592</v>
      </c>
      <c r="P12" s="133">
        <f t="shared" si="3"/>
        <v>3.6004955026932963</v>
      </c>
      <c r="Q12" s="133">
        <f t="shared" si="3"/>
        <v>1.0536556309846992</v>
      </c>
      <c r="R12" s="133">
        <f t="shared" si="3"/>
        <v>1.2488062505592605</v>
      </c>
      <c r="S12" s="133">
        <f t="shared" si="3"/>
        <v>0.92634359393712062</v>
      </c>
      <c r="T12" s="133">
        <f t="shared" si="3"/>
        <v>1.2094417841399934</v>
      </c>
      <c r="U12" s="133">
        <f t="shared" si="3"/>
        <v>0.71897651768501536</v>
      </c>
      <c r="V12" s="133">
        <f t="shared" si="4"/>
        <v>6.1258835949681547</v>
      </c>
      <c r="W12" s="133"/>
      <c r="X12" s="133">
        <f t="shared" si="5"/>
        <v>8.729369529664071</v>
      </c>
      <c r="Y12" s="133">
        <f t="shared" si="6"/>
        <v>49.397441301979526</v>
      </c>
      <c r="Z12" s="133">
        <f t="shared" si="6"/>
        <v>26.897986563794813</v>
      </c>
      <c r="AA12" s="133">
        <f t="shared" si="6"/>
        <v>3.3190566076438519</v>
      </c>
      <c r="AB12" s="133">
        <f t="shared" si="6"/>
        <v>0.84711781696432709</v>
      </c>
      <c r="AC12" s="133">
        <f t="shared" si="6"/>
        <v>4.3549447553670468</v>
      </c>
      <c r="AD12" s="133">
        <f t="shared" si="6"/>
        <v>3.1520935159971826</v>
      </c>
      <c r="AE12" s="133">
        <f t="shared" si="6"/>
        <v>2.6496762313717168</v>
      </c>
      <c r="AF12" s="133">
        <f t="shared" si="6"/>
        <v>0.65231367721747002</v>
      </c>
      <c r="AG12" s="133">
        <f t="shared" si="6"/>
        <v>100</v>
      </c>
    </row>
    <row r="13" spans="1:33" x14ac:dyDescent="0.2">
      <c r="A13" s="12" t="str">
        <f>name!D9</f>
        <v xml:space="preserve"> 24 Business, media and public service professionals</v>
      </c>
      <c r="B13" s="84">
        <f>'Basic T2'!D13</f>
        <v>0.88743943092299471</v>
      </c>
      <c r="C13" s="84">
        <f>'Basic T2'!O13</f>
        <v>11.672584895273346</v>
      </c>
      <c r="D13" s="84">
        <f>'Basic T2'!Z13</f>
        <v>18.114001326572957</v>
      </c>
      <c r="E13" s="84">
        <f>'Basic T2'!AK13</f>
        <v>1.5764074208825658</v>
      </c>
      <c r="F13" s="84">
        <f>'Basic T2'!AV13</f>
        <v>2.4962261499430847</v>
      </c>
      <c r="G13" s="84">
        <f>'Basic T2'!BG13</f>
        <v>5.9373043065207094</v>
      </c>
      <c r="H13" s="84">
        <f>'Basic T2'!BR13</f>
        <v>3.8623469329412345</v>
      </c>
      <c r="I13" s="84">
        <f>'Basic T2'!CC13</f>
        <v>2.567215301248408</v>
      </c>
      <c r="J13" s="84">
        <f>'Basic T2'!CN13</f>
        <v>0.71667323018362661</v>
      </c>
      <c r="K13" s="448">
        <f t="shared" si="7"/>
        <v>47.830198994488924</v>
      </c>
      <c r="L13" s="133"/>
      <c r="M13" s="133">
        <f t="shared" si="0"/>
        <v>3.652224807861594</v>
      </c>
      <c r="N13" s="133">
        <f t="shared" si="1"/>
        <v>7.9574551812088963</v>
      </c>
      <c r="O13" s="133">
        <f t="shared" si="2"/>
        <v>6.9390074906321972</v>
      </c>
      <c r="P13" s="133">
        <f t="shared" si="3"/>
        <v>1.8248368530087771</v>
      </c>
      <c r="Q13" s="133">
        <f t="shared" si="3"/>
        <v>3.3131932198710539</v>
      </c>
      <c r="R13" s="133">
        <f t="shared" si="3"/>
        <v>1.81681070985985</v>
      </c>
      <c r="S13" s="133">
        <f t="shared" si="3"/>
        <v>1.2112457033235651</v>
      </c>
      <c r="T13" s="133">
        <f t="shared" si="3"/>
        <v>1.2504387119990574</v>
      </c>
      <c r="U13" s="133">
        <f t="shared" si="3"/>
        <v>0.84292195045710494</v>
      </c>
      <c r="V13" s="133">
        <f t="shared" si="4"/>
        <v>3.1266472514945209</v>
      </c>
      <c r="W13" s="133"/>
      <c r="X13" s="133">
        <f t="shared" si="5"/>
        <v>1.8553956487307253</v>
      </c>
      <c r="Y13" s="133">
        <f t="shared" si="6"/>
        <v>24.404215622473743</v>
      </c>
      <c r="Z13" s="133">
        <f t="shared" si="6"/>
        <v>37.871473895937754</v>
      </c>
      <c r="AA13" s="133">
        <f t="shared" si="6"/>
        <v>3.2958412342465944</v>
      </c>
      <c r="AB13" s="133">
        <f t="shared" si="6"/>
        <v>5.2189332313476351</v>
      </c>
      <c r="AC13" s="133">
        <f t="shared" si="6"/>
        <v>12.413296267499986</v>
      </c>
      <c r="AD13" s="133">
        <f t="shared" si="6"/>
        <v>8.0751220236116108</v>
      </c>
      <c r="AE13" s="133">
        <f t="shared" si="6"/>
        <v>5.3673523322455905</v>
      </c>
      <c r="AF13" s="133">
        <f t="shared" si="6"/>
        <v>1.498369743906361</v>
      </c>
      <c r="AG13" s="133">
        <f t="shared" si="6"/>
        <v>100</v>
      </c>
    </row>
    <row r="14" spans="1:33" x14ac:dyDescent="0.2">
      <c r="A14" s="12" t="str">
        <f>name!D10</f>
        <v xml:space="preserve"> 31 Science, engineering and technology associate professionals</v>
      </c>
      <c r="B14" s="84">
        <f>'Basic T2'!D14</f>
        <v>0.44435822189549046</v>
      </c>
      <c r="C14" s="84">
        <f>'Basic T2'!O14</f>
        <v>2.9118450070734521</v>
      </c>
      <c r="D14" s="84">
        <f>'Basic T2'!Z14</f>
        <v>6.5897570343337453</v>
      </c>
      <c r="E14" s="84">
        <f>'Basic T2'!AK14</f>
        <v>1.1030841863281684</v>
      </c>
      <c r="F14" s="84">
        <f>'Basic T2'!AV14</f>
        <v>2.6507716779483506</v>
      </c>
      <c r="G14" s="84">
        <f>'Basic T2'!BG14</f>
        <v>4.5412908847677222</v>
      </c>
      <c r="H14" s="84">
        <f>'Basic T2'!BR14</f>
        <v>3.6288322988924118</v>
      </c>
      <c r="I14" s="84">
        <f>'Basic T2'!CC14</f>
        <v>2.7298184385891835</v>
      </c>
      <c r="J14" s="84">
        <f>'Basic T2'!CN14</f>
        <v>0.55331892407796002</v>
      </c>
      <c r="K14" s="448">
        <f t="shared" si="7"/>
        <v>25.153076673906487</v>
      </c>
      <c r="L14" s="133"/>
      <c r="M14" s="133">
        <f t="shared" si="0"/>
        <v>1.8287401540137331</v>
      </c>
      <c r="N14" s="133">
        <f t="shared" si="1"/>
        <v>1.9850681186989374</v>
      </c>
      <c r="O14" s="133">
        <f t="shared" si="2"/>
        <v>2.5243662401419944</v>
      </c>
      <c r="P14" s="133">
        <f t="shared" si="3"/>
        <v>1.2769215930586493</v>
      </c>
      <c r="Q14" s="133">
        <f t="shared" si="3"/>
        <v>3.5183185429753383</v>
      </c>
      <c r="R14" s="133">
        <f t="shared" si="3"/>
        <v>1.3896316392227912</v>
      </c>
      <c r="S14" s="133">
        <f t="shared" si="3"/>
        <v>1.1380146854824458</v>
      </c>
      <c r="T14" s="133">
        <f t="shared" si="3"/>
        <v>1.3296394153933269</v>
      </c>
      <c r="U14" s="133">
        <f t="shared" si="3"/>
        <v>0.65079124915705067</v>
      </c>
      <c r="V14" s="133">
        <f t="shared" si="4"/>
        <v>1.6442498610169332</v>
      </c>
      <c r="W14" s="133"/>
      <c r="X14" s="133">
        <f t="shared" si="5"/>
        <v>1.766615780869712</v>
      </c>
      <c r="Y14" s="133">
        <f t="shared" si="6"/>
        <v>11.576496365926346</v>
      </c>
      <c r="Z14" s="133">
        <f t="shared" si="6"/>
        <v>26.198612280182342</v>
      </c>
      <c r="AA14" s="133">
        <f t="shared" si="6"/>
        <v>4.3854841323347742</v>
      </c>
      <c r="AB14" s="133">
        <f t="shared" si="6"/>
        <v>10.538558413008102</v>
      </c>
      <c r="AC14" s="133">
        <f t="shared" si="6"/>
        <v>18.054613929113511</v>
      </c>
      <c r="AD14" s="133">
        <f t="shared" si="6"/>
        <v>14.426991759051571</v>
      </c>
      <c r="AE14" s="133">
        <f t="shared" si="6"/>
        <v>10.852821203463614</v>
      </c>
      <c r="AF14" s="133">
        <f t="shared" si="6"/>
        <v>2.1998061360500154</v>
      </c>
      <c r="AG14" s="133">
        <f t="shared" si="6"/>
        <v>100</v>
      </c>
    </row>
    <row r="15" spans="1:33" x14ac:dyDescent="0.2">
      <c r="A15" s="12" t="str">
        <f>name!D11</f>
        <v xml:space="preserve"> 32 Health and social care associate professionals</v>
      </c>
      <c r="B15" s="84">
        <f>'Basic T2'!D15</f>
        <v>0.11846407209723968</v>
      </c>
      <c r="C15" s="84">
        <f>'Basic T2'!O15</f>
        <v>3.8424483636691202</v>
      </c>
      <c r="D15" s="84">
        <f>'Basic T2'!Z15</f>
        <v>10.771197675282158</v>
      </c>
      <c r="E15" s="84">
        <f>'Basic T2'!AK15</f>
        <v>6.9279534742598301</v>
      </c>
      <c r="F15" s="84">
        <f>'Basic T2'!AV15</f>
        <v>1.2005623920069088</v>
      </c>
      <c r="G15" s="84">
        <f>'Basic T2'!BG15</f>
        <v>3.8241894533700367</v>
      </c>
      <c r="H15" s="84">
        <f>'Basic T2'!BR15</f>
        <v>2.8742694919127594</v>
      </c>
      <c r="I15" s="84">
        <f>'Basic T2'!CC15</f>
        <v>1.5183133609867887</v>
      </c>
      <c r="J15" s="84">
        <f>'Basic T2'!CN15</f>
        <v>0.15923251568791766</v>
      </c>
      <c r="K15" s="448">
        <f t="shared" si="7"/>
        <v>31.23663079927276</v>
      </c>
      <c r="L15" s="133"/>
      <c r="M15" s="133">
        <f t="shared" si="0"/>
        <v>0.48753459433716095</v>
      </c>
      <c r="N15" s="133">
        <f t="shared" si="1"/>
        <v>2.6194806818143479</v>
      </c>
      <c r="O15" s="133">
        <f t="shared" si="2"/>
        <v>4.1261684817378539</v>
      </c>
      <c r="P15" s="133">
        <f t="shared" si="3"/>
        <v>8.0197445459128698</v>
      </c>
      <c r="Q15" s="133">
        <f t="shared" si="3"/>
        <v>1.593483498007646</v>
      </c>
      <c r="R15" s="133">
        <f t="shared" si="3"/>
        <v>1.1701991336009574</v>
      </c>
      <c r="S15" s="133">
        <f t="shared" si="3"/>
        <v>0.90138111172270141</v>
      </c>
      <c r="T15" s="133">
        <f t="shared" si="3"/>
        <v>0.73953976614272776</v>
      </c>
      <c r="U15" s="133">
        <f t="shared" si="3"/>
        <v>0.18728281878961911</v>
      </c>
      <c r="V15" s="133">
        <f t="shared" si="4"/>
        <v>2.0419301589305223</v>
      </c>
      <c r="W15" s="133"/>
      <c r="X15" s="133">
        <f t="shared" si="5"/>
        <v>0.37924727816675324</v>
      </c>
      <c r="Y15" s="133">
        <f t="shared" si="6"/>
        <v>12.301097350609846</v>
      </c>
      <c r="Z15" s="133">
        <f t="shared" si="6"/>
        <v>34.482584707992672</v>
      </c>
      <c r="AA15" s="133">
        <f t="shared" si="6"/>
        <v>22.178939587880024</v>
      </c>
      <c r="AB15" s="133">
        <f t="shared" si="6"/>
        <v>3.8434439351726115</v>
      </c>
      <c r="AC15" s="133">
        <f t="shared" si="6"/>
        <v>12.242643830393737</v>
      </c>
      <c r="AD15" s="133">
        <f t="shared" si="6"/>
        <v>9.2015989508691742</v>
      </c>
      <c r="AE15" s="133">
        <f t="shared" si="6"/>
        <v>4.8606822251205708</v>
      </c>
      <c r="AF15" s="133">
        <f t="shared" si="6"/>
        <v>0.50976213379461155</v>
      </c>
      <c r="AG15" s="133">
        <f t="shared" si="6"/>
        <v>100</v>
      </c>
    </row>
    <row r="16" spans="1:33" x14ac:dyDescent="0.2">
      <c r="A16" s="12" t="str">
        <f>name!D12</f>
        <v xml:space="preserve"> 33 Protective service occupations</v>
      </c>
      <c r="B16" s="84">
        <f>'Basic T2'!D16</f>
        <v>6.2270945974041578E-2</v>
      </c>
      <c r="C16" s="84">
        <f>'Basic T2'!O16</f>
        <v>1.0141317886015824</v>
      </c>
      <c r="D16" s="84">
        <f>'Basic T2'!Z16</f>
        <v>4.0635718921187278</v>
      </c>
      <c r="E16" s="84">
        <f>'Basic T2'!AK16</f>
        <v>1.1026994424070435</v>
      </c>
      <c r="F16" s="84">
        <f>'Basic T2'!AV16</f>
        <v>0.9523965729555216</v>
      </c>
      <c r="G16" s="84">
        <f>'Basic T2'!BG16</f>
        <v>3.2836646485741539</v>
      </c>
      <c r="H16" s="84">
        <f>'Basic T2'!BR16</f>
        <v>3.8323981862638812</v>
      </c>
      <c r="I16" s="84">
        <f>'Basic T2'!CC16</f>
        <v>2.0832112601881891</v>
      </c>
      <c r="J16" s="84">
        <f>'Basic T2'!CN16</f>
        <v>0.32148379053759729</v>
      </c>
      <c r="K16" s="448">
        <f t="shared" si="7"/>
        <v>16.71582852762074</v>
      </c>
      <c r="L16" s="133"/>
      <c r="M16" s="133">
        <f t="shared" si="0"/>
        <v>0.25627382080472161</v>
      </c>
      <c r="N16" s="133">
        <f t="shared" si="1"/>
        <v>0.69135571324086964</v>
      </c>
      <c r="O16" s="133">
        <f t="shared" si="2"/>
        <v>1.5566497589226471</v>
      </c>
      <c r="P16" s="133">
        <f t="shared" si="3"/>
        <v>1.276476216516431</v>
      </c>
      <c r="Q16" s="133">
        <f t="shared" si="3"/>
        <v>1.2640977534093247</v>
      </c>
      <c r="R16" s="133">
        <f t="shared" si="3"/>
        <v>1.0047989446263856</v>
      </c>
      <c r="S16" s="133">
        <f t="shared" si="3"/>
        <v>1.2018536700954039</v>
      </c>
      <c r="T16" s="133">
        <f t="shared" si="3"/>
        <v>1.0146901211382253</v>
      </c>
      <c r="U16" s="133">
        <f t="shared" si="3"/>
        <v>0.37811617951861087</v>
      </c>
      <c r="V16" s="133">
        <f t="shared" si="4"/>
        <v>1.0927092176296631</v>
      </c>
      <c r="W16" s="133"/>
      <c r="X16" s="133">
        <f t="shared" si="5"/>
        <v>0.37252682911377627</v>
      </c>
      <c r="Y16" s="133">
        <f t="shared" si="6"/>
        <v>6.0668951402908986</v>
      </c>
      <c r="Z16" s="133">
        <f t="shared" si="6"/>
        <v>24.309724674455722</v>
      </c>
      <c r="AA16" s="133">
        <f t="shared" si="6"/>
        <v>6.5967381789360635</v>
      </c>
      <c r="AB16" s="133">
        <f t="shared" si="6"/>
        <v>5.6975732395304828</v>
      </c>
      <c r="AC16" s="133">
        <f t="shared" si="6"/>
        <v>19.644043626963054</v>
      </c>
      <c r="AD16" s="133">
        <f t="shared" si="6"/>
        <v>22.926761781094726</v>
      </c>
      <c r="AE16" s="133">
        <f t="shared" si="6"/>
        <v>12.462506759661673</v>
      </c>
      <c r="AF16" s="133">
        <f t="shared" si="6"/>
        <v>1.9232297699535921</v>
      </c>
      <c r="AG16" s="133">
        <f t="shared" si="6"/>
        <v>100</v>
      </c>
    </row>
    <row r="17" spans="1:33" x14ac:dyDescent="0.2">
      <c r="A17" s="12" t="str">
        <f>name!D13</f>
        <v xml:space="preserve"> 34 Culture, media and sports occupations</v>
      </c>
      <c r="B17" s="84">
        <f>'Basic T2'!D17</f>
        <v>0.40854061406460174</v>
      </c>
      <c r="C17" s="84">
        <f>'Basic T2'!O17</f>
        <v>5.0441260927945057</v>
      </c>
      <c r="D17" s="84">
        <f>'Basic T2'!Z17</f>
        <v>9.7860677486467438</v>
      </c>
      <c r="E17" s="84">
        <f>'Basic T2'!AK17</f>
        <v>1.0806788428097973</v>
      </c>
      <c r="F17" s="84">
        <f>'Basic T2'!AV17</f>
        <v>1.6687465859020827</v>
      </c>
      <c r="G17" s="84">
        <f>'Basic T2'!BG17</f>
        <v>3.6790382424573291</v>
      </c>
      <c r="H17" s="84">
        <f>'Basic T2'!BR17</f>
        <v>1.927164401525467</v>
      </c>
      <c r="I17" s="84">
        <f>'Basic T2'!CC17</f>
        <v>1.7273572041183831</v>
      </c>
      <c r="J17" s="84">
        <f>'Basic T2'!CN17</f>
        <v>0.73200628376544119</v>
      </c>
      <c r="K17" s="448">
        <f t="shared" si="7"/>
        <v>26.053726016084351</v>
      </c>
      <c r="L17" s="133"/>
      <c r="M17" s="133">
        <f t="shared" si="0"/>
        <v>1.6813340873910516</v>
      </c>
      <c r="N17" s="133">
        <f t="shared" si="1"/>
        <v>3.4386905447166312</v>
      </c>
      <c r="O17" s="133">
        <f t="shared" si="2"/>
        <v>3.7487905729628865</v>
      </c>
      <c r="P17" s="133">
        <f t="shared" si="3"/>
        <v>1.2509853433207772</v>
      </c>
      <c r="Q17" s="133">
        <f t="shared" si="3"/>
        <v>2.2148954229246463</v>
      </c>
      <c r="R17" s="133">
        <f t="shared" si="3"/>
        <v>1.1257829708239024</v>
      </c>
      <c r="S17" s="133">
        <f t="shared" si="3"/>
        <v>0.60436559466921591</v>
      </c>
      <c r="T17" s="133">
        <f t="shared" si="3"/>
        <v>0.84136079916231521</v>
      </c>
      <c r="U17" s="133">
        <f t="shared" si="3"/>
        <v>0.86095606543072412</v>
      </c>
      <c r="V17" s="133">
        <f t="shared" si="4"/>
        <v>1.7031250664202229</v>
      </c>
      <c r="W17" s="133"/>
      <c r="X17" s="133">
        <f t="shared" si="5"/>
        <v>1.568069817777265</v>
      </c>
      <c r="Y17" s="133">
        <f t="shared" si="6"/>
        <v>19.360478764843457</v>
      </c>
      <c r="Z17" s="133">
        <f t="shared" si="6"/>
        <v>37.561106394552866</v>
      </c>
      <c r="AA17" s="133">
        <f t="shared" si="6"/>
        <v>4.1478859574351743</v>
      </c>
      <c r="AB17" s="133">
        <f t="shared" si="6"/>
        <v>6.4050208590966093</v>
      </c>
      <c r="AC17" s="133">
        <f t="shared" si="6"/>
        <v>14.120967727172932</v>
      </c>
      <c r="AD17" s="133">
        <f t="shared" si="6"/>
        <v>7.3968859591742309</v>
      </c>
      <c r="AE17" s="133">
        <f t="shared" si="6"/>
        <v>6.629981458513817</v>
      </c>
      <c r="AF17" s="133">
        <f t="shared" si="6"/>
        <v>2.8096030614336498</v>
      </c>
      <c r="AG17" s="133">
        <f t="shared" si="6"/>
        <v>100</v>
      </c>
    </row>
    <row r="18" spans="1:33" x14ac:dyDescent="0.2">
      <c r="A18" s="12" t="str">
        <f>name!D14</f>
        <v xml:space="preserve"> 35 Business and public service associate professionals</v>
      </c>
      <c r="B18" s="84">
        <f>'Basic T2'!D18</f>
        <v>0.98958680651842412</v>
      </c>
      <c r="C18" s="84">
        <f>'Basic T2'!O18</f>
        <v>9.9488023709004985</v>
      </c>
      <c r="D18" s="84">
        <f>'Basic T2'!Z18</f>
        <v>18.874598117974333</v>
      </c>
      <c r="E18" s="84">
        <f>'Basic T2'!AK18</f>
        <v>5.2537023142027435</v>
      </c>
      <c r="F18" s="84">
        <f>'Basic T2'!AV18</f>
        <v>4.4701121683773151</v>
      </c>
      <c r="G18" s="84">
        <f>'Basic T2'!BG18</f>
        <v>14.507289726074132</v>
      </c>
      <c r="H18" s="84">
        <f>'Basic T2'!BR18</f>
        <v>10.680626403622739</v>
      </c>
      <c r="I18" s="84">
        <f>'Basic T2'!CC18</f>
        <v>6.3986676327547523</v>
      </c>
      <c r="J18" s="84">
        <f>'Basic T2'!CN18</f>
        <v>1.7894716126642241</v>
      </c>
      <c r="K18" s="448">
        <f t="shared" si="7"/>
        <v>72.912857153089163</v>
      </c>
      <c r="L18" s="133"/>
      <c r="M18" s="133">
        <f t="shared" si="0"/>
        <v>4.0726086292335735</v>
      </c>
      <c r="N18" s="133">
        <f t="shared" si="1"/>
        <v>6.7823151155836259</v>
      </c>
      <c r="O18" s="133">
        <f t="shared" si="2"/>
        <v>7.2303725368046594</v>
      </c>
      <c r="P18" s="133">
        <f t="shared" si="3"/>
        <v>6.0816445486708073</v>
      </c>
      <c r="Q18" s="133">
        <f t="shared" si="3"/>
        <v>5.9330943747498592</v>
      </c>
      <c r="R18" s="133">
        <f t="shared" si="3"/>
        <v>4.4392198857694378</v>
      </c>
      <c r="S18" s="133">
        <f t="shared" si="3"/>
        <v>3.3494823393145188</v>
      </c>
      <c r="T18" s="133">
        <f t="shared" si="3"/>
        <v>3.1166617421300993</v>
      </c>
      <c r="U18" s="133">
        <f t="shared" si="3"/>
        <v>2.1047038434072238</v>
      </c>
      <c r="V18" s="133">
        <f t="shared" si="4"/>
        <v>4.7662938730944076</v>
      </c>
      <c r="W18" s="133"/>
      <c r="X18" s="133">
        <f t="shared" si="5"/>
        <v>1.3572185279211726</v>
      </c>
      <c r="Y18" s="133">
        <f t="shared" si="6"/>
        <v>13.64478469141843</v>
      </c>
      <c r="Z18" s="133">
        <f t="shared" si="6"/>
        <v>25.88651556795379</v>
      </c>
      <c r="AA18" s="133">
        <f t="shared" si="6"/>
        <v>7.205453906671047</v>
      </c>
      <c r="AB18" s="133">
        <f t="shared" si="6"/>
        <v>6.1307598452654055</v>
      </c>
      <c r="AC18" s="133">
        <f t="shared" si="6"/>
        <v>19.896751125270491</v>
      </c>
      <c r="AD18" s="133">
        <f t="shared" si="6"/>
        <v>14.648481517049184</v>
      </c>
      <c r="AE18" s="133">
        <f t="shared" si="6"/>
        <v>8.7757740988259343</v>
      </c>
      <c r="AF18" s="133">
        <f t="shared" si="6"/>
        <v>2.4542607196245467</v>
      </c>
      <c r="AG18" s="133">
        <f t="shared" si="6"/>
        <v>100</v>
      </c>
    </row>
    <row r="19" spans="1:33" x14ac:dyDescent="0.2">
      <c r="A19" s="12" t="str">
        <f>name!D15</f>
        <v xml:space="preserve"> 41 Administrative occupations</v>
      </c>
      <c r="B19" s="84">
        <f>'Basic T2'!D19</f>
        <v>0.77436558648912557</v>
      </c>
      <c r="C19" s="84">
        <f>'Basic T2'!O19</f>
        <v>7.827783463990369</v>
      </c>
      <c r="D19" s="84">
        <f>'Basic T2'!Z19</f>
        <v>23.747562437644206</v>
      </c>
      <c r="E19" s="84">
        <f>'Basic T2'!AK19</f>
        <v>7.9027137261923404</v>
      </c>
      <c r="F19" s="84">
        <f>'Basic T2'!AV19</f>
        <v>7.7098912778591968</v>
      </c>
      <c r="G19" s="84">
        <f>'Basic T2'!BG19</f>
        <v>27.914874125546667</v>
      </c>
      <c r="H19" s="84">
        <f>'Basic T2'!BR19</f>
        <v>30.756913754098818</v>
      </c>
      <c r="I19" s="84">
        <f>'Basic T2'!CC19</f>
        <v>16.542666500887609</v>
      </c>
      <c r="J19" s="84">
        <f>'Basic T2'!CN19</f>
        <v>4.3445636371915191</v>
      </c>
      <c r="K19" s="448">
        <f t="shared" si="7"/>
        <v>127.52133450989984</v>
      </c>
      <c r="L19" s="133"/>
      <c r="M19" s="133">
        <f t="shared" si="0"/>
        <v>3.1868735000747148</v>
      </c>
      <c r="N19" s="133">
        <f t="shared" si="1"/>
        <v>5.3363703619868001</v>
      </c>
      <c r="O19" s="133">
        <f t="shared" si="2"/>
        <v>9.0970796936694853</v>
      </c>
      <c r="P19" s="133">
        <f t="shared" si="3"/>
        <v>9.1481193600701776</v>
      </c>
      <c r="Q19" s="133">
        <f t="shared" si="3"/>
        <v>10.233191214797783</v>
      </c>
      <c r="R19" s="133">
        <f t="shared" si="3"/>
        <v>8.5419307580349813</v>
      </c>
      <c r="S19" s="133">
        <f t="shared" si="3"/>
        <v>9.6454772911288007</v>
      </c>
      <c r="T19" s="133">
        <f t="shared" si="3"/>
        <v>8.0575986682303924</v>
      </c>
      <c r="U19" s="133">
        <f t="shared" si="3"/>
        <v>5.1098993247008488</v>
      </c>
      <c r="V19" s="133">
        <f t="shared" si="4"/>
        <v>8.3360353591301664</v>
      </c>
      <c r="W19" s="133"/>
      <c r="X19" s="133">
        <f t="shared" si="5"/>
        <v>0.6072439482108849</v>
      </c>
      <c r="Y19" s="133">
        <f t="shared" si="6"/>
        <v>6.1384108738155305</v>
      </c>
      <c r="Z19" s="133">
        <f t="shared" si="6"/>
        <v>18.622423086233162</v>
      </c>
      <c r="AA19" s="133">
        <f t="shared" si="6"/>
        <v>6.1971698748014825</v>
      </c>
      <c r="AB19" s="133">
        <f t="shared" si="6"/>
        <v>6.0459618835471458</v>
      </c>
      <c r="AC19" s="133">
        <f t="shared" si="6"/>
        <v>21.89035601990156</v>
      </c>
      <c r="AD19" s="133">
        <f t="shared" si="6"/>
        <v>24.119033785449499</v>
      </c>
      <c r="AE19" s="133">
        <f t="shared" si="6"/>
        <v>12.972469716119035</v>
      </c>
      <c r="AF19" s="133">
        <f t="shared" si="6"/>
        <v>3.406930811921701</v>
      </c>
      <c r="AG19" s="133">
        <f t="shared" si="6"/>
        <v>100</v>
      </c>
    </row>
    <row r="20" spans="1:33" x14ac:dyDescent="0.2">
      <c r="A20" s="12" t="str">
        <f>name!D16</f>
        <v xml:space="preserve"> 42 Secretarial and related occupations</v>
      </c>
      <c r="B20" s="84">
        <f>'Basic T2'!D20</f>
        <v>8.2913965011895838E-2</v>
      </c>
      <c r="C20" s="84">
        <f>'Basic T2'!O20</f>
        <v>1.327980060919979</v>
      </c>
      <c r="D20" s="84">
        <f>'Basic T2'!Z20</f>
        <v>4.2992823018371666</v>
      </c>
      <c r="E20" s="84">
        <f>'Basic T2'!AK20</f>
        <v>1.7617158709151288</v>
      </c>
      <c r="F20" s="84">
        <f>'Basic T2'!AV20</f>
        <v>1.3530326499130951</v>
      </c>
      <c r="G20" s="84">
        <f>'Basic T2'!BG20</f>
        <v>6.9151466130675097</v>
      </c>
      <c r="H20" s="84">
        <f>'Basic T2'!BR20</f>
        <v>7.601508661735247</v>
      </c>
      <c r="I20" s="84">
        <f>'Basic T2'!CC20</f>
        <v>7.8120832068974906</v>
      </c>
      <c r="J20" s="84">
        <f>'Basic T2'!CN20</f>
        <v>1.9566276387075456</v>
      </c>
      <c r="K20" s="448">
        <f t="shared" si="7"/>
        <v>33.110290969005057</v>
      </c>
      <c r="L20" s="133"/>
      <c r="M20" s="133">
        <f t="shared" si="0"/>
        <v>0.34122941733574003</v>
      </c>
      <c r="N20" s="133">
        <f t="shared" si="1"/>
        <v>0.90531291150333748</v>
      </c>
      <c r="O20" s="133">
        <f t="shared" si="2"/>
        <v>1.6469443475763887</v>
      </c>
      <c r="P20" s="133">
        <f t="shared" si="3"/>
        <v>2.0393484597887275</v>
      </c>
      <c r="Q20" s="133">
        <f t="shared" si="3"/>
        <v>1.7958543548061316</v>
      </c>
      <c r="R20" s="133">
        <f t="shared" si="3"/>
        <v>2.1160297296997399</v>
      </c>
      <c r="S20" s="133">
        <f t="shared" si="3"/>
        <v>2.3838600895161401</v>
      </c>
      <c r="T20" s="133">
        <f t="shared" si="3"/>
        <v>3.8051079153789855</v>
      </c>
      <c r="U20" s="133">
        <f t="shared" si="3"/>
        <v>2.3013059733165466</v>
      </c>
      <c r="V20" s="133">
        <f t="shared" si="4"/>
        <v>2.164410820585374</v>
      </c>
      <c r="W20" s="133"/>
      <c r="X20" s="133">
        <f t="shared" si="5"/>
        <v>0.25041750641669869</v>
      </c>
      <c r="Y20" s="133">
        <f t="shared" si="6"/>
        <v>4.0107773808545426</v>
      </c>
      <c r="Z20" s="133">
        <f t="shared" si="6"/>
        <v>12.98473126032561</v>
      </c>
      <c r="AA20" s="133">
        <f t="shared" si="6"/>
        <v>5.3207501938424286</v>
      </c>
      <c r="AB20" s="133">
        <f t="shared" si="6"/>
        <v>4.086441436530067</v>
      </c>
      <c r="AC20" s="133">
        <f t="shared" si="6"/>
        <v>20.885188292488465</v>
      </c>
      <c r="AD20" s="133">
        <f t="shared" si="6"/>
        <v>22.958145154481159</v>
      </c>
      <c r="AE20" s="133">
        <f t="shared" si="6"/>
        <v>23.594124298727774</v>
      </c>
      <c r="AF20" s="133">
        <f t="shared" si="6"/>
        <v>5.9094244763332595</v>
      </c>
      <c r="AG20" s="133">
        <f t="shared" si="6"/>
        <v>100</v>
      </c>
    </row>
    <row r="21" spans="1:33" x14ac:dyDescent="0.2">
      <c r="A21" s="12" t="str">
        <f>name!D17</f>
        <v xml:space="preserve"> 51 Skilled agricultural and related trades</v>
      </c>
      <c r="B21" s="84">
        <f>'Basic T2'!D21</f>
        <v>0.24883355599289622</v>
      </c>
      <c r="C21" s="84">
        <f>'Basic T2'!O21</f>
        <v>0.7731277721592722</v>
      </c>
      <c r="D21" s="84">
        <f>'Basic T2'!Z21</f>
        <v>5.8349780453844513</v>
      </c>
      <c r="E21" s="84">
        <f>'Basic T2'!AK21</f>
        <v>2.5257969305538155</v>
      </c>
      <c r="F21" s="84">
        <f>'Basic T2'!AV21</f>
        <v>3.8232786785632613</v>
      </c>
      <c r="G21" s="84">
        <f>'Basic T2'!BG21</f>
        <v>7.0234540234482399</v>
      </c>
      <c r="H21" s="84">
        <f>'Basic T2'!BR21</f>
        <v>10.057528624960627</v>
      </c>
      <c r="I21" s="84">
        <f>'Basic T2'!CC21</f>
        <v>7.7112233126185723</v>
      </c>
      <c r="J21" s="84">
        <f>'Basic T2'!CN21</f>
        <v>6.6437716368485749</v>
      </c>
      <c r="K21" s="448">
        <f t="shared" si="7"/>
        <v>44.64199258052971</v>
      </c>
      <c r="L21" s="133"/>
      <c r="M21" s="133">
        <f t="shared" si="0"/>
        <v>1.0240654793538591</v>
      </c>
      <c r="N21" s="133">
        <f t="shared" si="1"/>
        <v>0.52705802969113658</v>
      </c>
      <c r="O21" s="133">
        <f t="shared" si="2"/>
        <v>2.2352298442862795</v>
      </c>
      <c r="P21" s="133">
        <f t="shared" si="3"/>
        <v>2.9238426951267269</v>
      </c>
      <c r="Q21" s="133">
        <f t="shared" si="3"/>
        <v>5.0745646566446627</v>
      </c>
      <c r="R21" s="133">
        <f t="shared" si="3"/>
        <v>2.1491717168673485</v>
      </c>
      <c r="S21" s="133">
        <f t="shared" si="3"/>
        <v>3.1540766649257068</v>
      </c>
      <c r="T21" s="133">
        <f t="shared" si="3"/>
        <v>3.7559810983827013</v>
      </c>
      <c r="U21" s="133">
        <f t="shared" si="3"/>
        <v>7.814134406958539</v>
      </c>
      <c r="V21" s="133">
        <f t="shared" si="4"/>
        <v>2.9182350552050731</v>
      </c>
      <c r="W21" s="133"/>
      <c r="X21" s="133">
        <f t="shared" si="5"/>
        <v>0.5573979601023078</v>
      </c>
      <c r="Y21" s="133">
        <f t="shared" si="6"/>
        <v>1.7318397487850183</v>
      </c>
      <c r="Z21" s="133">
        <f t="shared" si="6"/>
        <v>13.070603949540855</v>
      </c>
      <c r="AA21" s="133">
        <f t="shared" si="6"/>
        <v>5.6578946963389445</v>
      </c>
      <c r="AB21" s="133">
        <f t="shared" si="6"/>
        <v>8.5643100980908216</v>
      </c>
      <c r="AC21" s="133">
        <f t="shared" si="6"/>
        <v>15.732841697822131</v>
      </c>
      <c r="AD21" s="133">
        <f t="shared" si="6"/>
        <v>22.529300426762642</v>
      </c>
      <c r="AE21" s="133">
        <f t="shared" si="6"/>
        <v>17.273474741765376</v>
      </c>
      <c r="AF21" s="133">
        <f t="shared" si="6"/>
        <v>14.882336680791909</v>
      </c>
      <c r="AG21" s="133">
        <f t="shared" si="6"/>
        <v>100</v>
      </c>
    </row>
    <row r="22" spans="1:33" x14ac:dyDescent="0.2">
      <c r="A22" s="12" t="str">
        <f>name!D18</f>
        <v xml:space="preserve"> 52 Skilled metal, electrical and electronic trades</v>
      </c>
      <c r="B22" s="84">
        <f>'Basic T2'!D22</f>
        <v>5.6259681172828563E-2</v>
      </c>
      <c r="C22" s="84">
        <f>'Basic T2'!O22</f>
        <v>1.1146490093624413</v>
      </c>
      <c r="D22" s="84">
        <f>'Basic T2'!Z22</f>
        <v>3.1021677152495446</v>
      </c>
      <c r="E22" s="84">
        <f>'Basic T2'!AK22</f>
        <v>1.131627726234834</v>
      </c>
      <c r="F22" s="84">
        <f>'Basic T2'!AV22</f>
        <v>5.1300192739996051</v>
      </c>
      <c r="G22" s="84">
        <f>'Basic T2'!BG22</f>
        <v>25.556886306433181</v>
      </c>
      <c r="H22" s="84">
        <f>'Basic T2'!BR22</f>
        <v>14.653509272329392</v>
      </c>
      <c r="I22" s="84">
        <f>'Basic T2'!CC22</f>
        <v>6.9098267440912533</v>
      </c>
      <c r="J22" s="84">
        <f>'Basic T2'!CN22</f>
        <v>2.6433813848856187</v>
      </c>
      <c r="K22" s="448">
        <f t="shared" si="7"/>
        <v>60.29832711375871</v>
      </c>
      <c r="L22" s="133"/>
      <c r="M22" s="133">
        <f t="shared" si="0"/>
        <v>0.23153467842654124</v>
      </c>
      <c r="N22" s="133">
        <f t="shared" si="1"/>
        <v>0.75988049042780692</v>
      </c>
      <c r="O22" s="133">
        <f t="shared" si="2"/>
        <v>1.1883605739685856</v>
      </c>
      <c r="P22" s="133">
        <f t="shared" si="3"/>
        <v>1.3099633707406195</v>
      </c>
      <c r="Q22" s="133">
        <f t="shared" si="3"/>
        <v>6.8089764530392616</v>
      </c>
      <c r="R22" s="133">
        <f t="shared" si="3"/>
        <v>7.8203882359884886</v>
      </c>
      <c r="S22" s="133">
        <f t="shared" si="3"/>
        <v>4.5953925043198725</v>
      </c>
      <c r="T22" s="133">
        <f t="shared" si="3"/>
        <v>3.3656370191531733</v>
      </c>
      <c r="U22" s="133">
        <f t="shared" si="3"/>
        <v>3.1090378416658413</v>
      </c>
      <c r="V22" s="133">
        <f t="shared" si="4"/>
        <v>3.9416854352137265</v>
      </c>
      <c r="W22" s="133"/>
      <c r="X22" s="133">
        <f t="shared" si="5"/>
        <v>9.330222556040263E-2</v>
      </c>
      <c r="Y22" s="133">
        <f t="shared" si="6"/>
        <v>1.8485571038472537</v>
      </c>
      <c r="Z22" s="133">
        <f t="shared" si="6"/>
        <v>5.1446994696834638</v>
      </c>
      <c r="AA22" s="133">
        <f t="shared" si="6"/>
        <v>1.8767149610965279</v>
      </c>
      <c r="AB22" s="133">
        <f t="shared" si="6"/>
        <v>8.5077306777040764</v>
      </c>
      <c r="AC22" s="133">
        <f t="shared" si="6"/>
        <v>42.384071880166104</v>
      </c>
      <c r="AD22" s="133">
        <f t="shared" si="6"/>
        <v>24.301684596795049</v>
      </c>
      <c r="AE22" s="133">
        <f t="shared" si="6"/>
        <v>11.459400409326758</v>
      </c>
      <c r="AF22" s="133">
        <f t="shared" si="6"/>
        <v>4.3838386758203427</v>
      </c>
      <c r="AG22" s="133">
        <f t="shared" si="6"/>
        <v>100</v>
      </c>
    </row>
    <row r="23" spans="1:33" x14ac:dyDescent="0.2">
      <c r="A23" s="12" t="str">
        <f>name!D19</f>
        <v xml:space="preserve"> 53 Skilled construction and building trades</v>
      </c>
      <c r="B23" s="84">
        <f>'Basic T2'!D23</f>
        <v>1.5227818009140279E-2</v>
      </c>
      <c r="C23" s="84">
        <f>'Basic T2'!O23</f>
        <v>0.53010915298153827</v>
      </c>
      <c r="D23" s="84">
        <f>'Basic T2'!Z23</f>
        <v>1.8360713441851719</v>
      </c>
      <c r="E23" s="84">
        <f>'Basic T2'!AK23</f>
        <v>1.2481849014478217</v>
      </c>
      <c r="F23" s="84">
        <f>'Basic T2'!AV23</f>
        <v>1.9477014331164393</v>
      </c>
      <c r="G23" s="84">
        <f>'Basic T2'!BG23</f>
        <v>19.303276347386806</v>
      </c>
      <c r="H23" s="84">
        <f>'Basic T2'!BR23</f>
        <v>17.547084355894896</v>
      </c>
      <c r="I23" s="84">
        <f>'Basic T2'!CC23</f>
        <v>8.5856651223326388</v>
      </c>
      <c r="J23" s="84">
        <f>'Basic T2'!CN23</f>
        <v>4.5937425598648405</v>
      </c>
      <c r="K23" s="448">
        <f t="shared" si="7"/>
        <v>55.607063035219291</v>
      </c>
      <c r="L23" s="133"/>
      <c r="M23" s="133">
        <f t="shared" si="0"/>
        <v>6.2669533000962133E-2</v>
      </c>
      <c r="N23" s="133">
        <f t="shared" si="1"/>
        <v>0.36138694760809598</v>
      </c>
      <c r="O23" s="133">
        <f t="shared" si="2"/>
        <v>0.7033516549403086</v>
      </c>
      <c r="P23" s="133">
        <f t="shared" si="3"/>
        <v>1.4448890416006186</v>
      </c>
      <c r="Q23" s="133">
        <f t="shared" si="3"/>
        <v>2.5851468556571509</v>
      </c>
      <c r="R23" s="133">
        <f t="shared" si="3"/>
        <v>5.9067882312854048</v>
      </c>
      <c r="S23" s="133">
        <f t="shared" si="3"/>
        <v>5.5028279180888422</v>
      </c>
      <c r="T23" s="133">
        <f t="shared" si="3"/>
        <v>4.1819040389811217</v>
      </c>
      <c r="U23" s="133">
        <f t="shared" si="3"/>
        <v>5.4029734548156014</v>
      </c>
      <c r="V23" s="133">
        <f t="shared" si="4"/>
        <v>3.6350187634131279</v>
      </c>
      <c r="W23" s="133"/>
      <c r="X23" s="133">
        <f t="shared" si="5"/>
        <v>2.7384683128284602E-2</v>
      </c>
      <c r="Y23" s="133">
        <f t="shared" si="6"/>
        <v>0.95331262621402668</v>
      </c>
      <c r="Z23" s="133">
        <f t="shared" si="6"/>
        <v>3.3018671441472782</v>
      </c>
      <c r="AA23" s="133">
        <f t="shared" si="6"/>
        <v>2.2446517282476712</v>
      </c>
      <c r="AB23" s="133">
        <f t="shared" si="6"/>
        <v>3.5026151837633344</v>
      </c>
      <c r="AC23" s="133">
        <f t="shared" si="6"/>
        <v>34.713713139571645</v>
      </c>
      <c r="AD23" s="133">
        <f t="shared" si="6"/>
        <v>31.555495647704458</v>
      </c>
      <c r="AE23" s="133">
        <f t="shared" si="6"/>
        <v>15.439882370508979</v>
      </c>
      <c r="AF23" s="133">
        <f t="shared" si="6"/>
        <v>8.2610774767143287</v>
      </c>
      <c r="AG23" s="133">
        <f t="shared" si="6"/>
        <v>100</v>
      </c>
    </row>
    <row r="24" spans="1:33" x14ac:dyDescent="0.2">
      <c r="A24" s="12" t="str">
        <f>name!D20</f>
        <v xml:space="preserve"> 54 Textiles, printing and other skilled trades</v>
      </c>
      <c r="B24" s="84">
        <f>'Basic T2'!D24</f>
        <v>0.11737758039730749</v>
      </c>
      <c r="C24" s="84">
        <f>'Basic T2'!O24</f>
        <v>1.1047448289814938</v>
      </c>
      <c r="D24" s="84">
        <f>'Basic T2'!Z24</f>
        <v>3.357623085733481</v>
      </c>
      <c r="E24" s="84">
        <f>'Basic T2'!AK24</f>
        <v>1.1367078598061664</v>
      </c>
      <c r="F24" s="84">
        <f>'Basic T2'!AV24</f>
        <v>1.4426262661243772</v>
      </c>
      <c r="G24" s="84">
        <f>'Basic T2'!BG24</f>
        <v>11.113591759880309</v>
      </c>
      <c r="H24" s="84">
        <f>'Basic T2'!BR24</f>
        <v>11.627635527862285</v>
      </c>
      <c r="I24" s="84">
        <f>'Basic T2'!CC24</f>
        <v>9.8189588584338896</v>
      </c>
      <c r="J24" s="84">
        <f>'Basic T2'!CN24</f>
        <v>4.3932676484711264</v>
      </c>
      <c r="K24" s="448">
        <f t="shared" si="7"/>
        <v>44.112533415690436</v>
      </c>
      <c r="L24" s="133"/>
      <c r="M24" s="133">
        <f t="shared" si="0"/>
        <v>0.48306317713193148</v>
      </c>
      <c r="N24" s="133">
        <f t="shared" si="1"/>
        <v>0.75312859509398833</v>
      </c>
      <c r="O24" s="133">
        <f t="shared" si="2"/>
        <v>1.2862189486784226</v>
      </c>
      <c r="P24" s="133">
        <f t="shared" ref="P24:U32" si="8">E24/E$34*100</f>
        <v>1.3158440934753453</v>
      </c>
      <c r="Q24" s="133">
        <f t="shared" si="8"/>
        <v>1.9147702478159525</v>
      </c>
      <c r="R24" s="133">
        <f t="shared" si="8"/>
        <v>3.4007508276416645</v>
      </c>
      <c r="S24" s="133">
        <f t="shared" si="8"/>
        <v>3.6464677610435445</v>
      </c>
      <c r="T24" s="133">
        <f t="shared" si="8"/>
        <v>4.7826165036259924</v>
      </c>
      <c r="U24" s="133">
        <f t="shared" si="8"/>
        <v>5.1671830049805942</v>
      </c>
      <c r="V24" s="133">
        <f t="shared" si="4"/>
        <v>2.8836244519183496</v>
      </c>
      <c r="W24" s="133"/>
      <c r="X24" s="133">
        <f t="shared" si="5"/>
        <v>0.26608669080782682</v>
      </c>
      <c r="Y24" s="133">
        <f t="shared" ref="Y24:AG32" si="9">IF($K24&gt;0,C24/$K24*100,0)</f>
        <v>2.5043785596511352</v>
      </c>
      <c r="Z24" s="133">
        <f t="shared" si="9"/>
        <v>7.6114945702465686</v>
      </c>
      <c r="AA24" s="133">
        <f t="shared" si="9"/>
        <v>2.5768364947315621</v>
      </c>
      <c r="AB24" s="133">
        <f t="shared" si="9"/>
        <v>3.2703319315848853</v>
      </c>
      <c r="AC24" s="133">
        <f t="shared" si="9"/>
        <v>25.193728175057167</v>
      </c>
      <c r="AD24" s="133">
        <f t="shared" si="9"/>
        <v>26.359029118301418</v>
      </c>
      <c r="AE24" s="133">
        <f t="shared" si="9"/>
        <v>22.258886756527506</v>
      </c>
      <c r="AF24" s="133">
        <f t="shared" si="9"/>
        <v>9.9592277030919281</v>
      </c>
      <c r="AG24" s="133">
        <f t="shared" si="9"/>
        <v>100</v>
      </c>
    </row>
    <row r="25" spans="1:33" x14ac:dyDescent="0.2">
      <c r="A25" s="12" t="str">
        <f>name!D21</f>
        <v xml:space="preserve"> 61 Caring personal service occupations</v>
      </c>
      <c r="B25" s="84">
        <f>'Basic T2'!D25</f>
        <v>9.35640805764026E-2</v>
      </c>
      <c r="C25" s="84">
        <f>'Basic T2'!O25</f>
        <v>4.1904593597581057</v>
      </c>
      <c r="D25" s="84">
        <f>'Basic T2'!Z25</f>
        <v>12.817547918318022</v>
      </c>
      <c r="E25" s="84">
        <f>'Basic T2'!AK25</f>
        <v>11.306321334044078</v>
      </c>
      <c r="F25" s="84">
        <f>'Basic T2'!AV25</f>
        <v>6.5388461716834581</v>
      </c>
      <c r="G25" s="84">
        <f>'Basic T2'!BG25</f>
        <v>50.974756082113139</v>
      </c>
      <c r="H25" s="84">
        <f>'Basic T2'!BR25</f>
        <v>38.437573268366329</v>
      </c>
      <c r="I25" s="84">
        <f>'Basic T2'!CC25</f>
        <v>8.2377642460591733</v>
      </c>
      <c r="J25" s="84">
        <f>'Basic T2'!CN25</f>
        <v>1.437355017095137</v>
      </c>
      <c r="K25" s="448">
        <f t="shared" si="7"/>
        <v>134.03418747801385</v>
      </c>
      <c r="L25" s="133"/>
      <c r="M25" s="133">
        <f t="shared" si="0"/>
        <v>0.38505958186970657</v>
      </c>
      <c r="N25" s="133">
        <f t="shared" si="1"/>
        <v>2.8567273524354673</v>
      </c>
      <c r="O25" s="133">
        <f t="shared" si="2"/>
        <v>4.9100725683546651</v>
      </c>
      <c r="P25" s="133">
        <f t="shared" si="8"/>
        <v>13.088108802971682</v>
      </c>
      <c r="Q25" s="133">
        <f t="shared" si="8"/>
        <v>8.6788854456537887</v>
      </c>
      <c r="R25" s="133">
        <f t="shared" si="8"/>
        <v>15.598237516774255</v>
      </c>
      <c r="S25" s="133">
        <f t="shared" si="8"/>
        <v>12.054159368857972</v>
      </c>
      <c r="T25" s="133">
        <f t="shared" si="8"/>
        <v>4.0124485502189655</v>
      </c>
      <c r="U25" s="133">
        <f t="shared" si="8"/>
        <v>1.690558602556854</v>
      </c>
      <c r="V25" s="133">
        <f t="shared" si="4"/>
        <v>8.7617788069984854</v>
      </c>
      <c r="W25" s="133"/>
      <c r="X25" s="133">
        <f t="shared" si="5"/>
        <v>6.9806131060219448E-2</v>
      </c>
      <c r="Y25" s="133">
        <f t="shared" si="9"/>
        <v>3.1264108348815731</v>
      </c>
      <c r="Z25" s="133">
        <f t="shared" si="9"/>
        <v>9.5628944819921671</v>
      </c>
      <c r="AA25" s="133">
        <f t="shared" si="9"/>
        <v>8.4354011068248518</v>
      </c>
      <c r="AB25" s="133">
        <f t="shared" si="9"/>
        <v>4.8784912974207044</v>
      </c>
      <c r="AC25" s="133">
        <f t="shared" si="9"/>
        <v>38.031159841570066</v>
      </c>
      <c r="AD25" s="133">
        <f t="shared" si="9"/>
        <v>28.677439682820772</v>
      </c>
      <c r="AE25" s="133">
        <f t="shared" si="9"/>
        <v>6.146017222218358</v>
      </c>
      <c r="AF25" s="133">
        <f t="shared" si="9"/>
        <v>1.0723794012112857</v>
      </c>
      <c r="AG25" s="133">
        <f t="shared" si="9"/>
        <v>100</v>
      </c>
    </row>
    <row r="26" spans="1:33" x14ac:dyDescent="0.2">
      <c r="A26" s="12" t="str">
        <f>name!D22</f>
        <v xml:space="preserve"> 62 Leisure, travel and related personal service occupations</v>
      </c>
      <c r="B26" s="84">
        <f>'Basic T2'!D26</f>
        <v>5.8483405213738203E-2</v>
      </c>
      <c r="C26" s="84">
        <f>'Basic T2'!O26</f>
        <v>0.66135725860429329</v>
      </c>
      <c r="D26" s="84">
        <f>'Basic T2'!Z26</f>
        <v>2.7779357532729616</v>
      </c>
      <c r="E26" s="84">
        <f>'Basic T2'!AK26</f>
        <v>1.7558994506171897</v>
      </c>
      <c r="F26" s="84">
        <f>'Basic T2'!AV26</f>
        <v>2.4987155554972689</v>
      </c>
      <c r="G26" s="84">
        <f>'Basic T2'!BG26</f>
        <v>8.7657384322388108</v>
      </c>
      <c r="H26" s="84">
        <f>'Basic T2'!BR26</f>
        <v>9.0503421521512273</v>
      </c>
      <c r="I26" s="84">
        <f>'Basic T2'!CC26</f>
        <v>6.2221540537974578</v>
      </c>
      <c r="J26" s="84">
        <f>'Basic T2'!CN26</f>
        <v>2.2913573385458976</v>
      </c>
      <c r="K26" s="448">
        <f t="shared" si="7"/>
        <v>34.081983399938842</v>
      </c>
      <c r="L26" s="133"/>
      <c r="M26" s="133">
        <f t="shared" si="0"/>
        <v>0.24068633410584936</v>
      </c>
      <c r="N26" s="133">
        <f t="shared" si="1"/>
        <v>0.45086163787439337</v>
      </c>
      <c r="O26" s="133">
        <f t="shared" si="2"/>
        <v>1.0641556579869693</v>
      </c>
      <c r="P26" s="133">
        <f t="shared" si="8"/>
        <v>2.0326154173203501</v>
      </c>
      <c r="Q26" s="133">
        <f t="shared" si="8"/>
        <v>3.3164973602446413</v>
      </c>
      <c r="R26" s="133">
        <f t="shared" si="8"/>
        <v>2.6823094524616167</v>
      </c>
      <c r="S26" s="133">
        <f t="shared" si="8"/>
        <v>2.8382194131518506</v>
      </c>
      <c r="T26" s="133">
        <f t="shared" si="8"/>
        <v>3.0306855436342541</v>
      </c>
      <c r="U26" s="133">
        <f t="shared" si="8"/>
        <v>2.6950014534607845</v>
      </c>
      <c r="V26" s="133">
        <f t="shared" si="4"/>
        <v>2.2279300936042303</v>
      </c>
      <c r="W26" s="133"/>
      <c r="X26" s="133">
        <f t="shared" si="5"/>
        <v>0.17159624933636683</v>
      </c>
      <c r="Y26" s="133">
        <f t="shared" si="9"/>
        <v>1.9404893513488422</v>
      </c>
      <c r="Z26" s="133">
        <f t="shared" si="9"/>
        <v>8.1507455733281837</v>
      </c>
      <c r="AA26" s="133">
        <f t="shared" si="9"/>
        <v>5.1519872831706754</v>
      </c>
      <c r="AB26" s="133">
        <f t="shared" si="9"/>
        <v>7.33148516087169</v>
      </c>
      <c r="AC26" s="133">
        <f t="shared" si="9"/>
        <v>25.719566638409137</v>
      </c>
      <c r="AD26" s="133">
        <f t="shared" si="9"/>
        <v>26.554622851460774</v>
      </c>
      <c r="AE26" s="133">
        <f t="shared" si="9"/>
        <v>18.256431795012912</v>
      </c>
      <c r="AF26" s="133">
        <f t="shared" si="9"/>
        <v>6.7230750970614261</v>
      </c>
      <c r="AG26" s="133">
        <f t="shared" si="9"/>
        <v>100</v>
      </c>
    </row>
    <row r="27" spans="1:33" x14ac:dyDescent="0.2">
      <c r="A27" s="12" t="str">
        <f>name!D23</f>
        <v xml:space="preserve"> 71 Sales occupations</v>
      </c>
      <c r="B27" s="84">
        <f>'Basic T2'!D27</f>
        <v>0.16458373075121746</v>
      </c>
      <c r="C27" s="84">
        <f>'Basic T2'!O27</f>
        <v>2.5166898439515686</v>
      </c>
      <c r="D27" s="84">
        <f>'Basic T2'!Z27</f>
        <v>9.9903986793064252</v>
      </c>
      <c r="E27" s="84">
        <f>'Basic T2'!AK27</f>
        <v>3.5648009212603906</v>
      </c>
      <c r="F27" s="84">
        <f>'Basic T2'!AV27</f>
        <v>2.7159045270871838</v>
      </c>
      <c r="G27" s="84">
        <f>'Basic T2'!BG27</f>
        <v>25.668752816705698</v>
      </c>
      <c r="H27" s="84">
        <f>'Basic T2'!BR27</f>
        <v>25.883221728710382</v>
      </c>
      <c r="I27" s="84">
        <f>'Basic T2'!CC27</f>
        <v>17.823498433078807</v>
      </c>
      <c r="J27" s="84">
        <f>'Basic T2'!CN27</f>
        <v>8.4008074569518136</v>
      </c>
      <c r="K27" s="448">
        <f t="shared" si="7"/>
        <v>96.728658137803478</v>
      </c>
      <c r="L27" s="133"/>
      <c r="M27" s="133">
        <f t="shared" si="0"/>
        <v>0.67733837766801697</v>
      </c>
      <c r="N27" s="133">
        <f t="shared" si="1"/>
        <v>1.7156822433013661</v>
      </c>
      <c r="O27" s="133">
        <f t="shared" si="2"/>
        <v>3.8270644911796978</v>
      </c>
      <c r="P27" s="133">
        <f t="shared" si="8"/>
        <v>4.1265855568693128</v>
      </c>
      <c r="Q27" s="133">
        <f t="shared" si="8"/>
        <v>3.6047681277465689</v>
      </c>
      <c r="R27" s="133">
        <f t="shared" si="8"/>
        <v>7.8546193050806599</v>
      </c>
      <c r="S27" s="133">
        <f t="shared" si="8"/>
        <v>8.1170701781565171</v>
      </c>
      <c r="T27" s="133">
        <f t="shared" si="8"/>
        <v>8.6814660278544906</v>
      </c>
      <c r="U27" s="133">
        <f t="shared" si="8"/>
        <v>9.8806885883180797</v>
      </c>
      <c r="V27" s="133">
        <f t="shared" si="4"/>
        <v>6.3231263817690495</v>
      </c>
      <c r="W27" s="133"/>
      <c r="X27" s="133">
        <f t="shared" si="5"/>
        <v>0.17014991618796671</v>
      </c>
      <c r="Y27" s="133">
        <f t="shared" si="9"/>
        <v>2.6018037388321797</v>
      </c>
      <c r="Z27" s="133">
        <f t="shared" si="9"/>
        <v>10.328271756932374</v>
      </c>
      <c r="AA27" s="133">
        <f t="shared" si="9"/>
        <v>3.6853617013706881</v>
      </c>
      <c r="AB27" s="133">
        <f t="shared" si="9"/>
        <v>2.8077558185682658</v>
      </c>
      <c r="AC27" s="133">
        <f t="shared" si="9"/>
        <v>26.536864369747565</v>
      </c>
      <c r="AD27" s="133">
        <f t="shared" si="9"/>
        <v>26.7585865730052</v>
      </c>
      <c r="AE27" s="133">
        <f t="shared" si="9"/>
        <v>18.426285214963642</v>
      </c>
      <c r="AF27" s="133">
        <f t="shared" si="9"/>
        <v>8.6849209103921314</v>
      </c>
      <c r="AG27" s="133">
        <f t="shared" si="9"/>
        <v>100</v>
      </c>
    </row>
    <row r="28" spans="1:33" x14ac:dyDescent="0.2">
      <c r="A28" s="12" t="str">
        <f>name!D24</f>
        <v xml:space="preserve"> 72 Customer service occupations</v>
      </c>
      <c r="B28" s="84">
        <f>'Basic T2'!D28</f>
        <v>0.10953145469431032</v>
      </c>
      <c r="C28" s="84">
        <f>'Basic T2'!O28</f>
        <v>1.1330266506140407</v>
      </c>
      <c r="D28" s="84">
        <f>'Basic T2'!Z28</f>
        <v>4.4968328923338357</v>
      </c>
      <c r="E28" s="84">
        <f>'Basic T2'!AK28</f>
        <v>1.2026692384994804</v>
      </c>
      <c r="F28" s="84">
        <f>'Basic T2'!AV28</f>
        <v>1.8433429723453143</v>
      </c>
      <c r="G28" s="84">
        <f>'Basic T2'!BG28</f>
        <v>7.3756461916147682</v>
      </c>
      <c r="H28" s="84">
        <f>'Basic T2'!BR28</f>
        <v>7.4882178709890095</v>
      </c>
      <c r="I28" s="84">
        <f>'Basic T2'!CC28</f>
        <v>3.9588373509271202</v>
      </c>
      <c r="J28" s="84">
        <f>'Basic T2'!CN28</f>
        <v>1.3331162587955772</v>
      </c>
      <c r="K28" s="448">
        <f t="shared" si="7"/>
        <v>28.941220880813461</v>
      </c>
      <c r="L28" s="133"/>
      <c r="M28" s="133">
        <f t="shared" si="0"/>
        <v>0.45077273122703992</v>
      </c>
      <c r="N28" s="133">
        <f t="shared" si="1"/>
        <v>0.77240892846513975</v>
      </c>
      <c r="O28" s="133">
        <f t="shared" si="2"/>
        <v>1.7226208920637875</v>
      </c>
      <c r="P28" s="133">
        <f t="shared" si="8"/>
        <v>1.3922004675448341</v>
      </c>
      <c r="Q28" s="133">
        <f t="shared" si="8"/>
        <v>2.4466338668917085</v>
      </c>
      <c r="R28" s="133">
        <f t="shared" si="8"/>
        <v>2.2569422588540498</v>
      </c>
      <c r="S28" s="133">
        <f t="shared" si="8"/>
        <v>2.3483316955370386</v>
      </c>
      <c r="T28" s="133">
        <f t="shared" si="8"/>
        <v>1.9282696997403381</v>
      </c>
      <c r="U28" s="133">
        <f t="shared" si="8"/>
        <v>1.5679572080041666</v>
      </c>
      <c r="V28" s="133">
        <f t="shared" si="4"/>
        <v>1.8918798295678749</v>
      </c>
      <c r="W28" s="133"/>
      <c r="X28" s="133">
        <f t="shared" si="5"/>
        <v>0.37846176270650711</v>
      </c>
      <c r="Y28" s="133">
        <f t="shared" si="9"/>
        <v>3.9149234763802903</v>
      </c>
      <c r="Z28" s="133">
        <f t="shared" si="9"/>
        <v>15.537813386839543</v>
      </c>
      <c r="AA28" s="133">
        <f t="shared" si="9"/>
        <v>4.1555580652673436</v>
      </c>
      <c r="AB28" s="133">
        <f t="shared" si="9"/>
        <v>6.3692647243066229</v>
      </c>
      <c r="AC28" s="133">
        <f t="shared" si="9"/>
        <v>25.484917246543809</v>
      </c>
      <c r="AD28" s="133">
        <f t="shared" si="9"/>
        <v>25.873883834504412</v>
      </c>
      <c r="AE28" s="133">
        <f t="shared" si="9"/>
        <v>13.678888555636663</v>
      </c>
      <c r="AF28" s="133">
        <f t="shared" si="9"/>
        <v>4.6062889478147921</v>
      </c>
      <c r="AG28" s="133">
        <f t="shared" si="9"/>
        <v>100</v>
      </c>
    </row>
    <row r="29" spans="1:33" x14ac:dyDescent="0.2">
      <c r="A29" s="12" t="str">
        <f>name!D25</f>
        <v xml:space="preserve"> 81 Process, plant and machine operatives</v>
      </c>
      <c r="B29" s="84">
        <f>'Basic T2'!D29</f>
        <v>0.11358071683964559</v>
      </c>
      <c r="C29" s="84">
        <f>'Basic T2'!O29</f>
        <v>0.90242062027175474</v>
      </c>
      <c r="D29" s="84">
        <f>'Basic T2'!Z29</f>
        <v>2.2747281852486525</v>
      </c>
      <c r="E29" s="84">
        <f>'Basic T2'!AK29</f>
        <v>1.1784634882456175</v>
      </c>
      <c r="F29" s="84">
        <f>'Basic T2'!AV29</f>
        <v>2.8865666755956072</v>
      </c>
      <c r="G29" s="84">
        <f>'Basic T2'!BG29</f>
        <v>18.982378239821085</v>
      </c>
      <c r="H29" s="84">
        <f>'Basic T2'!BR29</f>
        <v>23.783012245782459</v>
      </c>
      <c r="I29" s="84">
        <f>'Basic T2'!CC29</f>
        <v>18.948107197996578</v>
      </c>
      <c r="J29" s="84">
        <f>'Basic T2'!CN29</f>
        <v>9.2631214097278267</v>
      </c>
      <c r="K29" s="448">
        <f t="shared" si="7"/>
        <v>78.332378779529222</v>
      </c>
      <c r="L29" s="133"/>
      <c r="M29" s="133">
        <f t="shared" si="0"/>
        <v>0.4674373227984861</v>
      </c>
      <c r="N29" s="133">
        <f t="shared" si="1"/>
        <v>0.61519977835578277</v>
      </c>
      <c r="O29" s="133">
        <f t="shared" si="2"/>
        <v>0.87138979577290754</v>
      </c>
      <c r="P29" s="133">
        <f t="shared" si="8"/>
        <v>1.3641800811061267</v>
      </c>
      <c r="Q29" s="133">
        <f t="shared" si="8"/>
        <v>3.8312847329586517</v>
      </c>
      <c r="R29" s="133">
        <f t="shared" si="8"/>
        <v>5.8085936486094134</v>
      </c>
      <c r="S29" s="133">
        <f t="shared" si="8"/>
        <v>7.4584370319262643</v>
      </c>
      <c r="T29" s="133">
        <f t="shared" si="8"/>
        <v>9.2292402386200543</v>
      </c>
      <c r="U29" s="133">
        <f t="shared" si="8"/>
        <v>10.894907242465514</v>
      </c>
      <c r="V29" s="133">
        <f t="shared" si="4"/>
        <v>5.1205665450453717</v>
      </c>
      <c r="W29" s="133"/>
      <c r="X29" s="133">
        <f t="shared" si="5"/>
        <v>0.14499842671614088</v>
      </c>
      <c r="Y29" s="133">
        <f t="shared" si="9"/>
        <v>1.1520403622768396</v>
      </c>
      <c r="Z29" s="133">
        <f t="shared" si="9"/>
        <v>2.903943708451648</v>
      </c>
      <c r="AA29" s="133">
        <f t="shared" si="9"/>
        <v>1.5044398071485454</v>
      </c>
      <c r="AB29" s="133">
        <f t="shared" si="9"/>
        <v>3.6850236397390761</v>
      </c>
      <c r="AC29" s="133">
        <f t="shared" si="9"/>
        <v>24.233118584650708</v>
      </c>
      <c r="AD29" s="133">
        <f t="shared" si="9"/>
        <v>30.361662209596684</v>
      </c>
      <c r="AE29" s="133">
        <f t="shared" si="9"/>
        <v>24.189367785353568</v>
      </c>
      <c r="AF29" s="133">
        <f t="shared" si="9"/>
        <v>11.825405476066788</v>
      </c>
      <c r="AG29" s="133">
        <f t="shared" si="9"/>
        <v>100</v>
      </c>
    </row>
    <row r="30" spans="1:33" x14ac:dyDescent="0.2">
      <c r="A30" s="12" t="str">
        <f>name!D26</f>
        <v xml:space="preserve"> 82 Transport and mobile machine drivers and operatives</v>
      </c>
      <c r="B30" s="84">
        <f>'Basic T2'!D30</f>
        <v>9.8656398646010529E-2</v>
      </c>
      <c r="C30" s="84">
        <f>'Basic T2'!O30</f>
        <v>0.56918818306786156</v>
      </c>
      <c r="D30" s="84">
        <f>'Basic T2'!Z30</f>
        <v>2.0394349028353664</v>
      </c>
      <c r="E30" s="84">
        <f>'Basic T2'!AK30</f>
        <v>0.77141303818292339</v>
      </c>
      <c r="F30" s="84">
        <f>'Basic T2'!AV30</f>
        <v>1.4609586953875831</v>
      </c>
      <c r="G30" s="84">
        <f>'Basic T2'!BG30</f>
        <v>7.0083741717016101</v>
      </c>
      <c r="H30" s="84">
        <f>'Basic T2'!BR30</f>
        <v>10.400262400660598</v>
      </c>
      <c r="I30" s="84">
        <f>'Basic T2'!CC30</f>
        <v>8.7275625465733508</v>
      </c>
      <c r="J30" s="84">
        <f>'Basic T2'!CN30</f>
        <v>4.4175099460050147</v>
      </c>
      <c r="K30" s="448">
        <f t="shared" si="7"/>
        <v>35.493360283060319</v>
      </c>
      <c r="L30" s="133"/>
      <c r="M30" s="133">
        <f t="shared" si="0"/>
        <v>0.40601683228622287</v>
      </c>
      <c r="N30" s="133">
        <f t="shared" si="1"/>
        <v>0.38802797298739772</v>
      </c>
      <c r="O30" s="133">
        <f t="shared" si="2"/>
        <v>0.78125499784915553</v>
      </c>
      <c r="P30" s="133">
        <f t="shared" si="8"/>
        <v>0.89298167613265267</v>
      </c>
      <c r="Q30" s="133">
        <f t="shared" si="8"/>
        <v>1.9391025305059661</v>
      </c>
      <c r="R30" s="133">
        <f t="shared" si="8"/>
        <v>2.1445572934283672</v>
      </c>
      <c r="S30" s="133">
        <f t="shared" si="8"/>
        <v>3.2615591931418662</v>
      </c>
      <c r="T30" s="133">
        <f t="shared" si="8"/>
        <v>4.2510194078079033</v>
      </c>
      <c r="U30" s="133">
        <f t="shared" si="8"/>
        <v>5.1956958109013494</v>
      </c>
      <c r="V30" s="133">
        <f t="shared" si="4"/>
        <v>2.3201914210752519</v>
      </c>
      <c r="W30" s="133"/>
      <c r="X30" s="133">
        <f t="shared" si="5"/>
        <v>0.27795733584879995</v>
      </c>
      <c r="Y30" s="133">
        <f t="shared" si="9"/>
        <v>1.6036469315065507</v>
      </c>
      <c r="Z30" s="133">
        <f t="shared" si="9"/>
        <v>5.7459617420577507</v>
      </c>
      <c r="AA30" s="133">
        <f t="shared" si="9"/>
        <v>2.1734009742410629</v>
      </c>
      <c r="AB30" s="133">
        <f t="shared" si="9"/>
        <v>4.116146467216419</v>
      </c>
      <c r="AC30" s="133">
        <f t="shared" si="9"/>
        <v>19.745592177831782</v>
      </c>
      <c r="AD30" s="133">
        <f t="shared" si="9"/>
        <v>29.301994282080589</v>
      </c>
      <c r="AE30" s="133">
        <f t="shared" si="9"/>
        <v>24.58928226848867</v>
      </c>
      <c r="AF30" s="133">
        <f t="shared" si="9"/>
        <v>12.446017820728375</v>
      </c>
      <c r="AG30" s="133">
        <f t="shared" si="9"/>
        <v>100</v>
      </c>
    </row>
    <row r="31" spans="1:33" x14ac:dyDescent="0.2">
      <c r="A31" s="12" t="str">
        <f>name!D27</f>
        <v xml:space="preserve"> 91 Elementary trades and related occupations</v>
      </c>
      <c r="B31" s="84">
        <f>'Basic T2'!D31</f>
        <v>1.8613293149428111E-3</v>
      </c>
      <c r="C31" s="84">
        <f>'Basic T2'!O31</f>
        <v>0.29808294106682903</v>
      </c>
      <c r="D31" s="84">
        <f>'Basic T2'!Z31</f>
        <v>1.2800478297922337</v>
      </c>
      <c r="E31" s="84">
        <f>'Basic T2'!AK31</f>
        <v>0.83060879367166041</v>
      </c>
      <c r="F31" s="84">
        <f>'Basic T2'!AV31</f>
        <v>1.302549269816089</v>
      </c>
      <c r="G31" s="84">
        <f>'Basic T2'!BG31</f>
        <v>5.0748527001539321</v>
      </c>
      <c r="H31" s="84">
        <f>'Basic T2'!BR31</f>
        <v>7.8585845373971575</v>
      </c>
      <c r="I31" s="84">
        <f>'Basic T2'!CC31</f>
        <v>8.787142255249794</v>
      </c>
      <c r="J31" s="84">
        <f>'Basic T2'!CN31</f>
        <v>4.5698489601173824</v>
      </c>
      <c r="K31" s="448">
        <f t="shared" si="7"/>
        <v>30.003578616580022</v>
      </c>
      <c r="L31" s="133"/>
      <c r="M31" s="133">
        <f t="shared" si="0"/>
        <v>7.6602333215730622E-3</v>
      </c>
      <c r="N31" s="133">
        <f t="shared" si="1"/>
        <v>0.20320962881004417</v>
      </c>
      <c r="O31" s="133">
        <f t="shared" si="2"/>
        <v>0.49035336363068827</v>
      </c>
      <c r="P31" s="133">
        <f t="shared" si="8"/>
        <v>0.96150621790185242</v>
      </c>
      <c r="Q31" s="133">
        <f t="shared" si="8"/>
        <v>1.728848730072416</v>
      </c>
      <c r="R31" s="133">
        <f t="shared" si="8"/>
        <v>1.5529011586074213</v>
      </c>
      <c r="S31" s="133">
        <f t="shared" si="8"/>
        <v>2.4644799963318413</v>
      </c>
      <c r="T31" s="133">
        <f t="shared" si="8"/>
        <v>4.2800394803130883</v>
      </c>
      <c r="U31" s="133">
        <f t="shared" si="8"/>
        <v>5.3748707730712191</v>
      </c>
      <c r="V31" s="133">
        <f t="shared" si="4"/>
        <v>1.961325869192782</v>
      </c>
      <c r="W31" s="133"/>
      <c r="X31" s="133">
        <f t="shared" si="5"/>
        <v>6.203691028756942E-3</v>
      </c>
      <c r="Y31" s="133">
        <f t="shared" si="9"/>
        <v>0.99349129274235293</v>
      </c>
      <c r="Z31" s="133">
        <f t="shared" si="9"/>
        <v>4.2663171821939851</v>
      </c>
      <c r="AA31" s="133">
        <f t="shared" si="9"/>
        <v>2.7683657482533262</v>
      </c>
      <c r="AB31" s="133">
        <f t="shared" si="9"/>
        <v>4.3413130362266124</v>
      </c>
      <c r="AC31" s="133">
        <f t="shared" si="9"/>
        <v>16.914158024301678</v>
      </c>
      <c r="AD31" s="133">
        <f t="shared" si="9"/>
        <v>26.192157401699053</v>
      </c>
      <c r="AE31" s="133">
        <f t="shared" si="9"/>
        <v>29.286980621684926</v>
      </c>
      <c r="AF31" s="133">
        <f t="shared" si="9"/>
        <v>15.231013001869306</v>
      </c>
      <c r="AG31" s="133">
        <f t="shared" si="9"/>
        <v>100</v>
      </c>
    </row>
    <row r="32" spans="1:33" x14ac:dyDescent="0.2">
      <c r="A32" s="12" t="str">
        <f>name!D28</f>
        <v xml:space="preserve"> 92 Elementary administration and service occupations</v>
      </c>
      <c r="B32" s="84">
        <f>'Basic T2'!D32</f>
        <v>0.13354849259245011</v>
      </c>
      <c r="C32" s="84">
        <f>'Basic T2'!O32</f>
        <v>3.0479910321748331</v>
      </c>
      <c r="D32" s="84">
        <f>'Basic T2'!Z32</f>
        <v>10.408585043709826</v>
      </c>
      <c r="E32" s="84">
        <f>'Basic T2'!AK32</f>
        <v>4.6650314037081513</v>
      </c>
      <c r="F32" s="84">
        <f>'Basic T2'!AV32</f>
        <v>4.9367444446996629</v>
      </c>
      <c r="G32" s="84">
        <f>'Basic T2'!BG32</f>
        <v>27.70522591621933</v>
      </c>
      <c r="H32" s="84">
        <f>'Basic T2'!BR32</f>
        <v>42.290548919396024</v>
      </c>
      <c r="I32" s="84">
        <f>'Basic T2'!CC32</f>
        <v>35.808750800811708</v>
      </c>
      <c r="J32" s="84">
        <f>'Basic T2'!CN32</f>
        <v>17.462498976284969</v>
      </c>
      <c r="K32" s="448">
        <f t="shared" si="7"/>
        <v>146.45892502959694</v>
      </c>
      <c r="L32" s="133"/>
      <c r="M32" s="133">
        <f t="shared" si="0"/>
        <v>0.54961398006777296</v>
      </c>
      <c r="N32" s="133">
        <f t="shared" si="1"/>
        <v>2.0778818272788326</v>
      </c>
      <c r="O32" s="133">
        <f t="shared" si="2"/>
        <v>3.9872609194983011</v>
      </c>
      <c r="P32" s="133">
        <f t="shared" si="8"/>
        <v>5.4002037247222967</v>
      </c>
      <c r="Q32" s="133">
        <f t="shared" si="8"/>
        <v>6.552446469158232</v>
      </c>
      <c r="R32" s="133">
        <f t="shared" si="8"/>
        <v>8.4777785616264971</v>
      </c>
      <c r="S32" s="133">
        <f t="shared" si="8"/>
        <v>13.262466204921017</v>
      </c>
      <c r="T32" s="133">
        <f t="shared" si="8"/>
        <v>17.441719129629615</v>
      </c>
      <c r="U32" s="133">
        <f t="shared" si="8"/>
        <v>20.538682173427738</v>
      </c>
      <c r="V32" s="133">
        <f t="shared" si="4"/>
        <v>9.5739805609714139</v>
      </c>
      <c r="W32" s="133"/>
      <c r="X32" s="133">
        <f t="shared" si="5"/>
        <v>9.1184946609066092E-2</v>
      </c>
      <c r="Y32" s="133">
        <f t="shared" si="9"/>
        <v>2.081123449157424</v>
      </c>
      <c r="Z32" s="133">
        <f t="shared" si="9"/>
        <v>7.1068287860274975</v>
      </c>
      <c r="AA32" s="133">
        <f t="shared" si="9"/>
        <v>3.18521483259926</v>
      </c>
      <c r="AB32" s="133">
        <f t="shared" si="9"/>
        <v>3.3707365008325905</v>
      </c>
      <c r="AC32" s="133">
        <f t="shared" si="9"/>
        <v>18.916720787497628</v>
      </c>
      <c r="AD32" s="133">
        <f t="shared" si="9"/>
        <v>28.875364823857474</v>
      </c>
      <c r="AE32" s="133">
        <f t="shared" si="9"/>
        <v>24.449688398010125</v>
      </c>
      <c r="AF32" s="133">
        <f t="shared" si="9"/>
        <v>11.923137475408948</v>
      </c>
      <c r="AG32" s="133">
        <f t="shared" si="9"/>
        <v>100</v>
      </c>
    </row>
    <row r="33" spans="1:33" x14ac:dyDescent="0.2">
      <c r="B33" s="448"/>
      <c r="C33" s="448"/>
      <c r="D33" s="448"/>
      <c r="E33" s="84"/>
      <c r="F33" s="84"/>
      <c r="G33" s="84"/>
      <c r="H33" s="84"/>
      <c r="I33" s="84"/>
      <c r="J33" s="84"/>
      <c r="K33" s="448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</row>
    <row r="34" spans="1:33" x14ac:dyDescent="0.2">
      <c r="A34" s="345" t="str">
        <f>name!D3</f>
        <v>All occupations</v>
      </c>
      <c r="B34" s="449">
        <f>SUM(B8:B32)</f>
        <v>24.298598186309277</v>
      </c>
      <c r="C34" s="449">
        <f>SUM(C8:C32)</f>
        <v>146.68740984979129</v>
      </c>
      <c r="D34" s="449">
        <f>SUM(D8:D32)</f>
        <v>261.0459975872231</v>
      </c>
      <c r="E34" s="449">
        <f t="shared" ref="E34:J34" si="10">SUM(E8:E32)</f>
        <v>86.386211363684225</v>
      </c>
      <c r="F34" s="449">
        <f t="shared" si="10"/>
        <v>75.342003447665974</v>
      </c>
      <c r="G34" s="449">
        <f t="shared" si="10"/>
        <v>326.79817849481509</v>
      </c>
      <c r="H34" s="449">
        <f t="shared" si="10"/>
        <v>318.87394294512268</v>
      </c>
      <c r="I34" s="449">
        <f t="shared" si="10"/>
        <v>205.30516822725679</v>
      </c>
      <c r="J34" s="449">
        <f t="shared" si="10"/>
        <v>85.022489898973987</v>
      </c>
      <c r="K34" s="449">
        <f>SUM(K8:K32)</f>
        <v>1529.7600000008424</v>
      </c>
      <c r="L34" s="134"/>
      <c r="M34" s="134">
        <f>B34/B$34*100</f>
        <v>100</v>
      </c>
      <c r="N34" s="134">
        <f>C34/C$34*100</f>
        <v>100</v>
      </c>
      <c r="O34" s="134">
        <f>D34/D$34*100</f>
        <v>100</v>
      </c>
      <c r="P34" s="134">
        <f t="shared" ref="P34:U34" si="11">E34/E$34*100</f>
        <v>100</v>
      </c>
      <c r="Q34" s="134">
        <f t="shared" si="11"/>
        <v>100</v>
      </c>
      <c r="R34" s="134">
        <f t="shared" si="11"/>
        <v>100</v>
      </c>
      <c r="S34" s="134">
        <f t="shared" si="11"/>
        <v>100</v>
      </c>
      <c r="T34" s="134">
        <f t="shared" si="11"/>
        <v>100</v>
      </c>
      <c r="U34" s="134">
        <f t="shared" si="11"/>
        <v>100</v>
      </c>
      <c r="V34" s="134">
        <f>K34/K$34*100</f>
        <v>100</v>
      </c>
      <c r="W34" s="134"/>
      <c r="X34" s="134">
        <f>IF($K34&gt;0,B34/$K34*100,0)</f>
        <v>1.5883928319668377</v>
      </c>
      <c r="Y34" s="134">
        <f t="shared" ref="Y34:AG34" si="12">IF($K34&gt;0,C34/$K34*100,0)</f>
        <v>9.5889165522507138</v>
      </c>
      <c r="Z34" s="134">
        <f t="shared" si="12"/>
        <v>17.064506693015854</v>
      </c>
      <c r="AA34" s="134">
        <f t="shared" si="12"/>
        <v>5.6470434161984011</v>
      </c>
      <c r="AB34" s="134">
        <f t="shared" si="12"/>
        <v>4.9250865134154695</v>
      </c>
      <c r="AC34" s="134">
        <f t="shared" si="12"/>
        <v>21.36270908473454</v>
      </c>
      <c r="AD34" s="134">
        <f t="shared" si="12"/>
        <v>20.844703936888603</v>
      </c>
      <c r="AE34" s="134">
        <f t="shared" si="12"/>
        <v>13.420743660910453</v>
      </c>
      <c r="AF34" s="134">
        <f t="shared" si="12"/>
        <v>5.5578973106191274</v>
      </c>
      <c r="AG34" s="134">
        <f t="shared" si="12"/>
        <v>100</v>
      </c>
    </row>
    <row r="36" spans="1:33" x14ac:dyDescent="0.2">
      <c r="A36" s="123" t="str">
        <f ca="1">CELL("filename")</f>
        <v>S:\Gateway Web Design\12.LMI\2020.07.29 Gateway LMI\[WA_MainTables.Main.xlsx]Warning</v>
      </c>
    </row>
  </sheetData>
  <pageMargins left="0.31496062992125984" right="0.31496062992125984" top="0.74803149606299213" bottom="0.74803149606299213" header="0.31496062992125984" footer="0.31496062992125984"/>
  <pageSetup paperSize="9" scale="71" orientation="landscape" r:id="rId1"/>
  <colBreaks count="2" manualBreakCount="2">
    <brk id="12" max="33" man="1"/>
    <brk id="23" max="33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P101"/>
  <sheetViews>
    <sheetView zoomScale="85" zoomScaleNormal="85" workbookViewId="0">
      <selection activeCell="J103" sqref="J103"/>
    </sheetView>
  </sheetViews>
  <sheetFormatPr defaultColWidth="9.140625" defaultRowHeight="12.75" x14ac:dyDescent="0.2"/>
  <cols>
    <col min="1" max="1" width="33.7109375" style="123" customWidth="1"/>
    <col min="2" max="2" width="5.7109375" style="123" customWidth="1"/>
    <col min="3" max="3" width="11.7109375" style="123" customWidth="1"/>
    <col min="4" max="4" width="7.85546875" style="123" customWidth="1"/>
    <col min="5" max="5" width="9.85546875" style="123" customWidth="1"/>
    <col min="6" max="6" width="10" style="123" customWidth="1"/>
    <col min="7" max="7" width="2.7109375" style="129" customWidth="1"/>
    <col min="8" max="8" width="5.7109375" style="123" customWidth="1"/>
    <col min="9" max="9" width="10.7109375" style="123" customWidth="1"/>
    <col min="10" max="12" width="8.7109375" style="123" customWidth="1"/>
    <col min="13" max="13" width="2.7109375" style="129" customWidth="1"/>
    <col min="14" max="14" width="5.7109375" style="129" customWidth="1"/>
    <col min="15" max="15" width="10.7109375" style="123" customWidth="1"/>
    <col min="16" max="18" width="8.7109375" style="123" customWidth="1"/>
    <col min="19" max="19" width="2.7109375" style="123" customWidth="1"/>
    <col min="20" max="20" width="5.7109375" style="123" customWidth="1"/>
    <col min="21" max="21" width="10.7109375" style="123" customWidth="1"/>
    <col min="22" max="24" width="8.7109375" style="123" customWidth="1"/>
    <col min="25" max="25" width="33.7109375" style="123" customWidth="1"/>
    <col min="26" max="26" width="5.7109375" style="123" customWidth="1"/>
    <col min="27" max="27" width="11.7109375" style="123" customWidth="1"/>
    <col min="28" max="28" width="7.42578125" style="123" customWidth="1"/>
    <col min="29" max="30" width="8.7109375" style="123" customWidth="1"/>
    <col min="31" max="31" width="2.7109375" style="129" customWidth="1"/>
    <col min="32" max="32" width="5.7109375" style="123" customWidth="1"/>
    <col min="33" max="33" width="10.7109375" style="123" customWidth="1"/>
    <col min="34" max="36" width="8.7109375" style="123" customWidth="1"/>
    <col min="37" max="37" width="2.7109375" style="129" customWidth="1"/>
    <col min="38" max="38" width="5.7109375" style="129" customWidth="1"/>
    <col min="39" max="39" width="10.7109375" style="123" customWidth="1"/>
    <col min="40" max="42" width="8.7109375" style="123" customWidth="1"/>
    <col min="43" max="43" width="2.7109375" style="123" customWidth="1"/>
    <col min="44" max="44" width="5.7109375" style="123" customWidth="1"/>
    <col min="45" max="45" width="10.7109375" style="123" customWidth="1"/>
    <col min="46" max="48" width="8.7109375" style="123" customWidth="1"/>
    <col min="49" max="49" width="33.7109375" style="123" customWidth="1"/>
    <col min="50" max="50" width="5.7109375" style="123" customWidth="1"/>
    <col min="51" max="51" width="11.7109375" style="123" customWidth="1"/>
    <col min="52" max="52" width="7.42578125" style="123" customWidth="1"/>
    <col min="53" max="54" width="8.7109375" style="123" customWidth="1"/>
    <col min="55" max="55" width="2.7109375" style="129" customWidth="1"/>
    <col min="56" max="56" width="5.7109375" style="123" customWidth="1"/>
    <col min="57" max="57" width="10.7109375" style="123" customWidth="1"/>
    <col min="58" max="60" width="8.7109375" style="123" customWidth="1"/>
    <col min="61" max="61" width="2.7109375" style="129" customWidth="1"/>
    <col min="62" max="62" width="5.7109375" style="129" customWidth="1"/>
    <col min="63" max="63" width="10.7109375" style="123" customWidth="1"/>
    <col min="64" max="66" width="8.7109375" style="123" customWidth="1"/>
    <col min="67" max="67" width="2.7109375" style="123" customWidth="1"/>
    <col min="68" max="68" width="5.7109375" style="123" customWidth="1"/>
    <col min="69" max="69" width="10.7109375" style="123" customWidth="1"/>
    <col min="70" max="72" width="8.7109375" style="123" customWidth="1"/>
    <col min="73" max="73" width="33.7109375" style="123" customWidth="1"/>
    <col min="74" max="74" width="5.7109375" style="123" customWidth="1"/>
    <col min="75" max="75" width="11.7109375" style="123" customWidth="1"/>
    <col min="76" max="76" width="7.42578125" style="123" customWidth="1"/>
    <col min="77" max="78" width="8.7109375" style="123" customWidth="1"/>
    <col min="79" max="79" width="2.7109375" style="129" customWidth="1"/>
    <col min="80" max="80" width="5.7109375" style="123" customWidth="1"/>
    <col min="81" max="81" width="10.7109375" style="123" customWidth="1"/>
    <col min="82" max="84" width="8.7109375" style="123" customWidth="1"/>
    <col min="85" max="85" width="2.7109375" style="129" customWidth="1"/>
    <col min="86" max="86" width="5.7109375" style="129" customWidth="1"/>
    <col min="87" max="87" width="10.7109375" style="123" customWidth="1"/>
    <col min="88" max="90" width="8.7109375" style="123" customWidth="1"/>
    <col min="91" max="91" width="2.7109375" style="123" customWidth="1"/>
    <col min="92" max="92" width="5.7109375" style="123" customWidth="1"/>
    <col min="93" max="93" width="10.7109375" style="123" customWidth="1"/>
    <col min="94" max="96" width="8.7109375" style="123" customWidth="1"/>
    <col min="97" max="97" width="33.7109375" style="123" customWidth="1"/>
    <col min="98" max="98" width="5.7109375" style="123" customWidth="1"/>
    <col min="99" max="99" width="11.7109375" style="123" customWidth="1"/>
    <col min="100" max="100" width="7.42578125" style="123" customWidth="1"/>
    <col min="101" max="102" width="8.7109375" style="123" customWidth="1"/>
    <col min="103" max="103" width="2.7109375" style="129" customWidth="1"/>
    <col min="104" max="104" width="5.7109375" style="123" customWidth="1"/>
    <col min="105" max="105" width="10.7109375" style="123" customWidth="1"/>
    <col min="106" max="108" width="8.7109375" style="123" customWidth="1"/>
    <col min="109" max="109" width="2.7109375" style="129" customWidth="1"/>
    <col min="110" max="110" width="5.7109375" style="129" customWidth="1"/>
    <col min="111" max="111" width="10.7109375" style="123" customWidth="1"/>
    <col min="112" max="114" width="8.7109375" style="123" customWidth="1"/>
    <col min="115" max="115" width="2.7109375" style="123" customWidth="1"/>
    <col min="116" max="116" width="5.7109375" style="123" customWidth="1"/>
    <col min="117" max="117" width="10.7109375" style="123" customWidth="1"/>
    <col min="118" max="120" width="8.7109375" style="123" customWidth="1"/>
    <col min="121" max="16384" width="9.140625" style="123"/>
  </cols>
  <sheetData>
    <row r="1" spans="1:120" ht="15.75" x14ac:dyDescent="0.25">
      <c r="A1" s="23" t="str">
        <f>CONCATENATE("Basic Table 5  Replacement Demand, ",A100,"-",A101,", by Industry and Qualification for ",name!$H$3)</f>
        <v>Basic Table 5  Replacement Demand, 2015-2025, by Industry and Qualification for M</v>
      </c>
      <c r="Y1" s="23" t="str">
        <f>CONCATENATE("Basic Table 5  Replacement Demand, ",A100,"-",A101,", by Industry and Qualification for ",name!$H$4)</f>
        <v>Basic Table 5  Replacement Demand, 2015-2025, by Industry and Qualification for F</v>
      </c>
      <c r="AW1" s="23" t="str">
        <f>CONCATENATE("Basic Table 5  Replacement Demand, ",A100,"-",A101,", by Industry and Qualification for ",name!$H$5)</f>
        <v xml:space="preserve">Basic Table 5  Replacement Demand, 2015-2025, by Industry and Qualification for </v>
      </c>
      <c r="BU1" s="23" t="str">
        <f>CONCATENATE("Basic Table 5  Replacement Demand, ",A100,"-",A101,", by Industry and Qualification for ",name!$H$6)</f>
        <v xml:space="preserve">Basic Table 5  Replacement Demand, 2015-2025, by Industry and Qualification for </v>
      </c>
      <c r="CS1" s="23" t="str">
        <f>CONCATENATE("Basic Table 5  Replacement Demand, ",A100,"-",A101,", by Industry and Qualification for ",name!$H$7)</f>
        <v xml:space="preserve">Basic Table 5  Replacement Demand, 2015-2025, by Industry and Qualification for </v>
      </c>
    </row>
    <row r="2" spans="1:120" ht="15.75" x14ac:dyDescent="0.25">
      <c r="A2" s="23"/>
      <c r="Y2" s="23"/>
      <c r="AW2" s="23"/>
      <c r="BU2" s="23"/>
      <c r="CS2" s="23"/>
    </row>
    <row r="3" spans="1:120" x14ac:dyDescent="0.2"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57" t="s">
        <v>35</v>
      </c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57" t="str">
        <f>$X$3</f>
        <v>thousands</v>
      </c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57" t="str">
        <f>$X$3</f>
        <v>thousands</v>
      </c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  <c r="CQ3" s="124"/>
      <c r="CR3" s="157" t="str">
        <f>$X$3</f>
        <v>thousands</v>
      </c>
      <c r="CT3" s="124"/>
      <c r="CU3" s="124"/>
      <c r="CV3" s="124"/>
      <c r="CW3" s="124"/>
      <c r="CX3" s="124"/>
      <c r="CY3" s="124"/>
      <c r="CZ3" s="124"/>
      <c r="DA3" s="124"/>
      <c r="DB3" s="124"/>
      <c r="DC3" s="124"/>
      <c r="DD3" s="124"/>
      <c r="DE3" s="124"/>
      <c r="DF3" s="124"/>
      <c r="DG3" s="124"/>
      <c r="DH3" s="124"/>
      <c r="DI3" s="124"/>
      <c r="DJ3" s="124"/>
      <c r="DK3" s="124"/>
      <c r="DL3" s="124"/>
      <c r="DM3" s="124"/>
      <c r="DN3" s="124"/>
      <c r="DO3" s="124"/>
      <c r="DP3" s="157" t="str">
        <f>$X$3</f>
        <v>thousands</v>
      </c>
    </row>
    <row r="4" spans="1:120" x14ac:dyDescent="0.2">
      <c r="A4" s="132"/>
      <c r="B4" s="529" t="str">
        <f>name!F3</f>
        <v>All qualifications</v>
      </c>
      <c r="C4" s="529"/>
      <c r="D4" s="529"/>
      <c r="E4" s="529"/>
      <c r="F4" s="529"/>
      <c r="G4" s="140"/>
      <c r="H4" s="529" t="str">
        <f>name!F4</f>
        <v>RQF8 Doctorate</v>
      </c>
      <c r="I4" s="529"/>
      <c r="J4" s="529"/>
      <c r="K4" s="529"/>
      <c r="L4" s="529"/>
      <c r="N4" s="530" t="str">
        <f>name!F5</f>
        <v>RQF7 Other higher degree</v>
      </c>
      <c r="O4" s="530"/>
      <c r="P4" s="530"/>
      <c r="Q4" s="530"/>
      <c r="R4" s="530"/>
      <c r="S4" s="150"/>
      <c r="T4" s="530" t="str">
        <f>name!F6</f>
        <v>RQF6 First degree</v>
      </c>
      <c r="U4" s="530"/>
      <c r="V4" s="530"/>
      <c r="W4" s="530"/>
      <c r="X4" s="530"/>
      <c r="Y4" s="132"/>
      <c r="Z4" s="529" t="str">
        <f>$B$4</f>
        <v>All qualifications</v>
      </c>
      <c r="AA4" s="529"/>
      <c r="AB4" s="529"/>
      <c r="AC4" s="529"/>
      <c r="AD4" s="529"/>
      <c r="AE4" s="140"/>
      <c r="AF4" s="529" t="str">
        <f>$H$4</f>
        <v>RQF8 Doctorate</v>
      </c>
      <c r="AG4" s="529"/>
      <c r="AH4" s="529"/>
      <c r="AI4" s="529"/>
      <c r="AJ4" s="529"/>
      <c r="AL4" s="530" t="str">
        <f>$N$4</f>
        <v>RQF7 Other higher degree</v>
      </c>
      <c r="AM4" s="530"/>
      <c r="AN4" s="530"/>
      <c r="AO4" s="530"/>
      <c r="AP4" s="530"/>
      <c r="AQ4" s="150"/>
      <c r="AR4" s="530" t="str">
        <f>$T$4</f>
        <v>RQF6 First degree</v>
      </c>
      <c r="AS4" s="530"/>
      <c r="AT4" s="530"/>
      <c r="AU4" s="530"/>
      <c r="AV4" s="530"/>
      <c r="AW4" s="132"/>
      <c r="AX4" s="529" t="str">
        <f>$B$4</f>
        <v>All qualifications</v>
      </c>
      <c r="AY4" s="529"/>
      <c r="AZ4" s="529"/>
      <c r="BA4" s="529"/>
      <c r="BB4" s="529"/>
      <c r="BC4" s="140"/>
      <c r="BD4" s="529" t="str">
        <f>$H$4</f>
        <v>RQF8 Doctorate</v>
      </c>
      <c r="BE4" s="529"/>
      <c r="BF4" s="529"/>
      <c r="BG4" s="529"/>
      <c r="BH4" s="529"/>
      <c r="BJ4" s="530" t="str">
        <f>$N$4</f>
        <v>RQF7 Other higher degree</v>
      </c>
      <c r="BK4" s="530"/>
      <c r="BL4" s="530"/>
      <c r="BM4" s="530"/>
      <c r="BN4" s="530"/>
      <c r="BO4" s="150"/>
      <c r="BP4" s="530" t="str">
        <f>$T$4</f>
        <v>RQF6 First degree</v>
      </c>
      <c r="BQ4" s="530"/>
      <c r="BR4" s="530"/>
      <c r="BS4" s="530"/>
      <c r="BT4" s="530"/>
      <c r="BU4" s="132"/>
      <c r="BV4" s="529" t="str">
        <f>$B$4</f>
        <v>All qualifications</v>
      </c>
      <c r="BW4" s="529"/>
      <c r="BX4" s="529"/>
      <c r="BY4" s="529"/>
      <c r="BZ4" s="529"/>
      <c r="CA4" s="140"/>
      <c r="CB4" s="529" t="str">
        <f>$H$4</f>
        <v>RQF8 Doctorate</v>
      </c>
      <c r="CC4" s="529"/>
      <c r="CD4" s="529"/>
      <c r="CE4" s="529"/>
      <c r="CF4" s="529"/>
      <c r="CH4" s="530" t="str">
        <f>$N$4</f>
        <v>RQF7 Other higher degree</v>
      </c>
      <c r="CI4" s="530"/>
      <c r="CJ4" s="530"/>
      <c r="CK4" s="530"/>
      <c r="CL4" s="530"/>
      <c r="CM4" s="150"/>
      <c r="CN4" s="530" t="str">
        <f>$T$4</f>
        <v>RQF6 First degree</v>
      </c>
      <c r="CO4" s="530"/>
      <c r="CP4" s="530"/>
      <c r="CQ4" s="530"/>
      <c r="CR4" s="530"/>
      <c r="CS4" s="132"/>
      <c r="CT4" s="529" t="str">
        <f>$B$4</f>
        <v>All qualifications</v>
      </c>
      <c r="CU4" s="529"/>
      <c r="CV4" s="529"/>
      <c r="CW4" s="529"/>
      <c r="CX4" s="529"/>
      <c r="CY4" s="140"/>
      <c r="CZ4" s="529" t="str">
        <f>$H$4</f>
        <v>RQF8 Doctorate</v>
      </c>
      <c r="DA4" s="529"/>
      <c r="DB4" s="529"/>
      <c r="DC4" s="529"/>
      <c r="DD4" s="529"/>
      <c r="DF4" s="530" t="str">
        <f>$N$4</f>
        <v>RQF7 Other higher degree</v>
      </c>
      <c r="DG4" s="530"/>
      <c r="DH4" s="530"/>
      <c r="DI4" s="530"/>
      <c r="DJ4" s="530"/>
      <c r="DK4" s="150"/>
      <c r="DL4" s="530" t="str">
        <f>$T$4</f>
        <v>RQF6 First degree</v>
      </c>
      <c r="DM4" s="530"/>
      <c r="DN4" s="530"/>
      <c r="DO4" s="530"/>
      <c r="DP4" s="530"/>
    </row>
    <row r="5" spans="1:120" x14ac:dyDescent="0.2">
      <c r="A5" s="129"/>
      <c r="B5" s="129"/>
      <c r="C5" s="129"/>
      <c r="D5" s="129"/>
      <c r="E5" s="129"/>
      <c r="F5" s="129"/>
      <c r="H5" s="129"/>
      <c r="I5" s="129"/>
      <c r="J5" s="129"/>
      <c r="Y5" s="129"/>
      <c r="Z5" s="129"/>
      <c r="AA5" s="129"/>
      <c r="AB5" s="129"/>
      <c r="AC5" s="129"/>
      <c r="AD5" s="129"/>
      <c r="AF5" s="129"/>
      <c r="AG5" s="129"/>
      <c r="AH5" s="129"/>
      <c r="AW5" s="129"/>
      <c r="AX5" s="129"/>
      <c r="AY5" s="129"/>
      <c r="AZ5" s="129"/>
      <c r="BA5" s="129"/>
      <c r="BB5" s="129"/>
      <c r="BD5" s="129"/>
      <c r="BE5" s="129"/>
      <c r="BF5" s="129"/>
      <c r="BU5" s="129"/>
      <c r="BV5" s="129"/>
      <c r="BW5" s="129"/>
      <c r="BX5" s="129"/>
      <c r="BY5" s="129"/>
      <c r="BZ5" s="129"/>
      <c r="CB5" s="129"/>
      <c r="CC5" s="129"/>
      <c r="CD5" s="129"/>
      <c r="CS5" s="129"/>
      <c r="CT5" s="129"/>
      <c r="CU5" s="129"/>
      <c r="CV5" s="129"/>
      <c r="CW5" s="129"/>
      <c r="CX5" s="129"/>
      <c r="CZ5" s="129"/>
      <c r="DA5" s="129"/>
      <c r="DB5" s="129"/>
    </row>
    <row r="6" spans="1:120" s="139" customFormat="1" ht="38.25" x14ac:dyDescent="0.2">
      <c r="A6" s="138"/>
      <c r="B6" s="144" t="s">
        <v>42</v>
      </c>
      <c r="C6" s="154" t="str">
        <f>CONCATENATE($A$100," Level")</f>
        <v>2015 Level</v>
      </c>
      <c r="D6" s="143" t="s">
        <v>40</v>
      </c>
      <c r="E6" s="154" t="s">
        <v>43</v>
      </c>
      <c r="F6" s="154" t="s">
        <v>44</v>
      </c>
      <c r="G6" s="142"/>
      <c r="H6" s="143" t="str">
        <f>B6</f>
        <v>RD p.a%</v>
      </c>
      <c r="I6" s="143" t="str">
        <f>C6</f>
        <v>2015 Level</v>
      </c>
      <c r="J6" s="143" t="str">
        <f>D6</f>
        <v>Net Change</v>
      </c>
      <c r="K6" s="143" t="str">
        <f>E6</f>
        <v>Replace-ment Demand</v>
      </c>
      <c r="L6" s="143" t="str">
        <f>F6</f>
        <v>Total Require-ment</v>
      </c>
      <c r="M6" s="142"/>
      <c r="N6" s="144" t="str">
        <f>H6</f>
        <v>RD p.a%</v>
      </c>
      <c r="O6" s="144" t="str">
        <f>I6</f>
        <v>2015 Level</v>
      </c>
      <c r="P6" s="144" t="str">
        <f>J6</f>
        <v>Net Change</v>
      </c>
      <c r="Q6" s="144" t="str">
        <f>K6</f>
        <v>Replace-ment Demand</v>
      </c>
      <c r="R6" s="144" t="str">
        <f>L6</f>
        <v>Total Require-ment</v>
      </c>
      <c r="S6" s="142"/>
      <c r="T6" s="144" t="str">
        <f>N6</f>
        <v>RD p.a%</v>
      </c>
      <c r="U6" s="144" t="str">
        <f>O6</f>
        <v>2015 Level</v>
      </c>
      <c r="V6" s="144" t="str">
        <f>P6</f>
        <v>Net Change</v>
      </c>
      <c r="W6" s="144" t="str">
        <f>Q6</f>
        <v>Replace-ment Demand</v>
      </c>
      <c r="X6" s="144" t="str">
        <f>R6</f>
        <v>Total Require-ment</v>
      </c>
      <c r="Y6" s="138"/>
      <c r="Z6" s="144" t="s">
        <v>42</v>
      </c>
      <c r="AA6" s="154" t="str">
        <f>CONCATENATE($A$100," Level")</f>
        <v>2015 Level</v>
      </c>
      <c r="AB6" s="143" t="s">
        <v>40</v>
      </c>
      <c r="AC6" s="154" t="s">
        <v>43</v>
      </c>
      <c r="AD6" s="154" t="s">
        <v>44</v>
      </c>
      <c r="AE6" s="142"/>
      <c r="AF6" s="143" t="str">
        <f>Z6</f>
        <v>RD p.a%</v>
      </c>
      <c r="AG6" s="143" t="str">
        <f>AA6</f>
        <v>2015 Level</v>
      </c>
      <c r="AH6" s="143" t="str">
        <f>AB6</f>
        <v>Net Change</v>
      </c>
      <c r="AI6" s="143" t="str">
        <f>AC6</f>
        <v>Replace-ment Demand</v>
      </c>
      <c r="AJ6" s="143" t="str">
        <f>AD6</f>
        <v>Total Require-ment</v>
      </c>
      <c r="AK6" s="142"/>
      <c r="AL6" s="144" t="str">
        <f>AF6</f>
        <v>RD p.a%</v>
      </c>
      <c r="AM6" s="144" t="str">
        <f>AG6</f>
        <v>2015 Level</v>
      </c>
      <c r="AN6" s="144" t="str">
        <f>AH6</f>
        <v>Net Change</v>
      </c>
      <c r="AO6" s="144" t="str">
        <f>AI6</f>
        <v>Replace-ment Demand</v>
      </c>
      <c r="AP6" s="144" t="str">
        <f>AJ6</f>
        <v>Total Require-ment</v>
      </c>
      <c r="AQ6" s="142"/>
      <c r="AR6" s="144" t="str">
        <f>AL6</f>
        <v>RD p.a%</v>
      </c>
      <c r="AS6" s="144" t="str">
        <f>AM6</f>
        <v>2015 Level</v>
      </c>
      <c r="AT6" s="144" t="str">
        <f>AN6</f>
        <v>Net Change</v>
      </c>
      <c r="AU6" s="144" t="str">
        <f>AO6</f>
        <v>Replace-ment Demand</v>
      </c>
      <c r="AV6" s="144" t="str">
        <f>AP6</f>
        <v>Total Require-ment</v>
      </c>
      <c r="AW6" s="138"/>
      <c r="AX6" s="144" t="s">
        <v>42</v>
      </c>
      <c r="AY6" s="154" t="str">
        <f>CONCATENATE($A$100," Level")</f>
        <v>2015 Level</v>
      </c>
      <c r="AZ6" s="143" t="s">
        <v>40</v>
      </c>
      <c r="BA6" s="154" t="s">
        <v>43</v>
      </c>
      <c r="BB6" s="154" t="s">
        <v>44</v>
      </c>
      <c r="BC6" s="142"/>
      <c r="BD6" s="143" t="str">
        <f>AX6</f>
        <v>RD p.a%</v>
      </c>
      <c r="BE6" s="143" t="str">
        <f>AY6</f>
        <v>2015 Level</v>
      </c>
      <c r="BF6" s="143" t="str">
        <f>AZ6</f>
        <v>Net Change</v>
      </c>
      <c r="BG6" s="143" t="str">
        <f>BA6</f>
        <v>Replace-ment Demand</v>
      </c>
      <c r="BH6" s="143" t="str">
        <f>BB6</f>
        <v>Total Require-ment</v>
      </c>
      <c r="BI6" s="142"/>
      <c r="BJ6" s="144" t="str">
        <f>BD6</f>
        <v>RD p.a%</v>
      </c>
      <c r="BK6" s="144" t="str">
        <f>BE6</f>
        <v>2015 Level</v>
      </c>
      <c r="BL6" s="144" t="str">
        <f>BF6</f>
        <v>Net Change</v>
      </c>
      <c r="BM6" s="144" t="str">
        <f>BG6</f>
        <v>Replace-ment Demand</v>
      </c>
      <c r="BN6" s="144" t="str">
        <f>BH6</f>
        <v>Total Require-ment</v>
      </c>
      <c r="BO6" s="142"/>
      <c r="BP6" s="144" t="str">
        <f>BJ6</f>
        <v>RD p.a%</v>
      </c>
      <c r="BQ6" s="144" t="str">
        <f>BK6</f>
        <v>2015 Level</v>
      </c>
      <c r="BR6" s="144" t="str">
        <f>BL6</f>
        <v>Net Change</v>
      </c>
      <c r="BS6" s="144" t="str">
        <f>BM6</f>
        <v>Replace-ment Demand</v>
      </c>
      <c r="BT6" s="144" t="str">
        <f>BN6</f>
        <v>Total Require-ment</v>
      </c>
      <c r="BU6" s="138"/>
      <c r="BV6" s="144" t="s">
        <v>42</v>
      </c>
      <c r="BW6" s="154" t="str">
        <f>CONCATENATE($A$100," Level")</f>
        <v>2015 Level</v>
      </c>
      <c r="BX6" s="143" t="s">
        <v>40</v>
      </c>
      <c r="BY6" s="154" t="s">
        <v>43</v>
      </c>
      <c r="BZ6" s="154" t="s">
        <v>44</v>
      </c>
      <c r="CA6" s="142"/>
      <c r="CB6" s="143" t="str">
        <f>BV6</f>
        <v>RD p.a%</v>
      </c>
      <c r="CC6" s="143" t="str">
        <f>BW6</f>
        <v>2015 Level</v>
      </c>
      <c r="CD6" s="143" t="str">
        <f>BX6</f>
        <v>Net Change</v>
      </c>
      <c r="CE6" s="143" t="str">
        <f>BY6</f>
        <v>Replace-ment Demand</v>
      </c>
      <c r="CF6" s="143" t="str">
        <f>BZ6</f>
        <v>Total Require-ment</v>
      </c>
      <c r="CG6" s="142"/>
      <c r="CH6" s="144" t="str">
        <f>CB6</f>
        <v>RD p.a%</v>
      </c>
      <c r="CI6" s="144" t="str">
        <f>CC6</f>
        <v>2015 Level</v>
      </c>
      <c r="CJ6" s="144" t="str">
        <f>CD6</f>
        <v>Net Change</v>
      </c>
      <c r="CK6" s="144" t="str">
        <f>CE6</f>
        <v>Replace-ment Demand</v>
      </c>
      <c r="CL6" s="144" t="str">
        <f>CF6</f>
        <v>Total Require-ment</v>
      </c>
      <c r="CM6" s="142"/>
      <c r="CN6" s="144" t="str">
        <f>CH6</f>
        <v>RD p.a%</v>
      </c>
      <c r="CO6" s="144" t="str">
        <f>CI6</f>
        <v>2015 Level</v>
      </c>
      <c r="CP6" s="144" t="str">
        <f>CJ6</f>
        <v>Net Change</v>
      </c>
      <c r="CQ6" s="144" t="str">
        <f>CK6</f>
        <v>Replace-ment Demand</v>
      </c>
      <c r="CR6" s="144" t="str">
        <f>CL6</f>
        <v>Total Require-ment</v>
      </c>
      <c r="CS6" s="138"/>
      <c r="CT6" s="144" t="s">
        <v>42</v>
      </c>
      <c r="CU6" s="154" t="str">
        <f>CONCATENATE($A$100," Level")</f>
        <v>2015 Level</v>
      </c>
      <c r="CV6" s="143" t="s">
        <v>40</v>
      </c>
      <c r="CW6" s="154" t="s">
        <v>43</v>
      </c>
      <c r="CX6" s="154" t="s">
        <v>44</v>
      </c>
      <c r="CY6" s="142"/>
      <c r="CZ6" s="143" t="str">
        <f>CT6</f>
        <v>RD p.a%</v>
      </c>
      <c r="DA6" s="143" t="str">
        <f>CU6</f>
        <v>2015 Level</v>
      </c>
      <c r="DB6" s="143" t="str">
        <f>CV6</f>
        <v>Net Change</v>
      </c>
      <c r="DC6" s="143" t="str">
        <f>CW6</f>
        <v>Replace-ment Demand</v>
      </c>
      <c r="DD6" s="143" t="str">
        <f>CX6</f>
        <v>Total Require-ment</v>
      </c>
      <c r="DE6" s="142"/>
      <c r="DF6" s="144" t="str">
        <f>CZ6</f>
        <v>RD p.a%</v>
      </c>
      <c r="DG6" s="144" t="str">
        <f>DA6</f>
        <v>2015 Level</v>
      </c>
      <c r="DH6" s="144" t="str">
        <f>DB6</f>
        <v>Net Change</v>
      </c>
      <c r="DI6" s="144" t="str">
        <f>DC6</f>
        <v>Replace-ment Demand</v>
      </c>
      <c r="DJ6" s="144" t="str">
        <f>DD6</f>
        <v>Total Require-ment</v>
      </c>
      <c r="DK6" s="142"/>
      <c r="DL6" s="144" t="str">
        <f>DF6</f>
        <v>RD p.a%</v>
      </c>
      <c r="DM6" s="144" t="str">
        <f>DG6</f>
        <v>2015 Level</v>
      </c>
      <c r="DN6" s="144" t="str">
        <f>DH6</f>
        <v>Net Change</v>
      </c>
      <c r="DO6" s="144" t="str">
        <f>DI6</f>
        <v>Replace-ment Demand</v>
      </c>
      <c r="DP6" s="144" t="str">
        <f>DJ6</f>
        <v>Total Require-ment</v>
      </c>
    </row>
    <row r="8" spans="1:120" x14ac:dyDescent="0.2">
      <c r="A8" s="128" t="str">
        <f>name!B4</f>
        <v>Agriculture</v>
      </c>
      <c r="B8" s="155">
        <f>IF(C8&gt;0,((1+(E8/C8))^(1/($A$101-$A$100))-1)*100,0)</f>
        <v>3.6286528043839583</v>
      </c>
      <c r="C8" s="87">
        <v>55.936999999999848</v>
      </c>
      <c r="D8" s="127">
        <v>-6.9799999999999773</v>
      </c>
      <c r="E8" s="127">
        <v>23.953969842292668</v>
      </c>
      <c r="F8" s="127">
        <f>SUM(D8:E8)</f>
        <v>16.973969842292689</v>
      </c>
      <c r="G8" s="141"/>
      <c r="H8" s="155">
        <f>IF(I8&gt;0,((1+(K8/I8))^(1/($A$101-$A$100))-1)*100,0)</f>
        <v>3.5263839839017708</v>
      </c>
      <c r="I8" s="127">
        <v>17.246149343314809</v>
      </c>
      <c r="J8" s="127">
        <v>-6.8895887133768028</v>
      </c>
      <c r="K8" s="127">
        <v>7.1433335785126539</v>
      </c>
      <c r="L8" s="127">
        <f>SUM(J8:K8)</f>
        <v>0.25374486513585115</v>
      </c>
      <c r="N8" s="155">
        <f>IF(O8&gt;0,((1+(Q8/O8))^(1/($A$101-$A$100))-1)*100,0)</f>
        <v>3.688575763403712</v>
      </c>
      <c r="O8" s="127">
        <v>26.89476620234856</v>
      </c>
      <c r="P8" s="127">
        <v>-1.7755328024279793</v>
      </c>
      <c r="Q8" s="127">
        <v>11.739873371498375</v>
      </c>
      <c r="R8" s="127">
        <f>SUM(P8:Q8)</f>
        <v>9.9643405690703943</v>
      </c>
      <c r="S8" s="145"/>
      <c r="T8" s="155">
        <f>IF(U8&gt;0,((1+(W8/U8))^(1/($A$101-$A$100))-1)*100,0)</f>
        <v>3.6405249613346236</v>
      </c>
      <c r="U8" s="127">
        <v>11.79608445433648</v>
      </c>
      <c r="V8" s="127">
        <v>1.6851215158048036</v>
      </c>
      <c r="W8" s="127">
        <v>5.0707628922816417</v>
      </c>
      <c r="X8" s="127">
        <f>SUM(V8:W8)</f>
        <v>6.7558844080864455</v>
      </c>
      <c r="Y8" s="128" t="str">
        <f t="shared" ref="Y8:Y48" si="0">A8</f>
        <v>Agriculture</v>
      </c>
      <c r="Z8" s="155">
        <f>IF(AA8&gt;0,((1+(AC8/AA8))^(1/($A$101-$A$100))-1)*100,0)</f>
        <v>3.2278133961415545</v>
      </c>
      <c r="AA8" s="87">
        <v>4.3826960714462242</v>
      </c>
      <c r="AB8" s="127">
        <v>3.8928451595904385</v>
      </c>
      <c r="AC8" s="127">
        <v>1.6388586204918438</v>
      </c>
      <c r="AD8" s="127">
        <f>SUM(AB8:AC8)</f>
        <v>5.5317037800822826</v>
      </c>
      <c r="AE8" s="141"/>
      <c r="AF8" s="155">
        <f>IF(AG8&gt;0,((1+(AI8/AG8))^(1/($A$101-$A$100))-1)*100,0)</f>
        <v>3.7281488295962228</v>
      </c>
      <c r="AG8" s="127">
        <v>0.36786575366769064</v>
      </c>
      <c r="AH8" s="127">
        <v>0.72586367094203585</v>
      </c>
      <c r="AI8" s="127">
        <v>0.16259790102888269</v>
      </c>
      <c r="AJ8" s="127">
        <f>SUM(AH8:AI8)</f>
        <v>0.88846157197091857</v>
      </c>
      <c r="AL8" s="155">
        <f>IF(AM8&gt;0,((1+(AO8/AM8))^(1/($A$101-$A$100))-1)*100,0)</f>
        <v>3.4098436752145078</v>
      </c>
      <c r="AM8" s="127">
        <v>1.6324139933768864</v>
      </c>
      <c r="AN8" s="127">
        <v>2.2923856880061342</v>
      </c>
      <c r="AO8" s="127">
        <v>0.65028751093123516</v>
      </c>
      <c r="AP8" s="127">
        <f>SUM(AN8:AO8)</f>
        <v>2.9426731989373693</v>
      </c>
      <c r="AQ8" s="145"/>
      <c r="AR8" s="155">
        <f>IF(AS8&gt;0,((1+(AU8/AS8))^(1/($A$101-$A$100))-1)*100,0)</f>
        <v>3.0212804601292831</v>
      </c>
      <c r="AS8" s="127">
        <v>2.382416324401647</v>
      </c>
      <c r="AT8" s="127">
        <v>0.87459580064226849</v>
      </c>
      <c r="AU8" s="127">
        <v>0.82597320853172596</v>
      </c>
      <c r="AV8" s="127">
        <f>SUM(AT8:AU8)</f>
        <v>1.7005690091739945</v>
      </c>
      <c r="AW8" s="128" t="str">
        <f>Y8</f>
        <v>Agriculture</v>
      </c>
      <c r="AX8" s="155">
        <f>IF(AY8&gt;0,((1+(BA8/AY8))^(1/($A$101-$A$100))-1)*100,0)</f>
        <v>2.6560490695816119</v>
      </c>
      <c r="AY8" s="87">
        <v>1.9992749386487922</v>
      </c>
      <c r="AZ8" s="127">
        <v>0.50024802314102146</v>
      </c>
      <c r="BA8" s="127">
        <v>0.59919667769333007</v>
      </c>
      <c r="BB8" s="127">
        <f>SUM(AZ8:BA8)</f>
        <v>1.0994447008343515</v>
      </c>
      <c r="BC8" s="141"/>
      <c r="BD8" s="155">
        <f>IF(BE8&gt;0,((1+(BG8/BE8))^(1/($A$101-$A$100))-1)*100,0)</f>
        <v>2.5886964610706498</v>
      </c>
      <c r="BE8" s="127">
        <v>0.35374225719986674</v>
      </c>
      <c r="BF8" s="127">
        <v>0.49967527486298247</v>
      </c>
      <c r="BG8" s="127">
        <v>0.1030114256045692</v>
      </c>
      <c r="BH8" s="127">
        <f>SUM(BF8:BG8)</f>
        <v>0.60268670046755168</v>
      </c>
      <c r="BJ8" s="155">
        <f>IF(BK8&gt;0,((1+(BM8/BK8))^(1/($A$101-$A$100))-1)*100,0)</f>
        <v>2.6156756899814892</v>
      </c>
      <c r="BK8" s="127">
        <v>0.79083739900797367</v>
      </c>
      <c r="BL8" s="127">
        <v>8.9741026511377109E-2</v>
      </c>
      <c r="BM8" s="127">
        <v>0.2329842080987119</v>
      </c>
      <c r="BN8" s="127">
        <f>SUM(BL8:BM8)</f>
        <v>0.32272523461008901</v>
      </c>
      <c r="BO8" s="145"/>
      <c r="BP8" s="155">
        <f>IF(BQ8&gt;0,((1+(BS8/BQ8))^(1/($A$101-$A$100))-1)*100,0)</f>
        <v>2.7209488084197098</v>
      </c>
      <c r="BQ8" s="127">
        <v>0.85469528244095183</v>
      </c>
      <c r="BR8" s="127">
        <v>-8.91682782333382E-2</v>
      </c>
      <c r="BS8" s="127">
        <v>0.26320104399004901</v>
      </c>
      <c r="BT8" s="127">
        <f>SUM(BR8:BS8)</f>
        <v>0.17403276575671081</v>
      </c>
      <c r="BU8" s="128" t="str">
        <f>AW8</f>
        <v>Agriculture</v>
      </c>
      <c r="BV8" s="155">
        <f>IF(BW8&gt;0,((1+(BY8/BW8))^(1/($A$101-$A$100))-1)*100,0)</f>
        <v>4.0147443282656514</v>
      </c>
      <c r="BW8" s="87">
        <v>39.351032099647234</v>
      </c>
      <c r="BX8" s="127">
        <v>-10.192568070379561</v>
      </c>
      <c r="BY8" s="127">
        <v>18.980742173027217</v>
      </c>
      <c r="BZ8" s="127">
        <f>SUM(BX8:BY8)</f>
        <v>8.7881741026476554</v>
      </c>
      <c r="CA8" s="141"/>
      <c r="CB8" s="155">
        <f>IF(CC8&gt;0,((1+(CE8/CC8))^(1/($A$101-$A$100))-1)*100,0)</f>
        <v>3.9264502862225381</v>
      </c>
      <c r="CC8" s="127">
        <v>12.261822191887621</v>
      </c>
      <c r="CD8" s="127">
        <v>-6.5032966118226403</v>
      </c>
      <c r="CE8" s="127">
        <v>5.7607158890505197</v>
      </c>
      <c r="CF8" s="127">
        <f>SUM(CD8:CE8)</f>
        <v>-0.74258072277212062</v>
      </c>
      <c r="CH8" s="155">
        <f>IF(CI8&gt;0,((1+(CK8/CI8))^(1/($A$101-$A$100))-1)*100,0)</f>
        <v>3.9924360846625317</v>
      </c>
      <c r="CI8" s="127">
        <v>20.383214444648981</v>
      </c>
      <c r="CJ8" s="127">
        <v>-4.2877513599355161</v>
      </c>
      <c r="CK8" s="127">
        <v>9.7669852444241734</v>
      </c>
      <c r="CL8" s="127">
        <f>SUM(CJ8:CK8)</f>
        <v>5.4792338844886572</v>
      </c>
      <c r="CM8" s="145"/>
      <c r="CN8" s="155">
        <f>IF(CO8&gt;0,((1+(CQ8/CO8))^(1/($A$101-$A$100))-1)*100,0)</f>
        <v>4.2410858263209894</v>
      </c>
      <c r="CO8" s="127">
        <v>6.7059954631106375</v>
      </c>
      <c r="CP8" s="127">
        <v>0.59847990137859675</v>
      </c>
      <c r="CQ8" s="127">
        <v>3.4530410395525251</v>
      </c>
      <c r="CR8" s="127">
        <f>SUM(CP8:CQ8)</f>
        <v>4.0515209409311215</v>
      </c>
      <c r="CS8" s="128" t="str">
        <f>BU8</f>
        <v>Agriculture</v>
      </c>
      <c r="CT8" s="155">
        <f>IF(CU8&gt;0,((1+(CW8/CU8))^(1/($A$101-$A$100))-1)*100,0)</f>
        <v>2.4032187492160517</v>
      </c>
      <c r="CU8" s="87">
        <v>10.203996890257596</v>
      </c>
      <c r="CV8" s="127">
        <v>-1.1805251123518785</v>
      </c>
      <c r="CW8" s="127">
        <v>2.7351723710802771</v>
      </c>
      <c r="CX8" s="127">
        <f>SUM(CV8:CW8)</f>
        <v>1.5546472587283986</v>
      </c>
      <c r="CY8" s="141"/>
      <c r="CZ8" s="155">
        <f>IF(DA8&gt;0,((1+(DC8/DA8))^(1/($A$101-$A$100))-1)*100,0)</f>
        <v>2.3545977595102796</v>
      </c>
      <c r="DA8" s="127">
        <v>4.2627191405596321</v>
      </c>
      <c r="DB8" s="127">
        <v>-1.6118310473591806</v>
      </c>
      <c r="DC8" s="127">
        <v>1.1170083628286818</v>
      </c>
      <c r="DD8" s="127">
        <f>SUM(DB8:DC8)</f>
        <v>-0.49482268453049882</v>
      </c>
      <c r="DF8" s="155">
        <f>IF(DG8&gt;0,((1+(DI8/DG8))^(1/($A$101-$A$100))-1)*100,0)</f>
        <v>2.3908685473913449</v>
      </c>
      <c r="DG8" s="127">
        <v>4.088300365314721</v>
      </c>
      <c r="DH8" s="127">
        <v>0.13009184299002535</v>
      </c>
      <c r="DI8" s="127">
        <v>1.0896164080442534</v>
      </c>
      <c r="DJ8" s="127">
        <f>SUM(DH8:DI8)</f>
        <v>1.2197082510342787</v>
      </c>
      <c r="DK8" s="145"/>
      <c r="DL8" s="155">
        <f>IF(DM8&gt;0,((1+(DO8/DM8))^(1/($A$101-$A$100))-1)*100,0)</f>
        <v>2.5412252196502561</v>
      </c>
      <c r="DM8" s="127">
        <v>1.8529773843832451</v>
      </c>
      <c r="DN8" s="127">
        <v>0.30121409201727667</v>
      </c>
      <c r="DO8" s="127">
        <v>0.52854760020734193</v>
      </c>
      <c r="DP8" s="127">
        <f>SUM(DN8:DO8)</f>
        <v>0.8297616922246186</v>
      </c>
    </row>
    <row r="9" spans="1:120" x14ac:dyDescent="0.2">
      <c r="A9" s="128" t="str">
        <f>name!B5</f>
        <v>Mining and quarrying</v>
      </c>
      <c r="B9" s="155">
        <f t="shared" ref="B9:B50" si="1">IF(C9&gt;0,((1+(E9/C9))^(1/($A$101-$A$100))-1)*100,0)</f>
        <v>2.5879456250919697</v>
      </c>
      <c r="C9" s="87">
        <v>2.8879999999999906</v>
      </c>
      <c r="D9" s="127">
        <v>0.31300000000000278</v>
      </c>
      <c r="E9" s="127">
        <v>0.84072640567762824</v>
      </c>
      <c r="F9" s="127">
        <f t="shared" ref="F9:F50" si="2">SUM(D9:E9)</f>
        <v>1.1537264056776311</v>
      </c>
      <c r="G9" s="141"/>
      <c r="H9" s="155">
        <f t="shared" ref="H9:H50" si="3">IF(I9&gt;0,((1+(K9/I9))^(1/($A$101-$A$100))-1)*100,0)</f>
        <v>2.4436532378282472</v>
      </c>
      <c r="I9" s="127">
        <v>0.56134327419487429</v>
      </c>
      <c r="J9" s="127">
        <v>-0.21770904065899815</v>
      </c>
      <c r="K9" s="127">
        <v>0.15328319439040927</v>
      </c>
      <c r="L9" s="127">
        <f t="shared" ref="L9:L48" si="4">SUM(J9:K9)</f>
        <v>-6.4425846268588882E-2</v>
      </c>
      <c r="N9" s="155">
        <f t="shared" ref="N9:N50" si="5">IF(O9&gt;0,((1+(Q9/O9))^(1/($A$101-$A$100))-1)*100,0)</f>
        <v>2.5068914334568815</v>
      </c>
      <c r="O9" s="127">
        <v>1.5400906331410087</v>
      </c>
      <c r="P9" s="127">
        <v>0.28375808682996728</v>
      </c>
      <c r="Q9" s="127">
        <v>0.43268145633424426</v>
      </c>
      <c r="R9" s="127">
        <f t="shared" ref="R9:R48" si="6">SUM(P9:Q9)</f>
        <v>0.71643954316421155</v>
      </c>
      <c r="S9" s="145"/>
      <c r="T9" s="155">
        <f t="shared" ref="T9:T50" si="7">IF(U9&gt;0,((1+(W9/U9))^(1/($A$101-$A$100))-1)*100,0)</f>
        <v>2.8454839589988623</v>
      </c>
      <c r="U9" s="127">
        <v>0.78656609266410804</v>
      </c>
      <c r="V9" s="127">
        <v>0.24695095382903356</v>
      </c>
      <c r="W9" s="127">
        <v>0.25476175495297482</v>
      </c>
      <c r="X9" s="127">
        <f t="shared" ref="X9:X48" si="8">SUM(V9:W9)</f>
        <v>0.50171270878200835</v>
      </c>
      <c r="Y9" s="128" t="str">
        <f t="shared" si="0"/>
        <v>Mining and quarrying</v>
      </c>
      <c r="Z9" s="155">
        <f t="shared" ref="Z9:Z48" si="9">IF(AA9&gt;0,((1+(AC9/AA9))^(1/($A$101-$A$100))-1)*100,0)</f>
        <v>2.8484964339744012</v>
      </c>
      <c r="AA9" s="87">
        <v>0.91916274125036446</v>
      </c>
      <c r="AB9" s="127">
        <v>0.31532613098932155</v>
      </c>
      <c r="AC9" s="127">
        <v>0.29806511305958167</v>
      </c>
      <c r="AD9" s="127">
        <f t="shared" ref="AD9:AD48" si="10">SUM(AB9:AC9)</f>
        <v>0.61339124404890322</v>
      </c>
      <c r="AE9" s="141"/>
      <c r="AF9" s="155">
        <f t="shared" ref="AF9:AF48" si="11">IF(AG9&gt;0,((1+(AI9/AG9))^(1/($A$101-$A$100))-1)*100,0)</f>
        <v>2.5647482470575023</v>
      </c>
      <c r="AG9" s="127">
        <v>6.0971942881735838E-2</v>
      </c>
      <c r="AH9" s="127">
        <v>-2.5168577316816716E-2</v>
      </c>
      <c r="AI9" s="127">
        <v>1.7571732105538661E-2</v>
      </c>
      <c r="AJ9" s="127">
        <f t="shared" ref="AJ9:AJ48" si="12">SUM(AH9:AI9)</f>
        <v>-7.5968452112780555E-3</v>
      </c>
      <c r="AL9" s="155">
        <f t="shared" ref="AL9:AL48" si="13">IF(AM9&gt;0,((1+(AO9/AM9))^(1/($A$101-$A$100))-1)*100,0)</f>
        <v>2.6969613560046124</v>
      </c>
      <c r="AM9" s="127">
        <v>0.23935227172586462</v>
      </c>
      <c r="AN9" s="127">
        <v>0.14142536362746669</v>
      </c>
      <c r="AO9" s="127">
        <v>7.2977576857019638E-2</v>
      </c>
      <c r="AP9" s="127">
        <f t="shared" ref="AP9:AP48" si="14">SUM(AN9:AO9)</f>
        <v>0.21440294048448633</v>
      </c>
      <c r="AQ9" s="145"/>
      <c r="AR9" s="155">
        <f t="shared" ref="AR9:AR48" si="15">IF(AS9&gt;0,((1+(AU9/AS9))^(1/($A$101-$A$100))-1)*100,0)</f>
        <v>2.9340110632854799</v>
      </c>
      <c r="AS9" s="127">
        <v>0.61883852664276406</v>
      </c>
      <c r="AT9" s="127">
        <v>0.19906934467867154</v>
      </c>
      <c r="AU9" s="127">
        <v>0.20751580409702336</v>
      </c>
      <c r="AV9" s="127">
        <f t="shared" ref="AV9:AV48" si="16">SUM(AT9:AU9)</f>
        <v>0.4065851487756949</v>
      </c>
      <c r="AW9" s="128" t="str">
        <f t="shared" ref="AW9:AW48" si="17">Y9</f>
        <v>Mining and quarrying</v>
      </c>
      <c r="AX9" s="155">
        <f t="shared" ref="AX9:AX48" si="18">IF(AY9&gt;0,((1+(BA9/AY9))^(1/($A$101-$A$100))-1)*100,0)</f>
        <v>2.6726206587082579</v>
      </c>
      <c r="AY9" s="87">
        <v>0.3067194252346826</v>
      </c>
      <c r="AZ9" s="127">
        <v>6.8760264538259452E-2</v>
      </c>
      <c r="BA9" s="127">
        <v>9.2569950318502167E-2</v>
      </c>
      <c r="BB9" s="127">
        <f t="shared" ref="BB9:BB48" si="19">SUM(AZ9:BA9)</f>
        <v>0.16133021485676163</v>
      </c>
      <c r="BC9" s="141"/>
      <c r="BD9" s="155">
        <f t="shared" ref="BD9:BD48" si="20">IF(BE9&gt;0,((1+(BG9/BE9))^(1/($A$101-$A$100))-1)*100,0)</f>
        <v>2.5499994113037161</v>
      </c>
      <c r="BE9" s="127">
        <v>4.8330458353493297E-2</v>
      </c>
      <c r="BF9" s="127">
        <v>1.4245064889474328E-2</v>
      </c>
      <c r="BG9" s="127">
        <v>1.3839064758290531E-2</v>
      </c>
      <c r="BH9" s="127">
        <f t="shared" ref="BH9:BH48" si="21">SUM(BF9:BG9)</f>
        <v>2.8084129647764858E-2</v>
      </c>
      <c r="BJ9" s="155">
        <f t="shared" ref="BJ9:BJ48" si="22">IF(BK9&gt;0,((1+(BM9/BK9))^(1/($A$101-$A$100))-1)*100,0)</f>
        <v>2.6327433470687112</v>
      </c>
      <c r="BK9" s="127">
        <v>0.1678509941154788</v>
      </c>
      <c r="BL9" s="127">
        <v>9.5539598382306211E-3</v>
      </c>
      <c r="BM9" s="127">
        <v>4.9811346068916303E-2</v>
      </c>
      <c r="BN9" s="127">
        <f t="shared" ref="BN9:BN48" si="23">SUM(BL9:BM9)</f>
        <v>5.936530590714692E-2</v>
      </c>
      <c r="BO9" s="145"/>
      <c r="BP9" s="155">
        <f t="shared" ref="BP9:BP48" si="24">IF(BQ9&gt;0,((1+(BS9/BQ9))^(1/($A$101-$A$100))-1)*100,0)</f>
        <v>2.8106890888395686</v>
      </c>
      <c r="BQ9" s="127">
        <v>9.0537972765710545E-2</v>
      </c>
      <c r="BR9" s="127">
        <v>4.4961239810554506E-2</v>
      </c>
      <c r="BS9" s="127">
        <v>2.8919539491295328E-2</v>
      </c>
      <c r="BT9" s="127">
        <f t="shared" ref="BT9:BT48" si="25">SUM(BR9:BS9)</f>
        <v>7.388077930184983E-2</v>
      </c>
      <c r="BU9" s="128" t="str">
        <f t="shared" ref="BU9:BU48" si="26">AW9</f>
        <v>Mining and quarrying</v>
      </c>
      <c r="BV9" s="155">
        <f t="shared" ref="BV9:BV48" si="27">IF(BW9&gt;0,((1+(BY9/BW9))^(1/($A$101-$A$100))-1)*100,0)</f>
        <v>2.4107447061383347</v>
      </c>
      <c r="BW9" s="87">
        <v>1.5632668821604008</v>
      </c>
      <c r="BX9" s="127">
        <v>-0.15103332096346828</v>
      </c>
      <c r="BY9" s="127">
        <v>0.42048964990866566</v>
      </c>
      <c r="BZ9" s="127">
        <f t="shared" ref="BZ9:BZ48" si="28">SUM(BX9:BY9)</f>
        <v>0.26945632894519739</v>
      </c>
      <c r="CA9" s="141"/>
      <c r="CB9" s="155">
        <f t="shared" ref="CB9:CB48" si="29">IF(CC9&gt;0,((1+(CE9/CC9))^(1/($A$101-$A$100))-1)*100,0)</f>
        <v>2.407525741530181</v>
      </c>
      <c r="CC9" s="127">
        <v>0.42499848743780899</v>
      </c>
      <c r="CD9" s="127">
        <v>-0.17974314270981959</v>
      </c>
      <c r="CE9" s="127">
        <v>0.11414717753563779</v>
      </c>
      <c r="CF9" s="127">
        <f t="shared" ref="CF9:CF48" si="30">SUM(CD9:CE9)</f>
        <v>-6.55959651741818E-2</v>
      </c>
      <c r="CH9" s="155">
        <f t="shared" ref="CH9:CH48" si="31">IF(CI9&gt;0,((1+(CK9/CI9))^(1/($A$101-$A$100))-1)*100,0)</f>
        <v>2.4305453687403666</v>
      </c>
      <c r="CI9" s="127">
        <v>1.0610788014669583</v>
      </c>
      <c r="CJ9" s="127">
        <v>2.578945240654381E-2</v>
      </c>
      <c r="CK9" s="127">
        <v>0.28801606100837185</v>
      </c>
      <c r="CL9" s="127">
        <f t="shared" ref="CL9:CL48" si="32">SUM(CJ9:CK9)</f>
        <v>0.31380551341491564</v>
      </c>
      <c r="CM9" s="145"/>
      <c r="CN9" s="155">
        <f t="shared" ref="CN9:CN48" si="33">IF(CO9&gt;0,((1+(CQ9/CO9))^(1/($A$101-$A$100))-1)*100,0)</f>
        <v>2.1531444581060377</v>
      </c>
      <c r="CO9" s="127">
        <v>7.7189593255633515E-2</v>
      </c>
      <c r="CP9" s="127">
        <v>2.9203693398075089E-3</v>
      </c>
      <c r="CQ9" s="127">
        <v>1.8326411364656129E-2</v>
      </c>
      <c r="CR9" s="127">
        <f t="shared" ref="CR9:CR48" si="34">SUM(CP9:CQ9)</f>
        <v>2.1246780704463637E-2</v>
      </c>
      <c r="CS9" s="128" t="str">
        <f t="shared" ref="CS9:CS48" si="35">BU9</f>
        <v>Mining and quarrying</v>
      </c>
      <c r="CT9" s="155">
        <f t="shared" ref="CT9:CT48" si="36">IF(CU9&gt;0,((1+(CW9/CU9))^(1/($A$101-$A$100))-1)*100,0)</f>
        <v>2.6540810004833215</v>
      </c>
      <c r="CU9" s="87">
        <v>9.8850951354543179E-2</v>
      </c>
      <c r="CV9" s="127">
        <v>7.9946925435890021E-2</v>
      </c>
      <c r="CW9" s="127">
        <v>2.9601692390878832E-2</v>
      </c>
      <c r="CX9" s="127">
        <f t="shared" ref="CX9:CX48" si="37">SUM(CV9:CW9)</f>
        <v>0.10954861782676885</v>
      </c>
      <c r="CY9" s="141"/>
      <c r="CZ9" s="155">
        <f t="shared" ref="CZ9:CZ48" si="38">IF(DA9&gt;0,((1+(DC9/DA9))^(1/($A$101-$A$100))-1)*100,0)</f>
        <v>2.5446431599745356</v>
      </c>
      <c r="DA9" s="127">
        <v>2.7042385521836187E-2</v>
      </c>
      <c r="DB9" s="127">
        <v>-2.7042385521836187E-2</v>
      </c>
      <c r="DC9" s="127">
        <v>7.7252199909423136E-3</v>
      </c>
      <c r="DD9" s="127">
        <f t="shared" ref="DD9:DD48" si="39">SUM(DB9:DC9)</f>
        <v>-1.9317165530893875E-2</v>
      </c>
      <c r="DF9" s="155">
        <f t="shared" ref="DF9:DF48" si="40">IF(DG9&gt;0,((1+(DI9/DG9))^(1/($A$101-$A$100))-1)*100,0)</f>
        <v>2.695023478374603</v>
      </c>
      <c r="DG9" s="127">
        <v>7.1808565832706991E-2</v>
      </c>
      <c r="DH9" s="127">
        <v>0.10698931095772621</v>
      </c>
      <c r="DI9" s="127">
        <v>2.1876472399936519E-2</v>
      </c>
      <c r="DJ9" s="127">
        <f t="shared" ref="DJ9:DJ48" si="41">SUM(DH9:DI9)</f>
        <v>0.12886578335766272</v>
      </c>
      <c r="DK9" s="145"/>
      <c r="DL9" s="155">
        <f t="shared" ref="DL9:DL48" si="42">IF(DM9&gt;0,((1+(DO9/DM9))^(1/($A$101-$A$100))-1)*100,0)</f>
        <v>0</v>
      </c>
      <c r="DM9" s="127">
        <v>0</v>
      </c>
      <c r="DN9" s="127">
        <v>0</v>
      </c>
      <c r="DO9" s="127">
        <v>0</v>
      </c>
      <c r="DP9" s="127">
        <f t="shared" ref="DP9:DP48" si="43">SUM(DN9:DO9)</f>
        <v>0</v>
      </c>
    </row>
    <row r="10" spans="1:120" x14ac:dyDescent="0.2">
      <c r="A10" s="128" t="str">
        <f>name!B6</f>
        <v>Food drink and tobacco</v>
      </c>
      <c r="B10" s="155">
        <f t="shared" si="1"/>
        <v>2.4974565282579464</v>
      </c>
      <c r="C10" s="87">
        <v>95.045497362862733</v>
      </c>
      <c r="D10" s="127">
        <v>-5.3306461845042801</v>
      </c>
      <c r="E10" s="127">
        <v>26.590587472903774</v>
      </c>
      <c r="F10" s="127">
        <f t="shared" si="2"/>
        <v>21.259941288399496</v>
      </c>
      <c r="G10" s="141"/>
      <c r="H10" s="155">
        <f t="shared" si="3"/>
        <v>2.284281579929015</v>
      </c>
      <c r="I10" s="127">
        <v>28.557886141186682</v>
      </c>
      <c r="J10" s="127">
        <v>-7.0859124796803128</v>
      </c>
      <c r="K10" s="127">
        <v>7.2365107328119995</v>
      </c>
      <c r="L10" s="127">
        <f t="shared" si="4"/>
        <v>0.15059825313168673</v>
      </c>
      <c r="N10" s="155">
        <f t="shared" si="5"/>
        <v>2.4310099949182096</v>
      </c>
      <c r="O10" s="127">
        <v>47.02342038156808</v>
      </c>
      <c r="P10" s="127">
        <v>2.711005058419897</v>
      </c>
      <c r="Q10" s="127">
        <v>12.766608810353613</v>
      </c>
      <c r="R10" s="127">
        <f t="shared" si="6"/>
        <v>15.47761386877351</v>
      </c>
      <c r="S10" s="145"/>
      <c r="T10" s="155">
        <f t="shared" si="7"/>
        <v>2.9579537866369021</v>
      </c>
      <c r="U10" s="127">
        <v>19.464190840107968</v>
      </c>
      <c r="V10" s="127">
        <v>-0.95573876324386542</v>
      </c>
      <c r="W10" s="127">
        <v>6.5874679297381604</v>
      </c>
      <c r="X10" s="127">
        <f t="shared" si="8"/>
        <v>5.6317291664942948</v>
      </c>
      <c r="Y10" s="128" t="str">
        <f t="shared" si="0"/>
        <v>Food drink and tobacco</v>
      </c>
      <c r="Z10" s="155">
        <f t="shared" si="9"/>
        <v>3.1266976916814349</v>
      </c>
      <c r="AA10" s="87">
        <v>21.34292323603459</v>
      </c>
      <c r="AB10" s="127">
        <v>-5.4147809911053627E-2</v>
      </c>
      <c r="AC10" s="127">
        <v>7.6949639013979727</v>
      </c>
      <c r="AD10" s="127">
        <f t="shared" si="10"/>
        <v>7.6408160914869194</v>
      </c>
      <c r="AE10" s="141"/>
      <c r="AF10" s="155">
        <f t="shared" si="11"/>
        <v>3.009575633743844</v>
      </c>
      <c r="AG10" s="127">
        <v>1.8592043302087065</v>
      </c>
      <c r="AH10" s="127">
        <v>-0.39908371390288427</v>
      </c>
      <c r="AI10" s="127">
        <v>0.64173468922880073</v>
      </c>
      <c r="AJ10" s="127">
        <f t="shared" si="12"/>
        <v>0.24265097532591645</v>
      </c>
      <c r="AL10" s="155">
        <f t="shared" si="13"/>
        <v>3.0478152738149689</v>
      </c>
      <c r="AM10" s="127">
        <v>7.0494146420033079</v>
      </c>
      <c r="AN10" s="127">
        <v>0.77249580975616283</v>
      </c>
      <c r="AO10" s="127">
        <v>2.4684810982893786</v>
      </c>
      <c r="AP10" s="127">
        <f t="shared" si="14"/>
        <v>3.2409769080455413</v>
      </c>
      <c r="AQ10" s="145"/>
      <c r="AR10" s="155">
        <f t="shared" si="15"/>
        <v>3.1885211674371972</v>
      </c>
      <c r="AS10" s="127">
        <v>12.434304263822574</v>
      </c>
      <c r="AT10" s="127">
        <v>-0.42755990576433228</v>
      </c>
      <c r="AU10" s="127">
        <v>4.5847481138797939</v>
      </c>
      <c r="AV10" s="127">
        <f t="shared" si="16"/>
        <v>4.1571882081154614</v>
      </c>
      <c r="AW10" s="128" t="str">
        <f t="shared" si="17"/>
        <v>Food drink and tobacco</v>
      </c>
      <c r="AX10" s="155">
        <f t="shared" si="18"/>
        <v>2.5235241914950635</v>
      </c>
      <c r="AY10" s="87">
        <v>17.336358924907866</v>
      </c>
      <c r="AZ10" s="127">
        <v>-0.12728232767007444</v>
      </c>
      <c r="BA10" s="127">
        <v>4.9066304279196737</v>
      </c>
      <c r="BB10" s="127">
        <f t="shared" si="19"/>
        <v>4.7793481002495994</v>
      </c>
      <c r="BC10" s="141"/>
      <c r="BD10" s="155">
        <f t="shared" si="20"/>
        <v>2.4363702313833224</v>
      </c>
      <c r="BE10" s="127">
        <v>3.9959783673326772</v>
      </c>
      <c r="BF10" s="127">
        <v>-0.83348086360043461</v>
      </c>
      <c r="BG10" s="127">
        <v>1.0875463509002989</v>
      </c>
      <c r="BH10" s="127">
        <f t="shared" si="21"/>
        <v>0.25406548729986433</v>
      </c>
      <c r="BJ10" s="155">
        <f t="shared" si="22"/>
        <v>2.5027216432235821</v>
      </c>
      <c r="BK10" s="127">
        <v>10.073083832716854</v>
      </c>
      <c r="BL10" s="127">
        <v>1.512717786678091</v>
      </c>
      <c r="BM10" s="127">
        <v>2.8247393034036694</v>
      </c>
      <c r="BN10" s="127">
        <f t="shared" si="23"/>
        <v>4.3374570900817604</v>
      </c>
      <c r="BO10" s="145"/>
      <c r="BP10" s="155">
        <f t="shared" si="24"/>
        <v>2.6925252680388922</v>
      </c>
      <c r="BQ10" s="127">
        <v>3.2672967248583333</v>
      </c>
      <c r="BR10" s="127">
        <v>-0.80651925074773079</v>
      </c>
      <c r="BS10" s="127">
        <v>0.9943447736157055</v>
      </c>
      <c r="BT10" s="127">
        <f t="shared" si="25"/>
        <v>0.18782552286797471</v>
      </c>
      <c r="BU10" s="128" t="str">
        <f t="shared" si="26"/>
        <v>Food drink and tobacco</v>
      </c>
      <c r="BV10" s="155">
        <f t="shared" si="27"/>
        <v>2.2441836744385046</v>
      </c>
      <c r="BW10" s="87">
        <v>49.598564072912936</v>
      </c>
      <c r="BX10" s="127">
        <v>-3.6306790931946717</v>
      </c>
      <c r="BY10" s="127">
        <v>12.324896934512662</v>
      </c>
      <c r="BZ10" s="127">
        <f t="shared" si="28"/>
        <v>8.6942178413179896</v>
      </c>
      <c r="CA10" s="141"/>
      <c r="CB10" s="155">
        <f t="shared" si="29"/>
        <v>2.1888664422200721</v>
      </c>
      <c r="CC10" s="127">
        <v>19.525240563492041</v>
      </c>
      <c r="CD10" s="127">
        <v>-4.8301674544914821</v>
      </c>
      <c r="CE10" s="127">
        <v>4.7203188998071877</v>
      </c>
      <c r="CF10" s="127">
        <f t="shared" si="30"/>
        <v>-0.10984855468429444</v>
      </c>
      <c r="CH10" s="155">
        <f t="shared" si="31"/>
        <v>2.2613705769742198</v>
      </c>
      <c r="CI10" s="127">
        <v>26.537310513901321</v>
      </c>
      <c r="CJ10" s="127">
        <v>0.90730570853380754</v>
      </c>
      <c r="CK10" s="127">
        <v>6.6500717395964477</v>
      </c>
      <c r="CL10" s="127">
        <f t="shared" si="32"/>
        <v>7.5573774481302554</v>
      </c>
      <c r="CM10" s="145"/>
      <c r="CN10" s="155">
        <f t="shared" si="33"/>
        <v>2.4184670868230285</v>
      </c>
      <c r="CO10" s="127">
        <v>3.5360129955195734</v>
      </c>
      <c r="CP10" s="127">
        <v>0.29218265276300265</v>
      </c>
      <c r="CQ10" s="127">
        <v>0.95450629510902829</v>
      </c>
      <c r="CR10" s="127">
        <f t="shared" si="34"/>
        <v>1.2466889478720309</v>
      </c>
      <c r="CS10" s="128" t="str">
        <f t="shared" si="35"/>
        <v>Food drink and tobacco</v>
      </c>
      <c r="CT10" s="155">
        <f t="shared" si="36"/>
        <v>2.2228446109720412</v>
      </c>
      <c r="CU10" s="87">
        <v>6.7676511290073389</v>
      </c>
      <c r="CV10" s="127">
        <v>-1.5185369537284803</v>
      </c>
      <c r="CW10" s="127">
        <v>1.6640962090734628</v>
      </c>
      <c r="CX10" s="127">
        <f t="shared" si="37"/>
        <v>0.14555925534498249</v>
      </c>
      <c r="CY10" s="141"/>
      <c r="CZ10" s="155">
        <f t="shared" si="38"/>
        <v>2.2373089799467394</v>
      </c>
      <c r="DA10" s="127">
        <v>3.1774628801532612</v>
      </c>
      <c r="DB10" s="127">
        <v>-1.0231804476855118</v>
      </c>
      <c r="DC10" s="127">
        <v>0.78691079287571253</v>
      </c>
      <c r="DD10" s="127">
        <f t="shared" si="39"/>
        <v>-0.23626965480979922</v>
      </c>
      <c r="DF10" s="155">
        <f t="shared" si="40"/>
        <v>2.2136668085149358</v>
      </c>
      <c r="DG10" s="127">
        <v>3.3636113929465901</v>
      </c>
      <c r="DH10" s="127">
        <v>-0.48151424654816377</v>
      </c>
      <c r="DI10" s="127">
        <v>0.82331666906411805</v>
      </c>
      <c r="DJ10" s="127">
        <f t="shared" si="41"/>
        <v>0.34180242251595427</v>
      </c>
      <c r="DK10" s="145"/>
      <c r="DL10" s="155">
        <f t="shared" si="42"/>
        <v>2.1558658032539757</v>
      </c>
      <c r="DM10" s="127">
        <v>0.22657685590748641</v>
      </c>
      <c r="DN10" s="127">
        <v>-1.3842259494804953E-2</v>
      </c>
      <c r="DO10" s="127">
        <v>5.3868747133632294E-2</v>
      </c>
      <c r="DP10" s="127">
        <f t="shared" si="43"/>
        <v>4.0026487638827338E-2</v>
      </c>
    </row>
    <row r="11" spans="1:120" x14ac:dyDescent="0.2">
      <c r="A11" s="128" t="str">
        <f>name!B7</f>
        <v>Engineering</v>
      </c>
      <c r="B11" s="155">
        <f t="shared" si="1"/>
        <v>2.3974240716110096</v>
      </c>
      <c r="C11" s="87">
        <v>26.682999999999964</v>
      </c>
      <c r="D11" s="127">
        <v>2.1359999999999681</v>
      </c>
      <c r="E11" s="127">
        <v>7.1332131341977885</v>
      </c>
      <c r="F11" s="127">
        <f t="shared" si="2"/>
        <v>9.2692131341977557</v>
      </c>
      <c r="G11" s="141"/>
      <c r="H11" s="155">
        <f t="shared" si="3"/>
        <v>2.1428388473321736</v>
      </c>
      <c r="I11" s="127">
        <v>7.7290127378228242</v>
      </c>
      <c r="J11" s="127">
        <v>-0.85964814638885922</v>
      </c>
      <c r="K11" s="127">
        <v>1.8253838239565419</v>
      </c>
      <c r="L11" s="127">
        <f t="shared" si="4"/>
        <v>0.96573567756768264</v>
      </c>
      <c r="N11" s="155">
        <f t="shared" si="5"/>
        <v>2.2704847424125818</v>
      </c>
      <c r="O11" s="127">
        <v>12.694060205112665</v>
      </c>
      <c r="P11" s="127">
        <v>1.750762648197131</v>
      </c>
      <c r="Q11" s="127">
        <v>3.1952007619921963</v>
      </c>
      <c r="R11" s="127">
        <f t="shared" si="6"/>
        <v>4.9459634101893268</v>
      </c>
      <c r="S11" s="145"/>
      <c r="T11" s="155">
        <f t="shared" si="7"/>
        <v>2.9505987528880562</v>
      </c>
      <c r="U11" s="127">
        <v>6.2599270570644734</v>
      </c>
      <c r="V11" s="127">
        <v>1.2448854981916966</v>
      </c>
      <c r="W11" s="127">
        <v>2.112628548249051</v>
      </c>
      <c r="X11" s="127">
        <f t="shared" si="8"/>
        <v>3.3575140464407474</v>
      </c>
      <c r="Y11" s="128" t="str">
        <f t="shared" si="0"/>
        <v>Engineering</v>
      </c>
      <c r="Z11" s="155">
        <f t="shared" si="9"/>
        <v>2.9893837262348733</v>
      </c>
      <c r="AA11" s="87">
        <v>6.5504971882441936</v>
      </c>
      <c r="AB11" s="127">
        <v>0.7414598842641813</v>
      </c>
      <c r="AC11" s="127">
        <v>2.243753846340574</v>
      </c>
      <c r="AD11" s="127">
        <f t="shared" si="10"/>
        <v>2.9852137306047553</v>
      </c>
      <c r="AE11" s="141"/>
      <c r="AF11" s="155">
        <f t="shared" si="11"/>
        <v>2.6484123810696314</v>
      </c>
      <c r="AG11" s="127">
        <v>0.62605054755772271</v>
      </c>
      <c r="AH11" s="127">
        <v>-4.0708044204614172E-2</v>
      </c>
      <c r="AI11" s="127">
        <v>0.18702662236296508</v>
      </c>
      <c r="AJ11" s="127">
        <f t="shared" si="12"/>
        <v>0.14631857815835092</v>
      </c>
      <c r="AL11" s="155">
        <f t="shared" si="13"/>
        <v>2.8200029669356086</v>
      </c>
      <c r="AM11" s="127">
        <v>1.9725323922654858</v>
      </c>
      <c r="AN11" s="127">
        <v>5.7186726837409781E-2</v>
      </c>
      <c r="AO11" s="127">
        <v>0.63242284192617815</v>
      </c>
      <c r="AP11" s="127">
        <f t="shared" si="14"/>
        <v>0.68960956876358792</v>
      </c>
      <c r="AQ11" s="145"/>
      <c r="AR11" s="155">
        <f t="shared" si="15"/>
        <v>3.1257074628290971</v>
      </c>
      <c r="AS11" s="127">
        <v>3.9519142484209846</v>
      </c>
      <c r="AT11" s="127">
        <v>0.72498120163138557</v>
      </c>
      <c r="AU11" s="127">
        <v>1.4243043820514307</v>
      </c>
      <c r="AV11" s="127">
        <f t="shared" si="16"/>
        <v>2.1492855836828162</v>
      </c>
      <c r="AW11" s="128" t="str">
        <f t="shared" si="17"/>
        <v>Engineering</v>
      </c>
      <c r="AX11" s="155">
        <f t="shared" si="18"/>
        <v>2.6610076636430335</v>
      </c>
      <c r="AY11" s="87">
        <v>3.2443503982662985</v>
      </c>
      <c r="AZ11" s="127">
        <v>0.14772454699359541</v>
      </c>
      <c r="BA11" s="127">
        <v>0.97439173559588765</v>
      </c>
      <c r="BB11" s="127">
        <f t="shared" si="19"/>
        <v>1.122116282589483</v>
      </c>
      <c r="BC11" s="141"/>
      <c r="BD11" s="155">
        <f t="shared" si="20"/>
        <v>2.5177966298219889</v>
      </c>
      <c r="BE11" s="127">
        <v>0.76061810370622518</v>
      </c>
      <c r="BF11" s="127">
        <v>-8.6613615501482388E-2</v>
      </c>
      <c r="BG11" s="127">
        <v>0.21472921204151713</v>
      </c>
      <c r="BH11" s="127">
        <f t="shared" si="21"/>
        <v>0.12811559654003474</v>
      </c>
      <c r="BJ11" s="155">
        <f t="shared" si="22"/>
        <v>2.6414518363808703</v>
      </c>
      <c r="BK11" s="127">
        <v>1.3612202522776553</v>
      </c>
      <c r="BL11" s="127">
        <v>-9.1457270541903425E-3</v>
      </c>
      <c r="BM11" s="127">
        <v>0.40545313032121294</v>
      </c>
      <c r="BN11" s="127">
        <f t="shared" si="23"/>
        <v>0.39630740326702257</v>
      </c>
      <c r="BO11" s="145"/>
      <c r="BP11" s="155">
        <f t="shared" si="24"/>
        <v>2.7805073211446985</v>
      </c>
      <c r="BQ11" s="127">
        <v>1.122512042282418</v>
      </c>
      <c r="BR11" s="127">
        <v>0.24348388954926817</v>
      </c>
      <c r="BS11" s="127">
        <v>0.35420939323315764</v>
      </c>
      <c r="BT11" s="127">
        <f t="shared" si="25"/>
        <v>0.59769328278242584</v>
      </c>
      <c r="BU11" s="128" t="str">
        <f t="shared" si="26"/>
        <v>Engineering</v>
      </c>
      <c r="BV11" s="155">
        <f t="shared" si="27"/>
        <v>2.0986442989320508</v>
      </c>
      <c r="BW11" s="87">
        <v>15.307841962071205</v>
      </c>
      <c r="BX11" s="127">
        <v>0.41022057712335003</v>
      </c>
      <c r="BY11" s="127">
        <v>3.5335820893340286</v>
      </c>
      <c r="BZ11" s="127">
        <f t="shared" si="28"/>
        <v>3.9438026664573789</v>
      </c>
      <c r="CA11" s="141"/>
      <c r="CB11" s="155">
        <f t="shared" si="29"/>
        <v>2.0210770566263747</v>
      </c>
      <c r="CC11" s="127">
        <v>5.8033468392667986</v>
      </c>
      <c r="CD11" s="127">
        <v>-0.34664652297871712</v>
      </c>
      <c r="CE11" s="127">
        <v>1.2855322454287512</v>
      </c>
      <c r="CF11" s="127">
        <f t="shared" si="30"/>
        <v>0.9388857224500341</v>
      </c>
      <c r="CH11" s="155">
        <f t="shared" si="31"/>
        <v>2.0955416811876404</v>
      </c>
      <c r="CI11" s="127">
        <v>8.3881190579667813</v>
      </c>
      <c r="CJ11" s="127">
        <v>0.46878350843430538</v>
      </c>
      <c r="CK11" s="127">
        <v>1.9331324937867693</v>
      </c>
      <c r="CL11" s="127">
        <f t="shared" si="32"/>
        <v>2.4019160022210748</v>
      </c>
      <c r="CM11" s="145"/>
      <c r="CN11" s="155">
        <f t="shared" si="33"/>
        <v>2.5160385347847258</v>
      </c>
      <c r="CO11" s="127">
        <v>1.1163760648376253</v>
      </c>
      <c r="CP11" s="127">
        <v>0.28808359166776182</v>
      </c>
      <c r="CQ11" s="127">
        <v>0.31491735011850813</v>
      </c>
      <c r="CR11" s="127">
        <f t="shared" si="34"/>
        <v>0.60300094178626995</v>
      </c>
      <c r="CS11" s="128" t="str">
        <f t="shared" si="35"/>
        <v>Engineering</v>
      </c>
      <c r="CT11" s="155">
        <f t="shared" si="36"/>
        <v>2.1859392974191483</v>
      </c>
      <c r="CU11" s="87">
        <v>1.5803104514182647</v>
      </c>
      <c r="CV11" s="127">
        <v>0.83659499161884154</v>
      </c>
      <c r="CW11" s="127">
        <v>0.38148546292729896</v>
      </c>
      <c r="CX11" s="127">
        <f t="shared" si="37"/>
        <v>1.2180804545461406</v>
      </c>
      <c r="CY11" s="141"/>
      <c r="CZ11" s="155">
        <f t="shared" si="38"/>
        <v>2.307194889511166</v>
      </c>
      <c r="DA11" s="127">
        <v>0.53899724729207821</v>
      </c>
      <c r="DB11" s="127">
        <v>-0.3856799637040455</v>
      </c>
      <c r="DC11" s="127">
        <v>0.13809574412330866</v>
      </c>
      <c r="DD11" s="127">
        <f t="shared" si="39"/>
        <v>-0.24758421958073684</v>
      </c>
      <c r="DF11" s="155">
        <f t="shared" si="40"/>
        <v>2.0967447677556317</v>
      </c>
      <c r="DG11" s="127">
        <v>0.97218850260274148</v>
      </c>
      <c r="DH11" s="127">
        <v>1.2339381399796061</v>
      </c>
      <c r="DI11" s="127">
        <v>0.22419229595803594</v>
      </c>
      <c r="DJ11" s="127">
        <f t="shared" si="41"/>
        <v>1.4581304359376421</v>
      </c>
      <c r="DK11" s="145"/>
      <c r="DL11" s="155">
        <f t="shared" si="42"/>
        <v>2.4810635165479544</v>
      </c>
      <c r="DM11" s="127">
        <v>6.9124701523444784E-2</v>
      </c>
      <c r="DN11" s="127">
        <v>-1.1663184656719028E-2</v>
      </c>
      <c r="DO11" s="127">
        <v>1.9197422845954378E-2</v>
      </c>
      <c r="DP11" s="127">
        <f t="shared" si="43"/>
        <v>7.53423818923535E-3</v>
      </c>
    </row>
    <row r="12" spans="1:120" x14ac:dyDescent="0.2">
      <c r="A12" s="128" t="str">
        <f>name!B8</f>
        <v>Rest of manufacturing</v>
      </c>
      <c r="B12" s="155">
        <f t="shared" si="1"/>
        <v>2.6164350010096316</v>
      </c>
      <c r="C12" s="87">
        <v>42.15199999999993</v>
      </c>
      <c r="D12" s="127">
        <v>-3.3299999999999712</v>
      </c>
      <c r="E12" s="127">
        <v>12.422204390941479</v>
      </c>
      <c r="F12" s="127">
        <f t="shared" si="2"/>
        <v>9.0922043909415073</v>
      </c>
      <c r="G12" s="141"/>
      <c r="H12" s="155">
        <f t="shared" si="3"/>
        <v>2.4469808961299799</v>
      </c>
      <c r="I12" s="127">
        <v>9.6089439679508644</v>
      </c>
      <c r="J12" s="127">
        <v>-2.1975561779706503</v>
      </c>
      <c r="K12" s="127">
        <v>2.6278403106316235</v>
      </c>
      <c r="L12" s="127">
        <f t="shared" si="4"/>
        <v>0.43028413266097321</v>
      </c>
      <c r="N12" s="155">
        <f t="shared" si="5"/>
        <v>2.5333579555699037</v>
      </c>
      <c r="O12" s="127">
        <v>22.575808590792999</v>
      </c>
      <c r="P12" s="127">
        <v>-0.95500589125711122</v>
      </c>
      <c r="Q12" s="127">
        <v>6.4173226387381153</v>
      </c>
      <c r="R12" s="127">
        <f t="shared" si="6"/>
        <v>5.4623167474810037</v>
      </c>
      <c r="S12" s="145"/>
      <c r="T12" s="155">
        <f t="shared" si="7"/>
        <v>2.9608263556274439</v>
      </c>
      <c r="U12" s="127">
        <v>9.9672474412560668</v>
      </c>
      <c r="V12" s="127">
        <v>-0.17743793077220946</v>
      </c>
      <c r="W12" s="127">
        <v>3.3770414415717394</v>
      </c>
      <c r="X12" s="127">
        <f t="shared" si="8"/>
        <v>3.19960351079953</v>
      </c>
      <c r="Y12" s="128" t="str">
        <f t="shared" si="0"/>
        <v>Rest of manufacturing</v>
      </c>
      <c r="Z12" s="155">
        <f t="shared" si="9"/>
        <v>2.9763942733826543</v>
      </c>
      <c r="AA12" s="87">
        <v>10.498945664126412</v>
      </c>
      <c r="AB12" s="127">
        <v>0.34529888283838883</v>
      </c>
      <c r="AC12" s="127">
        <v>3.5784558313106598</v>
      </c>
      <c r="AD12" s="127">
        <f t="shared" si="10"/>
        <v>3.9237547141490485</v>
      </c>
      <c r="AE12" s="141"/>
      <c r="AF12" s="155">
        <f t="shared" si="11"/>
        <v>2.7040649618628176</v>
      </c>
      <c r="AG12" s="127">
        <v>0.75816764967198691</v>
      </c>
      <c r="AH12" s="127">
        <v>-0.14426412804349217</v>
      </c>
      <c r="AI12" s="127">
        <v>0.23184690614128767</v>
      </c>
      <c r="AJ12" s="127">
        <f t="shared" si="12"/>
        <v>8.7582778097795494E-2</v>
      </c>
      <c r="AL12" s="155">
        <f t="shared" si="13"/>
        <v>2.8324908960291717</v>
      </c>
      <c r="AM12" s="127">
        <v>3.7458067354035878</v>
      </c>
      <c r="AN12" s="127">
        <v>-2.1430511128079324E-2</v>
      </c>
      <c r="AO12" s="127">
        <v>1.2069719734322446</v>
      </c>
      <c r="AP12" s="127">
        <f t="shared" si="14"/>
        <v>1.1855414623041653</v>
      </c>
      <c r="AQ12" s="145"/>
      <c r="AR12" s="155">
        <f t="shared" si="15"/>
        <v>3.0991188393576063</v>
      </c>
      <c r="AS12" s="127">
        <v>5.9949712790508363</v>
      </c>
      <c r="AT12" s="127">
        <v>0.51099352200996029</v>
      </c>
      <c r="AU12" s="127">
        <v>2.1396369517371276</v>
      </c>
      <c r="AV12" s="127">
        <f t="shared" si="16"/>
        <v>2.6506304737470878</v>
      </c>
      <c r="AW12" s="128" t="str">
        <f t="shared" si="17"/>
        <v>Rest of manufacturing</v>
      </c>
      <c r="AX12" s="155">
        <f t="shared" si="18"/>
        <v>2.667464938337738</v>
      </c>
      <c r="AY12" s="87">
        <v>4.3775371772570599</v>
      </c>
      <c r="AZ12" s="127">
        <v>-1.2645538867862174</v>
      </c>
      <c r="BA12" s="127">
        <v>1.3183086935944921</v>
      </c>
      <c r="BB12" s="127">
        <f t="shared" si="19"/>
        <v>5.3754806808274713E-2</v>
      </c>
      <c r="BC12" s="141"/>
      <c r="BD12" s="155">
        <f t="shared" si="20"/>
        <v>2.5806373974742502</v>
      </c>
      <c r="BE12" s="127">
        <v>0.50445012564800362</v>
      </c>
      <c r="BF12" s="127">
        <v>-0.13667993756951582</v>
      </c>
      <c r="BG12" s="127">
        <v>0.14638677364194702</v>
      </c>
      <c r="BH12" s="127">
        <f t="shared" si="21"/>
        <v>9.7068360724311964E-3</v>
      </c>
      <c r="BJ12" s="155">
        <f t="shared" si="22"/>
        <v>2.6049115123564892</v>
      </c>
      <c r="BK12" s="127">
        <v>2.2466979729709307</v>
      </c>
      <c r="BL12" s="127">
        <v>-0.58280055442252565</v>
      </c>
      <c r="BM12" s="127">
        <v>0.65883758800710124</v>
      </c>
      <c r="BN12" s="127">
        <f t="shared" si="23"/>
        <v>7.6037033584575586E-2</v>
      </c>
      <c r="BO12" s="145"/>
      <c r="BP12" s="155">
        <f t="shared" si="24"/>
        <v>2.779912687566588</v>
      </c>
      <c r="BQ12" s="127">
        <v>1.6263890786381248</v>
      </c>
      <c r="BR12" s="127">
        <v>-0.54507339479417605</v>
      </c>
      <c r="BS12" s="127">
        <v>0.51308433194544378</v>
      </c>
      <c r="BT12" s="127">
        <f t="shared" si="25"/>
        <v>-3.1989062848732264E-2</v>
      </c>
      <c r="BU12" s="128" t="str">
        <f t="shared" si="26"/>
        <v>Rest of manufacturing</v>
      </c>
      <c r="BV12" s="155">
        <f t="shared" si="27"/>
        <v>2.4731834060013336</v>
      </c>
      <c r="BW12" s="87">
        <v>26.112763020344723</v>
      </c>
      <c r="BX12" s="127">
        <v>-1.8174984546461121</v>
      </c>
      <c r="BY12" s="127">
        <v>7.2264319158956178</v>
      </c>
      <c r="BZ12" s="127">
        <f t="shared" si="28"/>
        <v>5.4089334612495055</v>
      </c>
      <c r="CA12" s="141"/>
      <c r="CB12" s="155">
        <f t="shared" si="29"/>
        <v>2.4168124747555364</v>
      </c>
      <c r="CC12" s="127">
        <v>7.7759473470029352</v>
      </c>
      <c r="CD12" s="127">
        <v>-1.7158164744931881</v>
      </c>
      <c r="CE12" s="127">
        <v>2.0974328886080462</v>
      </c>
      <c r="CF12" s="127">
        <f t="shared" si="30"/>
        <v>0.38161641411485814</v>
      </c>
      <c r="CH12" s="155">
        <f t="shared" si="31"/>
        <v>2.4638206980051702</v>
      </c>
      <c r="CI12" s="127">
        <v>16.01397145403611</v>
      </c>
      <c r="CJ12" s="127">
        <v>5.414488253187176E-2</v>
      </c>
      <c r="CK12" s="127">
        <v>4.4130248025048795</v>
      </c>
      <c r="CL12" s="127">
        <f t="shared" si="32"/>
        <v>4.467169685036751</v>
      </c>
      <c r="CM12" s="145"/>
      <c r="CN12" s="155">
        <f t="shared" si="33"/>
        <v>2.7231827177615964</v>
      </c>
      <c r="CO12" s="127">
        <v>2.3228442193056784</v>
      </c>
      <c r="CP12" s="127">
        <v>-0.15582686268479601</v>
      </c>
      <c r="CQ12" s="127">
        <v>0.71597422478269179</v>
      </c>
      <c r="CR12" s="127">
        <f t="shared" si="34"/>
        <v>0.56014736209789584</v>
      </c>
      <c r="CS12" s="128" t="str">
        <f t="shared" si="35"/>
        <v>Rest of manufacturing</v>
      </c>
      <c r="CT12" s="155">
        <f t="shared" si="36"/>
        <v>2.3148990339762587</v>
      </c>
      <c r="CU12" s="87">
        <v>1.1627541382717359</v>
      </c>
      <c r="CV12" s="127">
        <v>-0.59324654140603028</v>
      </c>
      <c r="CW12" s="127">
        <v>0.2990079501407093</v>
      </c>
      <c r="CX12" s="127">
        <f t="shared" si="37"/>
        <v>-0.29423859126532098</v>
      </c>
      <c r="CY12" s="141"/>
      <c r="CZ12" s="155">
        <f t="shared" si="38"/>
        <v>2.3930795875785948</v>
      </c>
      <c r="DA12" s="127">
        <v>0.57037884562794017</v>
      </c>
      <c r="DB12" s="127">
        <v>-0.20079563786445448</v>
      </c>
      <c r="DC12" s="127">
        <v>0.15217374224034305</v>
      </c>
      <c r="DD12" s="127">
        <f t="shared" si="39"/>
        <v>-4.8621895624111428E-2</v>
      </c>
      <c r="DF12" s="155">
        <f t="shared" si="40"/>
        <v>2.201138550303483</v>
      </c>
      <c r="DG12" s="127">
        <v>0.56933242838237019</v>
      </c>
      <c r="DH12" s="127">
        <v>-0.40491970823837808</v>
      </c>
      <c r="DI12" s="127">
        <v>0.13848827479389025</v>
      </c>
      <c r="DJ12" s="127">
        <f t="shared" si="41"/>
        <v>-0.26643143344448783</v>
      </c>
      <c r="DK12" s="145"/>
      <c r="DL12" s="155">
        <f t="shared" si="42"/>
        <v>3.1392149650770529</v>
      </c>
      <c r="DM12" s="127">
        <v>2.3042864261425509E-2</v>
      </c>
      <c r="DN12" s="127">
        <v>1.2468804696802241E-2</v>
      </c>
      <c r="DO12" s="127">
        <v>8.3459331064760084E-3</v>
      </c>
      <c r="DP12" s="127">
        <f t="shared" si="43"/>
        <v>2.0814737803278249E-2</v>
      </c>
    </row>
    <row r="13" spans="1:120" x14ac:dyDescent="0.2">
      <c r="A13" s="128" t="str">
        <f>name!B9</f>
        <v>Electricity and gas</v>
      </c>
      <c r="B13" s="155">
        <f t="shared" si="1"/>
        <v>2.751547529508569</v>
      </c>
      <c r="C13" s="87">
        <v>5.0589999999999913</v>
      </c>
      <c r="D13" s="127">
        <v>2.0489999999999946</v>
      </c>
      <c r="E13" s="127">
        <v>1.5776420433154477</v>
      </c>
      <c r="F13" s="127">
        <f t="shared" si="2"/>
        <v>3.6266420433154423</v>
      </c>
      <c r="G13" s="141"/>
      <c r="H13" s="155">
        <f t="shared" si="3"/>
        <v>2.5733600826927994</v>
      </c>
      <c r="I13" s="127">
        <v>0.31361419735656709</v>
      </c>
      <c r="J13" s="127">
        <v>7.8773033073184756E-2</v>
      </c>
      <c r="K13" s="127">
        <v>9.0720990468516644E-2</v>
      </c>
      <c r="L13" s="127">
        <f t="shared" si="4"/>
        <v>0.1694940235417014</v>
      </c>
      <c r="N13" s="155">
        <f t="shared" si="5"/>
        <v>2.5323926518590278</v>
      </c>
      <c r="O13" s="127">
        <v>1.1279969424904663</v>
      </c>
      <c r="P13" s="127">
        <v>0.17361487914005555</v>
      </c>
      <c r="Q13" s="127">
        <v>0.32050420132079388</v>
      </c>
      <c r="R13" s="127">
        <f t="shared" si="6"/>
        <v>0.4941190804608494</v>
      </c>
      <c r="S13" s="145"/>
      <c r="T13" s="155">
        <f t="shared" si="7"/>
        <v>2.8342615174113073</v>
      </c>
      <c r="U13" s="127">
        <v>3.6173888601529574</v>
      </c>
      <c r="V13" s="127">
        <v>1.7966120877867537</v>
      </c>
      <c r="W13" s="127">
        <v>1.1664168515261377</v>
      </c>
      <c r="X13" s="127">
        <f t="shared" si="8"/>
        <v>2.9630289393128915</v>
      </c>
      <c r="Y13" s="128" t="str">
        <f t="shared" si="0"/>
        <v>Electricity and gas</v>
      </c>
      <c r="Z13" s="155">
        <f t="shared" si="9"/>
        <v>2.8458192992028453</v>
      </c>
      <c r="AA13" s="87">
        <v>3.4150679378844369</v>
      </c>
      <c r="AB13" s="127">
        <v>1.4840300025780557</v>
      </c>
      <c r="AC13" s="127">
        <v>1.1062575228637768</v>
      </c>
      <c r="AD13" s="127">
        <f t="shared" si="10"/>
        <v>2.5902875254418323</v>
      </c>
      <c r="AE13" s="141"/>
      <c r="AF13" s="155">
        <f t="shared" si="11"/>
        <v>2.7430555154363878</v>
      </c>
      <c r="AG13" s="127">
        <v>0.11612647673624334</v>
      </c>
      <c r="AH13" s="127">
        <v>0.11035323287716786</v>
      </c>
      <c r="AI13" s="127">
        <v>3.6088022100809053E-2</v>
      </c>
      <c r="AJ13" s="127">
        <f t="shared" si="12"/>
        <v>0.14644125497797691</v>
      </c>
      <c r="AL13" s="155">
        <f t="shared" si="13"/>
        <v>2.6040221070196878</v>
      </c>
      <c r="AM13" s="127">
        <v>0.78807550212350175</v>
      </c>
      <c r="AN13" s="127">
        <v>0.1640515512066609</v>
      </c>
      <c r="AO13" s="127">
        <v>0.23101248718210923</v>
      </c>
      <c r="AP13" s="127">
        <f t="shared" si="14"/>
        <v>0.39506403838877013</v>
      </c>
      <c r="AQ13" s="145"/>
      <c r="AR13" s="155">
        <f t="shared" si="15"/>
        <v>2.9253673336995467</v>
      </c>
      <c r="AS13" s="127">
        <v>2.510865959024692</v>
      </c>
      <c r="AT13" s="127">
        <v>1.2096252184942269</v>
      </c>
      <c r="AU13" s="127">
        <v>0.83915701358085859</v>
      </c>
      <c r="AV13" s="127">
        <f t="shared" si="16"/>
        <v>2.0487822320750855</v>
      </c>
      <c r="AW13" s="128" t="str">
        <f t="shared" si="17"/>
        <v>Electricity and gas</v>
      </c>
      <c r="AX13" s="155">
        <f t="shared" si="18"/>
        <v>2.7527088286745105</v>
      </c>
      <c r="AY13" s="87">
        <v>0.957602688269793</v>
      </c>
      <c r="AZ13" s="127">
        <v>0.25026458116444267</v>
      </c>
      <c r="BA13" s="127">
        <v>0.29876903958455009</v>
      </c>
      <c r="BB13" s="127">
        <f t="shared" si="19"/>
        <v>0.54903362074899276</v>
      </c>
      <c r="BC13" s="141"/>
      <c r="BD13" s="155">
        <f t="shared" si="20"/>
        <v>2.6027440742423469</v>
      </c>
      <c r="BE13" s="127">
        <v>6.6675648433861312E-2</v>
      </c>
      <c r="BF13" s="127">
        <v>1.2223965695389253E-2</v>
      </c>
      <c r="BG13" s="127">
        <v>1.953422506429308E-2</v>
      </c>
      <c r="BH13" s="127">
        <f t="shared" si="21"/>
        <v>3.1758190759682337E-2</v>
      </c>
      <c r="BJ13" s="155">
        <f t="shared" si="22"/>
        <v>2.595302754086215</v>
      </c>
      <c r="BK13" s="127">
        <v>0.10025366029317774</v>
      </c>
      <c r="BL13" s="127">
        <v>-4.2143802914000279E-2</v>
      </c>
      <c r="BM13" s="127">
        <v>2.9277725477586596E-2</v>
      </c>
      <c r="BN13" s="127">
        <f t="shared" si="23"/>
        <v>-1.2866077436413683E-2</v>
      </c>
      <c r="BO13" s="145"/>
      <c r="BP13" s="155">
        <f t="shared" si="24"/>
        <v>2.7850477621075731</v>
      </c>
      <c r="BQ13" s="127">
        <v>0.79067337954275396</v>
      </c>
      <c r="BR13" s="127">
        <v>0.28018441838305369</v>
      </c>
      <c r="BS13" s="127">
        <v>0.24995708904267042</v>
      </c>
      <c r="BT13" s="127">
        <f t="shared" si="25"/>
        <v>0.53014150742572408</v>
      </c>
      <c r="BU13" s="128" t="str">
        <f t="shared" si="26"/>
        <v>Electricity and gas</v>
      </c>
      <c r="BV13" s="155">
        <f t="shared" si="27"/>
        <v>2.30166568848158</v>
      </c>
      <c r="BW13" s="87">
        <v>0.58372112403374876</v>
      </c>
      <c r="BX13" s="127">
        <v>0.29400518186205293</v>
      </c>
      <c r="BY13" s="127">
        <v>0.14915818412575702</v>
      </c>
      <c r="BZ13" s="127">
        <f t="shared" si="28"/>
        <v>0.44316336598780992</v>
      </c>
      <c r="CA13" s="141"/>
      <c r="CB13" s="155">
        <f t="shared" si="29"/>
        <v>2.5209593858770862</v>
      </c>
      <c r="CC13" s="127">
        <v>7.9538399802440748E-2</v>
      </c>
      <c r="CD13" s="127">
        <v>-3.8996824091237468E-2</v>
      </c>
      <c r="CE13" s="127">
        <v>2.2485863083774052E-2</v>
      </c>
      <c r="CF13" s="127">
        <f t="shared" si="30"/>
        <v>-1.6510961007463416E-2</v>
      </c>
      <c r="CH13" s="155">
        <f t="shared" si="31"/>
        <v>2.2948013168675008</v>
      </c>
      <c r="CI13" s="127">
        <v>0.22333516849225249</v>
      </c>
      <c r="CJ13" s="127">
        <v>4.7374479843118752E-2</v>
      </c>
      <c r="CK13" s="127">
        <v>5.6880714680897067E-2</v>
      </c>
      <c r="CL13" s="127">
        <f t="shared" si="32"/>
        <v>0.10425519452401583</v>
      </c>
      <c r="CM13" s="145"/>
      <c r="CN13" s="155">
        <f t="shared" si="33"/>
        <v>2.2442696745849977</v>
      </c>
      <c r="CO13" s="127">
        <v>0.28084755573905562</v>
      </c>
      <c r="CP13" s="127">
        <v>0.28562752611017167</v>
      </c>
      <c r="CQ13" s="127">
        <v>6.9791606361085889E-2</v>
      </c>
      <c r="CR13" s="127">
        <f t="shared" si="34"/>
        <v>0.35541913247125756</v>
      </c>
      <c r="CS13" s="128" t="str">
        <f t="shared" si="35"/>
        <v>Electricity and gas</v>
      </c>
      <c r="CT13" s="155">
        <f t="shared" si="36"/>
        <v>2.0801766936642485</v>
      </c>
      <c r="CU13" s="87">
        <v>0.10260824981201205</v>
      </c>
      <c r="CV13" s="127">
        <v>2.0700234395443017E-2</v>
      </c>
      <c r="CW13" s="127">
        <v>2.3457296741363907E-2</v>
      </c>
      <c r="CX13" s="127">
        <f t="shared" si="37"/>
        <v>4.4157531136806927E-2</v>
      </c>
      <c r="CY13" s="141"/>
      <c r="CZ13" s="155">
        <f t="shared" si="38"/>
        <v>2.2236780417191238</v>
      </c>
      <c r="DA13" s="127">
        <v>5.1273672384021723E-2</v>
      </c>
      <c r="DB13" s="127">
        <v>-4.8073414081348711E-3</v>
      </c>
      <c r="DC13" s="127">
        <v>1.2612880219640452E-2</v>
      </c>
      <c r="DD13" s="127">
        <f t="shared" si="39"/>
        <v>7.8055388115055805E-3</v>
      </c>
      <c r="DF13" s="155">
        <f t="shared" si="40"/>
        <v>1.8745697006633089</v>
      </c>
      <c r="DG13" s="127">
        <v>1.6332611581534422E-2</v>
      </c>
      <c r="DH13" s="127">
        <v>4.3326510042762225E-3</v>
      </c>
      <c r="DI13" s="127">
        <v>3.3332739802009429E-3</v>
      </c>
      <c r="DJ13" s="127">
        <f t="shared" si="41"/>
        <v>7.6659249844771658E-3</v>
      </c>
      <c r="DK13" s="145"/>
      <c r="DL13" s="155">
        <f t="shared" si="42"/>
        <v>1.9631026785993377</v>
      </c>
      <c r="DM13" s="127">
        <v>3.5001965846455901E-2</v>
      </c>
      <c r="DN13" s="127">
        <v>2.1174924799301664E-2</v>
      </c>
      <c r="DO13" s="127">
        <v>7.5111425415225128E-3</v>
      </c>
      <c r="DP13" s="127">
        <f t="shared" si="43"/>
        <v>2.8686067340824177E-2</v>
      </c>
    </row>
    <row r="14" spans="1:120" x14ac:dyDescent="0.2">
      <c r="A14" s="128" t="str">
        <f>name!B10</f>
        <v>Water and sewerage</v>
      </c>
      <c r="B14" s="155">
        <f t="shared" si="1"/>
        <v>2.6630267727114409</v>
      </c>
      <c r="C14" s="87">
        <v>34.689999999999941</v>
      </c>
      <c r="D14" s="127">
        <v>3.4039999999999937</v>
      </c>
      <c r="E14" s="127">
        <v>10.427491197200341</v>
      </c>
      <c r="F14" s="127">
        <f t="shared" si="2"/>
        <v>13.831491197200336</v>
      </c>
      <c r="G14" s="141"/>
      <c r="H14" s="155">
        <f t="shared" si="3"/>
        <v>2.3746340922261355</v>
      </c>
      <c r="I14" s="127">
        <v>2.9582746497764263</v>
      </c>
      <c r="J14" s="127">
        <v>-1.2426718264022578</v>
      </c>
      <c r="K14" s="127">
        <v>0.78250491573356684</v>
      </c>
      <c r="L14" s="127">
        <f t="shared" si="4"/>
        <v>-0.46016691066869098</v>
      </c>
      <c r="N14" s="155">
        <f t="shared" si="5"/>
        <v>2.45146859998846</v>
      </c>
      <c r="O14" s="127">
        <v>15.931406757331569</v>
      </c>
      <c r="P14" s="127">
        <v>2.6141692288467828</v>
      </c>
      <c r="Q14" s="127">
        <v>4.3657875010183442</v>
      </c>
      <c r="R14" s="127">
        <f t="shared" si="6"/>
        <v>6.9799567298651271</v>
      </c>
      <c r="S14" s="145"/>
      <c r="T14" s="155">
        <f t="shared" si="7"/>
        <v>2.9246696914869474</v>
      </c>
      <c r="U14" s="127">
        <v>15.800318592891939</v>
      </c>
      <c r="V14" s="127">
        <v>2.0325025975554691</v>
      </c>
      <c r="W14" s="127">
        <v>5.2791987804484268</v>
      </c>
      <c r="X14" s="127">
        <f t="shared" si="8"/>
        <v>7.311701378003896</v>
      </c>
      <c r="Y14" s="128" t="str">
        <f t="shared" si="0"/>
        <v>Water and sewerage</v>
      </c>
      <c r="Z14" s="155">
        <f t="shared" si="9"/>
        <v>2.8935452968317898</v>
      </c>
      <c r="AA14" s="87">
        <v>20.179018387941738</v>
      </c>
      <c r="AB14" s="127">
        <v>3.7043393079638052</v>
      </c>
      <c r="AC14" s="127">
        <v>6.6609099076503337</v>
      </c>
      <c r="AD14" s="127">
        <f t="shared" si="10"/>
        <v>10.365249215614138</v>
      </c>
      <c r="AE14" s="141"/>
      <c r="AF14" s="155">
        <f t="shared" si="11"/>
        <v>2.7725711511966233</v>
      </c>
      <c r="AG14" s="127">
        <v>0.72465647374450293</v>
      </c>
      <c r="AH14" s="127">
        <v>-0.21196589918901296</v>
      </c>
      <c r="AI14" s="127">
        <v>0.227929964406863</v>
      </c>
      <c r="AJ14" s="127">
        <f t="shared" si="12"/>
        <v>1.5964065217850043E-2</v>
      </c>
      <c r="AL14" s="155">
        <f t="shared" si="13"/>
        <v>2.6836776039042443</v>
      </c>
      <c r="AM14" s="127">
        <v>7.1689586080821419</v>
      </c>
      <c r="AN14" s="127">
        <v>1.9626686993660245</v>
      </c>
      <c r="AO14" s="127">
        <v>2.1736943685039085</v>
      </c>
      <c r="AP14" s="127">
        <f t="shared" si="14"/>
        <v>4.136363067869933</v>
      </c>
      <c r="AQ14" s="145"/>
      <c r="AR14" s="155">
        <f t="shared" si="15"/>
        <v>3.0212745785094253</v>
      </c>
      <c r="AS14" s="127">
        <v>12.285403306115091</v>
      </c>
      <c r="AT14" s="127">
        <v>1.9536365077867941</v>
      </c>
      <c r="AU14" s="127">
        <v>4.2592855747395628</v>
      </c>
      <c r="AV14" s="127">
        <f t="shared" si="16"/>
        <v>6.2129220825263571</v>
      </c>
      <c r="AW14" s="128" t="str">
        <f t="shared" si="17"/>
        <v>Water and sewerage</v>
      </c>
      <c r="AX14" s="155">
        <f t="shared" si="18"/>
        <v>2.6934634376716282</v>
      </c>
      <c r="AY14" s="87">
        <v>3.8772019161776843</v>
      </c>
      <c r="AZ14" s="127">
        <v>-0.76962711358062519</v>
      </c>
      <c r="BA14" s="127">
        <v>1.1804208080754564</v>
      </c>
      <c r="BB14" s="127">
        <f t="shared" si="19"/>
        <v>0.41079369449483116</v>
      </c>
      <c r="BC14" s="141"/>
      <c r="BD14" s="155">
        <f t="shared" si="20"/>
        <v>2.5916879181504093</v>
      </c>
      <c r="BE14" s="127">
        <v>0.39518397605304539</v>
      </c>
      <c r="BF14" s="127">
        <v>-0.11728323585066727</v>
      </c>
      <c r="BG14" s="127">
        <v>0.11522826186981429</v>
      </c>
      <c r="BH14" s="127">
        <f t="shared" si="21"/>
        <v>-2.0549739808529838E-3</v>
      </c>
      <c r="BJ14" s="155">
        <f t="shared" si="22"/>
        <v>2.6108631762737033</v>
      </c>
      <c r="BK14" s="127">
        <v>1.6388021332720251</v>
      </c>
      <c r="BL14" s="127">
        <v>-0.45140915346675231</v>
      </c>
      <c r="BM14" s="127">
        <v>0.48180359544498619</v>
      </c>
      <c r="BN14" s="127">
        <f t="shared" si="23"/>
        <v>3.0394441978233877E-2</v>
      </c>
      <c r="BO14" s="145"/>
      <c r="BP14" s="155">
        <f t="shared" si="24"/>
        <v>2.7879692353027563</v>
      </c>
      <c r="BQ14" s="127">
        <v>1.8432158068526141</v>
      </c>
      <c r="BR14" s="127">
        <v>-0.20093472426320558</v>
      </c>
      <c r="BS14" s="127">
        <v>0.58338895076065578</v>
      </c>
      <c r="BT14" s="127">
        <f t="shared" si="25"/>
        <v>0.3824542264974502</v>
      </c>
      <c r="BU14" s="128" t="str">
        <f t="shared" si="26"/>
        <v>Water and sewerage</v>
      </c>
      <c r="BV14" s="155">
        <f t="shared" si="27"/>
        <v>2.1639959971873068</v>
      </c>
      <c r="BW14" s="87">
        <v>9.217599475239167</v>
      </c>
      <c r="BX14" s="127">
        <v>0.61442646269312895</v>
      </c>
      <c r="BY14" s="127">
        <v>2.2005716372862962</v>
      </c>
      <c r="BZ14" s="127">
        <f t="shared" si="28"/>
        <v>2.8149980999794253</v>
      </c>
      <c r="CA14" s="141"/>
      <c r="CB14" s="155">
        <f t="shared" si="29"/>
        <v>2.1322524388695197</v>
      </c>
      <c r="CC14" s="127">
        <v>1.3746236467462931</v>
      </c>
      <c r="CD14" s="127">
        <v>-0.6797332330802186</v>
      </c>
      <c r="CE14" s="127">
        <v>0.32288857798608317</v>
      </c>
      <c r="CF14" s="127">
        <f t="shared" si="30"/>
        <v>-0.35684465509413543</v>
      </c>
      <c r="CH14" s="155">
        <f t="shared" si="31"/>
        <v>2.1183476609150542</v>
      </c>
      <c r="CI14" s="127">
        <v>6.2987020393754678</v>
      </c>
      <c r="CJ14" s="127">
        <v>1.0586789669999686</v>
      </c>
      <c r="CK14" s="127">
        <v>1.4689337630531381</v>
      </c>
      <c r="CL14" s="127">
        <f t="shared" si="32"/>
        <v>2.5276127300531064</v>
      </c>
      <c r="CM14" s="145"/>
      <c r="CN14" s="155">
        <f t="shared" si="33"/>
        <v>2.3760355283215739</v>
      </c>
      <c r="CO14" s="127">
        <v>1.5442737891174063</v>
      </c>
      <c r="CP14" s="127">
        <v>0.23548072877337922</v>
      </c>
      <c r="CQ14" s="127">
        <v>0.40874929624707479</v>
      </c>
      <c r="CR14" s="127">
        <f t="shared" si="34"/>
        <v>0.64423002502045401</v>
      </c>
      <c r="CS14" s="128" t="str">
        <f t="shared" si="35"/>
        <v>Water and sewerage</v>
      </c>
      <c r="CT14" s="155">
        <f t="shared" si="36"/>
        <v>2.4372851811505392</v>
      </c>
      <c r="CU14" s="87">
        <v>1.4161802206413483</v>
      </c>
      <c r="CV14" s="127">
        <v>-0.14513865707631529</v>
      </c>
      <c r="CW14" s="127">
        <v>0.38558884418825223</v>
      </c>
      <c r="CX14" s="127">
        <f t="shared" si="37"/>
        <v>0.24045018711193694</v>
      </c>
      <c r="CY14" s="141"/>
      <c r="CZ14" s="155">
        <f t="shared" si="38"/>
        <v>2.2654301118374853</v>
      </c>
      <c r="DA14" s="127">
        <v>0.46381055323258502</v>
      </c>
      <c r="DB14" s="127">
        <v>-0.23368945828235915</v>
      </c>
      <c r="DC14" s="127">
        <v>0.11645811147080638</v>
      </c>
      <c r="DD14" s="127">
        <f t="shared" si="39"/>
        <v>-0.11723134681155277</v>
      </c>
      <c r="DF14" s="155">
        <f t="shared" si="40"/>
        <v>2.5995569001085794</v>
      </c>
      <c r="DG14" s="127">
        <v>0.82494397660193552</v>
      </c>
      <c r="DH14" s="127">
        <v>4.4230715947542278E-2</v>
      </c>
      <c r="DI14" s="127">
        <v>0.24135577401631172</v>
      </c>
      <c r="DJ14" s="127">
        <f t="shared" si="41"/>
        <v>0.285586489963854</v>
      </c>
      <c r="DK14" s="145"/>
      <c r="DL14" s="155">
        <f t="shared" si="42"/>
        <v>1.9914236116268524</v>
      </c>
      <c r="DM14" s="127">
        <v>0.12742569080682786</v>
      </c>
      <c r="DN14" s="127">
        <v>4.4320085258501563E-2</v>
      </c>
      <c r="DO14" s="127">
        <v>2.7774958701134087E-2</v>
      </c>
      <c r="DP14" s="127">
        <f t="shared" si="43"/>
        <v>7.2095043959635646E-2</v>
      </c>
    </row>
    <row r="15" spans="1:120" x14ac:dyDescent="0.2">
      <c r="A15" s="128" t="str">
        <f>name!B11</f>
        <v>Construction</v>
      </c>
      <c r="B15" s="155">
        <f t="shared" si="1"/>
        <v>2.6332713124259444</v>
      </c>
      <c r="C15" s="87">
        <v>24.70699999999993</v>
      </c>
      <c r="D15" s="127">
        <v>2.4850000000000203</v>
      </c>
      <c r="E15" s="127">
        <v>7.3336805968811847</v>
      </c>
      <c r="F15" s="127">
        <f t="shared" si="2"/>
        <v>9.8186805968812045</v>
      </c>
      <c r="G15" s="141"/>
      <c r="H15" s="155">
        <f t="shared" si="3"/>
        <v>2.4423074235861542</v>
      </c>
      <c r="I15" s="127">
        <v>2.0674298031287628</v>
      </c>
      <c r="J15" s="127">
        <v>-0.8828890757342569</v>
      </c>
      <c r="K15" s="127">
        <v>0.56419694936710085</v>
      </c>
      <c r="L15" s="127">
        <f t="shared" si="4"/>
        <v>-0.31869212636715605</v>
      </c>
      <c r="N15" s="155">
        <f t="shared" si="5"/>
        <v>2.3615173214244889</v>
      </c>
      <c r="O15" s="127">
        <v>11.395959885205716</v>
      </c>
      <c r="P15" s="127">
        <v>1.9703829749125323</v>
      </c>
      <c r="Q15" s="127">
        <v>2.9959377256495925</v>
      </c>
      <c r="R15" s="127">
        <f t="shared" si="6"/>
        <v>4.9663207005621253</v>
      </c>
      <c r="S15" s="145"/>
      <c r="T15" s="155">
        <f t="shared" si="7"/>
        <v>2.9362141326216173</v>
      </c>
      <c r="U15" s="127">
        <v>11.243610311665455</v>
      </c>
      <c r="V15" s="127">
        <v>1.3975061008217451</v>
      </c>
      <c r="W15" s="127">
        <v>3.7735459218644927</v>
      </c>
      <c r="X15" s="127">
        <f t="shared" si="8"/>
        <v>5.1710520226862382</v>
      </c>
      <c r="Y15" s="128" t="str">
        <f t="shared" si="0"/>
        <v>Construction</v>
      </c>
      <c r="Z15" s="155">
        <f t="shared" si="9"/>
        <v>2.9275517647755267</v>
      </c>
      <c r="AA15" s="87">
        <v>13.046434238680172</v>
      </c>
      <c r="AB15" s="127">
        <v>2.1329718598151204</v>
      </c>
      <c r="AC15" s="127">
        <v>4.3639460437985305</v>
      </c>
      <c r="AD15" s="127">
        <f t="shared" si="10"/>
        <v>6.4969179036136513</v>
      </c>
      <c r="AE15" s="141"/>
      <c r="AF15" s="155">
        <f t="shared" si="11"/>
        <v>2.9029598767563725</v>
      </c>
      <c r="AG15" s="127">
        <v>0.51780999831305174</v>
      </c>
      <c r="AH15" s="127">
        <v>-0.14508224440278034</v>
      </c>
      <c r="AI15" s="127">
        <v>0.17155479671456894</v>
      </c>
      <c r="AJ15" s="127">
        <f t="shared" si="12"/>
        <v>2.6472552311788605E-2</v>
      </c>
      <c r="AL15" s="155">
        <f t="shared" si="13"/>
        <v>2.7138731733564292</v>
      </c>
      <c r="AM15" s="127">
        <v>3.3696565084990735</v>
      </c>
      <c r="AN15" s="127">
        <v>0.87665708871403969</v>
      </c>
      <c r="AO15" s="127">
        <v>1.0346414621905302</v>
      </c>
      <c r="AP15" s="127">
        <f t="shared" si="14"/>
        <v>1.9112985509045699</v>
      </c>
      <c r="AQ15" s="145"/>
      <c r="AR15" s="155">
        <f t="shared" si="15"/>
        <v>3.0065508595138457</v>
      </c>
      <c r="AS15" s="127">
        <v>9.1589677318680476</v>
      </c>
      <c r="AT15" s="127">
        <v>1.4013970155038609</v>
      </c>
      <c r="AU15" s="127">
        <v>3.1577497848934315</v>
      </c>
      <c r="AV15" s="127">
        <f t="shared" si="16"/>
        <v>4.5591468003972926</v>
      </c>
      <c r="AW15" s="128" t="str">
        <f t="shared" si="17"/>
        <v>Construction</v>
      </c>
      <c r="AX15" s="155">
        <f t="shared" si="18"/>
        <v>2.6925526136312605</v>
      </c>
      <c r="AY15" s="87">
        <v>3.651919924567808</v>
      </c>
      <c r="AZ15" s="127">
        <v>-0.23040618198892773</v>
      </c>
      <c r="BA15" s="127">
        <v>1.1114108203418209</v>
      </c>
      <c r="BB15" s="127">
        <f t="shared" si="19"/>
        <v>0.88100463835289322</v>
      </c>
      <c r="BC15" s="141"/>
      <c r="BD15" s="155">
        <f t="shared" si="20"/>
        <v>2.6003566607783579</v>
      </c>
      <c r="BE15" s="127">
        <v>0.34954045938527362</v>
      </c>
      <c r="BF15" s="127">
        <v>-0.11400742632184735</v>
      </c>
      <c r="BG15" s="127">
        <v>0.10230108293418085</v>
      </c>
      <c r="BH15" s="127">
        <f t="shared" si="21"/>
        <v>-1.1706343387666504E-2</v>
      </c>
      <c r="BJ15" s="155">
        <f t="shared" si="22"/>
        <v>2.6391873139546718</v>
      </c>
      <c r="BK15" s="127">
        <v>2.0072722798125366</v>
      </c>
      <c r="BL15" s="127">
        <v>2.1946743765527334E-2</v>
      </c>
      <c r="BM15" s="127">
        <v>0.59731151369132662</v>
      </c>
      <c r="BN15" s="127">
        <f t="shared" si="23"/>
        <v>0.61925825745685392</v>
      </c>
      <c r="BO15" s="145"/>
      <c r="BP15" s="155">
        <f t="shared" si="24"/>
        <v>2.799351314050047</v>
      </c>
      <c r="BQ15" s="127">
        <v>1.2951071853699978</v>
      </c>
      <c r="BR15" s="127">
        <v>-0.13834549943260771</v>
      </c>
      <c r="BS15" s="127">
        <v>0.41179822371631336</v>
      </c>
      <c r="BT15" s="127">
        <f t="shared" si="25"/>
        <v>0.27345272428370565</v>
      </c>
      <c r="BU15" s="128" t="str">
        <f t="shared" si="26"/>
        <v>Construction</v>
      </c>
      <c r="BV15" s="155">
        <f t="shared" si="27"/>
        <v>2.0481137979190267</v>
      </c>
      <c r="BW15" s="87">
        <v>6.6723347132595512</v>
      </c>
      <c r="BX15" s="127">
        <v>0.63046525507421236</v>
      </c>
      <c r="BY15" s="127">
        <v>1.4996518315416651</v>
      </c>
      <c r="BZ15" s="127">
        <f t="shared" si="28"/>
        <v>2.1301170866158774</v>
      </c>
      <c r="CA15" s="141"/>
      <c r="CB15" s="155">
        <f t="shared" si="29"/>
        <v>1.885726525584519</v>
      </c>
      <c r="CC15" s="127">
        <v>0.79401322796632245</v>
      </c>
      <c r="CD15" s="127">
        <v>-0.42251424724113457</v>
      </c>
      <c r="CE15" s="127">
        <v>0.16309534060812603</v>
      </c>
      <c r="CF15" s="127">
        <f t="shared" si="30"/>
        <v>-0.25941890663300854</v>
      </c>
      <c r="CH15" s="155">
        <f t="shared" si="31"/>
        <v>2.0349710354922612</v>
      </c>
      <c r="CI15" s="127">
        <v>5.1117136268203991</v>
      </c>
      <c r="CJ15" s="127">
        <v>0.94026718064231962</v>
      </c>
      <c r="CK15" s="127">
        <v>1.1408334558665532</v>
      </c>
      <c r="CL15" s="127">
        <f t="shared" si="32"/>
        <v>2.0811006365088729</v>
      </c>
      <c r="CM15" s="145"/>
      <c r="CN15" s="155">
        <f t="shared" si="33"/>
        <v>2.2998780793422213</v>
      </c>
      <c r="CO15" s="127">
        <v>0.7666078584728292</v>
      </c>
      <c r="CP15" s="127">
        <v>0.11271232167302715</v>
      </c>
      <c r="CQ15" s="127">
        <v>0.19572303506698607</v>
      </c>
      <c r="CR15" s="127">
        <f t="shared" si="34"/>
        <v>0.30843535674001321</v>
      </c>
      <c r="CS15" s="128" t="str">
        <f t="shared" si="35"/>
        <v>Construction</v>
      </c>
      <c r="CT15" s="155">
        <f t="shared" si="36"/>
        <v>2.406088217429958</v>
      </c>
      <c r="CU15" s="87">
        <v>1.3363111234924001</v>
      </c>
      <c r="CV15" s="127">
        <v>-4.8030932900384203E-2</v>
      </c>
      <c r="CW15" s="127">
        <v>0.3586719011991692</v>
      </c>
      <c r="CX15" s="127">
        <f t="shared" si="37"/>
        <v>0.31064096829878501</v>
      </c>
      <c r="CY15" s="141"/>
      <c r="CZ15" s="155">
        <f t="shared" si="38"/>
        <v>2.7633959791856677</v>
      </c>
      <c r="DA15" s="127">
        <v>0.40606611746411458</v>
      </c>
      <c r="DB15" s="127">
        <v>-0.20128515776849468</v>
      </c>
      <c r="DC15" s="127">
        <v>0.12724572911022497</v>
      </c>
      <c r="DD15" s="127">
        <f t="shared" si="39"/>
        <v>-7.4039428658269707E-2</v>
      </c>
      <c r="DF15" s="155">
        <f t="shared" si="40"/>
        <v>2.2233076528841211</v>
      </c>
      <c r="DG15" s="127">
        <v>0.90731747007370689</v>
      </c>
      <c r="DH15" s="127">
        <v>0.1315119617906455</v>
      </c>
      <c r="DI15" s="127">
        <v>0.22315129390118218</v>
      </c>
      <c r="DJ15" s="127">
        <f t="shared" si="41"/>
        <v>0.35466325569182766</v>
      </c>
      <c r="DK15" s="145"/>
      <c r="DL15" s="155">
        <f t="shared" si="42"/>
        <v>3.1295401767871711</v>
      </c>
      <c r="DM15" s="127">
        <v>2.2927535954578668E-2</v>
      </c>
      <c r="DN15" s="127">
        <v>2.174226307746498E-2</v>
      </c>
      <c r="DO15" s="127">
        <v>8.2748781877620605E-3</v>
      </c>
      <c r="DP15" s="127">
        <f t="shared" si="43"/>
        <v>3.0017141265227039E-2</v>
      </c>
    </row>
    <row r="16" spans="1:120" x14ac:dyDescent="0.2">
      <c r="A16" s="128" t="str">
        <f>name!B12</f>
        <v>Wholesale and retail trade</v>
      </c>
      <c r="B16" s="155">
        <f t="shared" si="1"/>
        <v>2.48357468355489</v>
      </c>
      <c r="C16" s="87">
        <v>49.360999999999891</v>
      </c>
      <c r="D16" s="127">
        <v>-3.0089999999999963</v>
      </c>
      <c r="E16" s="127">
        <v>13.724072101712224</v>
      </c>
      <c r="F16" s="127">
        <f t="shared" si="2"/>
        <v>10.715072101712227</v>
      </c>
      <c r="G16" s="141"/>
      <c r="H16" s="155">
        <f t="shared" si="3"/>
        <v>2.319061330483807</v>
      </c>
      <c r="I16" s="127">
        <v>11.754763181562106</v>
      </c>
      <c r="J16" s="127">
        <v>-3.3383043230730345</v>
      </c>
      <c r="K16" s="127">
        <v>3.0288080072024135</v>
      </c>
      <c r="L16" s="127">
        <f t="shared" si="4"/>
        <v>-0.30949631587062099</v>
      </c>
      <c r="N16" s="155">
        <f t="shared" si="5"/>
        <v>2.3679923975928441</v>
      </c>
      <c r="O16" s="127">
        <v>27.464527750604109</v>
      </c>
      <c r="P16" s="127">
        <v>1.036637643813106</v>
      </c>
      <c r="Q16" s="127">
        <v>7.242226228936425</v>
      </c>
      <c r="R16" s="127">
        <f t="shared" si="6"/>
        <v>8.2788638727495307</v>
      </c>
      <c r="S16" s="145"/>
      <c r="T16" s="155">
        <f t="shared" si="7"/>
        <v>2.9736241479119574</v>
      </c>
      <c r="U16" s="127">
        <v>10.141709067833677</v>
      </c>
      <c r="V16" s="127">
        <v>-0.70733332074006794</v>
      </c>
      <c r="W16" s="127">
        <v>3.4530378655733838</v>
      </c>
      <c r="X16" s="127">
        <f t="shared" si="8"/>
        <v>2.7457045448333157</v>
      </c>
      <c r="Y16" s="128" t="str">
        <f t="shared" si="0"/>
        <v>Wholesale and retail trade</v>
      </c>
      <c r="Z16" s="155">
        <f t="shared" si="9"/>
        <v>2.9998517165961136</v>
      </c>
      <c r="AA16" s="87">
        <v>14.421904529312432</v>
      </c>
      <c r="AB16" s="127">
        <v>-7.9946079548302407E-2</v>
      </c>
      <c r="AC16" s="127">
        <v>4.9596501612339017</v>
      </c>
      <c r="AD16" s="127">
        <f t="shared" si="10"/>
        <v>4.879704081685599</v>
      </c>
      <c r="AE16" s="141"/>
      <c r="AF16" s="155">
        <f t="shared" si="11"/>
        <v>2.9265331251565607</v>
      </c>
      <c r="AG16" s="127">
        <v>1.7446046239912303</v>
      </c>
      <c r="AH16" s="127">
        <v>-0.27919872461291689</v>
      </c>
      <c r="AI16" s="127">
        <v>0.58332831832535181</v>
      </c>
      <c r="AJ16" s="127">
        <f t="shared" si="12"/>
        <v>0.30412959371243492</v>
      </c>
      <c r="AL16" s="155">
        <f t="shared" si="13"/>
        <v>2.8733806306549425</v>
      </c>
      <c r="AM16" s="127">
        <v>5.4383562760409712</v>
      </c>
      <c r="AN16" s="127">
        <v>0.60778084248681408</v>
      </c>
      <c r="AO16" s="127">
        <v>1.780988355750744</v>
      </c>
      <c r="AP16" s="127">
        <f t="shared" si="14"/>
        <v>2.3887691982375578</v>
      </c>
      <c r="AQ16" s="145"/>
      <c r="AR16" s="155">
        <f t="shared" si="15"/>
        <v>3.111409774959073</v>
      </c>
      <c r="AS16" s="127">
        <v>7.2389436292802296</v>
      </c>
      <c r="AT16" s="127">
        <v>-0.40852819742219959</v>
      </c>
      <c r="AU16" s="127">
        <v>2.5953334871578053</v>
      </c>
      <c r="AV16" s="127">
        <f t="shared" si="16"/>
        <v>2.1868052897356058</v>
      </c>
      <c r="AW16" s="128" t="str">
        <f t="shared" si="17"/>
        <v>Wholesale and retail trade</v>
      </c>
      <c r="AX16" s="155">
        <f t="shared" si="18"/>
        <v>2.6838321004912791</v>
      </c>
      <c r="AY16" s="87">
        <v>4.7602092359720407</v>
      </c>
      <c r="AZ16" s="127">
        <v>-1.3205133909931142</v>
      </c>
      <c r="BA16" s="127">
        <v>1.4434326816980343</v>
      </c>
      <c r="BB16" s="127">
        <f t="shared" si="19"/>
        <v>0.12291929070492014</v>
      </c>
      <c r="BC16" s="141"/>
      <c r="BD16" s="155">
        <f t="shared" si="20"/>
        <v>2.6307138684356079</v>
      </c>
      <c r="BE16" s="127">
        <v>0.55533861181731692</v>
      </c>
      <c r="BF16" s="127">
        <v>-0.19194769411417067</v>
      </c>
      <c r="BG16" s="127">
        <v>0.16465951691361003</v>
      </c>
      <c r="BH16" s="127">
        <f t="shared" si="21"/>
        <v>-2.7288177200560648E-2</v>
      </c>
      <c r="BJ16" s="155">
        <f t="shared" si="22"/>
        <v>2.6257921936491346</v>
      </c>
      <c r="BK16" s="127">
        <v>2.4972687404973635</v>
      </c>
      <c r="BL16" s="127">
        <v>-0.56905832335257489</v>
      </c>
      <c r="BM16" s="127">
        <v>0.73889514198640793</v>
      </c>
      <c r="BN16" s="127">
        <f t="shared" si="23"/>
        <v>0.16983681863383304</v>
      </c>
      <c r="BO16" s="145"/>
      <c r="BP16" s="155">
        <f t="shared" si="24"/>
        <v>2.7852790413730899</v>
      </c>
      <c r="BQ16" s="127">
        <v>1.7076018836573603</v>
      </c>
      <c r="BR16" s="127">
        <v>-0.55950737352636859</v>
      </c>
      <c r="BS16" s="127">
        <v>0.53987802279801622</v>
      </c>
      <c r="BT16" s="127">
        <f t="shared" si="25"/>
        <v>-1.9629350728352368E-2</v>
      </c>
      <c r="BU16" s="128" t="str">
        <f t="shared" si="26"/>
        <v>Wholesale and retail trade</v>
      </c>
      <c r="BV16" s="155">
        <f t="shared" si="27"/>
        <v>2.1993314042800582</v>
      </c>
      <c r="BW16" s="87">
        <v>28.021593521784599</v>
      </c>
      <c r="BX16" s="127">
        <v>-1.4714034279099568</v>
      </c>
      <c r="BY16" s="127">
        <v>6.8100025319772302</v>
      </c>
      <c r="BZ16" s="127">
        <f t="shared" si="28"/>
        <v>5.3385991040672733</v>
      </c>
      <c r="CA16" s="141"/>
      <c r="CB16" s="155">
        <f t="shared" si="29"/>
        <v>2.1988160207137231</v>
      </c>
      <c r="CC16" s="127">
        <v>8.4984348827263929</v>
      </c>
      <c r="CD16" s="127">
        <v>-2.4130544809912187</v>
      </c>
      <c r="CE16" s="127">
        <v>2.0648160354020404</v>
      </c>
      <c r="CF16" s="127">
        <f t="shared" si="30"/>
        <v>-0.34823844558917827</v>
      </c>
      <c r="CH16" s="155">
        <f t="shared" si="31"/>
        <v>2.1891934571730776</v>
      </c>
      <c r="CI16" s="127">
        <v>18.363284813948471</v>
      </c>
      <c r="CJ16" s="127">
        <v>0.79472514229380931</v>
      </c>
      <c r="CK16" s="127">
        <v>4.4401403431475641</v>
      </c>
      <c r="CL16" s="127">
        <f t="shared" si="32"/>
        <v>5.2348654854413734</v>
      </c>
      <c r="CM16" s="145"/>
      <c r="CN16" s="155">
        <f t="shared" si="33"/>
        <v>2.3623659563032362</v>
      </c>
      <c r="CO16" s="127">
        <v>1.1598738251097345</v>
      </c>
      <c r="CP16" s="127">
        <v>0.14692591078745226</v>
      </c>
      <c r="CQ16" s="127">
        <v>0.30504615342762553</v>
      </c>
      <c r="CR16" s="127">
        <f t="shared" si="34"/>
        <v>0.4519720642150778</v>
      </c>
      <c r="CS16" s="128" t="str">
        <f t="shared" si="35"/>
        <v>Wholesale and retail trade</v>
      </c>
      <c r="CT16" s="155">
        <f t="shared" si="36"/>
        <v>2.1485540302156547</v>
      </c>
      <c r="CU16" s="87">
        <v>2.1572927129308224</v>
      </c>
      <c r="CV16" s="127">
        <v>-0.13713710154862277</v>
      </c>
      <c r="CW16" s="127">
        <v>0.51098672680305779</v>
      </c>
      <c r="CX16" s="127">
        <f t="shared" si="37"/>
        <v>0.37384962525443499</v>
      </c>
      <c r="CY16" s="141"/>
      <c r="CZ16" s="155">
        <f t="shared" si="38"/>
        <v>2.0572595476436195</v>
      </c>
      <c r="DA16" s="127">
        <v>0.95638506302716597</v>
      </c>
      <c r="DB16" s="127">
        <v>-0.4541034233547282</v>
      </c>
      <c r="DC16" s="127">
        <v>0.2160041365614109</v>
      </c>
      <c r="DD16" s="127">
        <f t="shared" si="39"/>
        <v>-0.23809928679331729</v>
      </c>
      <c r="DF16" s="155">
        <f t="shared" si="40"/>
        <v>2.1917519950891196</v>
      </c>
      <c r="DG16" s="127">
        <v>1.1656179201173043</v>
      </c>
      <c r="DH16" s="127">
        <v>0.20318998238505742</v>
      </c>
      <c r="DI16" s="127">
        <v>0.28220238805171</v>
      </c>
      <c r="DJ16" s="127">
        <f t="shared" si="41"/>
        <v>0.48539237043676742</v>
      </c>
      <c r="DK16" s="145"/>
      <c r="DL16" s="155">
        <f t="shared" si="42"/>
        <v>3.1389052752660129</v>
      </c>
      <c r="DM16" s="127">
        <v>3.5289729786351975E-2</v>
      </c>
      <c r="DN16" s="127">
        <v>0.11377633942104799</v>
      </c>
      <c r="DO16" s="127">
        <v>1.2780202189936939E-2</v>
      </c>
      <c r="DP16" s="127">
        <f t="shared" si="43"/>
        <v>0.12655654161098492</v>
      </c>
    </row>
    <row r="17" spans="1:120" x14ac:dyDescent="0.2">
      <c r="A17" s="128" t="str">
        <f>name!B13</f>
        <v>Transport and storage</v>
      </c>
      <c r="B17" s="155">
        <f t="shared" si="1"/>
        <v>2.5826643707438812</v>
      </c>
      <c r="C17" s="87">
        <v>92.525231401581493</v>
      </c>
      <c r="D17" s="127">
        <v>4.8062010655220337</v>
      </c>
      <c r="E17" s="127">
        <v>26.873559144521298</v>
      </c>
      <c r="F17" s="127">
        <f t="shared" si="2"/>
        <v>31.679760210043334</v>
      </c>
      <c r="G17" s="141"/>
      <c r="H17" s="155">
        <f t="shared" si="3"/>
        <v>2.4248789617356659</v>
      </c>
      <c r="I17" s="127">
        <v>21.198729637120138</v>
      </c>
      <c r="J17" s="127">
        <v>-6.0725510822499817</v>
      </c>
      <c r="K17" s="127">
        <v>5.7392133920891153</v>
      </c>
      <c r="L17" s="127">
        <f t="shared" si="4"/>
        <v>-0.33333769016086645</v>
      </c>
      <c r="N17" s="155">
        <f t="shared" si="5"/>
        <v>2.5234952437853897</v>
      </c>
      <c r="O17" s="127">
        <v>52.658868908190932</v>
      </c>
      <c r="P17" s="127">
        <v>7.0048539847493405</v>
      </c>
      <c r="Q17" s="127">
        <v>14.903608217095815</v>
      </c>
      <c r="R17" s="127">
        <f t="shared" si="6"/>
        <v>21.908462201845154</v>
      </c>
      <c r="S17" s="145"/>
      <c r="T17" s="155">
        <f t="shared" si="7"/>
        <v>2.9219882284781784</v>
      </c>
      <c r="U17" s="127">
        <v>18.667632856270426</v>
      </c>
      <c r="V17" s="127">
        <v>3.8738981630226754</v>
      </c>
      <c r="W17" s="127">
        <v>6.230737535336365</v>
      </c>
      <c r="X17" s="127">
        <f t="shared" si="8"/>
        <v>10.10463569835904</v>
      </c>
      <c r="Y17" s="128" t="str">
        <f t="shared" si="0"/>
        <v>Transport and storage</v>
      </c>
      <c r="Z17" s="155">
        <f t="shared" si="9"/>
        <v>2.9241425329038728</v>
      </c>
      <c r="AA17" s="87">
        <v>29.870782206299452</v>
      </c>
      <c r="AB17" s="127">
        <v>4.3408339188767497</v>
      </c>
      <c r="AC17" s="127">
        <v>9.9783777687739459</v>
      </c>
      <c r="AD17" s="127">
        <f t="shared" si="10"/>
        <v>14.319211687650697</v>
      </c>
      <c r="AE17" s="141"/>
      <c r="AF17" s="155">
        <f t="shared" si="11"/>
        <v>2.7318686124567781</v>
      </c>
      <c r="AG17" s="127">
        <v>3.8081615228264192</v>
      </c>
      <c r="AH17" s="127">
        <v>-0.6689481531577417</v>
      </c>
      <c r="AI17" s="127">
        <v>1.1780102671881654</v>
      </c>
      <c r="AJ17" s="127">
        <f t="shared" si="12"/>
        <v>0.50906211403042367</v>
      </c>
      <c r="AL17" s="155">
        <f t="shared" si="13"/>
        <v>2.8609218734994002</v>
      </c>
      <c r="AM17" s="127">
        <v>13.572153033741255</v>
      </c>
      <c r="AN17" s="127">
        <v>3.0025944902352135</v>
      </c>
      <c r="AO17" s="127">
        <v>4.4228892241268012</v>
      </c>
      <c r="AP17" s="127">
        <f t="shared" si="14"/>
        <v>7.4254837143620147</v>
      </c>
      <c r="AQ17" s="145"/>
      <c r="AR17" s="155">
        <f t="shared" si="15"/>
        <v>3.0500840000298179</v>
      </c>
      <c r="AS17" s="127">
        <v>12.490467649731778</v>
      </c>
      <c r="AT17" s="127">
        <v>2.0071875817992777</v>
      </c>
      <c r="AU17" s="127">
        <v>4.3774782774589784</v>
      </c>
      <c r="AV17" s="127">
        <f t="shared" si="16"/>
        <v>6.3846658592582557</v>
      </c>
      <c r="AW17" s="128" t="str">
        <f t="shared" si="17"/>
        <v>Transport and storage</v>
      </c>
      <c r="AX17" s="155">
        <f t="shared" si="18"/>
        <v>2.6816272634551552</v>
      </c>
      <c r="AY17" s="87">
        <v>8.998417639409773</v>
      </c>
      <c r="AZ17" s="127">
        <v>0.46368333377022369</v>
      </c>
      <c r="BA17" s="127">
        <v>2.7260618724368122</v>
      </c>
      <c r="BB17" s="127">
        <f t="shared" si="19"/>
        <v>3.1897452062070357</v>
      </c>
      <c r="BC17" s="141"/>
      <c r="BD17" s="155">
        <f t="shared" si="20"/>
        <v>2.6174041078364407</v>
      </c>
      <c r="BE17" s="127">
        <v>1.0668407233699537</v>
      </c>
      <c r="BF17" s="127">
        <v>3.2513509332090844E-2</v>
      </c>
      <c r="BG17" s="127">
        <v>0.31452866341566049</v>
      </c>
      <c r="BH17" s="127">
        <f t="shared" si="21"/>
        <v>0.34704217274775134</v>
      </c>
      <c r="BJ17" s="155">
        <f t="shared" si="22"/>
        <v>2.6363264722116364</v>
      </c>
      <c r="BK17" s="127">
        <v>4.9047319312804847</v>
      </c>
      <c r="BL17" s="127">
        <v>0.14017890795839225</v>
      </c>
      <c r="BM17" s="127">
        <v>1.4577457375951082</v>
      </c>
      <c r="BN17" s="127">
        <f t="shared" si="23"/>
        <v>1.5979246455535003</v>
      </c>
      <c r="BO17" s="145"/>
      <c r="BP17" s="155">
        <f t="shared" si="24"/>
        <v>2.7770599340433355</v>
      </c>
      <c r="BQ17" s="127">
        <v>3.0268449847593342</v>
      </c>
      <c r="BR17" s="127">
        <v>0.29099091647974057</v>
      </c>
      <c r="BS17" s="127">
        <v>0.95378747142604337</v>
      </c>
      <c r="BT17" s="127">
        <f t="shared" si="25"/>
        <v>1.2447783879057839</v>
      </c>
      <c r="BU17" s="128" t="str">
        <f t="shared" si="26"/>
        <v>Transport and storage</v>
      </c>
      <c r="BV17" s="155">
        <f t="shared" si="27"/>
        <v>2.3754907319287089</v>
      </c>
      <c r="BW17" s="87">
        <v>50.110811503507264</v>
      </c>
      <c r="BX17" s="127">
        <v>0.37983071614327241</v>
      </c>
      <c r="BY17" s="127">
        <v>13.260311196398852</v>
      </c>
      <c r="BZ17" s="127">
        <f t="shared" si="28"/>
        <v>13.640141912542125</v>
      </c>
      <c r="CA17" s="141"/>
      <c r="CB17" s="155">
        <f t="shared" si="29"/>
        <v>2.3338534370635156</v>
      </c>
      <c r="CC17" s="127">
        <v>14.74166253806875</v>
      </c>
      <c r="CD17" s="127">
        <v>-4.5191002676533572</v>
      </c>
      <c r="CE17" s="127">
        <v>3.8252523053004484</v>
      </c>
      <c r="CF17" s="127">
        <f t="shared" si="30"/>
        <v>-0.6938479623529088</v>
      </c>
      <c r="CH17" s="155">
        <f t="shared" si="31"/>
        <v>2.3772663395688065</v>
      </c>
      <c r="CI17" s="127">
        <v>32.323025931939064</v>
      </c>
      <c r="CJ17" s="127">
        <v>3.459835793309614</v>
      </c>
      <c r="CK17" s="127">
        <v>8.5604017208804635</v>
      </c>
      <c r="CL17" s="127">
        <f t="shared" si="32"/>
        <v>12.020237514190077</v>
      </c>
      <c r="CM17" s="145"/>
      <c r="CN17" s="155">
        <f t="shared" si="33"/>
        <v>2.5563381424586806</v>
      </c>
      <c r="CO17" s="127">
        <v>3.0461230334994571</v>
      </c>
      <c r="CP17" s="127">
        <v>1.4390951904870155</v>
      </c>
      <c r="CQ17" s="127">
        <v>0.87465717021794065</v>
      </c>
      <c r="CR17" s="127">
        <f t="shared" si="34"/>
        <v>2.3137523607049562</v>
      </c>
      <c r="CS17" s="128" t="str">
        <f t="shared" si="35"/>
        <v>Transport and storage</v>
      </c>
      <c r="CT17" s="155">
        <f t="shared" si="36"/>
        <v>2.3083258626595438</v>
      </c>
      <c r="CU17" s="87">
        <v>3.5452200523650017</v>
      </c>
      <c r="CV17" s="127">
        <v>-0.37814690326821171</v>
      </c>
      <c r="CW17" s="127">
        <v>0.90880830691168701</v>
      </c>
      <c r="CX17" s="127">
        <f t="shared" si="37"/>
        <v>0.53066140364347536</v>
      </c>
      <c r="CY17" s="141"/>
      <c r="CZ17" s="155">
        <f t="shared" si="38"/>
        <v>2.3896892286912941</v>
      </c>
      <c r="DA17" s="127">
        <v>1.5820648528550136</v>
      </c>
      <c r="DB17" s="127">
        <v>-0.91701617077097408</v>
      </c>
      <c r="DC17" s="127">
        <v>0.42142215618484119</v>
      </c>
      <c r="DD17" s="127">
        <f t="shared" si="39"/>
        <v>-0.49559401458613289</v>
      </c>
      <c r="DF17" s="155">
        <f t="shared" si="40"/>
        <v>2.2469738978732945</v>
      </c>
      <c r="DG17" s="127">
        <v>1.8589580112301323</v>
      </c>
      <c r="DH17" s="127">
        <v>0.40224479324612111</v>
      </c>
      <c r="DI17" s="127">
        <v>0.4625715344934439</v>
      </c>
      <c r="DJ17" s="127">
        <f t="shared" si="41"/>
        <v>0.86481632773956507</v>
      </c>
      <c r="DK17" s="145"/>
      <c r="DL17" s="155">
        <f t="shared" si="42"/>
        <v>2.1591674565122787</v>
      </c>
      <c r="DM17" s="127">
        <v>0.10419718827985559</v>
      </c>
      <c r="DN17" s="127">
        <v>0.13662447425664134</v>
      </c>
      <c r="DO17" s="127">
        <v>2.4814616233402073E-2</v>
      </c>
      <c r="DP17" s="127">
        <f t="shared" si="43"/>
        <v>0.1614390904900434</v>
      </c>
    </row>
    <row r="18" spans="1:120" x14ac:dyDescent="0.2">
      <c r="A18" s="128" t="str">
        <f>name!B14</f>
        <v>Accommodation and food</v>
      </c>
      <c r="B18" s="155">
        <f t="shared" si="1"/>
        <v>2.7290326750703198</v>
      </c>
      <c r="C18" s="87">
        <v>12.952999999999982</v>
      </c>
      <c r="D18" s="127">
        <v>0.38799999999999019</v>
      </c>
      <c r="E18" s="127">
        <v>4.0021779615326993</v>
      </c>
      <c r="F18" s="127">
        <f t="shared" si="2"/>
        <v>4.3901779615326895</v>
      </c>
      <c r="G18" s="141"/>
      <c r="H18" s="155">
        <f t="shared" si="3"/>
        <v>2.439043046528111</v>
      </c>
      <c r="I18" s="127">
        <v>0.98180011788807253</v>
      </c>
      <c r="J18" s="127">
        <v>-0.31823538887421476</v>
      </c>
      <c r="K18" s="127">
        <v>0.26753287063716108</v>
      </c>
      <c r="L18" s="127">
        <f t="shared" si="4"/>
        <v>-5.0702518237053684E-2</v>
      </c>
      <c r="N18" s="155">
        <f t="shared" si="5"/>
        <v>2.4753153877203893</v>
      </c>
      <c r="O18" s="127">
        <v>4.3897999117505364</v>
      </c>
      <c r="P18" s="127">
        <v>-3.3729018992914917E-3</v>
      </c>
      <c r="Q18" s="127">
        <v>1.2159970209281907</v>
      </c>
      <c r="R18" s="127">
        <f t="shared" si="6"/>
        <v>1.2126241190288993</v>
      </c>
      <c r="S18" s="145"/>
      <c r="T18" s="155">
        <f t="shared" si="7"/>
        <v>2.9099584906887133</v>
      </c>
      <c r="U18" s="127">
        <v>7.5813999703613737</v>
      </c>
      <c r="V18" s="127">
        <v>0.70960829077349641</v>
      </c>
      <c r="W18" s="127">
        <v>2.5186480699673486</v>
      </c>
      <c r="X18" s="127">
        <f t="shared" si="8"/>
        <v>3.2282563607408452</v>
      </c>
      <c r="Y18" s="128" t="str">
        <f t="shared" si="0"/>
        <v>Accommodation and food</v>
      </c>
      <c r="Z18" s="155">
        <f t="shared" si="9"/>
        <v>2.9001988046052141</v>
      </c>
      <c r="AA18" s="87">
        <v>8.41715005869405</v>
      </c>
      <c r="AB18" s="127">
        <v>1.2401845545007941</v>
      </c>
      <c r="AC18" s="127">
        <v>2.7856660704349108</v>
      </c>
      <c r="AD18" s="127">
        <f t="shared" si="10"/>
        <v>4.0258506249357051</v>
      </c>
      <c r="AE18" s="141"/>
      <c r="AF18" s="155">
        <f t="shared" si="11"/>
        <v>2.6294544068126147</v>
      </c>
      <c r="AG18" s="127">
        <v>0.26152951231038224</v>
      </c>
      <c r="AH18" s="127">
        <v>-4.5405475739936016E-2</v>
      </c>
      <c r="AI18" s="127">
        <v>7.7502654523601097E-2</v>
      </c>
      <c r="AJ18" s="127">
        <f t="shared" si="12"/>
        <v>3.2097178783665081E-2</v>
      </c>
      <c r="AL18" s="155">
        <f t="shared" si="13"/>
        <v>2.7712915947119443</v>
      </c>
      <c r="AM18" s="127">
        <v>1.603753842229815</v>
      </c>
      <c r="AN18" s="127">
        <v>0.37014463186933377</v>
      </c>
      <c r="AO18" s="127">
        <v>0.50417456272407901</v>
      </c>
      <c r="AP18" s="127">
        <f t="shared" si="14"/>
        <v>0.87431919459341279</v>
      </c>
      <c r="AQ18" s="145"/>
      <c r="AR18" s="155">
        <f t="shared" si="15"/>
        <v>2.9421782199993585</v>
      </c>
      <c r="AS18" s="127">
        <v>6.5518667041538512</v>
      </c>
      <c r="AT18" s="127">
        <v>0.91544539837139627</v>
      </c>
      <c r="AU18" s="127">
        <v>2.2039888531872305</v>
      </c>
      <c r="AV18" s="127">
        <f t="shared" si="16"/>
        <v>3.1194342515586269</v>
      </c>
      <c r="AW18" s="128" t="str">
        <f t="shared" si="17"/>
        <v>Accommodation and food</v>
      </c>
      <c r="AX18" s="155">
        <f t="shared" si="18"/>
        <v>2.6824624047876666</v>
      </c>
      <c r="AY18" s="87">
        <v>1.5529698962248977</v>
      </c>
      <c r="AZ18" s="127">
        <v>-0.46999464299830562</v>
      </c>
      <c r="BA18" s="127">
        <v>0.47063529840578655</v>
      </c>
      <c r="BB18" s="127">
        <f t="shared" si="19"/>
        <v>6.4065540748092786E-4</v>
      </c>
      <c r="BC18" s="141"/>
      <c r="BD18" s="155">
        <f t="shared" si="20"/>
        <v>2.5523204536911814</v>
      </c>
      <c r="BE18" s="127">
        <v>0.13614442022126955</v>
      </c>
      <c r="BF18" s="127">
        <v>-6.3296157131409597E-2</v>
      </c>
      <c r="BG18" s="127">
        <v>3.9023576340022549E-2</v>
      </c>
      <c r="BH18" s="127">
        <f t="shared" si="21"/>
        <v>-2.4272580791387048E-2</v>
      </c>
      <c r="BJ18" s="155">
        <f t="shared" si="22"/>
        <v>2.6286177015529599</v>
      </c>
      <c r="BK18" s="127">
        <v>0.68908932411816504</v>
      </c>
      <c r="BL18" s="127">
        <v>-0.20218556619821521</v>
      </c>
      <c r="BM18" s="127">
        <v>0.20413453714844726</v>
      </c>
      <c r="BN18" s="127">
        <f t="shared" si="23"/>
        <v>1.948970950232054E-3</v>
      </c>
      <c r="BO18" s="145"/>
      <c r="BP18" s="155">
        <f t="shared" si="24"/>
        <v>2.7572901368161595</v>
      </c>
      <c r="BQ18" s="127">
        <v>0.72773615188546292</v>
      </c>
      <c r="BR18" s="127">
        <v>-0.20451291966868082</v>
      </c>
      <c r="BS18" s="127">
        <v>0.22747718491731678</v>
      </c>
      <c r="BT18" s="127">
        <f t="shared" si="25"/>
        <v>2.2964265248635957E-2</v>
      </c>
      <c r="BU18" s="128" t="str">
        <f t="shared" si="26"/>
        <v>Accommodation and food</v>
      </c>
      <c r="BV18" s="155">
        <f t="shared" si="27"/>
        <v>2.2597619936791435</v>
      </c>
      <c r="BW18" s="87">
        <v>2.763662773835291</v>
      </c>
      <c r="BX18" s="127">
        <v>-0.23042163432403942</v>
      </c>
      <c r="BY18" s="127">
        <v>0.69201169643440363</v>
      </c>
      <c r="BZ18" s="127">
        <f t="shared" si="28"/>
        <v>0.46159006211036424</v>
      </c>
      <c r="CA18" s="141"/>
      <c r="CB18" s="155">
        <f t="shared" si="29"/>
        <v>2.2744187655870496</v>
      </c>
      <c r="CC18" s="127">
        <v>0.53420672462394658</v>
      </c>
      <c r="CD18" s="127">
        <v>-0.18314245506199275</v>
      </c>
      <c r="CE18" s="127">
        <v>0.13472154653176011</v>
      </c>
      <c r="CF18" s="127">
        <f t="shared" si="30"/>
        <v>-4.8420908530232648E-2</v>
      </c>
      <c r="CH18" s="155">
        <f t="shared" si="31"/>
        <v>2.2063029939758838</v>
      </c>
      <c r="CI18" s="127">
        <v>1.9276589348892854</v>
      </c>
      <c r="CJ18" s="127">
        <v>-4.5954991332827419E-2</v>
      </c>
      <c r="CK18" s="127">
        <v>0.47010811803984248</v>
      </c>
      <c r="CL18" s="127">
        <f t="shared" si="32"/>
        <v>0.42415312670701505</v>
      </c>
      <c r="CM18" s="145"/>
      <c r="CN18" s="155">
        <f t="shared" si="33"/>
        <v>2.5701813988873834</v>
      </c>
      <c r="CO18" s="127">
        <v>0.30179711432205908</v>
      </c>
      <c r="CP18" s="127">
        <v>-1.3241879292192368E-3</v>
      </c>
      <c r="CQ18" s="127">
        <v>8.7182031862801102E-2</v>
      </c>
      <c r="CR18" s="127">
        <f t="shared" si="34"/>
        <v>8.5857843933581868E-2</v>
      </c>
      <c r="CS18" s="128" t="str">
        <f t="shared" si="35"/>
        <v>Accommodation and food</v>
      </c>
      <c r="CT18" s="155">
        <f t="shared" si="36"/>
        <v>2.2214077027330692</v>
      </c>
      <c r="CU18" s="87">
        <v>0.21921727124574525</v>
      </c>
      <c r="CV18" s="127">
        <v>-0.15176827717845895</v>
      </c>
      <c r="CW18" s="127">
        <v>5.386489625759925E-2</v>
      </c>
      <c r="CX18" s="127">
        <f t="shared" si="37"/>
        <v>-9.7903380920859706E-2</v>
      </c>
      <c r="CY18" s="141"/>
      <c r="CZ18" s="155">
        <f t="shared" si="38"/>
        <v>2.8636185424038896</v>
      </c>
      <c r="DA18" s="127">
        <v>4.9919460732474302E-2</v>
      </c>
      <c r="DB18" s="127">
        <v>-2.6391300940876338E-2</v>
      </c>
      <c r="DC18" s="127">
        <v>1.6285093241777283E-2</v>
      </c>
      <c r="DD18" s="127">
        <f t="shared" si="39"/>
        <v>-1.0106207699099055E-2</v>
      </c>
      <c r="DF18" s="155">
        <f t="shared" si="40"/>
        <v>2.0249088908695478</v>
      </c>
      <c r="DG18" s="127">
        <v>0.16929781051327095</v>
      </c>
      <c r="DH18" s="127">
        <v>-0.12537697623758262</v>
      </c>
      <c r="DI18" s="127">
        <v>3.7579803015821964E-2</v>
      </c>
      <c r="DJ18" s="127">
        <f t="shared" si="41"/>
        <v>-8.7797173221760658E-2</v>
      </c>
      <c r="DK18" s="145"/>
      <c r="DL18" s="155">
        <f t="shared" si="42"/>
        <v>0</v>
      </c>
      <c r="DM18" s="127">
        <v>0</v>
      </c>
      <c r="DN18" s="127">
        <v>0</v>
      </c>
      <c r="DO18" s="127">
        <v>0</v>
      </c>
      <c r="DP18" s="127">
        <f t="shared" si="43"/>
        <v>0</v>
      </c>
    </row>
    <row r="19" spans="1:120" x14ac:dyDescent="0.2">
      <c r="A19" s="128" t="str">
        <f>name!B15</f>
        <v>Media</v>
      </c>
      <c r="B19" s="155">
        <f t="shared" si="1"/>
        <v>2.650879874909351</v>
      </c>
      <c r="C19" s="87">
        <v>16.661999999999964</v>
      </c>
      <c r="D19" s="127">
        <v>-1.8919999999999957</v>
      </c>
      <c r="E19" s="127">
        <v>4.9828157385534926</v>
      </c>
      <c r="F19" s="127">
        <f t="shared" si="2"/>
        <v>3.0908157385534967</v>
      </c>
      <c r="G19" s="141"/>
      <c r="H19" s="155">
        <f t="shared" si="3"/>
        <v>2.421853726448564</v>
      </c>
      <c r="I19" s="127">
        <v>1.9434405643167627</v>
      </c>
      <c r="J19" s="127">
        <v>-0.90855133713639524</v>
      </c>
      <c r="K19" s="127">
        <v>0.52542579270375545</v>
      </c>
      <c r="L19" s="127">
        <f t="shared" si="4"/>
        <v>-0.3831255444326398</v>
      </c>
      <c r="N19" s="155">
        <f t="shared" si="5"/>
        <v>2.4061732586688978</v>
      </c>
      <c r="O19" s="127">
        <v>7.733476770699653</v>
      </c>
      <c r="P19" s="127">
        <v>-1.0294803032346584</v>
      </c>
      <c r="Q19" s="127">
        <v>2.0757813219951484</v>
      </c>
      <c r="R19" s="127">
        <f t="shared" si="6"/>
        <v>1.04630101876049</v>
      </c>
      <c r="S19" s="145"/>
      <c r="T19" s="155">
        <f t="shared" si="7"/>
        <v>2.9772916903296753</v>
      </c>
      <c r="U19" s="127">
        <v>6.9850826649835493</v>
      </c>
      <c r="V19" s="127">
        <v>4.6031640371057968E-2</v>
      </c>
      <c r="W19" s="127">
        <v>2.3816086238545888</v>
      </c>
      <c r="X19" s="127">
        <f t="shared" si="8"/>
        <v>2.4276402642256469</v>
      </c>
      <c r="Y19" s="128" t="str">
        <f t="shared" si="0"/>
        <v>Media</v>
      </c>
      <c r="Z19" s="155">
        <f t="shared" si="9"/>
        <v>2.9185657815322896</v>
      </c>
      <c r="AA19" s="87">
        <v>8.3794062941985281</v>
      </c>
      <c r="AB19" s="127">
        <v>-0.17587640052692693</v>
      </c>
      <c r="AC19" s="127">
        <v>2.7930973117040807</v>
      </c>
      <c r="AD19" s="127">
        <f t="shared" si="10"/>
        <v>2.6172209111771538</v>
      </c>
      <c r="AE19" s="141"/>
      <c r="AF19" s="155">
        <f t="shared" si="11"/>
        <v>2.7459576371490213</v>
      </c>
      <c r="AG19" s="127">
        <v>0.31243496317011898</v>
      </c>
      <c r="AH19" s="127">
        <v>-0.10738960201360218</v>
      </c>
      <c r="AI19" s="127">
        <v>9.7209482795084096E-2</v>
      </c>
      <c r="AJ19" s="127">
        <f t="shared" si="12"/>
        <v>-1.018011921851808E-2</v>
      </c>
      <c r="AL19" s="155">
        <f t="shared" si="13"/>
        <v>2.6372520747176109</v>
      </c>
      <c r="AM19" s="127">
        <v>2.000766979672798</v>
      </c>
      <c r="AN19" s="127">
        <v>-0.14537129206384908</v>
      </c>
      <c r="AO19" s="127">
        <v>0.59488625177063192</v>
      </c>
      <c r="AP19" s="127">
        <f t="shared" si="14"/>
        <v>0.44951495970678285</v>
      </c>
      <c r="AQ19" s="145"/>
      <c r="AR19" s="155">
        <f t="shared" si="15"/>
        <v>3.0186007978292295</v>
      </c>
      <c r="AS19" s="127">
        <v>6.0662043513556112</v>
      </c>
      <c r="AT19" s="127">
        <v>7.6884493550524291E-2</v>
      </c>
      <c r="AU19" s="127">
        <v>2.1010015771383648</v>
      </c>
      <c r="AV19" s="127">
        <f t="shared" si="16"/>
        <v>2.177886070688889</v>
      </c>
      <c r="AW19" s="128" t="str">
        <f t="shared" si="17"/>
        <v>Media</v>
      </c>
      <c r="AX19" s="155">
        <f t="shared" si="18"/>
        <v>2.6651859485115947</v>
      </c>
      <c r="AY19" s="87">
        <v>1.664971822536162</v>
      </c>
      <c r="AZ19" s="127">
        <v>-0.7022088254799439</v>
      </c>
      <c r="BA19" s="127">
        <v>0.50093050963156127</v>
      </c>
      <c r="BB19" s="127">
        <f t="shared" si="19"/>
        <v>-0.20127831584838263</v>
      </c>
      <c r="BC19" s="141"/>
      <c r="BD19" s="155">
        <f t="shared" si="20"/>
        <v>2.581820000482149</v>
      </c>
      <c r="BE19" s="127">
        <v>0.26372544688368038</v>
      </c>
      <c r="BF19" s="127">
        <v>-0.10831956062703628</v>
      </c>
      <c r="BG19" s="127">
        <v>7.6569920735424277E-2</v>
      </c>
      <c r="BH19" s="127">
        <f t="shared" si="21"/>
        <v>-3.1749639891612003E-2</v>
      </c>
      <c r="BJ19" s="155">
        <f t="shared" si="22"/>
        <v>2.6382225672916038</v>
      </c>
      <c r="BK19" s="127">
        <v>0.90622693590093328</v>
      </c>
      <c r="BL19" s="127">
        <v>-0.31112932759164502</v>
      </c>
      <c r="BM19" s="127">
        <v>0.26955881347514621</v>
      </c>
      <c r="BN19" s="127">
        <f t="shared" si="23"/>
        <v>-4.1570514116498813E-2</v>
      </c>
      <c r="BO19" s="145"/>
      <c r="BP19" s="155">
        <f t="shared" si="24"/>
        <v>2.7583597057282416</v>
      </c>
      <c r="BQ19" s="127">
        <v>0.4950194397515485</v>
      </c>
      <c r="BR19" s="127">
        <v>-0.28275993726126269</v>
      </c>
      <c r="BS19" s="127">
        <v>0.15480177542099077</v>
      </c>
      <c r="BT19" s="127">
        <f t="shared" si="25"/>
        <v>-0.12795816184027192</v>
      </c>
      <c r="BU19" s="128" t="str">
        <f t="shared" si="26"/>
        <v>Media</v>
      </c>
      <c r="BV19" s="155">
        <f t="shared" si="27"/>
        <v>2.301250253200271</v>
      </c>
      <c r="BW19" s="87">
        <v>5.9165033698801821</v>
      </c>
      <c r="BX19" s="127">
        <v>-1.0278366832146471</v>
      </c>
      <c r="BY19" s="127">
        <v>1.5115416978807021</v>
      </c>
      <c r="BZ19" s="127">
        <f t="shared" si="28"/>
        <v>0.48370501466605509</v>
      </c>
      <c r="CA19" s="141"/>
      <c r="CB19" s="155">
        <f t="shared" si="29"/>
        <v>2.3115008885774335</v>
      </c>
      <c r="CC19" s="127">
        <v>1.2498018824231734</v>
      </c>
      <c r="CD19" s="127">
        <v>-0.61465964280907215</v>
      </c>
      <c r="CE19" s="127">
        <v>0.32087094919664594</v>
      </c>
      <c r="CF19" s="127">
        <f t="shared" si="30"/>
        <v>-0.29378869361242621</v>
      </c>
      <c r="CH19" s="155">
        <f t="shared" si="31"/>
        <v>2.2668844506140928</v>
      </c>
      <c r="CI19" s="127">
        <v>4.2539717403366248</v>
      </c>
      <c r="CJ19" s="127">
        <v>-0.61145217832122922</v>
      </c>
      <c r="CK19" s="127">
        <v>1.0688859433031883</v>
      </c>
      <c r="CL19" s="127">
        <f t="shared" si="32"/>
        <v>0.45743376498195909</v>
      </c>
      <c r="CM19" s="145"/>
      <c r="CN19" s="155">
        <f t="shared" si="33"/>
        <v>2.6193775887513038</v>
      </c>
      <c r="CO19" s="127">
        <v>0.41272974712038374</v>
      </c>
      <c r="CP19" s="127">
        <v>0.19827513791565432</v>
      </c>
      <c r="CQ19" s="127">
        <v>0.12178480538086794</v>
      </c>
      <c r="CR19" s="127">
        <f t="shared" si="34"/>
        <v>0.32005994329652226</v>
      </c>
      <c r="CS19" s="128" t="str">
        <f t="shared" si="35"/>
        <v>Media</v>
      </c>
      <c r="CT19" s="155">
        <f t="shared" si="36"/>
        <v>2.2794409399427673</v>
      </c>
      <c r="CU19" s="87">
        <v>0.70111851338509235</v>
      </c>
      <c r="CV19" s="127">
        <v>1.3921909221522149E-2</v>
      </c>
      <c r="CW19" s="127">
        <v>0.17724621933714907</v>
      </c>
      <c r="CX19" s="127">
        <f t="shared" si="37"/>
        <v>0.19116812855867121</v>
      </c>
      <c r="CY19" s="141"/>
      <c r="CZ19" s="155">
        <f t="shared" si="38"/>
        <v>2.3539960057005649</v>
      </c>
      <c r="DA19" s="127">
        <v>0.11747827183979</v>
      </c>
      <c r="DB19" s="127">
        <v>-7.8182531686684584E-2</v>
      </c>
      <c r="DC19" s="127">
        <v>3.0775439976601052E-2</v>
      </c>
      <c r="DD19" s="127">
        <f t="shared" si="39"/>
        <v>-4.7407091710083532E-2</v>
      </c>
      <c r="DF19" s="155">
        <f t="shared" si="40"/>
        <v>2.2468339355165234</v>
      </c>
      <c r="DG19" s="127">
        <v>0.57251111478929684</v>
      </c>
      <c r="DH19" s="127">
        <v>3.8472494742064697E-2</v>
      </c>
      <c r="DI19" s="127">
        <v>0.14245031344618231</v>
      </c>
      <c r="DJ19" s="127">
        <f t="shared" si="41"/>
        <v>0.18092280818824702</v>
      </c>
      <c r="DK19" s="145"/>
      <c r="DL19" s="155">
        <f t="shared" si="42"/>
        <v>3.132129843378717</v>
      </c>
      <c r="DM19" s="127">
        <v>1.1129126756005558E-2</v>
      </c>
      <c r="DN19" s="127">
        <v>5.3631946166142037E-2</v>
      </c>
      <c r="DO19" s="127">
        <v>4.0204659143656838E-3</v>
      </c>
      <c r="DP19" s="127">
        <f t="shared" si="43"/>
        <v>5.7652412080507719E-2</v>
      </c>
    </row>
    <row r="20" spans="1:120" x14ac:dyDescent="0.2">
      <c r="A20" s="128" t="str">
        <f>name!B16</f>
        <v>Information technology</v>
      </c>
      <c r="B20" s="155">
        <f t="shared" si="1"/>
        <v>2.630000270050048</v>
      </c>
      <c r="C20" s="87">
        <v>34.601999999999876</v>
      </c>
      <c r="D20" s="127">
        <v>-3.8549999999999471</v>
      </c>
      <c r="E20" s="127">
        <v>10.256474686233423</v>
      </c>
      <c r="F20" s="127">
        <f t="shared" si="2"/>
        <v>6.4014746862334757</v>
      </c>
      <c r="G20" s="141"/>
      <c r="H20" s="155">
        <f t="shared" si="3"/>
        <v>2.4896239324975644</v>
      </c>
      <c r="I20" s="127">
        <v>6.3842523172142389</v>
      </c>
      <c r="J20" s="127">
        <v>-1.3027470433857931</v>
      </c>
      <c r="K20" s="127">
        <v>1.7798612708286927</v>
      </c>
      <c r="L20" s="127">
        <f t="shared" si="4"/>
        <v>0.47711422744289966</v>
      </c>
      <c r="N20" s="155">
        <f t="shared" si="5"/>
        <v>2.5461854565335118</v>
      </c>
      <c r="O20" s="127">
        <v>18.08880807286123</v>
      </c>
      <c r="P20" s="127">
        <v>-2.1012037936311048</v>
      </c>
      <c r="Q20" s="127">
        <v>5.1709423641740262</v>
      </c>
      <c r="R20" s="127">
        <f t="shared" si="6"/>
        <v>3.0697385705429214</v>
      </c>
      <c r="S20" s="145"/>
      <c r="T20" s="155">
        <f t="shared" si="7"/>
        <v>2.8646399549337564</v>
      </c>
      <c r="U20" s="127">
        <v>10.128939609924409</v>
      </c>
      <c r="V20" s="127">
        <v>-0.45104916298304948</v>
      </c>
      <c r="W20" s="127">
        <v>3.3056710512307044</v>
      </c>
      <c r="X20" s="127">
        <f t="shared" si="8"/>
        <v>2.8546218882476548</v>
      </c>
      <c r="Y20" s="128" t="str">
        <f t="shared" si="0"/>
        <v>Information technology</v>
      </c>
      <c r="Z20" s="155">
        <f t="shared" si="9"/>
        <v>2.8552821094793401</v>
      </c>
      <c r="AA20" s="87">
        <v>13.953182859548033</v>
      </c>
      <c r="AB20" s="127">
        <v>-1.67980428374619</v>
      </c>
      <c r="AC20" s="127">
        <v>4.5369181113981396</v>
      </c>
      <c r="AD20" s="127">
        <f t="shared" si="10"/>
        <v>2.8571138276519497</v>
      </c>
      <c r="AE20" s="141"/>
      <c r="AF20" s="155">
        <f t="shared" si="11"/>
        <v>2.798663449076022</v>
      </c>
      <c r="AG20" s="127">
        <v>1.2847958755225881</v>
      </c>
      <c r="AH20" s="127">
        <v>-0.12384047360641834</v>
      </c>
      <c r="AI20" s="127">
        <v>0.40840629030865233</v>
      </c>
      <c r="AJ20" s="127">
        <f t="shared" si="12"/>
        <v>0.28456581670223402</v>
      </c>
      <c r="AL20" s="155">
        <f t="shared" si="13"/>
        <v>2.7559320611477256</v>
      </c>
      <c r="AM20" s="127">
        <v>4.8268191334861674</v>
      </c>
      <c r="AN20" s="127">
        <v>-0.57107107367591969</v>
      </c>
      <c r="AO20" s="127">
        <v>1.5079392492593697</v>
      </c>
      <c r="AP20" s="127">
        <f t="shared" si="14"/>
        <v>0.93686817558345004</v>
      </c>
      <c r="AQ20" s="145"/>
      <c r="AR20" s="155">
        <f t="shared" si="15"/>
        <v>2.9252105333952505</v>
      </c>
      <c r="AS20" s="127">
        <v>7.8415678505392767</v>
      </c>
      <c r="AT20" s="127">
        <v>-0.98489273646385189</v>
      </c>
      <c r="AU20" s="127">
        <v>2.6205725718301167</v>
      </c>
      <c r="AV20" s="127">
        <f t="shared" si="16"/>
        <v>1.6356798353662647</v>
      </c>
      <c r="AW20" s="128" t="str">
        <f t="shared" si="17"/>
        <v>Information technology</v>
      </c>
      <c r="AX20" s="155">
        <f t="shared" si="18"/>
        <v>2.6748514920266198</v>
      </c>
      <c r="AY20" s="87">
        <v>4.2099312351777032</v>
      </c>
      <c r="AZ20" s="127">
        <v>-0.56161412539516631</v>
      </c>
      <c r="BA20" s="127">
        <v>1.2717759825285015</v>
      </c>
      <c r="BB20" s="127">
        <f t="shared" si="19"/>
        <v>0.71016185713333524</v>
      </c>
      <c r="BC20" s="141"/>
      <c r="BD20" s="155">
        <f t="shared" si="20"/>
        <v>2.5994582145060452</v>
      </c>
      <c r="BE20" s="127">
        <v>0.53565838194452042</v>
      </c>
      <c r="BF20" s="127">
        <v>-7.8618004194655866E-2</v>
      </c>
      <c r="BG20" s="127">
        <v>0.15671215650903289</v>
      </c>
      <c r="BH20" s="127">
        <f t="shared" si="21"/>
        <v>7.8094152314377024E-2</v>
      </c>
      <c r="BJ20" s="155">
        <f t="shared" si="22"/>
        <v>2.6483527756445246</v>
      </c>
      <c r="BK20" s="127">
        <v>2.2560634885597532</v>
      </c>
      <c r="BL20" s="127">
        <v>-0.30542322205299727</v>
      </c>
      <c r="BM20" s="127">
        <v>0.67396040804007895</v>
      </c>
      <c r="BN20" s="127">
        <f t="shared" si="23"/>
        <v>0.36853718598708168</v>
      </c>
      <c r="BO20" s="145"/>
      <c r="BP20" s="155">
        <f t="shared" si="24"/>
        <v>2.7451216362557762</v>
      </c>
      <c r="BQ20" s="127">
        <v>1.4182093646734297</v>
      </c>
      <c r="BR20" s="127">
        <v>-0.17757289914751315</v>
      </c>
      <c r="BS20" s="127">
        <v>0.44110341797938962</v>
      </c>
      <c r="BT20" s="127">
        <f t="shared" si="25"/>
        <v>0.2635305188318765</v>
      </c>
      <c r="BU20" s="128" t="str">
        <f t="shared" si="26"/>
        <v>Information technology</v>
      </c>
      <c r="BV20" s="155">
        <f t="shared" si="27"/>
        <v>2.4242377604531073</v>
      </c>
      <c r="BW20" s="87">
        <v>15.223628532016798</v>
      </c>
      <c r="BX20" s="127">
        <v>-1.9724996964398605</v>
      </c>
      <c r="BY20" s="127">
        <v>4.1203403348407761</v>
      </c>
      <c r="BZ20" s="127">
        <f t="shared" si="28"/>
        <v>2.1478406384009157</v>
      </c>
      <c r="CA20" s="141"/>
      <c r="CB20" s="155">
        <f t="shared" si="29"/>
        <v>2.4043230891266143</v>
      </c>
      <c r="CC20" s="127">
        <v>4.0549670831540263</v>
      </c>
      <c r="CD20" s="127">
        <v>-0.87521384736118646</v>
      </c>
      <c r="CE20" s="127">
        <v>1.0874848929554206</v>
      </c>
      <c r="CF20" s="127">
        <f t="shared" si="30"/>
        <v>0.21227104559423415</v>
      </c>
      <c r="CH20" s="155">
        <f t="shared" si="31"/>
        <v>2.4287404250380895</v>
      </c>
      <c r="CI20" s="127">
        <v>10.383652468950638</v>
      </c>
      <c r="CJ20" s="127">
        <v>-1.3016002996443403</v>
      </c>
      <c r="CK20" s="127">
        <v>2.8161814283025186</v>
      </c>
      <c r="CL20" s="127">
        <f t="shared" si="32"/>
        <v>1.5145811286581783</v>
      </c>
      <c r="CM20" s="145"/>
      <c r="CN20" s="155">
        <f t="shared" si="33"/>
        <v>2.4673648385086233</v>
      </c>
      <c r="CO20" s="127">
        <v>0.78500897991213381</v>
      </c>
      <c r="CP20" s="127">
        <v>0.20431445056566661</v>
      </c>
      <c r="CQ20" s="127">
        <v>0.21667401358283661</v>
      </c>
      <c r="CR20" s="127">
        <f t="shared" si="34"/>
        <v>0.42098846414850322</v>
      </c>
      <c r="CS20" s="128" t="str">
        <f t="shared" si="35"/>
        <v>Information technology</v>
      </c>
      <c r="CT20" s="155">
        <f t="shared" si="36"/>
        <v>2.4144541847002987</v>
      </c>
      <c r="CU20" s="87">
        <v>1.2152573732573435</v>
      </c>
      <c r="CV20" s="127">
        <v>0.35891810558126896</v>
      </c>
      <c r="CW20" s="127">
        <v>0.32744025746600702</v>
      </c>
      <c r="CX20" s="127">
        <f t="shared" si="37"/>
        <v>0.68635836304727604</v>
      </c>
      <c r="CY20" s="141"/>
      <c r="CZ20" s="155">
        <f t="shared" si="38"/>
        <v>2.2573250871402939</v>
      </c>
      <c r="DA20" s="127">
        <v>0.50883097659310417</v>
      </c>
      <c r="DB20" s="127">
        <v>-0.22507471822353237</v>
      </c>
      <c r="DC20" s="127">
        <v>0.12725793105558686</v>
      </c>
      <c r="DD20" s="127">
        <f t="shared" si="39"/>
        <v>-9.7816787167945507E-2</v>
      </c>
      <c r="DF20" s="155">
        <f t="shared" si="40"/>
        <v>2.4816129596337833</v>
      </c>
      <c r="DG20" s="127">
        <v>0.62227298186467062</v>
      </c>
      <c r="DH20" s="127">
        <v>7.6890801742152348E-2</v>
      </c>
      <c r="DI20" s="127">
        <v>0.1728612785720591</v>
      </c>
      <c r="DJ20" s="127">
        <f t="shared" si="41"/>
        <v>0.24975208031421145</v>
      </c>
      <c r="DK20" s="145"/>
      <c r="DL20" s="155">
        <f t="shared" si="42"/>
        <v>2.8514371248256065</v>
      </c>
      <c r="DM20" s="127">
        <v>8.4153414799568824E-2</v>
      </c>
      <c r="DN20" s="127">
        <v>0.50710202206264898</v>
      </c>
      <c r="DO20" s="127">
        <v>2.7321047838361107E-2</v>
      </c>
      <c r="DP20" s="127">
        <f t="shared" si="43"/>
        <v>0.53442306990101007</v>
      </c>
    </row>
    <row r="21" spans="1:120" x14ac:dyDescent="0.2">
      <c r="A21" s="128" t="str">
        <f>name!B17</f>
        <v>Finance and insurance</v>
      </c>
      <c r="B21" s="155">
        <f t="shared" si="1"/>
        <v>2.4812804219719098</v>
      </c>
      <c r="C21" s="87">
        <v>33.322999999999901</v>
      </c>
      <c r="D21" s="127">
        <v>-3.4569999999999741</v>
      </c>
      <c r="E21" s="127">
        <v>9.2554181233713848</v>
      </c>
      <c r="F21" s="127">
        <f t="shared" si="2"/>
        <v>5.7984181233714107</v>
      </c>
      <c r="G21" s="141"/>
      <c r="H21" s="155">
        <f t="shared" si="3"/>
        <v>2.3436986854765918</v>
      </c>
      <c r="I21" s="127">
        <v>7.7779668974735596</v>
      </c>
      <c r="J21" s="127">
        <v>-2.1913610207501648</v>
      </c>
      <c r="K21" s="127">
        <v>2.0277008362964004</v>
      </c>
      <c r="L21" s="127">
        <f t="shared" si="4"/>
        <v>-0.1636601844537644</v>
      </c>
      <c r="N21" s="155">
        <f t="shared" si="5"/>
        <v>2.3961637037624106</v>
      </c>
      <c r="O21" s="127">
        <v>18.946833896500934</v>
      </c>
      <c r="P21" s="127">
        <v>-1.9125527829377933</v>
      </c>
      <c r="Q21" s="127">
        <v>5.0621349318084921</v>
      </c>
      <c r="R21" s="127">
        <f t="shared" si="6"/>
        <v>3.1495821488706985</v>
      </c>
      <c r="S21" s="145"/>
      <c r="T21" s="155">
        <f t="shared" si="7"/>
        <v>2.878971077935244</v>
      </c>
      <c r="U21" s="127">
        <v>6.5981992060254084</v>
      </c>
      <c r="V21" s="127">
        <v>0.64691380368798412</v>
      </c>
      <c r="W21" s="127">
        <v>2.1655823552664915</v>
      </c>
      <c r="X21" s="127">
        <f t="shared" si="8"/>
        <v>2.8124961589544757</v>
      </c>
      <c r="Y21" s="128" t="str">
        <f t="shared" si="0"/>
        <v>Finance and insurance</v>
      </c>
      <c r="Z21" s="155">
        <f t="shared" si="9"/>
        <v>2.798959749955654</v>
      </c>
      <c r="AA21" s="87">
        <v>12.270868694716109</v>
      </c>
      <c r="AB21" s="127">
        <v>2.9764862885854111</v>
      </c>
      <c r="AC21" s="127">
        <v>3.9010857145843958</v>
      </c>
      <c r="AD21" s="127">
        <f t="shared" si="10"/>
        <v>6.8775720031698064</v>
      </c>
      <c r="AE21" s="141"/>
      <c r="AF21" s="155">
        <f t="shared" si="11"/>
        <v>2.7178804906447418</v>
      </c>
      <c r="AG21" s="127">
        <v>1.4082979674661906</v>
      </c>
      <c r="AH21" s="127">
        <v>5.2896058974020416E-2</v>
      </c>
      <c r="AI21" s="127">
        <v>0.43313132387053488</v>
      </c>
      <c r="AJ21" s="127">
        <f t="shared" si="12"/>
        <v>0.48602738284455527</v>
      </c>
      <c r="AL21" s="155">
        <f t="shared" si="13"/>
        <v>2.6905674486324749</v>
      </c>
      <c r="AM21" s="127">
        <v>5.7129298402976092</v>
      </c>
      <c r="AN21" s="127">
        <v>2.2476050941027323</v>
      </c>
      <c r="AO21" s="127">
        <v>1.737210049999393</v>
      </c>
      <c r="AP21" s="127">
        <f t="shared" si="14"/>
        <v>3.9848151441021251</v>
      </c>
      <c r="AQ21" s="145"/>
      <c r="AR21" s="155">
        <f t="shared" si="15"/>
        <v>2.939861842779945</v>
      </c>
      <c r="AS21" s="127">
        <v>5.1496408869523096</v>
      </c>
      <c r="AT21" s="127">
        <v>0.67598513550865802</v>
      </c>
      <c r="AU21" s="127">
        <v>1.7307443407144678</v>
      </c>
      <c r="AV21" s="127">
        <f t="shared" si="16"/>
        <v>2.4067294762231257</v>
      </c>
      <c r="AW21" s="128" t="str">
        <f t="shared" si="17"/>
        <v>Finance and insurance</v>
      </c>
      <c r="AX21" s="155">
        <f t="shared" si="18"/>
        <v>2.6672196716569507</v>
      </c>
      <c r="AY21" s="87">
        <v>3.1291828896233556</v>
      </c>
      <c r="AZ21" s="127">
        <v>4.7662543576286416E-2</v>
      </c>
      <c r="BA21" s="127">
        <v>0.94226572050611046</v>
      </c>
      <c r="BB21" s="127">
        <f t="shared" si="19"/>
        <v>0.98992826408239687</v>
      </c>
      <c r="BC21" s="141"/>
      <c r="BD21" s="155">
        <f t="shared" si="20"/>
        <v>2.6037899995889902</v>
      </c>
      <c r="BE21" s="127">
        <v>0.61592438154919227</v>
      </c>
      <c r="BF21" s="127">
        <v>-3.7382232284277769E-2</v>
      </c>
      <c r="BG21" s="127">
        <v>0.18053095656887813</v>
      </c>
      <c r="BH21" s="127">
        <f t="shared" si="21"/>
        <v>0.14314872428460035</v>
      </c>
      <c r="BJ21" s="155">
        <f t="shared" si="22"/>
        <v>2.6401755891724665</v>
      </c>
      <c r="BK21" s="127">
        <v>1.812577752323878</v>
      </c>
      <c r="BL21" s="127">
        <v>-1.6849737964863366E-2</v>
      </c>
      <c r="BM21" s="127">
        <v>0.53960200635034938</v>
      </c>
      <c r="BN21" s="127">
        <f t="shared" si="23"/>
        <v>0.52275226838548605</v>
      </c>
      <c r="BO21" s="145"/>
      <c r="BP21" s="155">
        <f t="shared" si="24"/>
        <v>2.7920140765933743</v>
      </c>
      <c r="BQ21" s="127">
        <v>0.70068075575028521</v>
      </c>
      <c r="BR21" s="127">
        <v>0.10189451382542755</v>
      </c>
      <c r="BS21" s="127">
        <v>0.22213275758688292</v>
      </c>
      <c r="BT21" s="127">
        <f t="shared" si="25"/>
        <v>0.32402727141231047</v>
      </c>
      <c r="BU21" s="128" t="str">
        <f t="shared" si="26"/>
        <v>Finance and insurance</v>
      </c>
      <c r="BV21" s="155">
        <f t="shared" si="27"/>
        <v>2.2225807612637372</v>
      </c>
      <c r="BW21" s="87">
        <v>17.010496310706994</v>
      </c>
      <c r="BX21" s="127">
        <v>-6.2268929517639569</v>
      </c>
      <c r="BY21" s="127">
        <v>4.1821600833902677</v>
      </c>
      <c r="BZ21" s="127">
        <f t="shared" si="28"/>
        <v>-2.0447328683736892</v>
      </c>
      <c r="CA21" s="141"/>
      <c r="CB21" s="155">
        <f t="shared" si="29"/>
        <v>2.2178133748506523</v>
      </c>
      <c r="CC21" s="127">
        <v>5.361386794682045</v>
      </c>
      <c r="CD21" s="127">
        <v>-2.3999699747148724</v>
      </c>
      <c r="CE21" s="127">
        <v>1.3150232829970165</v>
      </c>
      <c r="CF21" s="127">
        <f t="shared" si="30"/>
        <v>-1.0849466917178558</v>
      </c>
      <c r="CH21" s="155">
        <f t="shared" si="31"/>
        <v>2.2046166739490669</v>
      </c>
      <c r="CI21" s="127">
        <v>10.966559197882978</v>
      </c>
      <c r="CJ21" s="127">
        <v>-3.7501749723874718</v>
      </c>
      <c r="CK21" s="127">
        <v>2.6722208134635381</v>
      </c>
      <c r="CL21" s="127">
        <f t="shared" si="32"/>
        <v>-1.0779541589239336</v>
      </c>
      <c r="CM21" s="145"/>
      <c r="CN21" s="155">
        <f t="shared" si="33"/>
        <v>2.5438402112385017</v>
      </c>
      <c r="CO21" s="127">
        <v>0.68255031814196876</v>
      </c>
      <c r="CP21" s="127">
        <v>-7.6748004661612662E-2</v>
      </c>
      <c r="CQ21" s="127">
        <v>0.19491598692971274</v>
      </c>
      <c r="CR21" s="127">
        <f t="shared" si="34"/>
        <v>0.11816798226810007</v>
      </c>
      <c r="CS21" s="128" t="str">
        <f t="shared" si="35"/>
        <v>Finance and insurance</v>
      </c>
      <c r="CT21" s="155">
        <f t="shared" si="36"/>
        <v>2.2725870846393104</v>
      </c>
      <c r="CU21" s="87">
        <v>0.91245210495344775</v>
      </c>
      <c r="CV21" s="127">
        <v>-0.25425588039771407</v>
      </c>
      <c r="CW21" s="127">
        <v>0.22990660489061099</v>
      </c>
      <c r="CX21" s="127">
        <f t="shared" si="37"/>
        <v>-2.4349275507103085E-2</v>
      </c>
      <c r="CY21" s="141"/>
      <c r="CZ21" s="155">
        <f t="shared" si="38"/>
        <v>2.2758052007650242</v>
      </c>
      <c r="DA21" s="127">
        <v>0.3923577537761323</v>
      </c>
      <c r="DB21" s="127">
        <v>0.19309512727496547</v>
      </c>
      <c r="DC21" s="127">
        <v>9.9015272859970554E-2</v>
      </c>
      <c r="DD21" s="127">
        <f t="shared" si="39"/>
        <v>0.29211040013493605</v>
      </c>
      <c r="DF21" s="155">
        <f t="shared" si="40"/>
        <v>2.2459052950809522</v>
      </c>
      <c r="DG21" s="127">
        <v>0.4547671059964703</v>
      </c>
      <c r="DH21" s="127">
        <v>-0.3931331666881907</v>
      </c>
      <c r="DI21" s="127">
        <v>0.11310206199521274</v>
      </c>
      <c r="DJ21" s="127">
        <f t="shared" si="41"/>
        <v>-0.28003110469297798</v>
      </c>
      <c r="DK21" s="145"/>
      <c r="DL21" s="155">
        <f t="shared" si="42"/>
        <v>2.4375771949586511</v>
      </c>
      <c r="DM21" s="127">
        <v>6.5327245180845164E-2</v>
      </c>
      <c r="DN21" s="127">
        <v>-5.4217840984488806E-2</v>
      </c>
      <c r="DO21" s="127">
        <v>1.7789270035427705E-2</v>
      </c>
      <c r="DP21" s="127">
        <f t="shared" si="43"/>
        <v>-3.6428570949061101E-2</v>
      </c>
    </row>
    <row r="22" spans="1:120" x14ac:dyDescent="0.2">
      <c r="A22" s="128" t="str">
        <f>name!B18</f>
        <v>Real estate</v>
      </c>
      <c r="B22" s="155">
        <f t="shared" si="1"/>
        <v>2.6116897758494684</v>
      </c>
      <c r="C22" s="87">
        <v>6.1683349428474763</v>
      </c>
      <c r="D22" s="127">
        <v>0.196627540592925</v>
      </c>
      <c r="E22" s="127">
        <v>1.8141175570326864</v>
      </c>
      <c r="F22" s="127">
        <f t="shared" si="2"/>
        <v>2.0107450976256116</v>
      </c>
      <c r="G22" s="141"/>
      <c r="H22" s="155">
        <f t="shared" si="3"/>
        <v>2.514226030268718</v>
      </c>
      <c r="I22" s="127">
        <v>1.4414399971181822</v>
      </c>
      <c r="J22" s="127">
        <v>-0.35250015246161959</v>
      </c>
      <c r="K22" s="127">
        <v>0.40628757914793828</v>
      </c>
      <c r="L22" s="127">
        <f t="shared" si="4"/>
        <v>5.3787426686318696E-2</v>
      </c>
      <c r="N22" s="155">
        <f t="shared" si="5"/>
        <v>2.6214470082087438</v>
      </c>
      <c r="O22" s="127">
        <v>2.3753843717507803</v>
      </c>
      <c r="P22" s="127">
        <v>0.12579529520222252</v>
      </c>
      <c r="Q22" s="127">
        <v>0.701528764239294</v>
      </c>
      <c r="R22" s="127">
        <f t="shared" si="6"/>
        <v>0.82732405944151655</v>
      </c>
      <c r="S22" s="145"/>
      <c r="T22" s="155">
        <f t="shared" si="7"/>
        <v>2.6612106513108635</v>
      </c>
      <c r="U22" s="127">
        <v>2.3515105739785147</v>
      </c>
      <c r="V22" s="127">
        <v>0.42333239785232213</v>
      </c>
      <c r="W22" s="127">
        <v>0.70630121364545417</v>
      </c>
      <c r="X22" s="127">
        <f t="shared" si="8"/>
        <v>1.1296336114977763</v>
      </c>
      <c r="Y22" s="128" t="str">
        <f t="shared" si="0"/>
        <v>Real estate</v>
      </c>
      <c r="Z22" s="155">
        <f t="shared" si="9"/>
        <v>2.7183631629002836</v>
      </c>
      <c r="AA22" s="87">
        <v>3.1732901245624543</v>
      </c>
      <c r="AB22" s="127">
        <v>0.6841817025054634</v>
      </c>
      <c r="AC22" s="127">
        <v>0.97616127527036756</v>
      </c>
      <c r="AD22" s="127">
        <f t="shared" si="10"/>
        <v>1.660342977775831</v>
      </c>
      <c r="AE22" s="141"/>
      <c r="AF22" s="155">
        <f t="shared" si="11"/>
        <v>2.6131607505413434</v>
      </c>
      <c r="AG22" s="127">
        <v>0.19250680994422617</v>
      </c>
      <c r="AH22" s="127">
        <v>0.16401414967811412</v>
      </c>
      <c r="AI22" s="127">
        <v>5.6652287723932618E-2</v>
      </c>
      <c r="AJ22" s="127">
        <f t="shared" si="12"/>
        <v>0.22066643740204672</v>
      </c>
      <c r="AL22" s="155">
        <f t="shared" si="13"/>
        <v>2.8445633977957741</v>
      </c>
      <c r="AM22" s="127">
        <v>0.85860730100895899</v>
      </c>
      <c r="AN22" s="127">
        <v>4.2190547756578954E-2</v>
      </c>
      <c r="AO22" s="127">
        <v>0.27799351979985232</v>
      </c>
      <c r="AP22" s="127">
        <f t="shared" si="14"/>
        <v>0.32018406755643125</v>
      </c>
      <c r="AQ22" s="145"/>
      <c r="AR22" s="155">
        <f t="shared" si="15"/>
        <v>2.6764431790775811</v>
      </c>
      <c r="AS22" s="127">
        <v>2.1221760136092689</v>
      </c>
      <c r="AT22" s="127">
        <v>0.47797700507077023</v>
      </c>
      <c r="AU22" s="127">
        <v>0.64151546774658263</v>
      </c>
      <c r="AV22" s="127">
        <f t="shared" si="16"/>
        <v>1.119492472817353</v>
      </c>
      <c r="AW22" s="128" t="str">
        <f t="shared" si="17"/>
        <v>Real estate</v>
      </c>
      <c r="AX22" s="155">
        <f t="shared" si="18"/>
        <v>2.6817205379647824</v>
      </c>
      <c r="AY22" s="87">
        <v>0.48397528340046003</v>
      </c>
      <c r="AZ22" s="127">
        <v>-0.12994053725972496</v>
      </c>
      <c r="BA22" s="127">
        <v>0.14662556967400292</v>
      </c>
      <c r="BB22" s="127">
        <f t="shared" si="19"/>
        <v>1.6685032414277962E-2</v>
      </c>
      <c r="BC22" s="141"/>
      <c r="BD22" s="155">
        <f t="shared" si="20"/>
        <v>2.6291172026759568</v>
      </c>
      <c r="BE22" s="127">
        <v>9.4966037850212306E-2</v>
      </c>
      <c r="BF22" s="127">
        <v>-2.1192060628218386E-2</v>
      </c>
      <c r="BG22" s="127">
        <v>2.8138553500052236E-2</v>
      </c>
      <c r="BH22" s="127">
        <f t="shared" si="21"/>
        <v>6.9464928718338502E-3</v>
      </c>
      <c r="BJ22" s="155">
        <f t="shared" si="22"/>
        <v>2.6564659717416284</v>
      </c>
      <c r="BK22" s="127">
        <v>0.28934641044130943</v>
      </c>
      <c r="BL22" s="127">
        <v>-6.9725317303981571E-2</v>
      </c>
      <c r="BM22" s="127">
        <v>8.6734415154016753E-2</v>
      </c>
      <c r="BN22" s="127">
        <f t="shared" si="23"/>
        <v>1.7009097850035182E-2</v>
      </c>
      <c r="BO22" s="145"/>
      <c r="BP22" s="155">
        <f t="shared" si="24"/>
        <v>2.8043080569318812</v>
      </c>
      <c r="BQ22" s="127">
        <v>9.9662835108938322E-2</v>
      </c>
      <c r="BR22" s="127">
        <v>-3.9023159327524995E-2</v>
      </c>
      <c r="BS22" s="127">
        <v>3.1752601019933914E-2</v>
      </c>
      <c r="BT22" s="127">
        <f t="shared" si="25"/>
        <v>-7.270558307591081E-3</v>
      </c>
      <c r="BU22" s="128" t="str">
        <f t="shared" si="26"/>
        <v>Real estate</v>
      </c>
      <c r="BV22" s="155">
        <f t="shared" si="27"/>
        <v>2.4416221739186561</v>
      </c>
      <c r="BW22" s="87">
        <v>2.2997640416194169</v>
      </c>
      <c r="BX22" s="127">
        <v>-0.8033658212946152</v>
      </c>
      <c r="BY22" s="127">
        <v>0.6274046319250105</v>
      </c>
      <c r="BZ22" s="127">
        <f t="shared" si="28"/>
        <v>-0.1759611893696047</v>
      </c>
      <c r="CA22" s="141"/>
      <c r="CB22" s="155">
        <f t="shared" si="29"/>
        <v>2.4552545911513901</v>
      </c>
      <c r="CC22" s="127">
        <v>1.0388676866360598</v>
      </c>
      <c r="CD22" s="127">
        <v>-0.38022277882383149</v>
      </c>
      <c r="CE22" s="127">
        <v>0.285176888828165</v>
      </c>
      <c r="CF22" s="127">
        <f t="shared" si="30"/>
        <v>-9.5045889995666488E-2</v>
      </c>
      <c r="CH22" s="155">
        <f t="shared" si="31"/>
        <v>2.4368885305120269</v>
      </c>
      <c r="CI22" s="127">
        <v>1.1528693059881228</v>
      </c>
      <c r="CJ22" s="127">
        <v>-0.40179371550567344</v>
      </c>
      <c r="CK22" s="127">
        <v>0.31383937301156528</v>
      </c>
      <c r="CL22" s="127">
        <f t="shared" si="32"/>
        <v>-8.7954342494108162E-2</v>
      </c>
      <c r="CM22" s="145"/>
      <c r="CN22" s="155">
        <f t="shared" si="33"/>
        <v>2.3606641104796822</v>
      </c>
      <c r="CO22" s="127">
        <v>0.10802704899523392</v>
      </c>
      <c r="CP22" s="127">
        <v>-2.134932696511032E-2</v>
      </c>
      <c r="CQ22" s="127">
        <v>2.8388370085280102E-2</v>
      </c>
      <c r="CR22" s="127">
        <f t="shared" si="34"/>
        <v>7.0390431201697821E-3</v>
      </c>
      <c r="CS22" s="128" t="str">
        <f t="shared" si="35"/>
        <v>Real estate</v>
      </c>
      <c r="CT22" s="155">
        <f t="shared" si="36"/>
        <v>2.6783181831917302</v>
      </c>
      <c r="CU22" s="87">
        <v>0.21130549326514642</v>
      </c>
      <c r="CV22" s="127">
        <v>0.44575219664180188</v>
      </c>
      <c r="CW22" s="127">
        <v>6.3926080163305615E-2</v>
      </c>
      <c r="CX22" s="127">
        <f t="shared" si="37"/>
        <v>0.50967827680510747</v>
      </c>
      <c r="CY22" s="141"/>
      <c r="CZ22" s="155">
        <f t="shared" si="38"/>
        <v>2.7805168236047173</v>
      </c>
      <c r="DA22" s="127">
        <v>0.11509946268768383</v>
      </c>
      <c r="DB22" s="127">
        <v>-0.11509946268768383</v>
      </c>
      <c r="DC22" s="127">
        <v>3.6319849095788476E-2</v>
      </c>
      <c r="DD22" s="127">
        <f t="shared" si="39"/>
        <v>-7.8779613591895351E-2</v>
      </c>
      <c r="DF22" s="155">
        <f t="shared" si="40"/>
        <v>2.7210008218849335</v>
      </c>
      <c r="DG22" s="127">
        <v>7.4561354312388889E-2</v>
      </c>
      <c r="DH22" s="127">
        <v>0.55512378025529863</v>
      </c>
      <c r="DI22" s="127">
        <v>2.2961456273859673E-2</v>
      </c>
      <c r="DJ22" s="127">
        <f t="shared" si="41"/>
        <v>0.57808523652915833</v>
      </c>
      <c r="DK22" s="145"/>
      <c r="DL22" s="155">
        <f t="shared" si="42"/>
        <v>1.9631026785993377</v>
      </c>
      <c r="DM22" s="127">
        <v>2.1644676265073697E-2</v>
      </c>
      <c r="DN22" s="127">
        <v>5.7278790741871642E-3</v>
      </c>
      <c r="DO22" s="127">
        <v>4.64477479365746E-3</v>
      </c>
      <c r="DP22" s="127">
        <f t="shared" si="43"/>
        <v>1.0372653867844625E-2</v>
      </c>
    </row>
    <row r="23" spans="1:120" x14ac:dyDescent="0.2">
      <c r="A23" s="128" t="str">
        <f>name!B19</f>
        <v>Professional services</v>
      </c>
      <c r="B23" s="155">
        <f t="shared" si="1"/>
        <v>2.6743157766083714</v>
      </c>
      <c r="C23" s="87">
        <v>38.965266386568921</v>
      </c>
      <c r="D23" s="127">
        <v>11.458986137276469</v>
      </c>
      <c r="E23" s="127">
        <v>11.768350327197798</v>
      </c>
      <c r="F23" s="127">
        <f t="shared" si="2"/>
        <v>23.227336464474266</v>
      </c>
      <c r="G23" s="141"/>
      <c r="H23" s="155">
        <f t="shared" si="3"/>
        <v>2.5161455631662166</v>
      </c>
      <c r="I23" s="127">
        <v>10.746753519096059</v>
      </c>
      <c r="J23" s="127">
        <v>0.60470899426028668</v>
      </c>
      <c r="K23" s="127">
        <v>3.0316842468873038</v>
      </c>
      <c r="L23" s="127">
        <f t="shared" si="4"/>
        <v>3.6363932411475903</v>
      </c>
      <c r="N23" s="155">
        <f t="shared" si="5"/>
        <v>2.6382849635641303</v>
      </c>
      <c r="O23" s="127">
        <v>19.377813500619759</v>
      </c>
      <c r="P23" s="127">
        <v>6.3961252707032488</v>
      </c>
      <c r="Q23" s="127">
        <v>5.7641179254827515</v>
      </c>
      <c r="R23" s="127">
        <f t="shared" si="6"/>
        <v>12.160243196186</v>
      </c>
      <c r="S23" s="145"/>
      <c r="T23" s="155">
        <f t="shared" si="7"/>
        <v>2.9409728215002984</v>
      </c>
      <c r="U23" s="127">
        <v>8.8406993668531033</v>
      </c>
      <c r="V23" s="127">
        <v>4.4581518723129312</v>
      </c>
      <c r="W23" s="127">
        <v>2.972548154827741</v>
      </c>
      <c r="X23" s="127">
        <f t="shared" si="8"/>
        <v>7.4307000271406718</v>
      </c>
      <c r="Y23" s="128" t="str">
        <f t="shared" si="0"/>
        <v>Professional services</v>
      </c>
      <c r="Z23" s="155">
        <f t="shared" si="9"/>
        <v>3.0111146972381153</v>
      </c>
      <c r="AA23" s="87">
        <v>12.983727410431358</v>
      </c>
      <c r="AB23" s="127">
        <v>7.3161535468635082</v>
      </c>
      <c r="AC23" s="127">
        <v>4.4841548751658866</v>
      </c>
      <c r="AD23" s="127">
        <f t="shared" si="10"/>
        <v>11.800308422029396</v>
      </c>
      <c r="AE23" s="141"/>
      <c r="AF23" s="155">
        <f t="shared" si="11"/>
        <v>2.8731628500449968</v>
      </c>
      <c r="AG23" s="127">
        <v>1.9378479390650463</v>
      </c>
      <c r="AH23" s="127">
        <v>1.549926671508655</v>
      </c>
      <c r="AI23" s="127">
        <v>0.63456461426776711</v>
      </c>
      <c r="AJ23" s="127">
        <f t="shared" si="12"/>
        <v>2.184491285776422</v>
      </c>
      <c r="AL23" s="155">
        <f t="shared" si="13"/>
        <v>3.0369546647093459</v>
      </c>
      <c r="AM23" s="127">
        <v>4.9791010176174728</v>
      </c>
      <c r="AN23" s="127">
        <v>2.6541784276946645</v>
      </c>
      <c r="AO23" s="127">
        <v>1.7364411510950009</v>
      </c>
      <c r="AP23" s="127">
        <f t="shared" si="14"/>
        <v>4.3906195787896651</v>
      </c>
      <c r="AQ23" s="145"/>
      <c r="AR23" s="155">
        <f t="shared" si="15"/>
        <v>3.0336611731275553</v>
      </c>
      <c r="AS23" s="127">
        <v>6.0667784537488378</v>
      </c>
      <c r="AT23" s="127">
        <v>3.1120484476601886</v>
      </c>
      <c r="AU23" s="127">
        <v>2.113149109803119</v>
      </c>
      <c r="AV23" s="127">
        <f t="shared" si="16"/>
        <v>5.2251975574633072</v>
      </c>
      <c r="AW23" s="128" t="str">
        <f t="shared" si="17"/>
        <v>Professional services</v>
      </c>
      <c r="AX23" s="155">
        <f t="shared" si="18"/>
        <v>2.6662390167296435</v>
      </c>
      <c r="AY23" s="87">
        <v>4.377709221482184</v>
      </c>
      <c r="AZ23" s="127">
        <v>0.80308463988107726</v>
      </c>
      <c r="BA23" s="127">
        <v>1.3176803910698349</v>
      </c>
      <c r="BB23" s="127">
        <f t="shared" si="19"/>
        <v>2.1207650309509121</v>
      </c>
      <c r="BC23" s="141"/>
      <c r="BD23" s="155">
        <f t="shared" si="20"/>
        <v>2.5700639379084178</v>
      </c>
      <c r="BE23" s="127">
        <v>0.73699369082515398</v>
      </c>
      <c r="BF23" s="127">
        <v>8.1502387714943961E-2</v>
      </c>
      <c r="BG23" s="127">
        <v>0.21288912804948243</v>
      </c>
      <c r="BH23" s="127">
        <f t="shared" si="21"/>
        <v>0.2943915157644264</v>
      </c>
      <c r="BJ23" s="155">
        <f t="shared" si="22"/>
        <v>2.6279165568233287</v>
      </c>
      <c r="BK23" s="127">
        <v>2.307013712695364</v>
      </c>
      <c r="BL23" s="127">
        <v>0.55219489458428639</v>
      </c>
      <c r="BM23" s="127">
        <v>0.6832211463125315</v>
      </c>
      <c r="BN23" s="127">
        <f t="shared" si="23"/>
        <v>1.2354160408968178</v>
      </c>
      <c r="BO23" s="145"/>
      <c r="BP23" s="155">
        <f t="shared" si="24"/>
        <v>2.784722232207959</v>
      </c>
      <c r="BQ23" s="127">
        <v>1.3337018179616666</v>
      </c>
      <c r="BR23" s="127">
        <v>0.16938735758184675</v>
      </c>
      <c r="BS23" s="127">
        <v>0.42157011670782107</v>
      </c>
      <c r="BT23" s="127">
        <f t="shared" si="25"/>
        <v>0.59095747428966783</v>
      </c>
      <c r="BU23" s="128" t="str">
        <f t="shared" si="26"/>
        <v>Professional services</v>
      </c>
      <c r="BV23" s="155">
        <f t="shared" si="27"/>
        <v>2.4703617034511627</v>
      </c>
      <c r="BW23" s="87">
        <v>20.365934087380882</v>
      </c>
      <c r="BX23" s="127">
        <v>2.1048678580900813</v>
      </c>
      <c r="BY23" s="127">
        <v>5.6288985612392128</v>
      </c>
      <c r="BZ23" s="127">
        <f t="shared" si="28"/>
        <v>7.7337664193292941</v>
      </c>
      <c r="CA23" s="141"/>
      <c r="CB23" s="155">
        <f t="shared" si="29"/>
        <v>2.4286762007679874</v>
      </c>
      <c r="CC23" s="127">
        <v>7.4477312798356223</v>
      </c>
      <c r="CD23" s="127">
        <v>-0.68225133953011141</v>
      </c>
      <c r="CE23" s="127">
        <v>2.0198621022347334</v>
      </c>
      <c r="CF23" s="127">
        <f t="shared" si="30"/>
        <v>1.3376107627046219</v>
      </c>
      <c r="CH23" s="155">
        <f t="shared" si="31"/>
        <v>2.4720591117074919</v>
      </c>
      <c r="CI23" s="127">
        <v>11.586627461599615</v>
      </c>
      <c r="CJ23" s="127">
        <v>1.943280535192967</v>
      </c>
      <c r="CK23" s="127">
        <v>3.2048540580010663</v>
      </c>
      <c r="CL23" s="127">
        <f t="shared" si="32"/>
        <v>5.1481345931940332</v>
      </c>
      <c r="CM23" s="145"/>
      <c r="CN23" s="155">
        <f t="shared" si="33"/>
        <v>2.6862600536722958</v>
      </c>
      <c r="CO23" s="127">
        <v>1.3315753459456456</v>
      </c>
      <c r="CP23" s="127">
        <v>0.84383866242722605</v>
      </c>
      <c r="CQ23" s="127">
        <v>0.40418240100341252</v>
      </c>
      <c r="CR23" s="127">
        <f t="shared" si="34"/>
        <v>1.2480210634306386</v>
      </c>
      <c r="CS23" s="128" t="str">
        <f t="shared" si="35"/>
        <v>Professional services</v>
      </c>
      <c r="CT23" s="155">
        <f t="shared" si="36"/>
        <v>2.4409911721383182</v>
      </c>
      <c r="CU23" s="87">
        <v>1.2378956672744925</v>
      </c>
      <c r="CV23" s="127">
        <v>1.2348800924418006</v>
      </c>
      <c r="CW23" s="127">
        <v>0.33761649972286273</v>
      </c>
      <c r="CX23" s="127">
        <f t="shared" si="37"/>
        <v>1.5724965921646634</v>
      </c>
      <c r="CY23" s="141"/>
      <c r="CZ23" s="155">
        <f t="shared" si="38"/>
        <v>2.365082760893733</v>
      </c>
      <c r="DA23" s="127">
        <v>0.62418060937023667</v>
      </c>
      <c r="DB23" s="127">
        <v>-0.34446872543320101</v>
      </c>
      <c r="DC23" s="127">
        <v>0.16436840233532063</v>
      </c>
      <c r="DD23" s="127">
        <f t="shared" si="39"/>
        <v>-0.18010032309788038</v>
      </c>
      <c r="DF23" s="155">
        <f t="shared" si="40"/>
        <v>2.4704563056764162</v>
      </c>
      <c r="DG23" s="127">
        <v>0.50507130870730466</v>
      </c>
      <c r="DH23" s="127">
        <v>1.2464714132313313</v>
      </c>
      <c r="DI23" s="127">
        <v>0.13960157007415316</v>
      </c>
      <c r="DJ23" s="127">
        <f t="shared" si="41"/>
        <v>1.3860729833054843</v>
      </c>
      <c r="DK23" s="145"/>
      <c r="DL23" s="155">
        <f t="shared" si="42"/>
        <v>2.7346741769566751</v>
      </c>
      <c r="DM23" s="127">
        <v>0.10864374919695106</v>
      </c>
      <c r="DN23" s="127">
        <v>0.33287740464367022</v>
      </c>
      <c r="DO23" s="127">
        <v>3.3646527313388873E-2</v>
      </c>
      <c r="DP23" s="127">
        <f t="shared" si="43"/>
        <v>0.36652393195705907</v>
      </c>
    </row>
    <row r="24" spans="1:120" x14ac:dyDescent="0.2">
      <c r="A24" s="128" t="str">
        <f>name!B20</f>
        <v>Support services</v>
      </c>
      <c r="B24" s="155">
        <f t="shared" si="1"/>
        <v>2.784566936730104</v>
      </c>
      <c r="C24" s="87">
        <v>18.720999999999954</v>
      </c>
      <c r="D24" s="127">
        <v>-3.057999999999971</v>
      </c>
      <c r="E24" s="127">
        <v>5.9171529721011353</v>
      </c>
      <c r="F24" s="127">
        <f t="shared" si="2"/>
        <v>2.8591529721011644</v>
      </c>
      <c r="G24" s="141"/>
      <c r="H24" s="155">
        <f t="shared" si="3"/>
        <v>2.6966927781337358</v>
      </c>
      <c r="I24" s="127">
        <v>1.8191700717908714</v>
      </c>
      <c r="J24" s="127">
        <v>6.4644504245958259E-2</v>
      </c>
      <c r="K24" s="127">
        <v>0.55459579978511464</v>
      </c>
      <c r="L24" s="127">
        <f t="shared" si="4"/>
        <v>0.61924030403107289</v>
      </c>
      <c r="N24" s="155">
        <f t="shared" si="5"/>
        <v>2.6438542588397285</v>
      </c>
      <c r="O24" s="127">
        <v>7.3253420053436527</v>
      </c>
      <c r="P24" s="127">
        <v>-2.4007825753231029</v>
      </c>
      <c r="Q24" s="127">
        <v>2.1841522273672624</v>
      </c>
      <c r="R24" s="127">
        <f t="shared" si="6"/>
        <v>-0.21663034795584046</v>
      </c>
      <c r="S24" s="145"/>
      <c r="T24" s="155">
        <f t="shared" si="7"/>
        <v>2.9075064601009837</v>
      </c>
      <c r="U24" s="127">
        <v>9.5764879228654252</v>
      </c>
      <c r="V24" s="127">
        <v>-0.72186192892282663</v>
      </c>
      <c r="W24" s="127">
        <v>3.1784049449487575</v>
      </c>
      <c r="X24" s="127">
        <f t="shared" si="8"/>
        <v>2.4565430160259307</v>
      </c>
      <c r="Y24" s="128" t="str">
        <f t="shared" si="0"/>
        <v>Support services</v>
      </c>
      <c r="Z24" s="155">
        <f t="shared" si="9"/>
        <v>2.8851376822058405</v>
      </c>
      <c r="AA24" s="87">
        <v>10.861879630593116</v>
      </c>
      <c r="AB24" s="127">
        <v>-1.2989925832272919</v>
      </c>
      <c r="AC24" s="127">
        <v>3.5736065944117534</v>
      </c>
      <c r="AD24" s="127">
        <f t="shared" si="10"/>
        <v>2.2746140111844615</v>
      </c>
      <c r="AE24" s="141"/>
      <c r="AF24" s="155">
        <f t="shared" si="11"/>
        <v>2.8363041726111371</v>
      </c>
      <c r="AG24" s="127">
        <v>0.7258796023165236</v>
      </c>
      <c r="AH24" s="127">
        <v>0.20317213116103808</v>
      </c>
      <c r="AI24" s="127">
        <v>0.23424852857398526</v>
      </c>
      <c r="AJ24" s="127">
        <f t="shared" si="12"/>
        <v>0.43742065973502331</v>
      </c>
      <c r="AL24" s="155">
        <f t="shared" si="13"/>
        <v>2.7318188913306285</v>
      </c>
      <c r="AM24" s="127">
        <v>2.8702469151779071</v>
      </c>
      <c r="AN24" s="127">
        <v>-1.1155443530893807</v>
      </c>
      <c r="AO24" s="127">
        <v>0.88785915434127438</v>
      </c>
      <c r="AP24" s="127">
        <f t="shared" si="14"/>
        <v>-0.22768519874810633</v>
      </c>
      <c r="AQ24" s="145"/>
      <c r="AR24" s="155">
        <f t="shared" si="15"/>
        <v>2.949983891234198</v>
      </c>
      <c r="AS24" s="127">
        <v>7.2657531130986843</v>
      </c>
      <c r="AT24" s="127">
        <v>-0.38662036129894933</v>
      </c>
      <c r="AU24" s="127">
        <v>2.4514989114964938</v>
      </c>
      <c r="AV24" s="127">
        <f t="shared" si="16"/>
        <v>2.0648785501975446</v>
      </c>
      <c r="AW24" s="128" t="str">
        <f t="shared" si="17"/>
        <v>Support services</v>
      </c>
      <c r="AX24" s="155">
        <f t="shared" si="18"/>
        <v>2.6712682976482327</v>
      </c>
      <c r="AY24" s="87">
        <v>4.6040936604188767</v>
      </c>
      <c r="AZ24" s="127">
        <v>-0.6550004254648718</v>
      </c>
      <c r="BA24" s="127">
        <v>1.3887564948003865</v>
      </c>
      <c r="BB24" s="127">
        <f t="shared" si="19"/>
        <v>0.73375606933551474</v>
      </c>
      <c r="BC24" s="141"/>
      <c r="BD24" s="155">
        <f t="shared" si="20"/>
        <v>2.5535596624300272</v>
      </c>
      <c r="BE24" s="127">
        <v>0.37306162643140794</v>
      </c>
      <c r="BF24" s="127">
        <v>1.7209773799081063E-3</v>
      </c>
      <c r="BG24" s="127">
        <v>0.10699003130978606</v>
      </c>
      <c r="BH24" s="127">
        <f t="shared" si="21"/>
        <v>0.10871100868969416</v>
      </c>
      <c r="BJ24" s="155">
        <f t="shared" si="22"/>
        <v>2.6033003151062717</v>
      </c>
      <c r="BK24" s="127">
        <v>2.3193614224732308</v>
      </c>
      <c r="BL24" s="127">
        <v>-0.3840544144532913</v>
      </c>
      <c r="BM24" s="127">
        <v>0.67967495424035318</v>
      </c>
      <c r="BN24" s="127">
        <f t="shared" si="23"/>
        <v>0.29562053978706188</v>
      </c>
      <c r="BO24" s="145"/>
      <c r="BP24" s="155">
        <f t="shared" si="24"/>
        <v>2.7758580766296781</v>
      </c>
      <c r="BQ24" s="127">
        <v>1.9116706115142377</v>
      </c>
      <c r="BR24" s="127">
        <v>-0.27266698839148851</v>
      </c>
      <c r="BS24" s="127">
        <v>0.60209150925024713</v>
      </c>
      <c r="BT24" s="127">
        <f t="shared" si="25"/>
        <v>0.32942452085875862</v>
      </c>
      <c r="BU24" s="128" t="str">
        <f t="shared" si="26"/>
        <v>Support services</v>
      </c>
      <c r="BV24" s="155">
        <f t="shared" si="27"/>
        <v>2.5698479897015236</v>
      </c>
      <c r="BW24" s="87">
        <v>2.8786585131525628</v>
      </c>
      <c r="BX24" s="127">
        <v>-1.0291019906527104</v>
      </c>
      <c r="BY24" s="127">
        <v>0.83145560121971473</v>
      </c>
      <c r="BZ24" s="127">
        <f t="shared" si="28"/>
        <v>-0.19764638943299562</v>
      </c>
      <c r="CA24" s="141"/>
      <c r="CB24" s="155">
        <f t="shared" si="29"/>
        <v>2.5646022644531197</v>
      </c>
      <c r="CC24" s="127">
        <v>0.59910933522220677</v>
      </c>
      <c r="CD24" s="127">
        <v>-0.12449271037143683</v>
      </c>
      <c r="CE24" s="127">
        <v>0.17264857384459545</v>
      </c>
      <c r="CF24" s="127">
        <f t="shared" si="30"/>
        <v>4.8155863473158617E-2</v>
      </c>
      <c r="CH24" s="155">
        <f t="shared" si="31"/>
        <v>2.551043008047893</v>
      </c>
      <c r="CI24" s="127">
        <v>1.9475203609870202</v>
      </c>
      <c r="CJ24" s="127">
        <v>-0.84938831927492153</v>
      </c>
      <c r="CK24" s="127">
        <v>0.55791281892363431</v>
      </c>
      <c r="CL24" s="127">
        <f t="shared" si="32"/>
        <v>-0.29147550035128722</v>
      </c>
      <c r="CM24" s="145"/>
      <c r="CN24" s="155">
        <f t="shared" si="33"/>
        <v>2.6888973859664045</v>
      </c>
      <c r="CO24" s="127">
        <v>0.33202881694333602</v>
      </c>
      <c r="CP24" s="127">
        <v>-5.5220961006352098E-2</v>
      </c>
      <c r="CQ24" s="127">
        <v>0.10089420845148493</v>
      </c>
      <c r="CR24" s="127">
        <f t="shared" si="34"/>
        <v>4.5673247445132834E-2</v>
      </c>
      <c r="CS24" s="128" t="str">
        <f t="shared" si="35"/>
        <v>Support services</v>
      </c>
      <c r="CT24" s="155">
        <f t="shared" si="36"/>
        <v>2.8750024457964374</v>
      </c>
      <c r="CU24" s="87">
        <v>0.37636819583539599</v>
      </c>
      <c r="CV24" s="127">
        <v>-7.4905000655096768E-2</v>
      </c>
      <c r="CW24" s="127">
        <v>0.12333428166928057</v>
      </c>
      <c r="CX24" s="127">
        <f t="shared" si="37"/>
        <v>4.8429281014183798E-2</v>
      </c>
      <c r="CY24" s="141"/>
      <c r="CZ24" s="155">
        <f t="shared" si="38"/>
        <v>2.9399620026260287</v>
      </c>
      <c r="DA24" s="127">
        <v>0.12111950782073322</v>
      </c>
      <c r="DB24" s="127">
        <v>-1.5755893923551086E-2</v>
      </c>
      <c r="DC24" s="127">
        <v>4.0708666056747972E-2</v>
      </c>
      <c r="DD24" s="127">
        <f t="shared" si="39"/>
        <v>2.4952772133196886E-2</v>
      </c>
      <c r="DF24" s="155">
        <f t="shared" si="40"/>
        <v>2.7520154670829022</v>
      </c>
      <c r="DG24" s="127">
        <v>0.18821330670549469</v>
      </c>
      <c r="DH24" s="127">
        <v>-5.1795488505508955E-2</v>
      </c>
      <c r="DI24" s="127">
        <v>5.8705299862000827E-2</v>
      </c>
      <c r="DJ24" s="127">
        <f t="shared" si="41"/>
        <v>6.9098113564918726E-3</v>
      </c>
      <c r="DK24" s="145"/>
      <c r="DL24" s="155">
        <f t="shared" si="42"/>
        <v>3.0985559180604971</v>
      </c>
      <c r="DM24" s="127">
        <v>6.7035381309168043E-2</v>
      </c>
      <c r="DN24" s="127">
        <v>-7.3536182260367233E-3</v>
      </c>
      <c r="DO24" s="127">
        <v>2.3920315750531766E-2</v>
      </c>
      <c r="DP24" s="127">
        <f t="shared" si="43"/>
        <v>1.6566697524495043E-2</v>
      </c>
    </row>
    <row r="25" spans="1:120" x14ac:dyDescent="0.2">
      <c r="A25" s="128" t="str">
        <f>name!B21</f>
        <v>Public admin. and defence</v>
      </c>
      <c r="B25" s="155">
        <f t="shared" si="1"/>
        <v>2.7845669367305037</v>
      </c>
      <c r="C25" s="87">
        <v>1.4539999999999971</v>
      </c>
      <c r="D25" s="127">
        <v>0.21500000000000094</v>
      </c>
      <c r="E25" s="127">
        <v>0.45956628499740532</v>
      </c>
      <c r="F25" s="127">
        <f t="shared" si="2"/>
        <v>0.67456628499740623</v>
      </c>
      <c r="G25" s="141"/>
      <c r="H25" s="155">
        <f t="shared" si="3"/>
        <v>2.6966927781336025</v>
      </c>
      <c r="I25" s="127">
        <v>0.14128910231210851</v>
      </c>
      <c r="J25" s="127">
        <v>5.9444251924195786E-2</v>
      </c>
      <c r="K25" s="127">
        <v>4.3073676239935618E-2</v>
      </c>
      <c r="L25" s="127">
        <f t="shared" si="4"/>
        <v>0.10251792816413141</v>
      </c>
      <c r="N25" s="155">
        <f t="shared" si="5"/>
        <v>2.6438542588399061</v>
      </c>
      <c r="O25" s="127">
        <v>0.56893580875873839</v>
      </c>
      <c r="P25" s="127">
        <v>-4.4190249880834614E-2</v>
      </c>
      <c r="Q25" s="127">
        <v>0.1696360952189005</v>
      </c>
      <c r="R25" s="127">
        <f t="shared" si="6"/>
        <v>0.12544584533806588</v>
      </c>
      <c r="S25" s="145"/>
      <c r="T25" s="155">
        <f t="shared" si="7"/>
        <v>2.9075064601016942</v>
      </c>
      <c r="U25" s="127">
        <v>0.74377508892915023</v>
      </c>
      <c r="V25" s="127">
        <v>0.1997459979566398</v>
      </c>
      <c r="W25" s="127">
        <v>0.24685651353856922</v>
      </c>
      <c r="X25" s="127">
        <f t="shared" si="8"/>
        <v>0.44660251149520902</v>
      </c>
      <c r="Y25" s="128" t="str">
        <f t="shared" si="0"/>
        <v>Public admin. and defence</v>
      </c>
      <c r="Z25" s="155">
        <f t="shared" si="9"/>
        <v>2.8851376822067953</v>
      </c>
      <c r="AA25" s="87">
        <v>0.84360733843630331</v>
      </c>
      <c r="AB25" s="127">
        <v>0.17538381792273638</v>
      </c>
      <c r="AC25" s="127">
        <v>0.27755055757017433</v>
      </c>
      <c r="AD25" s="127">
        <f t="shared" si="10"/>
        <v>0.45293437549291071</v>
      </c>
      <c r="AE25" s="141"/>
      <c r="AF25" s="155">
        <f t="shared" si="11"/>
        <v>2.8363041726107818</v>
      </c>
      <c r="AG25" s="127">
        <v>5.6376739584906382E-2</v>
      </c>
      <c r="AH25" s="127">
        <v>4.262009008845738E-2</v>
      </c>
      <c r="AI25" s="127">
        <v>1.819333158200891E-2</v>
      </c>
      <c r="AJ25" s="127">
        <f t="shared" si="12"/>
        <v>6.0813421670466286E-2</v>
      </c>
      <c r="AL25" s="155">
        <f t="shared" si="13"/>
        <v>2.7318188913314945</v>
      </c>
      <c r="AM25" s="127">
        <v>0.2229228681509284</v>
      </c>
      <c r="AN25" s="127">
        <v>-3.594728389981916E-2</v>
      </c>
      <c r="AO25" s="127">
        <v>6.895717164724055E-2</v>
      </c>
      <c r="AP25" s="127">
        <f t="shared" si="14"/>
        <v>3.300988774742139E-2</v>
      </c>
      <c r="AQ25" s="145"/>
      <c r="AR25" s="155">
        <f t="shared" si="15"/>
        <v>2.9499838912350862</v>
      </c>
      <c r="AS25" s="127">
        <v>0.56430773070046847</v>
      </c>
      <c r="AT25" s="127">
        <v>0.16871101173409817</v>
      </c>
      <c r="AU25" s="127">
        <v>0.1904000543409248</v>
      </c>
      <c r="AV25" s="127">
        <f t="shared" si="16"/>
        <v>0.35911106607502297</v>
      </c>
      <c r="AW25" s="128" t="str">
        <f t="shared" si="17"/>
        <v>Public admin. and defence</v>
      </c>
      <c r="AX25" s="155">
        <f t="shared" si="18"/>
        <v>2.6712682976481661</v>
      </c>
      <c r="AY25" s="87">
        <v>0.35758518146798612</v>
      </c>
      <c r="AZ25" s="127">
        <v>6.3217768742032318E-2</v>
      </c>
      <c r="BA25" s="127">
        <v>0.10786026085378261</v>
      </c>
      <c r="BB25" s="127">
        <f t="shared" si="19"/>
        <v>0.17107802959581492</v>
      </c>
      <c r="BC25" s="141"/>
      <c r="BD25" s="155">
        <f t="shared" si="20"/>
        <v>2.5535596624299828</v>
      </c>
      <c r="BE25" s="127">
        <v>2.8974499483491539E-2</v>
      </c>
      <c r="BF25" s="127">
        <v>1.0961155611916022E-2</v>
      </c>
      <c r="BG25" s="127">
        <v>8.3095724333202906E-3</v>
      </c>
      <c r="BH25" s="127">
        <f t="shared" si="21"/>
        <v>1.9270728045236312E-2</v>
      </c>
      <c r="BJ25" s="155">
        <f t="shared" si="22"/>
        <v>2.6033003151064049</v>
      </c>
      <c r="BK25" s="127">
        <v>0.18013735955834875</v>
      </c>
      <c r="BL25" s="127">
        <v>2.6082866221255052E-2</v>
      </c>
      <c r="BM25" s="127">
        <v>5.2788172825711882E-2</v>
      </c>
      <c r="BN25" s="127">
        <f t="shared" si="23"/>
        <v>7.8871039046966934E-2</v>
      </c>
      <c r="BO25" s="145"/>
      <c r="BP25" s="155">
        <f t="shared" si="24"/>
        <v>2.7758580766297891</v>
      </c>
      <c r="BQ25" s="127">
        <v>0.1484733224261458</v>
      </c>
      <c r="BR25" s="127">
        <v>2.6173746908861251E-2</v>
      </c>
      <c r="BS25" s="127">
        <v>4.6762515594750455E-2</v>
      </c>
      <c r="BT25" s="127">
        <f t="shared" si="25"/>
        <v>7.293626250361171E-2</v>
      </c>
      <c r="BU25" s="128" t="str">
        <f t="shared" si="26"/>
        <v>Public admin. and defence</v>
      </c>
      <c r="BV25" s="155">
        <f t="shared" si="27"/>
        <v>2.5698479897014792</v>
      </c>
      <c r="BW25" s="87">
        <v>0.22357616997639901</v>
      </c>
      <c r="BX25" s="127">
        <v>-2.6493246139725597E-2</v>
      </c>
      <c r="BY25" s="127">
        <v>6.4576488658442441E-2</v>
      </c>
      <c r="BZ25" s="127">
        <f t="shared" si="28"/>
        <v>3.8083242518716844E-2</v>
      </c>
      <c r="CA25" s="141"/>
      <c r="CB25" s="155">
        <f t="shared" si="29"/>
        <v>2.5646022644530531</v>
      </c>
      <c r="CC25" s="127">
        <v>4.6530899706966611E-2</v>
      </c>
      <c r="CD25" s="127">
        <v>4.0427545658888358E-3</v>
      </c>
      <c r="CE25" s="127">
        <v>1.3409060753716812E-2</v>
      </c>
      <c r="CF25" s="127">
        <f t="shared" si="30"/>
        <v>1.7451815319605646E-2</v>
      </c>
      <c r="CH25" s="155">
        <f t="shared" si="31"/>
        <v>2.5510430080478264</v>
      </c>
      <c r="CI25" s="127">
        <v>0.1512576574370198</v>
      </c>
      <c r="CJ25" s="127">
        <v>-3.4244162090111052E-2</v>
      </c>
      <c r="CK25" s="127">
        <v>4.3331298473152743E-2</v>
      </c>
      <c r="CL25" s="127">
        <f t="shared" si="32"/>
        <v>9.0871363830416912E-3</v>
      </c>
      <c r="CM25" s="145"/>
      <c r="CN25" s="155">
        <f t="shared" si="33"/>
        <v>2.6888973859667598</v>
      </c>
      <c r="CO25" s="127">
        <v>2.5787612832412595E-2</v>
      </c>
      <c r="CP25" s="127">
        <v>3.7081613844966248E-3</v>
      </c>
      <c r="CQ25" s="127">
        <v>7.836129431572891E-3</v>
      </c>
      <c r="CR25" s="127">
        <f t="shared" si="34"/>
        <v>1.1544290816069516E-2</v>
      </c>
      <c r="CS25" s="128" t="str">
        <f t="shared" si="35"/>
        <v>Public admin. and defence</v>
      </c>
      <c r="CT25" s="155">
        <f t="shared" si="36"/>
        <v>2.8750024457971257</v>
      </c>
      <c r="CU25" s="87">
        <v>2.9231310119308785E-2</v>
      </c>
      <c r="CV25" s="127">
        <v>2.8916594749578122E-3</v>
      </c>
      <c r="CW25" s="127">
        <v>9.578977915005971E-3</v>
      </c>
      <c r="CX25" s="127">
        <f t="shared" si="37"/>
        <v>1.2470637389963783E-2</v>
      </c>
      <c r="CY25" s="141"/>
      <c r="CZ25" s="155">
        <f t="shared" si="38"/>
        <v>2.9399620026260287</v>
      </c>
      <c r="DA25" s="127">
        <v>9.4069635367439817E-3</v>
      </c>
      <c r="DB25" s="127">
        <v>1.8202516579335466E-3</v>
      </c>
      <c r="DC25" s="127">
        <v>3.1617114708896062E-3</v>
      </c>
      <c r="DD25" s="127">
        <f t="shared" si="39"/>
        <v>4.9819631288231525E-3</v>
      </c>
      <c r="DF25" s="155">
        <f t="shared" si="40"/>
        <v>2.7520154670842789</v>
      </c>
      <c r="DG25" s="127">
        <v>1.4617923612441512E-2</v>
      </c>
      <c r="DH25" s="127">
        <v>-8.1670112159448079E-5</v>
      </c>
      <c r="DI25" s="127">
        <v>4.5594522727953144E-3</v>
      </c>
      <c r="DJ25" s="127">
        <f t="shared" si="41"/>
        <v>4.4777821606358662E-3</v>
      </c>
      <c r="DK25" s="145"/>
      <c r="DL25" s="155">
        <f t="shared" si="42"/>
        <v>3.0985559180585875</v>
      </c>
      <c r="DM25" s="127">
        <v>5.2064229701232886E-3</v>
      </c>
      <c r="DN25" s="127">
        <v>1.1530779291837137E-3</v>
      </c>
      <c r="DO25" s="127">
        <v>1.8578141713210513E-3</v>
      </c>
      <c r="DP25" s="127">
        <f t="shared" si="43"/>
        <v>3.0108921005047649E-3</v>
      </c>
    </row>
    <row r="26" spans="1:120" x14ac:dyDescent="0.2">
      <c r="A26" s="128" t="str">
        <f>name!B22</f>
        <v>Education</v>
      </c>
      <c r="B26" s="155">
        <f t="shared" si="1"/>
        <v>2.7941946420653396</v>
      </c>
      <c r="C26" s="87">
        <v>27.519999999999932</v>
      </c>
      <c r="D26" s="127">
        <v>5.4400000000000306</v>
      </c>
      <c r="E26" s="127">
        <v>8.7321954612186001</v>
      </c>
      <c r="F26" s="127">
        <f t="shared" si="2"/>
        <v>14.172195461218632</v>
      </c>
      <c r="G26" s="141"/>
      <c r="H26" s="155">
        <f t="shared" si="3"/>
        <v>2.7029013910380817</v>
      </c>
      <c r="I26" s="127">
        <v>4.1940595367848887</v>
      </c>
      <c r="J26" s="127">
        <v>0.48827775119455635</v>
      </c>
      <c r="K26" s="127">
        <v>1.2819187642232284</v>
      </c>
      <c r="L26" s="127">
        <f t="shared" si="4"/>
        <v>1.7701965154177848</v>
      </c>
      <c r="N26" s="155">
        <f t="shared" si="5"/>
        <v>2.6641720196424856</v>
      </c>
      <c r="O26" s="127">
        <v>13.503625138933433</v>
      </c>
      <c r="P26" s="127">
        <v>0.84821921937760381</v>
      </c>
      <c r="Q26" s="127">
        <v>4.0610233469695309</v>
      </c>
      <c r="R26" s="127">
        <f t="shared" si="6"/>
        <v>4.9092425663471344</v>
      </c>
      <c r="S26" s="145"/>
      <c r="T26" s="155">
        <f t="shared" si="7"/>
        <v>3.008734431358584</v>
      </c>
      <c r="U26" s="127">
        <v>9.822315324281611</v>
      </c>
      <c r="V26" s="127">
        <v>4.1035030294278707</v>
      </c>
      <c r="W26" s="127">
        <v>3.3892533500258399</v>
      </c>
      <c r="X26" s="127">
        <f t="shared" si="8"/>
        <v>7.4927563794537111</v>
      </c>
      <c r="Y26" s="128" t="str">
        <f t="shared" si="0"/>
        <v>Education</v>
      </c>
      <c r="Z26" s="155">
        <f t="shared" si="9"/>
        <v>2.9117760664267189</v>
      </c>
      <c r="AA26" s="87">
        <v>12.395569669075353</v>
      </c>
      <c r="AB26" s="127">
        <v>5.0801062397678249</v>
      </c>
      <c r="AC26" s="127">
        <v>4.1209000120001473</v>
      </c>
      <c r="AD26" s="127">
        <f t="shared" si="10"/>
        <v>9.2010062517679714</v>
      </c>
      <c r="AE26" s="141"/>
      <c r="AF26" s="155">
        <f t="shared" si="11"/>
        <v>2.5937636321570645</v>
      </c>
      <c r="AG26" s="127">
        <v>0.81258397047140074</v>
      </c>
      <c r="AH26" s="127">
        <v>0.63966731573933144</v>
      </c>
      <c r="AI26" s="127">
        <v>0.23714666545277929</v>
      </c>
      <c r="AJ26" s="127">
        <f t="shared" si="12"/>
        <v>0.87681398119211074</v>
      </c>
      <c r="AL26" s="155">
        <f t="shared" si="13"/>
        <v>2.6939990649745837</v>
      </c>
      <c r="AM26" s="127">
        <v>4.0463139611233547</v>
      </c>
      <c r="AN26" s="127">
        <v>0.77655527040304539</v>
      </c>
      <c r="AO26" s="127">
        <v>1.2321825690004835</v>
      </c>
      <c r="AP26" s="127">
        <f t="shared" si="14"/>
        <v>2.0087378394035289</v>
      </c>
      <c r="AQ26" s="145"/>
      <c r="AR26" s="155">
        <f t="shared" si="15"/>
        <v>3.0604341026309489</v>
      </c>
      <c r="AS26" s="127">
        <v>7.5366717374805985</v>
      </c>
      <c r="AT26" s="127">
        <v>3.6638836536254487</v>
      </c>
      <c r="AU26" s="127">
        <v>2.6515707775468846</v>
      </c>
      <c r="AV26" s="127">
        <f t="shared" si="16"/>
        <v>6.3154544311723333</v>
      </c>
      <c r="AW26" s="128" t="str">
        <f t="shared" si="17"/>
        <v>Education</v>
      </c>
      <c r="AX26" s="155">
        <f t="shared" si="18"/>
        <v>2.6688337014858732</v>
      </c>
      <c r="AY26" s="87">
        <v>4.0745695684818486</v>
      </c>
      <c r="AZ26" s="127">
        <v>-0.65076923691411093</v>
      </c>
      <c r="BA26" s="127">
        <v>1.227775929825986</v>
      </c>
      <c r="BB26" s="127">
        <f t="shared" si="19"/>
        <v>0.57700669291187512</v>
      </c>
      <c r="BC26" s="141"/>
      <c r="BD26" s="155">
        <f t="shared" si="20"/>
        <v>2.5882032430875057</v>
      </c>
      <c r="BE26" s="127">
        <v>0.26691123725535981</v>
      </c>
      <c r="BF26" s="127">
        <v>-0.19380533282346687</v>
      </c>
      <c r="BG26" s="127">
        <v>7.7709251306618335E-2</v>
      </c>
      <c r="BH26" s="127">
        <f t="shared" si="21"/>
        <v>-0.11609608151684854</v>
      </c>
      <c r="BJ26" s="155">
        <f t="shared" si="22"/>
        <v>2.6104632834062169</v>
      </c>
      <c r="BK26" s="127">
        <v>2.4396136341847261</v>
      </c>
      <c r="BL26" s="127">
        <v>-0.51114595901616455</v>
      </c>
      <c r="BM26" s="127">
        <v>0.7171170827738349</v>
      </c>
      <c r="BN26" s="127">
        <f t="shared" si="23"/>
        <v>0.20597112375767035</v>
      </c>
      <c r="BO26" s="145"/>
      <c r="BP26" s="155">
        <f t="shared" si="24"/>
        <v>2.7877134101330858</v>
      </c>
      <c r="BQ26" s="127">
        <v>1.3680446970417623</v>
      </c>
      <c r="BR26" s="127">
        <v>5.4182054925520501E-2</v>
      </c>
      <c r="BS26" s="127">
        <v>0.43294959574553271</v>
      </c>
      <c r="BT26" s="127">
        <f t="shared" si="25"/>
        <v>0.48713165067105324</v>
      </c>
      <c r="BU26" s="128" t="str">
        <f t="shared" si="26"/>
        <v>Education</v>
      </c>
      <c r="BV26" s="155">
        <f t="shared" si="27"/>
        <v>2.5719174756100083</v>
      </c>
      <c r="BW26" s="87">
        <v>6.5723358416890418</v>
      </c>
      <c r="BX26" s="127">
        <v>-0.15751225654061013</v>
      </c>
      <c r="BY26" s="127">
        <v>1.9000258963583028</v>
      </c>
      <c r="BZ26" s="127">
        <f t="shared" si="28"/>
        <v>1.7425136398176926</v>
      </c>
      <c r="CA26" s="141"/>
      <c r="CB26" s="155">
        <f t="shared" si="29"/>
        <v>2.5863835000538682</v>
      </c>
      <c r="CC26" s="127">
        <v>1.6317851440554909</v>
      </c>
      <c r="CD26" s="127">
        <v>-0.43279551678413736</v>
      </c>
      <c r="CE26" s="127">
        <v>0.47470859686707906</v>
      </c>
      <c r="CF26" s="127">
        <f t="shared" si="30"/>
        <v>4.1913080082941701E-2</v>
      </c>
      <c r="CH26" s="155">
        <f t="shared" si="31"/>
        <v>2.542118825536166</v>
      </c>
      <c r="CI26" s="127">
        <v>4.3810752206434573</v>
      </c>
      <c r="CJ26" s="127">
        <v>2.5793305536142896E-2</v>
      </c>
      <c r="CK26" s="127">
        <v>1.250158852183944</v>
      </c>
      <c r="CL26" s="127">
        <f t="shared" si="32"/>
        <v>1.275952157720087</v>
      </c>
      <c r="CM26" s="145"/>
      <c r="CN26" s="155">
        <f t="shared" si="33"/>
        <v>2.7611586651374198</v>
      </c>
      <c r="CO26" s="127">
        <v>0.55947547699009315</v>
      </c>
      <c r="CP26" s="127">
        <v>0.24948995470738433</v>
      </c>
      <c r="CQ26" s="127">
        <v>0.17515844730727984</v>
      </c>
      <c r="CR26" s="127">
        <f t="shared" si="34"/>
        <v>0.42464840201466414</v>
      </c>
      <c r="CS26" s="128" t="str">
        <f t="shared" si="35"/>
        <v>Education</v>
      </c>
      <c r="CT26" s="155">
        <f t="shared" si="36"/>
        <v>2.9030497321535176</v>
      </c>
      <c r="CU26" s="87">
        <v>4.4775249207536891</v>
      </c>
      <c r="CV26" s="127">
        <v>1.168175253686927</v>
      </c>
      <c r="CW26" s="127">
        <v>1.4834936230341631</v>
      </c>
      <c r="CX26" s="127">
        <f t="shared" si="37"/>
        <v>2.6516688767210903</v>
      </c>
      <c r="CY26" s="141"/>
      <c r="CZ26" s="155">
        <f t="shared" si="38"/>
        <v>2.9086772572280095</v>
      </c>
      <c r="DA26" s="127">
        <v>1.4827791850026377</v>
      </c>
      <c r="DB26" s="127">
        <v>0.47521128506282911</v>
      </c>
      <c r="DC26" s="127">
        <v>0.4923542505967517</v>
      </c>
      <c r="DD26" s="127">
        <f t="shared" si="39"/>
        <v>0.96756553565958081</v>
      </c>
      <c r="DF26" s="155">
        <f t="shared" si="40"/>
        <v>2.8678141931647749</v>
      </c>
      <c r="DG26" s="127">
        <v>2.6366223229818955</v>
      </c>
      <c r="DH26" s="127">
        <v>0.55701660245458018</v>
      </c>
      <c r="DI26" s="127">
        <v>0.86156484301126879</v>
      </c>
      <c r="DJ26" s="127">
        <f t="shared" si="41"/>
        <v>1.418581445465849</v>
      </c>
      <c r="DK26" s="145"/>
      <c r="DL26" s="155">
        <f t="shared" si="42"/>
        <v>3.1363650139041965</v>
      </c>
      <c r="DM26" s="127">
        <v>0.35812341276915594</v>
      </c>
      <c r="DN26" s="127">
        <v>0.13594736616951764</v>
      </c>
      <c r="DO26" s="127">
        <v>0.12957452942614286</v>
      </c>
      <c r="DP26" s="127">
        <f t="shared" si="43"/>
        <v>0.26552189559566053</v>
      </c>
    </row>
    <row r="27" spans="1:120" x14ac:dyDescent="0.2">
      <c r="A27" s="128" t="str">
        <f>name!B23</f>
        <v>Health and social work</v>
      </c>
      <c r="B27" s="155">
        <f t="shared" si="1"/>
        <v>2.5950961839178666</v>
      </c>
      <c r="C27" s="87">
        <v>275.60199999999969</v>
      </c>
      <c r="D27" s="127">
        <v>-1.6730000000003524</v>
      </c>
      <c r="E27" s="127">
        <v>80.47866678861341</v>
      </c>
      <c r="F27" s="127">
        <f t="shared" si="2"/>
        <v>78.805666788613053</v>
      </c>
      <c r="G27" s="141"/>
      <c r="H27" s="155">
        <f t="shared" si="3"/>
        <v>2.4695756737683316</v>
      </c>
      <c r="I27" s="127">
        <v>81.511675089783012</v>
      </c>
      <c r="J27" s="127">
        <v>-19.797720579312639</v>
      </c>
      <c r="K27" s="127">
        <v>22.520863469623457</v>
      </c>
      <c r="L27" s="127">
        <f t="shared" si="4"/>
        <v>2.7231428903108181</v>
      </c>
      <c r="N27" s="155">
        <f t="shared" si="5"/>
        <v>2.5552337751491017</v>
      </c>
      <c r="O27" s="127">
        <v>150.28991841904894</v>
      </c>
      <c r="P27" s="127">
        <v>8.7057795230669974</v>
      </c>
      <c r="Q27" s="127">
        <v>43.133091870505552</v>
      </c>
      <c r="R27" s="127">
        <f t="shared" si="6"/>
        <v>51.838871393572546</v>
      </c>
      <c r="S27" s="145"/>
      <c r="T27" s="155">
        <f t="shared" si="7"/>
        <v>2.9581093378684198</v>
      </c>
      <c r="U27" s="127">
        <v>43.800406491167763</v>
      </c>
      <c r="V27" s="127">
        <v>9.418941056245286</v>
      </c>
      <c r="W27" s="127">
        <v>14.824711448484381</v>
      </c>
      <c r="X27" s="127">
        <f t="shared" si="8"/>
        <v>24.243652504729667</v>
      </c>
      <c r="Y27" s="128" t="str">
        <f t="shared" si="0"/>
        <v>Health and social work</v>
      </c>
      <c r="Z27" s="155">
        <f t="shared" si="9"/>
        <v>3.1186773432537507</v>
      </c>
      <c r="AA27" s="87">
        <v>64.293915126009693</v>
      </c>
      <c r="AB27" s="127">
        <v>17.722549991381833</v>
      </c>
      <c r="AC27" s="127">
        <v>23.112480454512202</v>
      </c>
      <c r="AD27" s="127">
        <f t="shared" si="10"/>
        <v>40.835030445894034</v>
      </c>
      <c r="AE27" s="141"/>
      <c r="AF27" s="155">
        <f t="shared" si="11"/>
        <v>3.0783063740929206</v>
      </c>
      <c r="AG27" s="127">
        <v>9.9195473983854772</v>
      </c>
      <c r="AH27" s="127">
        <v>1.4973424642898829</v>
      </c>
      <c r="AI27" s="127">
        <v>3.5131923201060649</v>
      </c>
      <c r="AJ27" s="127">
        <f t="shared" si="12"/>
        <v>5.010534784395948</v>
      </c>
      <c r="AL27" s="155">
        <f t="shared" si="13"/>
        <v>3.1315372831501653</v>
      </c>
      <c r="AM27" s="127">
        <v>25.525698517196087</v>
      </c>
      <c r="AN27" s="127">
        <v>10.147584573449684</v>
      </c>
      <c r="AO27" s="127">
        <v>9.2193201705336563</v>
      </c>
      <c r="AP27" s="127">
        <f t="shared" si="14"/>
        <v>19.366904743983341</v>
      </c>
      <c r="AQ27" s="145"/>
      <c r="AR27" s="155">
        <f t="shared" si="15"/>
        <v>3.121149070624285</v>
      </c>
      <c r="AS27" s="127">
        <v>28.848669210428131</v>
      </c>
      <c r="AT27" s="127">
        <v>6.0776229536422628</v>
      </c>
      <c r="AU27" s="127">
        <v>10.379967963872479</v>
      </c>
      <c r="AV27" s="127">
        <f t="shared" si="16"/>
        <v>16.457590917514743</v>
      </c>
      <c r="AW27" s="128" t="str">
        <f t="shared" si="17"/>
        <v>Health and social work</v>
      </c>
      <c r="AX27" s="155">
        <f t="shared" si="18"/>
        <v>2.6759668403012915</v>
      </c>
      <c r="AY27" s="87">
        <v>16.521747365931887</v>
      </c>
      <c r="AZ27" s="127">
        <v>-0.90533997621618789</v>
      </c>
      <c r="BA27" s="127">
        <v>4.9933832774217386</v>
      </c>
      <c r="BB27" s="127">
        <f t="shared" si="19"/>
        <v>4.088043301205551</v>
      </c>
      <c r="BC27" s="141"/>
      <c r="BD27" s="155">
        <f t="shared" si="20"/>
        <v>2.5787165892088737</v>
      </c>
      <c r="BE27" s="127">
        <v>2.1756544236878499</v>
      </c>
      <c r="BF27" s="127">
        <v>-0.17162265131127769</v>
      </c>
      <c r="BG27" s="127">
        <v>0.63082928217437373</v>
      </c>
      <c r="BH27" s="127">
        <f t="shared" si="21"/>
        <v>0.45920663086309604</v>
      </c>
      <c r="BJ27" s="155">
        <f t="shared" si="22"/>
        <v>2.6312555462310261</v>
      </c>
      <c r="BK27" s="127">
        <v>8.5774116106248197</v>
      </c>
      <c r="BL27" s="127">
        <v>-1.3110321038488253</v>
      </c>
      <c r="BM27" s="127">
        <v>2.5438144946044696</v>
      </c>
      <c r="BN27" s="127">
        <f t="shared" si="23"/>
        <v>1.2327823907556443</v>
      </c>
      <c r="BO27" s="145"/>
      <c r="BP27" s="155">
        <f t="shared" si="24"/>
        <v>2.7783786676990552</v>
      </c>
      <c r="BQ27" s="127">
        <v>5.7686813316192156</v>
      </c>
      <c r="BR27" s="127">
        <v>0.57731477894391503</v>
      </c>
      <c r="BS27" s="127">
        <v>1.8187395006428966</v>
      </c>
      <c r="BT27" s="127">
        <f t="shared" si="25"/>
        <v>2.3960542795868118</v>
      </c>
      <c r="BU27" s="128" t="str">
        <f t="shared" si="26"/>
        <v>Health and social work</v>
      </c>
      <c r="BV27" s="155">
        <f t="shared" si="27"/>
        <v>2.4185311777933372</v>
      </c>
      <c r="BW27" s="87">
        <v>185.64731569674743</v>
      </c>
      <c r="BX27" s="127">
        <v>-20.042065793695048</v>
      </c>
      <c r="BY27" s="127">
        <v>50.114846449207548</v>
      </c>
      <c r="BZ27" s="127">
        <f t="shared" si="28"/>
        <v>30.072780655512499</v>
      </c>
      <c r="CA27" s="141"/>
      <c r="CB27" s="155">
        <f t="shared" si="29"/>
        <v>2.3870453919311752</v>
      </c>
      <c r="CC27" s="127">
        <v>65.07948365464064</v>
      </c>
      <c r="CD27" s="127">
        <v>-20.422001047817911</v>
      </c>
      <c r="CE27" s="127">
        <v>17.314254108560334</v>
      </c>
      <c r="CF27" s="127">
        <f t="shared" si="30"/>
        <v>-3.1077469392575772</v>
      </c>
      <c r="CH27" s="155">
        <f t="shared" si="31"/>
        <v>2.4258065702267961</v>
      </c>
      <c r="CI27" s="127">
        <v>111.69445579336453</v>
      </c>
      <c r="CJ27" s="127">
        <v>-1.7999732059359685</v>
      </c>
      <c r="CK27" s="127">
        <v>30.252323208272195</v>
      </c>
      <c r="CL27" s="127">
        <f t="shared" si="32"/>
        <v>28.452350002336225</v>
      </c>
      <c r="CM27" s="145"/>
      <c r="CN27" s="155">
        <f t="shared" si="33"/>
        <v>2.5566857264312626</v>
      </c>
      <c r="CO27" s="127">
        <v>8.8733762487422378</v>
      </c>
      <c r="CP27" s="127">
        <v>2.1799084600588299</v>
      </c>
      <c r="CQ27" s="127">
        <v>2.5482691323750268</v>
      </c>
      <c r="CR27" s="127">
        <f t="shared" si="34"/>
        <v>4.7281775924338572</v>
      </c>
      <c r="CS27" s="128" t="str">
        <f t="shared" si="35"/>
        <v>Health and social work</v>
      </c>
      <c r="CT27" s="155">
        <f t="shared" si="36"/>
        <v>2.2325047123997521</v>
      </c>
      <c r="CU27" s="87">
        <v>9.139021811310748</v>
      </c>
      <c r="CV27" s="127">
        <v>1.5518557785290545</v>
      </c>
      <c r="CW27" s="127">
        <v>2.2579566074718973</v>
      </c>
      <c r="CX27" s="127">
        <f t="shared" si="37"/>
        <v>3.8098123860009521</v>
      </c>
      <c r="CY27" s="141"/>
      <c r="CZ27" s="155">
        <f t="shared" si="38"/>
        <v>2.2155897378276945</v>
      </c>
      <c r="DA27" s="127">
        <v>4.3369896130690391</v>
      </c>
      <c r="DB27" s="127">
        <v>-0.70143934447333278</v>
      </c>
      <c r="DC27" s="127">
        <v>1.0625877587826875</v>
      </c>
      <c r="DD27" s="127">
        <f t="shared" si="39"/>
        <v>0.36114841430935474</v>
      </c>
      <c r="DF27" s="155">
        <f t="shared" si="40"/>
        <v>2.2465820104417666</v>
      </c>
      <c r="DG27" s="127">
        <v>4.4923524978635268</v>
      </c>
      <c r="DH27" s="127">
        <v>1.6692002594021076</v>
      </c>
      <c r="DI27" s="127">
        <v>1.1176339970952323</v>
      </c>
      <c r="DJ27" s="127">
        <f t="shared" si="41"/>
        <v>2.7868342564973396</v>
      </c>
      <c r="DK27" s="145"/>
      <c r="DL27" s="155">
        <f t="shared" si="42"/>
        <v>2.2648343335861076</v>
      </c>
      <c r="DM27" s="127">
        <v>0.30967970037818215</v>
      </c>
      <c r="DN27" s="127">
        <v>0.58409486360027985</v>
      </c>
      <c r="DO27" s="127">
        <v>7.7734851593977319E-2</v>
      </c>
      <c r="DP27" s="127">
        <f t="shared" si="43"/>
        <v>0.66182971519425715</v>
      </c>
    </row>
    <row r="28" spans="1:120" x14ac:dyDescent="0.2">
      <c r="A28" s="128" t="str">
        <f>name!B24</f>
        <v>Arts and entertainment</v>
      </c>
      <c r="B28" s="155">
        <f t="shared" si="1"/>
        <v>2.6894345447805668</v>
      </c>
      <c r="C28" s="87">
        <v>583.99199872311158</v>
      </c>
      <c r="D28" s="127">
        <v>22.974992839555728</v>
      </c>
      <c r="E28" s="127">
        <v>177.49855672479771</v>
      </c>
      <c r="F28" s="127">
        <f t="shared" si="2"/>
        <v>200.47354956435345</v>
      </c>
      <c r="G28" s="141"/>
      <c r="H28" s="155">
        <f t="shared" si="3"/>
        <v>2.5241340757117703</v>
      </c>
      <c r="I28" s="127">
        <v>112.61142831364945</v>
      </c>
      <c r="J28" s="127">
        <v>-19.950461975362895</v>
      </c>
      <c r="K28" s="127">
        <v>31.880492992433172</v>
      </c>
      <c r="L28" s="127">
        <f t="shared" si="4"/>
        <v>11.930031017070277</v>
      </c>
      <c r="N28" s="155">
        <f t="shared" si="5"/>
        <v>2.5965813402446081</v>
      </c>
      <c r="O28" s="127">
        <v>322.09728549501801</v>
      </c>
      <c r="P28" s="127">
        <v>22.98072850143604</v>
      </c>
      <c r="Q28" s="127">
        <v>94.116022316887069</v>
      </c>
      <c r="R28" s="127">
        <f t="shared" si="6"/>
        <v>117.0967508183231</v>
      </c>
      <c r="S28" s="145"/>
      <c r="T28" s="155">
        <f t="shared" si="7"/>
        <v>3.0082665428908584</v>
      </c>
      <c r="U28" s="127">
        <v>149.28328491444404</v>
      </c>
      <c r="V28" s="127">
        <v>19.94472631348258</v>
      </c>
      <c r="W28" s="127">
        <v>51.5020414154775</v>
      </c>
      <c r="X28" s="127">
        <f t="shared" si="8"/>
        <v>71.446767728960083</v>
      </c>
      <c r="Y28" s="128" t="str">
        <f t="shared" si="0"/>
        <v>Arts and entertainment</v>
      </c>
      <c r="Z28" s="155">
        <f t="shared" si="9"/>
        <v>3.2588943559272998</v>
      </c>
      <c r="AA28" s="87">
        <v>161.66137310285907</v>
      </c>
      <c r="AB28" s="127">
        <v>1.3326548882882316</v>
      </c>
      <c r="AC28" s="127">
        <v>61.121073231490051</v>
      </c>
      <c r="AD28" s="127">
        <f t="shared" si="10"/>
        <v>62.453728119778283</v>
      </c>
      <c r="AE28" s="141"/>
      <c r="AF28" s="155">
        <f t="shared" si="11"/>
        <v>3.2768095159466437</v>
      </c>
      <c r="AG28" s="127">
        <v>13.303128548274954</v>
      </c>
      <c r="AH28" s="127">
        <v>-1.9338514027227476</v>
      </c>
      <c r="AI28" s="127">
        <v>5.0614902397360089</v>
      </c>
      <c r="AJ28" s="127">
        <f t="shared" si="12"/>
        <v>3.1276388370132615</v>
      </c>
      <c r="AL28" s="155">
        <f t="shared" si="13"/>
        <v>3.2222682296140004</v>
      </c>
      <c r="AM28" s="127">
        <v>61.167755464113846</v>
      </c>
      <c r="AN28" s="127">
        <v>-4.1267654969595462</v>
      </c>
      <c r="AO28" s="127">
        <v>22.827842408062001</v>
      </c>
      <c r="AP28" s="127">
        <f t="shared" si="14"/>
        <v>18.701076911102454</v>
      </c>
      <c r="AQ28" s="145"/>
      <c r="AR28" s="155">
        <f t="shared" si="15"/>
        <v>3.2817897264484586</v>
      </c>
      <c r="AS28" s="127">
        <v>87.190489090470265</v>
      </c>
      <c r="AT28" s="127">
        <v>7.3932717879705248</v>
      </c>
      <c r="AU28" s="127">
        <v>33.231740583692044</v>
      </c>
      <c r="AV28" s="127">
        <f t="shared" si="16"/>
        <v>40.625012371662571</v>
      </c>
      <c r="AW28" s="128" t="str">
        <f t="shared" si="17"/>
        <v>Arts and entertainment</v>
      </c>
      <c r="AX28" s="155">
        <f t="shared" si="18"/>
        <v>2.4581982255185597</v>
      </c>
      <c r="AY28" s="87">
        <v>274.12096692663408</v>
      </c>
      <c r="AZ28" s="127">
        <v>19.909375624336565</v>
      </c>
      <c r="BA28" s="127">
        <v>75.348629505054475</v>
      </c>
      <c r="BB28" s="127">
        <f t="shared" si="19"/>
        <v>95.258005129391037</v>
      </c>
      <c r="BC28" s="141"/>
      <c r="BD28" s="155">
        <f t="shared" si="20"/>
        <v>2.3965751535212299</v>
      </c>
      <c r="BE28" s="127">
        <v>52.434042602494252</v>
      </c>
      <c r="BF28" s="127">
        <v>-10.478560037555006</v>
      </c>
      <c r="BG28" s="127">
        <v>14.01177557326081</v>
      </c>
      <c r="BH28" s="127">
        <f t="shared" si="21"/>
        <v>3.5332155357058035</v>
      </c>
      <c r="BJ28" s="155">
        <f t="shared" si="22"/>
        <v>2.4303568044377055</v>
      </c>
      <c r="BK28" s="127">
        <v>169.82026195600062</v>
      </c>
      <c r="BL28" s="127">
        <v>22.045877770222617</v>
      </c>
      <c r="BM28" s="127">
        <v>46.091529986569107</v>
      </c>
      <c r="BN28" s="127">
        <f t="shared" si="23"/>
        <v>68.137407756791731</v>
      </c>
      <c r="BO28" s="145"/>
      <c r="BP28" s="155">
        <f t="shared" si="24"/>
        <v>2.6103523894776215</v>
      </c>
      <c r="BQ28" s="127">
        <v>51.866662368139195</v>
      </c>
      <c r="BR28" s="127">
        <v>8.3420578916689543</v>
      </c>
      <c r="BS28" s="127">
        <v>15.245323945224559</v>
      </c>
      <c r="BT28" s="127">
        <f t="shared" si="25"/>
        <v>23.587381836893513</v>
      </c>
      <c r="BU28" s="128" t="str">
        <f t="shared" si="26"/>
        <v>Arts and entertainment</v>
      </c>
      <c r="BV28" s="155">
        <f t="shared" si="27"/>
        <v>2.5546872517099084</v>
      </c>
      <c r="BW28" s="87">
        <v>107.2598983032326</v>
      </c>
      <c r="BX28" s="127">
        <v>-4.6347125764802879</v>
      </c>
      <c r="BY28" s="127">
        <v>30.776152696349076</v>
      </c>
      <c r="BZ28" s="127">
        <f t="shared" si="28"/>
        <v>26.14144011986879</v>
      </c>
      <c r="CA28" s="141"/>
      <c r="CB28" s="155">
        <f t="shared" si="29"/>
        <v>2.4937117735407188</v>
      </c>
      <c r="CC28" s="127">
        <v>30.58519142119675</v>
      </c>
      <c r="CD28" s="127">
        <v>-4.9664708583329622</v>
      </c>
      <c r="CE28" s="127">
        <v>8.5424270700257328</v>
      </c>
      <c r="CF28" s="127">
        <f t="shared" si="30"/>
        <v>3.5759562116927706</v>
      </c>
      <c r="CH28" s="155">
        <f t="shared" si="31"/>
        <v>2.5657893609980054</v>
      </c>
      <c r="CI28" s="127">
        <v>68.527793794387208</v>
      </c>
      <c r="CJ28" s="127">
        <v>-2.6111534978573356</v>
      </c>
      <c r="CK28" s="127">
        <v>19.75824225652681</v>
      </c>
      <c r="CL28" s="127">
        <f t="shared" si="32"/>
        <v>17.147088758669476</v>
      </c>
      <c r="CM28" s="145"/>
      <c r="CN28" s="155">
        <f t="shared" si="33"/>
        <v>2.6887677275016175</v>
      </c>
      <c r="CO28" s="127">
        <v>8.1469130876486417</v>
      </c>
      <c r="CP28" s="127">
        <v>2.9429117797100104</v>
      </c>
      <c r="CQ28" s="127">
        <v>2.4754833697965344</v>
      </c>
      <c r="CR28" s="127">
        <f t="shared" si="34"/>
        <v>5.4183951495065443</v>
      </c>
      <c r="CS28" s="128" t="str">
        <f t="shared" si="35"/>
        <v>Arts and entertainment</v>
      </c>
      <c r="CT28" s="155">
        <f t="shared" si="36"/>
        <v>2.2595665716523383</v>
      </c>
      <c r="CU28" s="87">
        <v>40.949760390385762</v>
      </c>
      <c r="CV28" s="127">
        <v>6.3676749034112179</v>
      </c>
      <c r="CW28" s="127">
        <v>10.252701291904129</v>
      </c>
      <c r="CX28" s="127">
        <f t="shared" si="37"/>
        <v>16.620376195315348</v>
      </c>
      <c r="CY28" s="141"/>
      <c r="CZ28" s="155">
        <f t="shared" si="38"/>
        <v>2.3528014807572273</v>
      </c>
      <c r="DA28" s="127">
        <v>16.289065741683487</v>
      </c>
      <c r="DB28" s="127">
        <v>-2.5715796767521768</v>
      </c>
      <c r="DC28" s="127">
        <v>4.264800109410622</v>
      </c>
      <c r="DD28" s="127">
        <f t="shared" si="39"/>
        <v>1.6932204326584452</v>
      </c>
      <c r="DF28" s="155">
        <f t="shared" si="40"/>
        <v>2.1812946342883111</v>
      </c>
      <c r="DG28" s="127">
        <v>22.581474280516332</v>
      </c>
      <c r="DH28" s="127">
        <v>7.6727697260303049</v>
      </c>
      <c r="DI28" s="127">
        <v>5.438407665729156</v>
      </c>
      <c r="DJ28" s="127">
        <f t="shared" si="41"/>
        <v>13.111177391759462</v>
      </c>
      <c r="DK28" s="145"/>
      <c r="DL28" s="155">
        <f t="shared" si="42"/>
        <v>2.372728806531299</v>
      </c>
      <c r="DM28" s="127">
        <v>2.0792203681859425</v>
      </c>
      <c r="DN28" s="127">
        <v>1.2664848541330906</v>
      </c>
      <c r="DO28" s="127">
        <v>0.54949351676435321</v>
      </c>
      <c r="DP28" s="127">
        <f t="shared" si="43"/>
        <v>1.8159783708974437</v>
      </c>
    </row>
    <row r="29" spans="1:120" x14ac:dyDescent="0.2">
      <c r="A29" s="128" t="str">
        <f>name!B25</f>
        <v>Other services</v>
      </c>
      <c r="B29" s="155">
        <f t="shared" si="1"/>
        <v>2.7838069142694266</v>
      </c>
      <c r="C29" s="87">
        <v>108.16125170522943</v>
      </c>
      <c r="D29" s="127">
        <v>8.1774730396989117</v>
      </c>
      <c r="E29" s="127">
        <v>34.176039083117807</v>
      </c>
      <c r="F29" s="127">
        <f t="shared" si="2"/>
        <v>42.353512122816717</v>
      </c>
      <c r="G29" s="141"/>
      <c r="H29" s="155">
        <f t="shared" si="3"/>
        <v>2.6834266880037649</v>
      </c>
      <c r="I29" s="127">
        <v>32.326959698464499</v>
      </c>
      <c r="J29" s="127">
        <v>-6.1167969801013387</v>
      </c>
      <c r="K29" s="127">
        <v>9.8008028887364027</v>
      </c>
      <c r="L29" s="127">
        <f t="shared" si="4"/>
        <v>3.6840059086350641</v>
      </c>
      <c r="N29" s="155">
        <f t="shared" si="5"/>
        <v>2.7760834170330817</v>
      </c>
      <c r="O29" s="127">
        <v>57.398886868822629</v>
      </c>
      <c r="P29" s="127">
        <v>7.6406602287910461</v>
      </c>
      <c r="Q29" s="127">
        <v>18.079760081959783</v>
      </c>
      <c r="R29" s="127">
        <f t="shared" si="6"/>
        <v>25.720420310750828</v>
      </c>
      <c r="S29" s="145"/>
      <c r="T29" s="155">
        <f t="shared" si="7"/>
        <v>2.981376043016648</v>
      </c>
      <c r="U29" s="127">
        <v>18.435405137942325</v>
      </c>
      <c r="V29" s="127">
        <v>6.6536097910092034</v>
      </c>
      <c r="W29" s="127">
        <v>6.2954761124216301</v>
      </c>
      <c r="X29" s="127">
        <f t="shared" si="8"/>
        <v>12.949085903430834</v>
      </c>
      <c r="Y29" s="128" t="str">
        <f t="shared" si="0"/>
        <v>Other services</v>
      </c>
      <c r="Z29" s="155">
        <f t="shared" si="9"/>
        <v>3.3946693153821483</v>
      </c>
      <c r="AA29" s="87">
        <v>18.73707769261355</v>
      </c>
      <c r="AB29" s="127">
        <v>3.9696712217231607</v>
      </c>
      <c r="AC29" s="127">
        <v>7.4256694078981278</v>
      </c>
      <c r="AD29" s="127">
        <f t="shared" si="10"/>
        <v>11.395340629621288</v>
      </c>
      <c r="AE29" s="141"/>
      <c r="AF29" s="155">
        <f t="shared" si="11"/>
        <v>3.6016336348735356</v>
      </c>
      <c r="AG29" s="127">
        <v>2.3415431027696858</v>
      </c>
      <c r="AH29" s="127">
        <v>0.24514900613498003</v>
      </c>
      <c r="AI29" s="127">
        <v>0.99401256180311637</v>
      </c>
      <c r="AJ29" s="127">
        <f t="shared" si="12"/>
        <v>1.2391615679380963</v>
      </c>
      <c r="AL29" s="155">
        <f t="shared" si="13"/>
        <v>3.5014338519299582</v>
      </c>
      <c r="AM29" s="127">
        <v>8.1965364975682427</v>
      </c>
      <c r="AN29" s="127">
        <v>1.8824630168780692</v>
      </c>
      <c r="AO29" s="127">
        <v>3.3670895885720658</v>
      </c>
      <c r="AP29" s="127">
        <f t="shared" si="14"/>
        <v>5.2495526054501349</v>
      </c>
      <c r="AQ29" s="145"/>
      <c r="AR29" s="155">
        <f t="shared" si="15"/>
        <v>3.2265730612790922</v>
      </c>
      <c r="AS29" s="127">
        <v>8.1989980922756232</v>
      </c>
      <c r="AT29" s="127">
        <v>1.8420591987101114</v>
      </c>
      <c r="AU29" s="127">
        <v>3.0645672575229463</v>
      </c>
      <c r="AV29" s="127">
        <f t="shared" si="16"/>
        <v>4.9066264562330577</v>
      </c>
      <c r="AW29" s="128" t="str">
        <f t="shared" si="17"/>
        <v>Other services</v>
      </c>
      <c r="AX29" s="155">
        <f t="shared" si="18"/>
        <v>2.6483238273837584</v>
      </c>
      <c r="AY29" s="87">
        <v>19.032176889267678</v>
      </c>
      <c r="AZ29" s="127">
        <v>1.0956652491419592</v>
      </c>
      <c r="BA29" s="127">
        <v>5.685467852803928</v>
      </c>
      <c r="BB29" s="127">
        <f t="shared" si="19"/>
        <v>6.7811331019458869</v>
      </c>
      <c r="BC29" s="141"/>
      <c r="BD29" s="155">
        <f t="shared" si="20"/>
        <v>2.5698311582555533</v>
      </c>
      <c r="BE29" s="127">
        <v>3.4123327833961343</v>
      </c>
      <c r="BF29" s="127">
        <v>-0.44962292514756064</v>
      </c>
      <c r="BG29" s="127">
        <v>0.9855918713750732</v>
      </c>
      <c r="BH29" s="127">
        <f t="shared" si="21"/>
        <v>0.53596894622751257</v>
      </c>
      <c r="BJ29" s="155">
        <f t="shared" si="22"/>
        <v>2.6113519594407553</v>
      </c>
      <c r="BK29" s="127">
        <v>10.441678809376455</v>
      </c>
      <c r="BL29" s="127">
        <v>0.67813132541245391</v>
      </c>
      <c r="BM29" s="127">
        <v>3.0704702368243959</v>
      </c>
      <c r="BN29" s="127">
        <f t="shared" si="23"/>
        <v>3.7486015622368498</v>
      </c>
      <c r="BO29" s="145"/>
      <c r="BP29" s="155">
        <f t="shared" si="24"/>
        <v>2.7736136732418482</v>
      </c>
      <c r="BQ29" s="127">
        <v>5.1781652964950879</v>
      </c>
      <c r="BR29" s="127">
        <v>0.86715684887706568</v>
      </c>
      <c r="BS29" s="127">
        <v>1.6294057446044583</v>
      </c>
      <c r="BT29" s="127">
        <f t="shared" si="25"/>
        <v>2.4965625934815239</v>
      </c>
      <c r="BU29" s="128" t="str">
        <f t="shared" si="26"/>
        <v>Other services</v>
      </c>
      <c r="BV29" s="155">
        <f t="shared" si="27"/>
        <v>2.6772484709001398</v>
      </c>
      <c r="BW29" s="87">
        <v>66.201397878138252</v>
      </c>
      <c r="BX29" s="127">
        <v>1.2456325163985658</v>
      </c>
      <c r="BY29" s="127">
        <v>20.01887239295467</v>
      </c>
      <c r="BZ29" s="127">
        <f t="shared" si="28"/>
        <v>21.264504909353235</v>
      </c>
      <c r="CA29" s="141"/>
      <c r="CB29" s="155">
        <f t="shared" si="29"/>
        <v>2.6461497895164943</v>
      </c>
      <c r="CC29" s="127">
        <v>24.360601420401576</v>
      </c>
      <c r="CD29" s="127">
        <v>-5.6900213912272246</v>
      </c>
      <c r="CE29" s="127">
        <v>7.2705240080694988</v>
      </c>
      <c r="CF29" s="127">
        <f t="shared" si="30"/>
        <v>1.5805026168422742</v>
      </c>
      <c r="CH29" s="155">
        <f t="shared" si="31"/>
        <v>2.6783758996457463</v>
      </c>
      <c r="CI29" s="127">
        <v>37.050128855405674</v>
      </c>
      <c r="CJ29" s="127">
        <v>3.896536363658667</v>
      </c>
      <c r="CK29" s="127">
        <v>11.209016818125267</v>
      </c>
      <c r="CL29" s="127">
        <f t="shared" si="32"/>
        <v>15.105553181783934</v>
      </c>
      <c r="CM29" s="145"/>
      <c r="CN29" s="155">
        <f t="shared" si="33"/>
        <v>2.8254837692558654</v>
      </c>
      <c r="CO29" s="127">
        <v>4.7906676023310046</v>
      </c>
      <c r="CP29" s="127">
        <v>3.0391175439671234</v>
      </c>
      <c r="CQ29" s="127">
        <v>1.5393315667599037</v>
      </c>
      <c r="CR29" s="127">
        <f t="shared" si="34"/>
        <v>4.5784491107270266</v>
      </c>
      <c r="CS29" s="128" t="str">
        <f t="shared" si="35"/>
        <v>Other services</v>
      </c>
      <c r="CT29" s="155">
        <f t="shared" si="36"/>
        <v>2.2533546481934286</v>
      </c>
      <c r="CU29" s="87">
        <v>4.1905992452099587</v>
      </c>
      <c r="CV29" s="127">
        <v>1.8665040524352257</v>
      </c>
      <c r="CW29" s="127">
        <v>1.046029429461087</v>
      </c>
      <c r="CX29" s="127">
        <f t="shared" si="37"/>
        <v>2.9125334818963129</v>
      </c>
      <c r="CY29" s="141"/>
      <c r="CZ29" s="155">
        <f t="shared" si="38"/>
        <v>2.2474701591650437</v>
      </c>
      <c r="DA29" s="127">
        <v>2.2124823918971015</v>
      </c>
      <c r="DB29" s="127">
        <v>-0.22230166986153393</v>
      </c>
      <c r="DC29" s="127">
        <v>0.55067444748871397</v>
      </c>
      <c r="DD29" s="127">
        <f t="shared" si="39"/>
        <v>0.32837277762718003</v>
      </c>
      <c r="DF29" s="155">
        <f t="shared" si="40"/>
        <v>2.2830190168655617</v>
      </c>
      <c r="DG29" s="127">
        <v>1.7105427064722503</v>
      </c>
      <c r="DH29" s="127">
        <v>1.1835295228418568</v>
      </c>
      <c r="DI29" s="127">
        <v>0.43318343843805091</v>
      </c>
      <c r="DJ29" s="127">
        <f t="shared" si="41"/>
        <v>1.6167129612799076</v>
      </c>
      <c r="DK29" s="145"/>
      <c r="DL29" s="155">
        <f t="shared" si="42"/>
        <v>2.1112277164391235</v>
      </c>
      <c r="DM29" s="127">
        <v>0.26757414684060715</v>
      </c>
      <c r="DN29" s="127">
        <v>0.90527619945490279</v>
      </c>
      <c r="DO29" s="127">
        <v>6.2171543534321853E-2</v>
      </c>
      <c r="DP29" s="127">
        <f t="shared" si="43"/>
        <v>0.96744774298922465</v>
      </c>
    </row>
    <row r="30" spans="1:120" x14ac:dyDescent="0.2">
      <c r="A30" s="128">
        <f>name!B26</f>
        <v>0</v>
      </c>
      <c r="B30" s="155">
        <f t="shared" si="1"/>
        <v>2.81853341281606</v>
      </c>
      <c r="C30" s="87">
        <v>3.6239999999999957</v>
      </c>
      <c r="D30" s="127">
        <v>0.24699999999999425</v>
      </c>
      <c r="E30" s="127">
        <v>1.161223619177874</v>
      </c>
      <c r="F30" s="127">
        <f t="shared" si="2"/>
        <v>1.4082236191778683</v>
      </c>
      <c r="G30" s="141"/>
      <c r="H30" s="155">
        <f t="shared" si="3"/>
        <v>2.6181998345442992</v>
      </c>
      <c r="I30" s="127">
        <v>0.8854137576985297</v>
      </c>
      <c r="J30" s="127">
        <v>-0.37920842251297887</v>
      </c>
      <c r="K30" s="127">
        <v>0.26112881202833382</v>
      </c>
      <c r="L30" s="127">
        <f t="shared" si="4"/>
        <v>-0.11807961048464505</v>
      </c>
      <c r="N30" s="155">
        <f t="shared" si="5"/>
        <v>2.6529788153066836</v>
      </c>
      <c r="O30" s="127">
        <v>1.3832584282800451</v>
      </c>
      <c r="P30" s="127">
        <v>0.23337200314420425</v>
      </c>
      <c r="Q30" s="127">
        <v>0.41403459662136033</v>
      </c>
      <c r="R30" s="127">
        <f t="shared" si="6"/>
        <v>0.64740659976556458</v>
      </c>
      <c r="S30" s="145"/>
      <c r="T30" s="155">
        <f t="shared" si="7"/>
        <v>3.1122102767148885</v>
      </c>
      <c r="U30" s="127">
        <v>1.3553278140214204</v>
      </c>
      <c r="V30" s="127">
        <v>0.39283641936876895</v>
      </c>
      <c r="W30" s="127">
        <v>0.48606021052817994</v>
      </c>
      <c r="X30" s="127">
        <f t="shared" si="8"/>
        <v>0.87889662989694894</v>
      </c>
      <c r="Y30" s="128">
        <f t="shared" si="0"/>
        <v>0</v>
      </c>
      <c r="Z30" s="155">
        <f t="shared" si="9"/>
        <v>2.9443653428279148</v>
      </c>
      <c r="AA30" s="87">
        <v>1.8811280324430137</v>
      </c>
      <c r="AB30" s="127">
        <v>0.12648602226143923</v>
      </c>
      <c r="AC30" s="127">
        <v>0.63332866226922047</v>
      </c>
      <c r="AD30" s="127">
        <f t="shared" si="10"/>
        <v>0.7598146845306597</v>
      </c>
      <c r="AE30" s="141"/>
      <c r="AF30" s="155">
        <f t="shared" si="11"/>
        <v>2.5616056481945648</v>
      </c>
      <c r="AG30" s="127">
        <v>0.39195326978431944</v>
      </c>
      <c r="AH30" s="127">
        <v>-0.20952388317933862</v>
      </c>
      <c r="AI30" s="127">
        <v>0.11280379340146277</v>
      </c>
      <c r="AJ30" s="127">
        <f t="shared" si="12"/>
        <v>-9.6720089777875856E-2</v>
      </c>
      <c r="AL30" s="155">
        <f t="shared" si="13"/>
        <v>2.6346340495356335</v>
      </c>
      <c r="AM30" s="127">
        <v>0.4129117991411031</v>
      </c>
      <c r="AN30" s="127">
        <v>-1.2440580648808345E-2</v>
      </c>
      <c r="AO30" s="127">
        <v>0.1226340711227917</v>
      </c>
      <c r="AP30" s="127">
        <f t="shared" si="14"/>
        <v>0.11019349047398336</v>
      </c>
      <c r="AQ30" s="145"/>
      <c r="AR30" s="155">
        <f t="shared" si="15"/>
        <v>3.1958990333170068</v>
      </c>
      <c r="AS30" s="127">
        <v>1.0762629635175913</v>
      </c>
      <c r="AT30" s="127">
        <v>0.34845048608958623</v>
      </c>
      <c r="AU30" s="127">
        <v>0.39789079774496594</v>
      </c>
      <c r="AV30" s="127">
        <f t="shared" si="16"/>
        <v>0.74634128383455223</v>
      </c>
      <c r="AW30" s="128">
        <f t="shared" si="17"/>
        <v>0</v>
      </c>
      <c r="AX30" s="155">
        <f t="shared" si="18"/>
        <v>2.6556901882889949</v>
      </c>
      <c r="AY30" s="87">
        <v>0.79016052016002847</v>
      </c>
      <c r="AZ30" s="127">
        <v>-5.5512159780558507E-3</v>
      </c>
      <c r="BA30" s="127">
        <v>0.23678073042517134</v>
      </c>
      <c r="BB30" s="127">
        <f t="shared" si="19"/>
        <v>0.23122951444711548</v>
      </c>
      <c r="BC30" s="141"/>
      <c r="BD30" s="155">
        <f t="shared" si="20"/>
        <v>2.6320188411371737</v>
      </c>
      <c r="BE30" s="127">
        <v>0.10890628043772764</v>
      </c>
      <c r="BF30" s="127">
        <v>-3.6714040606319942E-2</v>
      </c>
      <c r="BG30" s="127">
        <v>3.2308984136424024E-2</v>
      </c>
      <c r="BH30" s="127">
        <f t="shared" si="21"/>
        <v>-4.4050564698959183E-3</v>
      </c>
      <c r="BJ30" s="155">
        <f t="shared" si="22"/>
        <v>2.632798184440821</v>
      </c>
      <c r="BK30" s="127">
        <v>0.54343409949213617</v>
      </c>
      <c r="BL30" s="127">
        <v>6.5977065103502874E-2</v>
      </c>
      <c r="BM30" s="127">
        <v>0.16127289650651028</v>
      </c>
      <c r="BN30" s="127">
        <f t="shared" si="23"/>
        <v>0.22724996161001315</v>
      </c>
      <c r="BO30" s="145"/>
      <c r="BP30" s="155">
        <f t="shared" si="24"/>
        <v>2.7640342004974006</v>
      </c>
      <c r="BQ30" s="127">
        <v>0.13782014023016467</v>
      </c>
      <c r="BR30" s="127">
        <v>-3.4814240475238789E-2</v>
      </c>
      <c r="BS30" s="127">
        <v>4.319884978223705E-2</v>
      </c>
      <c r="BT30" s="127">
        <f t="shared" si="25"/>
        <v>8.3846093069982613E-3</v>
      </c>
      <c r="BU30" s="128">
        <f t="shared" si="26"/>
        <v>0</v>
      </c>
      <c r="BV30" s="155">
        <f t="shared" si="27"/>
        <v>2.7443857826882523</v>
      </c>
      <c r="BW30" s="87">
        <v>0.71149816309577474</v>
      </c>
      <c r="BX30" s="127">
        <v>0.24504437900903087</v>
      </c>
      <c r="BY30" s="127">
        <v>0.22122934558787391</v>
      </c>
      <c r="BZ30" s="127">
        <f t="shared" si="28"/>
        <v>0.46627372459690475</v>
      </c>
      <c r="CA30" s="141"/>
      <c r="CB30" s="155">
        <f t="shared" si="29"/>
        <v>2.6198589066564582</v>
      </c>
      <c r="CC30" s="127">
        <v>0.18443335988879814</v>
      </c>
      <c r="CD30" s="127">
        <v>-4.0323210155314967E-2</v>
      </c>
      <c r="CE30" s="127">
        <v>5.4432240278174497E-2</v>
      </c>
      <c r="CF30" s="127">
        <f t="shared" si="30"/>
        <v>1.410903012285953E-2</v>
      </c>
      <c r="CH30" s="155">
        <f t="shared" si="31"/>
        <v>2.782142672137855</v>
      </c>
      <c r="CI30" s="127">
        <v>0.38582009293331226</v>
      </c>
      <c r="CJ30" s="127">
        <v>0.20616741540992439</v>
      </c>
      <c r="CK30" s="127">
        <v>0.12182654230872253</v>
      </c>
      <c r="CL30" s="127">
        <f t="shared" si="32"/>
        <v>0.32799395771864692</v>
      </c>
      <c r="CM30" s="145"/>
      <c r="CN30" s="155">
        <f t="shared" si="33"/>
        <v>2.802650191366185</v>
      </c>
      <c r="CO30" s="127">
        <v>0.14124471027366434</v>
      </c>
      <c r="CP30" s="127">
        <v>7.9200173754421455E-2</v>
      </c>
      <c r="CQ30" s="127">
        <v>4.4970563000976925E-2</v>
      </c>
      <c r="CR30" s="127">
        <f t="shared" si="34"/>
        <v>0.12417073675539839</v>
      </c>
      <c r="CS30" s="128">
        <f t="shared" si="35"/>
        <v>0</v>
      </c>
      <c r="CT30" s="155">
        <f t="shared" si="36"/>
        <v>2.5769124618272299</v>
      </c>
      <c r="CU30" s="87">
        <v>0.24121328430117833</v>
      </c>
      <c r="CV30" s="127">
        <v>-0.11897918529242003</v>
      </c>
      <c r="CW30" s="127">
        <v>6.9884880895608265E-2</v>
      </c>
      <c r="CX30" s="127">
        <f t="shared" si="37"/>
        <v>-4.9094304396811769E-2</v>
      </c>
      <c r="CY30" s="141"/>
      <c r="CZ30" s="155">
        <f t="shared" si="38"/>
        <v>2.7192664271063816</v>
      </c>
      <c r="DA30" s="127">
        <v>0.20012084758768453</v>
      </c>
      <c r="DB30" s="127">
        <v>-9.2647288572005396E-2</v>
      </c>
      <c r="DC30" s="127">
        <v>6.1583794212272509E-2</v>
      </c>
      <c r="DD30" s="127">
        <f t="shared" si="39"/>
        <v>-3.1063494359732886E-2</v>
      </c>
      <c r="DF30" s="155">
        <f t="shared" si="40"/>
        <v>1.8569836908540527</v>
      </c>
      <c r="DG30" s="127">
        <v>4.1092436713493816E-2</v>
      </c>
      <c r="DH30" s="127">
        <v>-2.6331896720414642E-2</v>
      </c>
      <c r="DI30" s="127">
        <v>8.3010866833357552E-3</v>
      </c>
      <c r="DJ30" s="127">
        <f t="shared" si="41"/>
        <v>-1.8030810037078886E-2</v>
      </c>
      <c r="DK30" s="145"/>
      <c r="DL30" s="155">
        <f t="shared" si="42"/>
        <v>0</v>
      </c>
      <c r="DM30" s="127">
        <v>0</v>
      </c>
      <c r="DN30" s="127">
        <v>0</v>
      </c>
      <c r="DO30" s="127">
        <v>0</v>
      </c>
      <c r="DP30" s="127">
        <f t="shared" si="43"/>
        <v>0</v>
      </c>
    </row>
    <row r="31" spans="1:120" x14ac:dyDescent="0.2">
      <c r="A31" s="128">
        <f>name!B27</f>
        <v>0</v>
      </c>
      <c r="B31" s="155">
        <f t="shared" si="1"/>
        <v>2.6734729787020628</v>
      </c>
      <c r="C31" s="87">
        <v>5.3973840679838156</v>
      </c>
      <c r="D31" s="127">
        <v>1.1408021816129781</v>
      </c>
      <c r="E31" s="127">
        <v>1.6295494976716494</v>
      </c>
      <c r="F31" s="127">
        <f t="shared" si="2"/>
        <v>2.7703516792846274</v>
      </c>
      <c r="G31" s="141"/>
      <c r="H31" s="155">
        <f t="shared" si="3"/>
        <v>2.4242144760953321</v>
      </c>
      <c r="I31" s="127">
        <v>0.66792410715744144</v>
      </c>
      <c r="J31" s="127">
        <v>8.7081733597755159E-2</v>
      </c>
      <c r="K31" s="127">
        <v>0.18077459401533136</v>
      </c>
      <c r="L31" s="127">
        <f t="shared" si="4"/>
        <v>0.26785632761308653</v>
      </c>
      <c r="N31" s="155">
        <f t="shared" si="5"/>
        <v>2.609263332573919</v>
      </c>
      <c r="O31" s="127">
        <v>2.0775695012091084</v>
      </c>
      <c r="P31" s="127">
        <v>0.2544737074116219</v>
      </c>
      <c r="Q31" s="127">
        <v>0.6103809444492555</v>
      </c>
      <c r="R31" s="127">
        <f t="shared" si="6"/>
        <v>0.8648546518608774</v>
      </c>
      <c r="S31" s="145"/>
      <c r="T31" s="155">
        <f t="shared" si="7"/>
        <v>2.7851854419137734</v>
      </c>
      <c r="U31" s="127">
        <v>2.6518904596172663</v>
      </c>
      <c r="V31" s="127">
        <v>0.79924674060360146</v>
      </c>
      <c r="W31" s="127">
        <v>0.83839395920706195</v>
      </c>
      <c r="X31" s="127">
        <f t="shared" si="8"/>
        <v>1.6376406998106634</v>
      </c>
      <c r="Y31" s="128">
        <f t="shared" si="0"/>
        <v>0</v>
      </c>
      <c r="Z31" s="155">
        <f t="shared" si="9"/>
        <v>2.8165513572584899</v>
      </c>
      <c r="AA31" s="87">
        <v>2.214362158393115</v>
      </c>
      <c r="AB31" s="127">
        <v>0.76697330164247091</v>
      </c>
      <c r="AC31" s="127">
        <v>0.7089754858112105</v>
      </c>
      <c r="AD31" s="127">
        <f t="shared" si="10"/>
        <v>1.4759487874536814</v>
      </c>
      <c r="AE31" s="141"/>
      <c r="AF31" s="155">
        <f t="shared" si="11"/>
        <v>2.4947991741868014</v>
      </c>
      <c r="AG31" s="127">
        <v>9.3295900311954727E-2</v>
      </c>
      <c r="AH31" s="127">
        <v>7.3611029159494539E-3</v>
      </c>
      <c r="AI31" s="127">
        <v>2.6070156753053058E-2</v>
      </c>
      <c r="AJ31" s="127">
        <f t="shared" si="12"/>
        <v>3.3431259669002511E-2</v>
      </c>
      <c r="AL31" s="155">
        <f t="shared" si="13"/>
        <v>2.7753358006801676</v>
      </c>
      <c r="AM31" s="127">
        <v>0.4972447918516455</v>
      </c>
      <c r="AN31" s="127">
        <v>9.6394295735497987E-2</v>
      </c>
      <c r="AO31" s="127">
        <v>0.15657684325353696</v>
      </c>
      <c r="AP31" s="127">
        <f t="shared" si="14"/>
        <v>0.25297113898903495</v>
      </c>
      <c r="AQ31" s="145"/>
      <c r="AR31" s="155">
        <f t="shared" si="15"/>
        <v>2.8473360407721415</v>
      </c>
      <c r="AS31" s="127">
        <v>1.6238214662295147</v>
      </c>
      <c r="AT31" s="127">
        <v>0.66321790299102346</v>
      </c>
      <c r="AU31" s="127">
        <v>0.52632848580462055</v>
      </c>
      <c r="AV31" s="127">
        <f t="shared" si="16"/>
        <v>1.1895463887956441</v>
      </c>
      <c r="AW31" s="128">
        <f t="shared" si="17"/>
        <v>0</v>
      </c>
      <c r="AX31" s="155">
        <f t="shared" si="18"/>
        <v>2.6299606183572521</v>
      </c>
      <c r="AY31" s="87">
        <v>2.2783095768098032</v>
      </c>
      <c r="AZ31" s="127">
        <v>0.28087299486229567</v>
      </c>
      <c r="BA31" s="127">
        <v>0.67530864231188981</v>
      </c>
      <c r="BB31" s="127">
        <f t="shared" si="19"/>
        <v>0.95618163717418547</v>
      </c>
      <c r="BC31" s="141"/>
      <c r="BD31" s="155">
        <f t="shared" si="20"/>
        <v>2.5631080985660804</v>
      </c>
      <c r="BE31" s="127">
        <v>0.22101247964060855</v>
      </c>
      <c r="BF31" s="127">
        <v>-1.6947941898083588E-2</v>
      </c>
      <c r="BG31" s="127">
        <v>6.3648887364331108E-2</v>
      </c>
      <c r="BH31" s="127">
        <f t="shared" si="21"/>
        <v>4.670094546624752E-2</v>
      </c>
      <c r="BJ31" s="155">
        <f t="shared" si="22"/>
        <v>2.5856877347969265</v>
      </c>
      <c r="BK31" s="127">
        <v>1.1148096584511451</v>
      </c>
      <c r="BL31" s="127">
        <v>0.19268434666122614</v>
      </c>
      <c r="BM31" s="127">
        <v>0.32421576182958223</v>
      </c>
      <c r="BN31" s="127">
        <f t="shared" si="23"/>
        <v>0.51690010849080836</v>
      </c>
      <c r="BO31" s="145"/>
      <c r="BP31" s="155">
        <f t="shared" si="24"/>
        <v>2.6976564051442775</v>
      </c>
      <c r="BQ31" s="127">
        <v>0.94248743871804974</v>
      </c>
      <c r="BR31" s="127">
        <v>0.10513659009915316</v>
      </c>
      <c r="BS31" s="127">
        <v>0.28744399311797653</v>
      </c>
      <c r="BT31" s="127">
        <f t="shared" si="25"/>
        <v>0.39258058321712969</v>
      </c>
      <c r="BU31" s="128">
        <f t="shared" si="26"/>
        <v>0</v>
      </c>
      <c r="BV31" s="155">
        <f t="shared" si="27"/>
        <v>2.6073314286228833</v>
      </c>
      <c r="BW31" s="87">
        <v>0.44551231145339021</v>
      </c>
      <c r="BX31" s="127">
        <v>-8.3373030656131442E-3</v>
      </c>
      <c r="BY31" s="127">
        <v>0.13078107806231981</v>
      </c>
      <c r="BZ31" s="127">
        <f t="shared" si="28"/>
        <v>0.12244377499670667</v>
      </c>
      <c r="CA31" s="141"/>
      <c r="CB31" s="155">
        <f t="shared" si="29"/>
        <v>2.4365291604826034</v>
      </c>
      <c r="CC31" s="127">
        <v>8.6276945213152031E-2</v>
      </c>
      <c r="CD31" s="127">
        <v>-4.2074055456051036E-2</v>
      </c>
      <c r="CE31" s="127">
        <v>2.3482855274529982E-2</v>
      </c>
      <c r="CF31" s="127">
        <f t="shared" si="30"/>
        <v>-1.8591200181521054E-2</v>
      </c>
      <c r="CH31" s="155">
        <f t="shared" si="31"/>
        <v>2.6262299218310803</v>
      </c>
      <c r="CI31" s="127">
        <v>0.29498731949520918</v>
      </c>
      <c r="CJ31" s="127">
        <v>2.0855293533474064E-2</v>
      </c>
      <c r="CK31" s="127">
        <v>8.7297539162572352E-2</v>
      </c>
      <c r="CL31" s="127">
        <f t="shared" si="32"/>
        <v>0.10815283269604642</v>
      </c>
      <c r="CM31" s="145"/>
      <c r="CN31" s="155">
        <f t="shared" si="33"/>
        <v>2.7472823291570414</v>
      </c>
      <c r="CO31" s="127">
        <v>6.4248046745029E-2</v>
      </c>
      <c r="CP31" s="127">
        <v>1.2881458856963826E-2</v>
      </c>
      <c r="CQ31" s="127">
        <v>2.000068362521747E-2</v>
      </c>
      <c r="CR31" s="127">
        <f t="shared" si="34"/>
        <v>3.2882142482181298E-2</v>
      </c>
      <c r="CS31" s="128">
        <f t="shared" si="35"/>
        <v>0</v>
      </c>
      <c r="CT31" s="155">
        <f t="shared" si="36"/>
        <v>2.2508925088840614</v>
      </c>
      <c r="CU31" s="87">
        <v>0.45920002132750753</v>
      </c>
      <c r="CV31" s="127">
        <v>0.10129318817382489</v>
      </c>
      <c r="CW31" s="127">
        <v>0.11448429148622874</v>
      </c>
      <c r="CX31" s="127">
        <f t="shared" si="37"/>
        <v>0.21577747966005362</v>
      </c>
      <c r="CY31" s="141"/>
      <c r="CZ31" s="155">
        <f t="shared" si="38"/>
        <v>2.2790784934704211</v>
      </c>
      <c r="DA31" s="127">
        <v>0.26733878199172612</v>
      </c>
      <c r="DB31" s="127">
        <v>0.13874262803594034</v>
      </c>
      <c r="DC31" s="127">
        <v>6.7572694623417223E-2</v>
      </c>
      <c r="DD31" s="127">
        <f t="shared" si="39"/>
        <v>0.20631532265935756</v>
      </c>
      <c r="DF31" s="155">
        <f t="shared" si="40"/>
        <v>2.2401417134240154</v>
      </c>
      <c r="DG31" s="127">
        <v>0.17052773141110822</v>
      </c>
      <c r="DH31" s="127">
        <v>-5.5460228518576328E-2</v>
      </c>
      <c r="DI31" s="127">
        <v>4.2290800203563968E-2</v>
      </c>
      <c r="DJ31" s="127">
        <f t="shared" si="41"/>
        <v>-1.316942831501236E-2</v>
      </c>
      <c r="DK31" s="145"/>
      <c r="DL31" s="155">
        <f t="shared" si="42"/>
        <v>1.9799306613629053</v>
      </c>
      <c r="DM31" s="127">
        <v>2.1333507924673225E-2</v>
      </c>
      <c r="DN31" s="127">
        <v>1.8010788656460896E-2</v>
      </c>
      <c r="DO31" s="127">
        <v>4.6207966592475454E-3</v>
      </c>
      <c r="DP31" s="127">
        <f t="shared" si="43"/>
        <v>2.2631585315708441E-2</v>
      </c>
    </row>
    <row r="32" spans="1:120" x14ac:dyDescent="0.2">
      <c r="A32" s="128">
        <f>name!B28</f>
        <v>0</v>
      </c>
      <c r="B32" s="155">
        <f t="shared" si="1"/>
        <v>2.7212419765566098</v>
      </c>
      <c r="C32" s="87">
        <v>123.7608458367669</v>
      </c>
      <c r="D32" s="127">
        <v>13.119074771958418</v>
      </c>
      <c r="E32" s="127">
        <v>38.116429497024313</v>
      </c>
      <c r="F32" s="127">
        <f t="shared" si="2"/>
        <v>51.23550426898273</v>
      </c>
      <c r="G32" s="141"/>
      <c r="H32" s="155">
        <f t="shared" si="3"/>
        <v>2.5243885852895165</v>
      </c>
      <c r="I32" s="127">
        <v>26.847077802333636</v>
      </c>
      <c r="J32" s="127">
        <v>-7.8031435741815161</v>
      </c>
      <c r="K32" s="127">
        <v>7.6013099907891046</v>
      </c>
      <c r="L32" s="127">
        <f t="shared" si="4"/>
        <v>-0.20183358339241142</v>
      </c>
      <c r="N32" s="155">
        <f t="shared" si="5"/>
        <v>2.6624455318525975</v>
      </c>
      <c r="O32" s="127">
        <v>63.941359181744446</v>
      </c>
      <c r="P32" s="127">
        <v>7.8349731558739144</v>
      </c>
      <c r="Q32" s="127">
        <v>19.215469387990549</v>
      </c>
      <c r="R32" s="127">
        <f t="shared" si="6"/>
        <v>27.050442543864463</v>
      </c>
      <c r="S32" s="145"/>
      <c r="T32" s="155">
        <f t="shared" si="7"/>
        <v>2.9906749697417023</v>
      </c>
      <c r="U32" s="127">
        <v>32.972408852688829</v>
      </c>
      <c r="V32" s="127">
        <v>13.087245190266019</v>
      </c>
      <c r="W32" s="127">
        <v>11.299650118244649</v>
      </c>
      <c r="X32" s="127">
        <f t="shared" si="8"/>
        <v>24.386895308510667</v>
      </c>
      <c r="Y32" s="128">
        <f t="shared" si="0"/>
        <v>0</v>
      </c>
      <c r="Z32" s="155">
        <f t="shared" si="9"/>
        <v>3.0765850108950499</v>
      </c>
      <c r="AA32" s="87">
        <v>38.83635765848959</v>
      </c>
      <c r="AB32" s="127">
        <v>9.7986800365741935</v>
      </c>
      <c r="AC32" s="127">
        <v>13.745837027625093</v>
      </c>
      <c r="AD32" s="127">
        <f t="shared" si="10"/>
        <v>23.544517064199287</v>
      </c>
      <c r="AE32" s="141"/>
      <c r="AF32" s="155">
        <f t="shared" si="11"/>
        <v>3.0191901547181432</v>
      </c>
      <c r="AG32" s="127">
        <v>2.7303033528832836</v>
      </c>
      <c r="AH32" s="127">
        <v>7.5430584829441968E-2</v>
      </c>
      <c r="AI32" s="127">
        <v>0.94583812987341553</v>
      </c>
      <c r="AJ32" s="127">
        <f t="shared" si="12"/>
        <v>1.0212687147028574</v>
      </c>
      <c r="AL32" s="155">
        <f t="shared" si="13"/>
        <v>3.0173281094963533</v>
      </c>
      <c r="AM32" s="127">
        <v>15.834000720976697</v>
      </c>
      <c r="AN32" s="127">
        <v>4.2727073292572078</v>
      </c>
      <c r="AO32" s="127">
        <v>5.4813988049700901</v>
      </c>
      <c r="AP32" s="127">
        <f t="shared" si="14"/>
        <v>9.7541061342272979</v>
      </c>
      <c r="AQ32" s="145"/>
      <c r="AR32" s="155">
        <f t="shared" si="15"/>
        <v>3.1303340410858471</v>
      </c>
      <c r="AS32" s="127">
        <v>20.272053584629607</v>
      </c>
      <c r="AT32" s="127">
        <v>5.4505421224875432</v>
      </c>
      <c r="AU32" s="127">
        <v>7.3186000927815886</v>
      </c>
      <c r="AV32" s="127">
        <f t="shared" si="16"/>
        <v>12.769142215269131</v>
      </c>
      <c r="AW32" s="128">
        <f t="shared" si="17"/>
        <v>0</v>
      </c>
      <c r="AX32" s="155">
        <f t="shared" si="18"/>
        <v>2.6584881857450782</v>
      </c>
      <c r="AY32" s="87">
        <v>47.806403154901318</v>
      </c>
      <c r="AZ32" s="127">
        <v>-7.0421609841178725</v>
      </c>
      <c r="BA32" s="127">
        <v>14.342678022761262</v>
      </c>
      <c r="BB32" s="127">
        <f t="shared" si="19"/>
        <v>7.30051703864339</v>
      </c>
      <c r="BC32" s="141"/>
      <c r="BD32" s="155">
        <f t="shared" si="20"/>
        <v>2.6161806421257428</v>
      </c>
      <c r="BE32" s="127">
        <v>10.847301910693686</v>
      </c>
      <c r="BF32" s="127">
        <v>-4.5098176413100948</v>
      </c>
      <c r="BG32" s="127">
        <v>3.196354334448817</v>
      </c>
      <c r="BH32" s="127">
        <f t="shared" si="21"/>
        <v>-1.3134633068612778</v>
      </c>
      <c r="BJ32" s="155">
        <f t="shared" si="22"/>
        <v>2.6374751567947108</v>
      </c>
      <c r="BK32" s="127">
        <v>28.371369231702417</v>
      </c>
      <c r="BL32" s="127">
        <v>-3.0931884379730161</v>
      </c>
      <c r="BM32" s="127">
        <v>8.4364337781793513</v>
      </c>
      <c r="BN32" s="127">
        <f t="shared" si="23"/>
        <v>5.3432453402063356</v>
      </c>
      <c r="BO32" s="145"/>
      <c r="BP32" s="155">
        <f t="shared" si="24"/>
        <v>2.7805305911498435</v>
      </c>
      <c r="BQ32" s="127">
        <v>8.5877320125052172</v>
      </c>
      <c r="BR32" s="127">
        <v>0.56084509516523873</v>
      </c>
      <c r="BS32" s="127">
        <v>2.7098899101330933</v>
      </c>
      <c r="BT32" s="127">
        <f t="shared" si="25"/>
        <v>3.2707350052983322</v>
      </c>
      <c r="BU32" s="128">
        <f t="shared" si="26"/>
        <v>0</v>
      </c>
      <c r="BV32" s="155">
        <f t="shared" si="27"/>
        <v>2.6565095608896083</v>
      </c>
      <c r="BW32" s="87">
        <v>19.849533341962385</v>
      </c>
      <c r="BX32" s="127">
        <v>1.9836189361300114</v>
      </c>
      <c r="BY32" s="127">
        <v>5.9502012149531671</v>
      </c>
      <c r="BZ32" s="127">
        <f t="shared" si="28"/>
        <v>7.9338201510831787</v>
      </c>
      <c r="CA32" s="141"/>
      <c r="CB32" s="155">
        <f t="shared" si="29"/>
        <v>2.6205599538537738</v>
      </c>
      <c r="CC32" s="127">
        <v>6.8203543745401731</v>
      </c>
      <c r="CD32" s="127">
        <v>-1.6267924145713057</v>
      </c>
      <c r="CE32" s="127">
        <v>2.0135102832400635</v>
      </c>
      <c r="CF32" s="127">
        <f t="shared" si="30"/>
        <v>0.38671786866875779</v>
      </c>
      <c r="CH32" s="155">
        <f t="shared" si="31"/>
        <v>2.6438862721386736</v>
      </c>
      <c r="CI32" s="127">
        <v>10.586487257709154</v>
      </c>
      <c r="CJ32" s="127">
        <v>1.7602610215326151</v>
      </c>
      <c r="CK32" s="127">
        <v>3.1565507372840993</v>
      </c>
      <c r="CL32" s="127">
        <f t="shared" si="32"/>
        <v>4.9168117588167144</v>
      </c>
      <c r="CM32" s="145"/>
      <c r="CN32" s="155">
        <f t="shared" si="33"/>
        <v>2.8103646649090264</v>
      </c>
      <c r="CO32" s="127">
        <v>2.4426917097130554</v>
      </c>
      <c r="CP32" s="127">
        <v>1.850150329168702</v>
      </c>
      <c r="CQ32" s="127">
        <v>0.78014019442900417</v>
      </c>
      <c r="CR32" s="127">
        <f t="shared" si="34"/>
        <v>2.6302905235977061</v>
      </c>
      <c r="CS32" s="128">
        <f t="shared" si="35"/>
        <v>0</v>
      </c>
      <c r="CT32" s="155">
        <f t="shared" si="36"/>
        <v>2.1425269866725216</v>
      </c>
      <c r="CU32" s="87">
        <v>17.268551681413616</v>
      </c>
      <c r="CV32" s="127">
        <v>8.3789367833720867</v>
      </c>
      <c r="CW32" s="127">
        <v>4.0777132316847844</v>
      </c>
      <c r="CX32" s="127">
        <f t="shared" si="37"/>
        <v>12.456650015056871</v>
      </c>
      <c r="CY32" s="141"/>
      <c r="CZ32" s="155">
        <f t="shared" si="38"/>
        <v>2.0431060525095246</v>
      </c>
      <c r="DA32" s="127">
        <v>6.4491181642164932</v>
      </c>
      <c r="DB32" s="127">
        <v>-1.7419641031295572</v>
      </c>
      <c r="DC32" s="127">
        <v>1.4456072432268086</v>
      </c>
      <c r="DD32" s="127">
        <f t="shared" si="39"/>
        <v>-0.29635685990274863</v>
      </c>
      <c r="DF32" s="155">
        <f t="shared" si="40"/>
        <v>2.1249626362792373</v>
      </c>
      <c r="DG32" s="127">
        <v>9.1495019713561767</v>
      </c>
      <c r="DH32" s="127">
        <v>4.8951932430571077</v>
      </c>
      <c r="DI32" s="127">
        <v>2.1410860675570116</v>
      </c>
      <c r="DJ32" s="127">
        <f t="shared" si="41"/>
        <v>7.0362793106141197</v>
      </c>
      <c r="DK32" s="145"/>
      <c r="DL32" s="155">
        <f t="shared" si="42"/>
        <v>2.6111687821135154</v>
      </c>
      <c r="DM32" s="127">
        <v>1.6699315458409487</v>
      </c>
      <c r="DN32" s="127">
        <v>5.2257076434445349</v>
      </c>
      <c r="DO32" s="127">
        <v>0.49101992090096452</v>
      </c>
      <c r="DP32" s="127">
        <f t="shared" si="43"/>
        <v>5.7167275643454998</v>
      </c>
    </row>
    <row r="33" spans="1:120" x14ac:dyDescent="0.2">
      <c r="A33" s="128">
        <f>name!B29</f>
        <v>0</v>
      </c>
      <c r="B33" s="155">
        <f t="shared" si="1"/>
        <v>3.0653273318685947</v>
      </c>
      <c r="C33" s="87">
        <v>154.97099999999972</v>
      </c>
      <c r="D33" s="127">
        <v>3.3030000000000879</v>
      </c>
      <c r="E33" s="127">
        <v>54.621773436017577</v>
      </c>
      <c r="F33" s="127">
        <f t="shared" si="2"/>
        <v>57.924773436017666</v>
      </c>
      <c r="G33" s="141"/>
      <c r="H33" s="155">
        <f t="shared" si="3"/>
        <v>2.9436319407800893</v>
      </c>
      <c r="I33" s="127">
        <v>50.957790570188273</v>
      </c>
      <c r="J33" s="127">
        <v>-5.207332958391917</v>
      </c>
      <c r="K33" s="127">
        <v>17.151358481765701</v>
      </c>
      <c r="L33" s="127">
        <f t="shared" si="4"/>
        <v>11.944025523373785</v>
      </c>
      <c r="N33" s="155">
        <f t="shared" si="5"/>
        <v>3.080091904459592</v>
      </c>
      <c r="O33" s="127">
        <v>82.75191339584687</v>
      </c>
      <c r="P33" s="127">
        <v>5.6365125249630674</v>
      </c>
      <c r="Q33" s="127">
        <v>29.327542834156286</v>
      </c>
      <c r="R33" s="127">
        <f t="shared" si="6"/>
        <v>34.964055359119357</v>
      </c>
      <c r="S33" s="145"/>
      <c r="T33" s="155">
        <f t="shared" si="7"/>
        <v>3.2956222869682472</v>
      </c>
      <c r="U33" s="127">
        <v>21.261296033964598</v>
      </c>
      <c r="V33" s="127">
        <v>2.873820433428937</v>
      </c>
      <c r="W33" s="127">
        <v>8.1428721200955785</v>
      </c>
      <c r="X33" s="127">
        <f t="shared" si="8"/>
        <v>11.016692553524516</v>
      </c>
      <c r="Y33" s="128">
        <f t="shared" si="0"/>
        <v>0</v>
      </c>
      <c r="Z33" s="155">
        <f t="shared" si="9"/>
        <v>4.0504340600003408</v>
      </c>
      <c r="AA33" s="87">
        <v>43.296648877844632</v>
      </c>
      <c r="AB33" s="127">
        <v>-7.3473712231151156</v>
      </c>
      <c r="AC33" s="127">
        <v>21.104445332065058</v>
      </c>
      <c r="AD33" s="127">
        <f t="shared" si="10"/>
        <v>13.757074108949944</v>
      </c>
      <c r="AE33" s="141"/>
      <c r="AF33" s="155">
        <f t="shared" si="11"/>
        <v>4.0754800931313673</v>
      </c>
      <c r="AG33" s="127">
        <v>10.106732188154798</v>
      </c>
      <c r="AH33" s="127">
        <v>-4.7657768055697005</v>
      </c>
      <c r="AI33" s="127">
        <v>4.9626340231866539</v>
      </c>
      <c r="AJ33" s="127">
        <f t="shared" si="12"/>
        <v>0.19685721761695341</v>
      </c>
      <c r="AL33" s="155">
        <f t="shared" si="13"/>
        <v>4.032928627335286</v>
      </c>
      <c r="AM33" s="127">
        <v>24.904995907126381</v>
      </c>
      <c r="AN33" s="127">
        <v>-2.8493267756162344</v>
      </c>
      <c r="AO33" s="127">
        <v>12.077372396997415</v>
      </c>
      <c r="AP33" s="127">
        <f t="shared" si="14"/>
        <v>9.228045621381181</v>
      </c>
      <c r="AQ33" s="145"/>
      <c r="AR33" s="155">
        <f t="shared" si="15"/>
        <v>4.0724091362593917</v>
      </c>
      <c r="AS33" s="127">
        <v>8.2849207825634537</v>
      </c>
      <c r="AT33" s="127">
        <v>0.26773235807081874</v>
      </c>
      <c r="AU33" s="127">
        <v>4.0644389118809876</v>
      </c>
      <c r="AV33" s="127">
        <f t="shared" si="16"/>
        <v>4.3321712699518065</v>
      </c>
      <c r="AW33" s="128">
        <f t="shared" si="17"/>
        <v>0</v>
      </c>
      <c r="AX33" s="155">
        <f t="shared" si="18"/>
        <v>2.5547598396461035</v>
      </c>
      <c r="AY33" s="87">
        <v>78.997845710276223</v>
      </c>
      <c r="AZ33" s="127">
        <v>9.7021663700437788</v>
      </c>
      <c r="BA33" s="127">
        <v>22.667623064076533</v>
      </c>
      <c r="BB33" s="127">
        <f t="shared" si="19"/>
        <v>32.369789434120314</v>
      </c>
      <c r="BC33" s="141"/>
      <c r="BD33" s="155">
        <f t="shared" si="20"/>
        <v>2.5174195387168252</v>
      </c>
      <c r="BE33" s="127">
        <v>26.37395315468379</v>
      </c>
      <c r="BF33" s="127">
        <v>1.6686028083983007</v>
      </c>
      <c r="BG33" s="127">
        <v>7.4443560709851919</v>
      </c>
      <c r="BH33" s="127">
        <f t="shared" si="21"/>
        <v>9.112958879383493</v>
      </c>
      <c r="BJ33" s="155">
        <f t="shared" si="22"/>
        <v>2.5486671581746334</v>
      </c>
      <c r="BK33" s="127">
        <v>42.663657472306795</v>
      </c>
      <c r="BL33" s="127">
        <v>6.2773062085895344</v>
      </c>
      <c r="BM33" s="127">
        <v>12.209289576322305</v>
      </c>
      <c r="BN33" s="127">
        <f t="shared" si="23"/>
        <v>18.486595784911842</v>
      </c>
      <c r="BO33" s="145"/>
      <c r="BP33" s="155">
        <f t="shared" si="24"/>
        <v>2.6788844840362147</v>
      </c>
      <c r="BQ33" s="127">
        <v>9.9602350832856388</v>
      </c>
      <c r="BR33" s="127">
        <v>1.7562573530559429</v>
      </c>
      <c r="BS33" s="127">
        <v>3.0139774167690323</v>
      </c>
      <c r="BT33" s="127">
        <f t="shared" si="25"/>
        <v>4.7702347698249756</v>
      </c>
      <c r="BU33" s="128">
        <f t="shared" si="26"/>
        <v>0</v>
      </c>
      <c r="BV33" s="155">
        <f t="shared" si="27"/>
        <v>2.6173395636761576</v>
      </c>
      <c r="BW33" s="87">
        <v>3.1913404184740064</v>
      </c>
      <c r="BX33" s="127">
        <v>1.1226335486044625</v>
      </c>
      <c r="BY33" s="127">
        <v>0.94085301244670572</v>
      </c>
      <c r="BZ33" s="127">
        <f t="shared" si="28"/>
        <v>2.0634865610511683</v>
      </c>
      <c r="CA33" s="141"/>
      <c r="CB33" s="155">
        <f t="shared" si="29"/>
        <v>2.5929383707474774</v>
      </c>
      <c r="CC33" s="127">
        <v>1.3470262007787908</v>
      </c>
      <c r="CD33" s="127">
        <v>-0.26599294418410591</v>
      </c>
      <c r="CE33" s="127">
        <v>0.39297973448013812</v>
      </c>
      <c r="CF33" s="127">
        <f t="shared" si="30"/>
        <v>0.12698679029603221</v>
      </c>
      <c r="CH33" s="155">
        <f t="shared" si="31"/>
        <v>2.6512654768499289</v>
      </c>
      <c r="CI33" s="127">
        <v>1.6842985207880887</v>
      </c>
      <c r="CJ33" s="127">
        <v>1.2839192112138034</v>
      </c>
      <c r="CK33" s="127">
        <v>0.50377617701394806</v>
      </c>
      <c r="CL33" s="127">
        <f t="shared" si="32"/>
        <v>1.7876953882277515</v>
      </c>
      <c r="CM33" s="145"/>
      <c r="CN33" s="155">
        <f t="shared" si="33"/>
        <v>2.4638723480357561</v>
      </c>
      <c r="CO33" s="127">
        <v>0.16001569690712689</v>
      </c>
      <c r="CP33" s="127">
        <v>0.10470728157476483</v>
      </c>
      <c r="CQ33" s="127">
        <v>4.4097100952619553E-2</v>
      </c>
      <c r="CR33" s="127">
        <f t="shared" si="34"/>
        <v>0.14880438252738437</v>
      </c>
      <c r="CS33" s="128">
        <f t="shared" si="35"/>
        <v>0</v>
      </c>
      <c r="CT33" s="155">
        <f t="shared" si="36"/>
        <v>2.939646040038868</v>
      </c>
      <c r="CU33" s="87">
        <v>29.485164993404876</v>
      </c>
      <c r="CV33" s="127">
        <v>-0.17442869553303728</v>
      </c>
      <c r="CW33" s="127">
        <v>9.9088520274292744</v>
      </c>
      <c r="CX33" s="127">
        <f t="shared" si="37"/>
        <v>9.7344233318962363</v>
      </c>
      <c r="CY33" s="141"/>
      <c r="CZ33" s="155">
        <f t="shared" si="38"/>
        <v>2.9037153176336705</v>
      </c>
      <c r="DA33" s="127">
        <v>13.13007902657089</v>
      </c>
      <c r="DB33" s="127">
        <v>-1.8441660170364109</v>
      </c>
      <c r="DC33" s="127">
        <v>4.3513886531137187</v>
      </c>
      <c r="DD33" s="127">
        <f t="shared" si="39"/>
        <v>2.5072226360773078</v>
      </c>
      <c r="DF33" s="155">
        <f t="shared" si="40"/>
        <v>2.9399957923162523</v>
      </c>
      <c r="DG33" s="127">
        <v>13.498961495625606</v>
      </c>
      <c r="DH33" s="127">
        <v>0.92461388077596329</v>
      </c>
      <c r="DI33" s="127">
        <v>4.5371046838226157</v>
      </c>
      <c r="DJ33" s="127">
        <f t="shared" si="41"/>
        <v>5.4617185645985789</v>
      </c>
      <c r="DK33" s="145"/>
      <c r="DL33" s="155">
        <f t="shared" si="42"/>
        <v>3.1017595685842725</v>
      </c>
      <c r="DM33" s="127">
        <v>2.856124471208378</v>
      </c>
      <c r="DN33" s="127">
        <v>0.74512344072741044</v>
      </c>
      <c r="DO33" s="127">
        <v>1.0203586904929389</v>
      </c>
      <c r="DP33" s="127">
        <f t="shared" si="43"/>
        <v>1.7654821312203492</v>
      </c>
    </row>
    <row r="34" spans="1:120" x14ac:dyDescent="0.2">
      <c r="A34" s="128">
        <f>name!B30</f>
        <v>0</v>
      </c>
      <c r="B34" s="155">
        <f t="shared" si="1"/>
        <v>2.9160956930703641</v>
      </c>
      <c r="C34" s="87">
        <v>23.473999999999943</v>
      </c>
      <c r="D34" s="127">
        <v>1.4800000000000508</v>
      </c>
      <c r="E34" s="127">
        <v>7.8170489049169243</v>
      </c>
      <c r="F34" s="127">
        <f t="shared" si="2"/>
        <v>9.2970489049169753</v>
      </c>
      <c r="G34" s="141"/>
      <c r="H34" s="155">
        <f t="shared" si="3"/>
        <v>2.8413998152179376</v>
      </c>
      <c r="I34" s="127">
        <v>1.0959429864268337</v>
      </c>
      <c r="J34" s="127">
        <v>-0.1037259015403591</v>
      </c>
      <c r="K34" s="127">
        <v>0.35439010241011099</v>
      </c>
      <c r="L34" s="127">
        <f t="shared" si="4"/>
        <v>0.25066420086975189</v>
      </c>
      <c r="N34" s="155">
        <f t="shared" si="5"/>
        <v>2.7368083593868553</v>
      </c>
      <c r="O34" s="127">
        <v>5.7095877901633001</v>
      </c>
      <c r="P34" s="127">
        <v>-0.37327834266091714</v>
      </c>
      <c r="Q34" s="127">
        <v>1.7697896880944277</v>
      </c>
      <c r="R34" s="127">
        <f t="shared" si="6"/>
        <v>1.3965113454335105</v>
      </c>
      <c r="S34" s="145"/>
      <c r="T34" s="155">
        <f t="shared" si="7"/>
        <v>2.9817357423914226</v>
      </c>
      <c r="U34" s="127">
        <v>16.668469223409804</v>
      </c>
      <c r="V34" s="127">
        <v>1.9570042442013271</v>
      </c>
      <c r="W34" s="127">
        <v>5.6928691144123853</v>
      </c>
      <c r="X34" s="127">
        <f t="shared" si="8"/>
        <v>7.6498733586137124</v>
      </c>
      <c r="Y34" s="128">
        <f t="shared" si="0"/>
        <v>0</v>
      </c>
      <c r="Z34" s="155">
        <f t="shared" si="9"/>
        <v>2.9622047611067126</v>
      </c>
      <c r="AA34" s="87">
        <v>19.751750114413298</v>
      </c>
      <c r="AB34" s="127">
        <v>1.9847428369989049</v>
      </c>
      <c r="AC34" s="127">
        <v>6.6957068627363743</v>
      </c>
      <c r="AD34" s="127">
        <f t="shared" si="10"/>
        <v>8.6804496997352789</v>
      </c>
      <c r="AE34" s="141"/>
      <c r="AF34" s="155">
        <f t="shared" si="11"/>
        <v>2.8503434562277441</v>
      </c>
      <c r="AG34" s="127">
        <v>0.53141404120681335</v>
      </c>
      <c r="AH34" s="127">
        <v>5.7773207866578854E-3</v>
      </c>
      <c r="AI34" s="127">
        <v>0.17245277094298822</v>
      </c>
      <c r="AJ34" s="127">
        <f t="shared" si="12"/>
        <v>0.1782300917296461</v>
      </c>
      <c r="AL34" s="155">
        <f t="shared" si="13"/>
        <v>2.8052118952712313</v>
      </c>
      <c r="AM34" s="127">
        <v>3.8176590294715562</v>
      </c>
      <c r="AN34" s="127">
        <v>-9.3651610208796005E-2</v>
      </c>
      <c r="AO34" s="127">
        <v>1.2167495955135688</v>
      </c>
      <c r="AP34" s="127">
        <f t="shared" si="14"/>
        <v>1.1230979853047727</v>
      </c>
      <c r="AQ34" s="145"/>
      <c r="AR34" s="155">
        <f t="shared" si="15"/>
        <v>3.0046124829515852</v>
      </c>
      <c r="AS34" s="127">
        <v>15.402677043734929</v>
      </c>
      <c r="AT34" s="127">
        <v>2.0726171264210431</v>
      </c>
      <c r="AU34" s="127">
        <v>5.3065044962798176</v>
      </c>
      <c r="AV34" s="127">
        <f t="shared" si="16"/>
        <v>7.3791216227008611</v>
      </c>
      <c r="AW34" s="128">
        <f t="shared" si="17"/>
        <v>0</v>
      </c>
      <c r="AX34" s="155">
        <f t="shared" si="18"/>
        <v>2.6373612310459427</v>
      </c>
      <c r="AY34" s="87">
        <v>2.374731535280187</v>
      </c>
      <c r="AZ34" s="127">
        <v>-0.52610301968475415</v>
      </c>
      <c r="BA34" s="127">
        <v>0.70610956275344761</v>
      </c>
      <c r="BB34" s="127">
        <f t="shared" si="19"/>
        <v>0.18000654306869346</v>
      </c>
      <c r="BC34" s="141"/>
      <c r="BD34" s="155">
        <f t="shared" si="20"/>
        <v>2.6142974667533903</v>
      </c>
      <c r="BE34" s="127">
        <v>0.19374258077031151</v>
      </c>
      <c r="BF34" s="127">
        <v>-6.9067346278153099E-2</v>
      </c>
      <c r="BG34" s="127">
        <v>5.7043738869553398E-2</v>
      </c>
      <c r="BH34" s="127">
        <f t="shared" si="21"/>
        <v>-1.2023607408599701E-2</v>
      </c>
      <c r="BJ34" s="155">
        <f t="shared" si="22"/>
        <v>2.5779959595980673</v>
      </c>
      <c r="BK34" s="127">
        <v>1.3032102618231316</v>
      </c>
      <c r="BL34" s="127">
        <v>-0.29057782168208351</v>
      </c>
      <c r="BM34" s="127">
        <v>0.37774669225068269</v>
      </c>
      <c r="BN34" s="127">
        <f t="shared" si="23"/>
        <v>8.7168870568599177E-2</v>
      </c>
      <c r="BO34" s="145"/>
      <c r="BP34" s="155">
        <f t="shared" si="24"/>
        <v>2.7299783965388569</v>
      </c>
      <c r="BQ34" s="127">
        <v>0.87777869268674391</v>
      </c>
      <c r="BR34" s="127">
        <v>-0.16645785172451752</v>
      </c>
      <c r="BS34" s="127">
        <v>0.27131913163321136</v>
      </c>
      <c r="BT34" s="127">
        <f t="shared" si="25"/>
        <v>0.10486127990869384</v>
      </c>
      <c r="BU34" s="128">
        <f t="shared" si="26"/>
        <v>0</v>
      </c>
      <c r="BV34" s="155">
        <f t="shared" si="27"/>
        <v>2.6468617353205159</v>
      </c>
      <c r="BW34" s="87">
        <v>1.0085113638560528</v>
      </c>
      <c r="BX34" s="127">
        <v>-2.6892226884003306E-2</v>
      </c>
      <c r="BY34" s="127">
        <v>0.30108528970707676</v>
      </c>
      <c r="BZ34" s="127">
        <f t="shared" si="28"/>
        <v>0.27419306282307343</v>
      </c>
      <c r="CA34" s="141"/>
      <c r="CB34" s="155">
        <f t="shared" si="29"/>
        <v>2.9715317472071456</v>
      </c>
      <c r="CC34" s="127">
        <v>0.11005468485323042</v>
      </c>
      <c r="CD34" s="127">
        <v>-1.7792453645316623E-2</v>
      </c>
      <c r="CE34" s="127">
        <v>3.7441322944962968E-2</v>
      </c>
      <c r="CF34" s="127">
        <f t="shared" si="30"/>
        <v>1.9648869299646345E-2</v>
      </c>
      <c r="CH34" s="155">
        <f t="shared" si="31"/>
        <v>2.6078916675794428</v>
      </c>
      <c r="CI34" s="127">
        <v>0.53681981591731076</v>
      </c>
      <c r="CJ34" s="127">
        <v>-2.205025681449153E-2</v>
      </c>
      <c r="CK34" s="127">
        <v>0.1576225040625937</v>
      </c>
      <c r="CL34" s="127">
        <f t="shared" si="32"/>
        <v>0.13557224724810218</v>
      </c>
      <c r="CM34" s="145"/>
      <c r="CN34" s="155">
        <f t="shared" si="33"/>
        <v>2.604308479860018</v>
      </c>
      <c r="CO34" s="127">
        <v>0.36163686308551168</v>
      </c>
      <c r="CP34" s="127">
        <v>1.2950483575804845E-2</v>
      </c>
      <c r="CQ34" s="127">
        <v>0.10602146269952011</v>
      </c>
      <c r="CR34" s="127">
        <f t="shared" si="34"/>
        <v>0.11897194627532495</v>
      </c>
      <c r="CS34" s="128">
        <f t="shared" si="35"/>
        <v>0</v>
      </c>
      <c r="CT34" s="155">
        <f t="shared" si="36"/>
        <v>2.9446387229132842</v>
      </c>
      <c r="CU34" s="87">
        <v>0.33900698645039778</v>
      </c>
      <c r="CV34" s="127">
        <v>4.8252409569903426E-2</v>
      </c>
      <c r="CW34" s="127">
        <v>0.11414718972002513</v>
      </c>
      <c r="CX34" s="127">
        <f t="shared" si="37"/>
        <v>0.16239959928992856</v>
      </c>
      <c r="CY34" s="141"/>
      <c r="CZ34" s="155">
        <f t="shared" si="38"/>
        <v>2.9346268426516664</v>
      </c>
      <c r="DA34" s="127">
        <v>0.26073167959647875</v>
      </c>
      <c r="DB34" s="127">
        <v>-2.2643422403547261E-2</v>
      </c>
      <c r="DC34" s="127">
        <v>8.7452269652606385E-2</v>
      </c>
      <c r="DD34" s="127">
        <f t="shared" si="39"/>
        <v>6.4808847249059123E-2</v>
      </c>
      <c r="DF34" s="155">
        <f t="shared" si="40"/>
        <v>2.9736967059325492</v>
      </c>
      <c r="DG34" s="127">
        <v>5.1898682951301692E-2</v>
      </c>
      <c r="DH34" s="127">
        <v>3.3001346044453983E-2</v>
      </c>
      <c r="DI34" s="127">
        <v>1.7670896267582607E-2</v>
      </c>
      <c r="DJ34" s="127">
        <f t="shared" si="41"/>
        <v>5.067224231203659E-2</v>
      </c>
      <c r="DK34" s="145"/>
      <c r="DL34" s="155">
        <f t="shared" si="42"/>
        <v>2.986239445321015</v>
      </c>
      <c r="DM34" s="127">
        <v>2.637662390261741E-2</v>
      </c>
      <c r="DN34" s="127">
        <v>3.7894485928996711E-2</v>
      </c>
      <c r="DO34" s="127">
        <v>9.0240237998361478E-3</v>
      </c>
      <c r="DP34" s="127">
        <f t="shared" si="43"/>
        <v>4.6918509728832859E-2</v>
      </c>
    </row>
    <row r="35" spans="1:120" x14ac:dyDescent="0.2">
      <c r="A35" s="128">
        <f>name!B31</f>
        <v>0</v>
      </c>
      <c r="B35" s="155">
        <f t="shared" si="1"/>
        <v>2.8621080323697479</v>
      </c>
      <c r="C35" s="87">
        <v>28.894999999999936</v>
      </c>
      <c r="D35" s="127">
        <v>1.6460000000000381</v>
      </c>
      <c r="E35" s="127">
        <v>9.420712233917067</v>
      </c>
      <c r="F35" s="127">
        <f t="shared" si="2"/>
        <v>11.066712233917105</v>
      </c>
      <c r="G35" s="141"/>
      <c r="H35" s="155">
        <f t="shared" si="3"/>
        <v>2.6633825373017173</v>
      </c>
      <c r="I35" s="127">
        <v>1.9794220652335754</v>
      </c>
      <c r="J35" s="127">
        <v>-0.35248216003289656</v>
      </c>
      <c r="K35" s="127">
        <v>0.59508506788336712</v>
      </c>
      <c r="L35" s="127">
        <f t="shared" si="4"/>
        <v>0.24260290785047056</v>
      </c>
      <c r="N35" s="155">
        <f t="shared" si="5"/>
        <v>2.6696771260062091</v>
      </c>
      <c r="O35" s="127">
        <v>10.289648262531291</v>
      </c>
      <c r="P35" s="127">
        <v>0.71798490602012099</v>
      </c>
      <c r="Q35" s="127">
        <v>3.1016441026996522</v>
      </c>
      <c r="R35" s="127">
        <f t="shared" si="6"/>
        <v>3.8196290087197733</v>
      </c>
      <c r="S35" s="145"/>
      <c r="T35" s="155">
        <f t="shared" si="7"/>
        <v>3.0027901952621061</v>
      </c>
      <c r="U35" s="127">
        <v>16.625929672235067</v>
      </c>
      <c r="V35" s="127">
        <v>1.2804972540128137</v>
      </c>
      <c r="W35" s="127">
        <v>5.7239830633340478</v>
      </c>
      <c r="X35" s="127">
        <f t="shared" si="8"/>
        <v>7.0044803173468617</v>
      </c>
      <c r="Y35" s="128">
        <f t="shared" si="0"/>
        <v>0</v>
      </c>
      <c r="Z35" s="155">
        <f t="shared" si="9"/>
        <v>3.0215443790052143</v>
      </c>
      <c r="AA35" s="87">
        <v>17.580481963655998</v>
      </c>
      <c r="AB35" s="127">
        <v>2.8098087008328023</v>
      </c>
      <c r="AC35" s="127">
        <v>6.095681909765899</v>
      </c>
      <c r="AD35" s="127">
        <f t="shared" si="10"/>
        <v>8.9054906105987008</v>
      </c>
      <c r="AE35" s="141"/>
      <c r="AF35" s="155">
        <f t="shared" si="11"/>
        <v>2.9707695648767851</v>
      </c>
      <c r="AG35" s="127">
        <v>0.5967101275394916</v>
      </c>
      <c r="AH35" s="127">
        <v>0.21095192443473093</v>
      </c>
      <c r="AI35" s="127">
        <v>0.20294549270816775</v>
      </c>
      <c r="AJ35" s="127">
        <f t="shared" si="12"/>
        <v>0.41389741714289868</v>
      </c>
      <c r="AL35" s="155">
        <f t="shared" si="13"/>
        <v>2.828445336027241</v>
      </c>
      <c r="AM35" s="127">
        <v>4.2778021615675197</v>
      </c>
      <c r="AN35" s="127">
        <v>1.1605153808737563</v>
      </c>
      <c r="AO35" s="127">
        <v>1.3761664496642632</v>
      </c>
      <c r="AP35" s="127">
        <f t="shared" si="14"/>
        <v>2.5366818305380194</v>
      </c>
      <c r="AQ35" s="145"/>
      <c r="AR35" s="155">
        <f t="shared" si="15"/>
        <v>3.0881955582803711</v>
      </c>
      <c r="AS35" s="127">
        <v>12.705969674548985</v>
      </c>
      <c r="AT35" s="127">
        <v>1.4383413955243152</v>
      </c>
      <c r="AU35" s="127">
        <v>4.5165699673934689</v>
      </c>
      <c r="AV35" s="127">
        <f t="shared" si="16"/>
        <v>5.9549113629177839</v>
      </c>
      <c r="AW35" s="128">
        <f t="shared" si="17"/>
        <v>0</v>
      </c>
      <c r="AX35" s="155">
        <f t="shared" si="18"/>
        <v>2.6020134806948869</v>
      </c>
      <c r="AY35" s="87">
        <v>7.0600510279774715</v>
      </c>
      <c r="AZ35" s="127">
        <v>-0.82070299664328927</v>
      </c>
      <c r="BA35" s="127">
        <v>2.067760735617695</v>
      </c>
      <c r="BB35" s="127">
        <f t="shared" si="19"/>
        <v>1.2470577389744057</v>
      </c>
      <c r="BC35" s="141"/>
      <c r="BD35" s="155">
        <f t="shared" si="20"/>
        <v>2.5053318006841074</v>
      </c>
      <c r="BE35" s="127">
        <v>0.58242692656334427</v>
      </c>
      <c r="BF35" s="127">
        <v>-0.32828833435573068</v>
      </c>
      <c r="BG35" s="127">
        <v>0.16351669099146005</v>
      </c>
      <c r="BH35" s="127">
        <f t="shared" si="21"/>
        <v>-0.16477164336427064</v>
      </c>
      <c r="BJ35" s="155">
        <f t="shared" si="22"/>
        <v>2.528922957277846</v>
      </c>
      <c r="BK35" s="127">
        <v>3.4980513979754475</v>
      </c>
      <c r="BL35" s="127">
        <v>-0.21403758136916518</v>
      </c>
      <c r="BM35" s="127">
        <v>0.99240143264883662</v>
      </c>
      <c r="BN35" s="127">
        <f t="shared" si="23"/>
        <v>0.77836385127967145</v>
      </c>
      <c r="BO35" s="145"/>
      <c r="BP35" s="155">
        <f t="shared" si="24"/>
        <v>2.7058922134773455</v>
      </c>
      <c r="BQ35" s="127">
        <v>2.9795727034386803</v>
      </c>
      <c r="BR35" s="127">
        <v>-0.27837708091839342</v>
      </c>
      <c r="BS35" s="127">
        <v>0.91184261197739835</v>
      </c>
      <c r="BT35" s="127">
        <f t="shared" si="25"/>
        <v>0.63346553105900494</v>
      </c>
      <c r="BU35" s="128">
        <f t="shared" si="26"/>
        <v>0</v>
      </c>
      <c r="BV35" s="155">
        <f t="shared" si="27"/>
        <v>2.6025333799874595</v>
      </c>
      <c r="BW35" s="87">
        <v>3.9916086369088277</v>
      </c>
      <c r="BX35" s="127">
        <v>-0.36860749517507152</v>
      </c>
      <c r="BY35" s="127">
        <v>1.1693311871886336</v>
      </c>
      <c r="BZ35" s="127">
        <f t="shared" si="28"/>
        <v>0.80072369201356208</v>
      </c>
      <c r="CA35" s="141"/>
      <c r="CB35" s="155">
        <f t="shared" si="29"/>
        <v>2.5262794249925946</v>
      </c>
      <c r="CC35" s="127">
        <v>0.76479151317239202</v>
      </c>
      <c r="CD35" s="127">
        <v>-0.20773686960970486</v>
      </c>
      <c r="CE35" s="127">
        <v>0.21671918013294533</v>
      </c>
      <c r="CF35" s="127">
        <f t="shared" si="30"/>
        <v>8.9823105232404721E-3</v>
      </c>
      <c r="CH35" s="155">
        <f t="shared" si="31"/>
        <v>2.5896950806788999</v>
      </c>
      <c r="CI35" s="127">
        <v>2.4153471822787229</v>
      </c>
      <c r="CJ35" s="127">
        <v>-0.2502303844660983</v>
      </c>
      <c r="CK35" s="127">
        <v>0.70366416736616388</v>
      </c>
      <c r="CL35" s="127">
        <f t="shared" si="32"/>
        <v>0.45343378290006559</v>
      </c>
      <c r="CM35" s="145"/>
      <c r="CN35" s="155">
        <f t="shared" si="33"/>
        <v>2.7118274856430702</v>
      </c>
      <c r="CO35" s="127">
        <v>0.81146994145771245</v>
      </c>
      <c r="CP35" s="127">
        <v>8.9359758900731598E-2</v>
      </c>
      <c r="CQ35" s="127">
        <v>0.24894783968952428</v>
      </c>
      <c r="CR35" s="127">
        <f t="shared" si="34"/>
        <v>0.33830759859025589</v>
      </c>
      <c r="CS35" s="128">
        <f t="shared" si="35"/>
        <v>0</v>
      </c>
      <c r="CT35" s="155">
        <f t="shared" si="36"/>
        <v>2.9279629310322131</v>
      </c>
      <c r="CU35" s="87">
        <v>0.26285837145763702</v>
      </c>
      <c r="CV35" s="127">
        <v>2.5501790985596576E-2</v>
      </c>
      <c r="CW35" s="127">
        <v>8.7938401344838837E-2</v>
      </c>
      <c r="CX35" s="127">
        <f t="shared" si="37"/>
        <v>0.11344019233043541</v>
      </c>
      <c r="CY35" s="141"/>
      <c r="CZ35" s="155">
        <f t="shared" si="38"/>
        <v>2.9343651326463327</v>
      </c>
      <c r="DA35" s="127">
        <v>3.5493497958347456E-2</v>
      </c>
      <c r="DB35" s="127">
        <v>-2.740888050219192E-2</v>
      </c>
      <c r="DC35" s="127">
        <v>1.1903704050793999E-2</v>
      </c>
      <c r="DD35" s="127">
        <f t="shared" si="39"/>
        <v>-1.5505176451397921E-2</v>
      </c>
      <c r="DF35" s="155">
        <f t="shared" si="40"/>
        <v>2.6485565988142667</v>
      </c>
      <c r="DG35" s="127">
        <v>9.8447520709600847E-2</v>
      </c>
      <c r="DH35" s="127">
        <v>2.1737490981628024E-2</v>
      </c>
      <c r="DI35" s="127">
        <v>2.941205302038874E-2</v>
      </c>
      <c r="DJ35" s="127">
        <f t="shared" si="41"/>
        <v>5.1149544002016767E-2</v>
      </c>
      <c r="DK35" s="145"/>
      <c r="DL35" s="155">
        <f t="shared" si="42"/>
        <v>3.1350944801386671</v>
      </c>
      <c r="DM35" s="127">
        <v>0.12891735278968872</v>
      </c>
      <c r="DN35" s="127">
        <v>3.1173180506160469E-2</v>
      </c>
      <c r="DO35" s="127">
        <v>4.6622644273656109E-2</v>
      </c>
      <c r="DP35" s="127">
        <f t="shared" si="43"/>
        <v>7.7795824779816586E-2</v>
      </c>
    </row>
    <row r="36" spans="1:120" x14ac:dyDescent="0.2">
      <c r="A36" s="128">
        <f>name!B32</f>
        <v>0</v>
      </c>
      <c r="B36" s="155">
        <f t="shared" si="1"/>
        <v>2.9945367077332863</v>
      </c>
      <c r="C36" s="87">
        <v>56.486999999999881</v>
      </c>
      <c r="D36" s="127">
        <v>9.4270000000000458</v>
      </c>
      <c r="E36" s="127">
        <v>19.386548178062384</v>
      </c>
      <c r="F36" s="127">
        <f t="shared" si="2"/>
        <v>28.81354817806243</v>
      </c>
      <c r="G36" s="141"/>
      <c r="H36" s="155">
        <f t="shared" si="3"/>
        <v>2.6683655064911882</v>
      </c>
      <c r="I36" s="127">
        <v>3.0739661220094856</v>
      </c>
      <c r="J36" s="127">
        <v>1.6985913874363638</v>
      </c>
      <c r="K36" s="127">
        <v>0.92608514366015537</v>
      </c>
      <c r="L36" s="127">
        <f t="shared" si="4"/>
        <v>2.6246765310965192</v>
      </c>
      <c r="N36" s="155">
        <f t="shared" si="5"/>
        <v>2.7983270973520824</v>
      </c>
      <c r="O36" s="127">
        <v>10.80483185043264</v>
      </c>
      <c r="P36" s="127">
        <v>0.32429358730751345</v>
      </c>
      <c r="Q36" s="127">
        <v>3.4341351738504251</v>
      </c>
      <c r="R36" s="127">
        <f t="shared" si="6"/>
        <v>3.7584287611579388</v>
      </c>
      <c r="S36" s="145"/>
      <c r="T36" s="155">
        <f t="shared" si="7"/>
        <v>3.0668385216106264</v>
      </c>
      <c r="U36" s="127">
        <v>42.608202027557752</v>
      </c>
      <c r="V36" s="127">
        <v>7.4041150252561669</v>
      </c>
      <c r="W36" s="127">
        <v>15.026327860551801</v>
      </c>
      <c r="X36" s="127">
        <f t="shared" si="8"/>
        <v>22.430442885807967</v>
      </c>
      <c r="Y36" s="128">
        <f t="shared" si="0"/>
        <v>0</v>
      </c>
      <c r="Z36" s="155">
        <f t="shared" si="9"/>
        <v>3.0309771831799281</v>
      </c>
      <c r="AA36" s="87">
        <v>51.021735996170101</v>
      </c>
      <c r="AB36" s="127">
        <v>9.5647099325395999</v>
      </c>
      <c r="AC36" s="127">
        <v>17.753710691282151</v>
      </c>
      <c r="AD36" s="127">
        <f t="shared" si="10"/>
        <v>27.318420623821751</v>
      </c>
      <c r="AE36" s="141"/>
      <c r="AF36" s="155">
        <f t="shared" si="11"/>
        <v>2.7156970530987756</v>
      </c>
      <c r="AG36" s="127">
        <v>1.8966772091595998</v>
      </c>
      <c r="AH36" s="127">
        <v>1.1084660999032749</v>
      </c>
      <c r="AI36" s="127">
        <v>0.58280846211724435</v>
      </c>
      <c r="AJ36" s="127">
        <f t="shared" si="12"/>
        <v>1.6912745620205194</v>
      </c>
      <c r="AL36" s="155">
        <f t="shared" si="13"/>
        <v>2.8544377950161515</v>
      </c>
      <c r="AM36" s="127">
        <v>8.7151787782400429</v>
      </c>
      <c r="AN36" s="127">
        <v>0.37231764916359472</v>
      </c>
      <c r="AO36" s="127">
        <v>2.8328178136294691</v>
      </c>
      <c r="AP36" s="127">
        <f t="shared" si="14"/>
        <v>3.2051354627930637</v>
      </c>
      <c r="AQ36" s="145"/>
      <c r="AR36" s="155">
        <f t="shared" si="15"/>
        <v>3.0832355344662776</v>
      </c>
      <c r="AS36" s="127">
        <v>40.409880008770457</v>
      </c>
      <c r="AT36" s="127">
        <v>8.0839261834727303</v>
      </c>
      <c r="AU36" s="127">
        <v>14.338084415535439</v>
      </c>
      <c r="AV36" s="127">
        <f t="shared" si="16"/>
        <v>22.422010599008168</v>
      </c>
      <c r="AW36" s="128">
        <f t="shared" si="17"/>
        <v>0</v>
      </c>
      <c r="AX36" s="155">
        <f t="shared" si="18"/>
        <v>2.6442828612915692</v>
      </c>
      <c r="AY36" s="87">
        <v>4.1117223502687619</v>
      </c>
      <c r="AZ36" s="127">
        <v>-1.2602457015033561</v>
      </c>
      <c r="BA36" s="127">
        <v>1.2261898817352725</v>
      </c>
      <c r="BB36" s="127">
        <f t="shared" si="19"/>
        <v>-3.4055819768083584E-2</v>
      </c>
      <c r="BC36" s="141"/>
      <c r="BD36" s="155">
        <f t="shared" si="20"/>
        <v>2.5250973136344612</v>
      </c>
      <c r="BE36" s="127">
        <v>0.59212142104784216</v>
      </c>
      <c r="BF36" s="127">
        <v>5.5003227893673415E-2</v>
      </c>
      <c r="BG36" s="127">
        <v>0.1677019969682341</v>
      </c>
      <c r="BH36" s="127">
        <f t="shared" si="21"/>
        <v>0.22270522486190752</v>
      </c>
      <c r="BJ36" s="155">
        <f t="shared" si="22"/>
        <v>2.5953522288273634</v>
      </c>
      <c r="BK36" s="127">
        <v>1.6781048923637909</v>
      </c>
      <c r="BL36" s="127">
        <v>-0.50299398657548378</v>
      </c>
      <c r="BM36" s="127">
        <v>0.49007829174845352</v>
      </c>
      <c r="BN36" s="127">
        <f t="shared" si="23"/>
        <v>-1.2915694827030255E-2</v>
      </c>
      <c r="BO36" s="145"/>
      <c r="BP36" s="155">
        <f t="shared" si="24"/>
        <v>2.7266024857339533</v>
      </c>
      <c r="BQ36" s="127">
        <v>1.8414960368571291</v>
      </c>
      <c r="BR36" s="127">
        <v>-0.81225494282154564</v>
      </c>
      <c r="BS36" s="127">
        <v>0.56840959301858496</v>
      </c>
      <c r="BT36" s="127">
        <f t="shared" si="25"/>
        <v>-0.24384534980296069</v>
      </c>
      <c r="BU36" s="128">
        <f t="shared" si="26"/>
        <v>0</v>
      </c>
      <c r="BV36" s="155">
        <f t="shared" si="27"/>
        <v>2.6699286086445007</v>
      </c>
      <c r="BW36" s="87">
        <v>0.94096087042845011</v>
      </c>
      <c r="BX36" s="127">
        <v>1.0673588590067584</v>
      </c>
      <c r="BY36" s="127">
        <v>0.28366707092484866</v>
      </c>
      <c r="BZ36" s="127">
        <f t="shared" si="28"/>
        <v>1.3510259299316072</v>
      </c>
      <c r="CA36" s="141"/>
      <c r="CB36" s="155">
        <f t="shared" si="29"/>
        <v>2.4755931087015126</v>
      </c>
      <c r="CC36" s="127">
        <v>0.24637925552867021</v>
      </c>
      <c r="CD36" s="127">
        <v>0.45294770729803285</v>
      </c>
      <c r="CE36" s="127">
        <v>6.8256840443345096E-2</v>
      </c>
      <c r="CF36" s="127">
        <f t="shared" si="30"/>
        <v>0.52120454774137792</v>
      </c>
      <c r="CH36" s="155">
        <f t="shared" si="31"/>
        <v>2.5317857369329788</v>
      </c>
      <c r="CI36" s="127">
        <v>0.34250238229029917</v>
      </c>
      <c r="CJ36" s="127">
        <v>0.47722061778305425</v>
      </c>
      <c r="CK36" s="127">
        <v>9.7291120958866453E-2</v>
      </c>
      <c r="CL36" s="127">
        <f t="shared" si="32"/>
        <v>0.57451173874192074</v>
      </c>
      <c r="CM36" s="145"/>
      <c r="CN36" s="155">
        <f t="shared" si="33"/>
        <v>2.9352369214464158</v>
      </c>
      <c r="CO36" s="127">
        <v>0.35207923260948076</v>
      </c>
      <c r="CP36" s="127">
        <v>0.13719053392567115</v>
      </c>
      <c r="CQ36" s="127">
        <v>0.1181191095226371</v>
      </c>
      <c r="CR36" s="127">
        <f t="shared" si="34"/>
        <v>0.25530964344830825</v>
      </c>
      <c r="CS36" s="128">
        <f t="shared" si="35"/>
        <v>0</v>
      </c>
      <c r="CT36" s="155">
        <f t="shared" si="36"/>
        <v>2.6431615692057875</v>
      </c>
      <c r="CU36" s="87">
        <v>0.41258078313257079</v>
      </c>
      <c r="CV36" s="127">
        <v>5.5176909957042726E-2</v>
      </c>
      <c r="CW36" s="127">
        <v>0.12298053412010829</v>
      </c>
      <c r="CX36" s="127">
        <f t="shared" si="37"/>
        <v>0.17815744407715101</v>
      </c>
      <c r="CY36" s="141"/>
      <c r="CZ36" s="155">
        <f t="shared" si="38"/>
        <v>2.7900274591234453</v>
      </c>
      <c r="DA36" s="127">
        <v>0.33878823627337318</v>
      </c>
      <c r="DB36" s="127">
        <v>8.2174352341382664E-2</v>
      </c>
      <c r="DC36" s="127">
        <v>0.10731784413133177</v>
      </c>
      <c r="DD36" s="127">
        <f t="shared" si="39"/>
        <v>0.18949219647271442</v>
      </c>
      <c r="DF36" s="155">
        <f t="shared" si="40"/>
        <v>1.8569836908540527</v>
      </c>
      <c r="DG36" s="127">
        <v>6.9045797538509451E-2</v>
      </c>
      <c r="DH36" s="127">
        <v>-2.2250693063651759E-2</v>
      </c>
      <c r="DI36" s="127">
        <v>1.3947947513635921E-2</v>
      </c>
      <c r="DJ36" s="127">
        <f t="shared" si="41"/>
        <v>-8.3027455500158387E-3</v>
      </c>
      <c r="DK36" s="145"/>
      <c r="DL36" s="155">
        <f t="shared" si="42"/>
        <v>3.1320498905442085</v>
      </c>
      <c r="DM36" s="127">
        <v>4.7467493206881754E-3</v>
      </c>
      <c r="DN36" s="127">
        <v>-4.7467493206881754E-3</v>
      </c>
      <c r="DO36" s="127">
        <v>1.714742475140592E-3</v>
      </c>
      <c r="DP36" s="127">
        <f t="shared" si="43"/>
        <v>-3.0320068455475836E-3</v>
      </c>
    </row>
    <row r="37" spans="1:120" x14ac:dyDescent="0.2">
      <c r="A37" s="128">
        <f>name!B33</f>
        <v>0</v>
      </c>
      <c r="B37" s="155">
        <f t="shared" si="1"/>
        <v>3.0105219210724066</v>
      </c>
      <c r="C37" s="87">
        <v>138.06999999999971</v>
      </c>
      <c r="D37" s="127">
        <v>5.2479999999998874</v>
      </c>
      <c r="E37" s="127">
        <v>47.674174099563118</v>
      </c>
      <c r="F37" s="127">
        <f t="shared" si="2"/>
        <v>52.922174099563009</v>
      </c>
      <c r="G37" s="141"/>
      <c r="H37" s="155">
        <f t="shared" si="3"/>
        <v>2.7387217667445674</v>
      </c>
      <c r="I37" s="127">
        <v>5.0762170042485808</v>
      </c>
      <c r="J37" s="127">
        <v>-1.6886317271375544</v>
      </c>
      <c r="K37" s="127">
        <v>1.5747035569122914</v>
      </c>
      <c r="L37" s="127">
        <f t="shared" si="4"/>
        <v>-0.11392817022526303</v>
      </c>
      <c r="N37" s="155">
        <f t="shared" si="5"/>
        <v>2.8045296362573024</v>
      </c>
      <c r="O37" s="127">
        <v>28.306731283971203</v>
      </c>
      <c r="P37" s="127">
        <v>-8.2765906536960721</v>
      </c>
      <c r="Q37" s="127">
        <v>9.0193352638725663</v>
      </c>
      <c r="R37" s="127">
        <f t="shared" si="6"/>
        <v>0.74274461017649429</v>
      </c>
      <c r="S37" s="145"/>
      <c r="T37" s="155">
        <f t="shared" si="7"/>
        <v>3.078543964604763</v>
      </c>
      <c r="U37" s="127">
        <v>104.68705171177994</v>
      </c>
      <c r="V37" s="127">
        <v>15.213222380833514</v>
      </c>
      <c r="W37" s="127">
        <v>37.080135278778265</v>
      </c>
      <c r="X37" s="127">
        <f t="shared" si="8"/>
        <v>52.293357659611779</v>
      </c>
      <c r="Y37" s="128">
        <f t="shared" si="0"/>
        <v>0</v>
      </c>
      <c r="Z37" s="155">
        <f t="shared" si="9"/>
        <v>3.1854311581563932</v>
      </c>
      <c r="AA37" s="87">
        <v>84.169352157623123</v>
      </c>
      <c r="AB37" s="127">
        <v>11.293223881137797</v>
      </c>
      <c r="AC37" s="127">
        <v>31.000236702092703</v>
      </c>
      <c r="AD37" s="127">
        <f t="shared" si="10"/>
        <v>42.293460583230498</v>
      </c>
      <c r="AE37" s="141"/>
      <c r="AF37" s="155">
        <f t="shared" si="11"/>
        <v>2.8758144240809802</v>
      </c>
      <c r="AG37" s="127">
        <v>1.561209729824472</v>
      </c>
      <c r="AH37" s="127">
        <v>-0.14303116627554172</v>
      </c>
      <c r="AI37" s="127">
        <v>0.51176550062084825</v>
      </c>
      <c r="AJ37" s="127">
        <f t="shared" si="12"/>
        <v>0.36873433434530656</v>
      </c>
      <c r="AL37" s="155">
        <f t="shared" si="13"/>
        <v>3.0188955093647607</v>
      </c>
      <c r="AM37" s="127">
        <v>12.208732860551185</v>
      </c>
      <c r="AN37" s="127">
        <v>-2.5285459351532285</v>
      </c>
      <c r="AO37" s="127">
        <v>4.2289079044003817</v>
      </c>
      <c r="AP37" s="127">
        <f t="shared" si="14"/>
        <v>1.7003619692471532</v>
      </c>
      <c r="AQ37" s="145"/>
      <c r="AR37" s="155">
        <f t="shared" si="15"/>
        <v>3.2208226301510656</v>
      </c>
      <c r="AS37" s="127">
        <v>70.39940956724746</v>
      </c>
      <c r="AT37" s="127">
        <v>13.964800982566569</v>
      </c>
      <c r="AU37" s="127">
        <v>26.259563297071477</v>
      </c>
      <c r="AV37" s="127">
        <f t="shared" si="16"/>
        <v>40.224364279638046</v>
      </c>
      <c r="AW37" s="128">
        <f t="shared" si="17"/>
        <v>0</v>
      </c>
      <c r="AX37" s="155">
        <f t="shared" si="18"/>
        <v>2.7267134522667158</v>
      </c>
      <c r="AY37" s="87">
        <v>51.927409634180037</v>
      </c>
      <c r="AZ37" s="127">
        <v>-6.0856524291559531</v>
      </c>
      <c r="BA37" s="127">
        <v>16.029026927967443</v>
      </c>
      <c r="BB37" s="127">
        <f t="shared" si="19"/>
        <v>9.9433744988114903</v>
      </c>
      <c r="BC37" s="141"/>
      <c r="BD37" s="155">
        <f t="shared" si="20"/>
        <v>2.6091217857213467</v>
      </c>
      <c r="BE37" s="127">
        <v>2.7243795006504485</v>
      </c>
      <c r="BF37" s="127">
        <v>-1.1532037322243214</v>
      </c>
      <c r="BG37" s="127">
        <v>0.80036230481528592</v>
      </c>
      <c r="BH37" s="127">
        <f t="shared" si="21"/>
        <v>-0.35284142740903546</v>
      </c>
      <c r="BJ37" s="155">
        <f t="shared" si="22"/>
        <v>2.6299443244254261</v>
      </c>
      <c r="BK37" s="127">
        <v>15.359163285338358</v>
      </c>
      <c r="BL37" s="127">
        <v>-5.9558823651697637</v>
      </c>
      <c r="BM37" s="127">
        <v>4.5525435996448893</v>
      </c>
      <c r="BN37" s="127">
        <f t="shared" si="23"/>
        <v>-1.4033387655248744</v>
      </c>
      <c r="BO37" s="145"/>
      <c r="BP37" s="155">
        <f t="shared" si="24"/>
        <v>2.7797379262401334</v>
      </c>
      <c r="BQ37" s="127">
        <v>33.843866848191233</v>
      </c>
      <c r="BR37" s="127">
        <v>1.0234336682381324</v>
      </c>
      <c r="BS37" s="127">
        <v>10.676121023507269</v>
      </c>
      <c r="BT37" s="127">
        <f t="shared" si="25"/>
        <v>11.699554691745401</v>
      </c>
      <c r="BU37" s="128">
        <f t="shared" si="26"/>
        <v>0</v>
      </c>
      <c r="BV37" s="155">
        <f t="shared" si="27"/>
        <v>2.6792477491861755</v>
      </c>
      <c r="BW37" s="87">
        <v>0.56980182682378044</v>
      </c>
      <c r="BX37" s="127">
        <v>1.0313467302711063E-2</v>
      </c>
      <c r="BY37" s="127">
        <v>0.17244888032198771</v>
      </c>
      <c r="BZ37" s="127">
        <f t="shared" si="28"/>
        <v>0.18276234762469878</v>
      </c>
      <c r="CA37" s="141"/>
      <c r="CB37" s="155">
        <f t="shared" si="29"/>
        <v>2.8367883930212612</v>
      </c>
      <c r="CC37" s="127">
        <v>0.20099431010344829</v>
      </c>
      <c r="CD37" s="127">
        <v>-5.7907920738398629E-2</v>
      </c>
      <c r="CE37" s="127">
        <v>6.4875370800946713E-2</v>
      </c>
      <c r="CF37" s="127">
        <f t="shared" si="30"/>
        <v>6.9674500625480848E-3</v>
      </c>
      <c r="CH37" s="155">
        <f t="shared" si="31"/>
        <v>2.5723272891071236</v>
      </c>
      <c r="CI37" s="127">
        <v>0.24513927427280902</v>
      </c>
      <c r="CJ37" s="127">
        <v>6.3410914542454982E-2</v>
      </c>
      <c r="CK37" s="127">
        <v>7.0881032615846981E-2</v>
      </c>
      <c r="CL37" s="127">
        <f t="shared" si="32"/>
        <v>0.13429194715830195</v>
      </c>
      <c r="CM37" s="145"/>
      <c r="CN37" s="155">
        <f t="shared" si="33"/>
        <v>2.6322808837923928</v>
      </c>
      <c r="CO37" s="127">
        <v>0.12366824244752304</v>
      </c>
      <c r="CP37" s="127">
        <v>4.8104734986547104E-3</v>
      </c>
      <c r="CQ37" s="127">
        <v>3.6692476905194005E-2</v>
      </c>
      <c r="CR37" s="127">
        <f t="shared" si="34"/>
        <v>4.1502950403848715E-2</v>
      </c>
      <c r="CS37" s="128">
        <f t="shared" si="35"/>
        <v>0</v>
      </c>
      <c r="CT37" s="155">
        <f t="shared" si="36"/>
        <v>2.9441443737506567</v>
      </c>
      <c r="CU37" s="87">
        <v>1.4034363813727799</v>
      </c>
      <c r="CV37" s="127">
        <v>3.0115080715330519E-2</v>
      </c>
      <c r="CW37" s="127">
        <v>0.47246158918098952</v>
      </c>
      <c r="CX37" s="127">
        <f t="shared" si="37"/>
        <v>0.50257666989631999</v>
      </c>
      <c r="CY37" s="141"/>
      <c r="CZ37" s="155">
        <f t="shared" si="38"/>
        <v>2.9337226933785931</v>
      </c>
      <c r="DA37" s="127">
        <v>0.58963346367021108</v>
      </c>
      <c r="DB37" s="127">
        <v>-0.33448890789929281</v>
      </c>
      <c r="DC37" s="127">
        <v>0.19770038067521037</v>
      </c>
      <c r="DD37" s="127">
        <f t="shared" si="39"/>
        <v>-0.13678852722408244</v>
      </c>
      <c r="DF37" s="155">
        <f t="shared" si="40"/>
        <v>2.9566467111862726</v>
      </c>
      <c r="DG37" s="127">
        <v>0.49369586380885072</v>
      </c>
      <c r="DH37" s="127">
        <v>0.14442673208446449</v>
      </c>
      <c r="DI37" s="127">
        <v>0.16700272721144677</v>
      </c>
      <c r="DJ37" s="127">
        <f t="shared" si="41"/>
        <v>0.31142945929591126</v>
      </c>
      <c r="DK37" s="145"/>
      <c r="DL37" s="155">
        <f t="shared" si="42"/>
        <v>2.944039552625588</v>
      </c>
      <c r="DM37" s="127">
        <v>0.32010705389371841</v>
      </c>
      <c r="DN37" s="127">
        <v>0.22017725653015885</v>
      </c>
      <c r="DO37" s="127">
        <v>0.10775848129433241</v>
      </c>
      <c r="DP37" s="127">
        <f t="shared" si="43"/>
        <v>0.32793573782449126</v>
      </c>
    </row>
    <row r="38" spans="1:120" x14ac:dyDescent="0.2">
      <c r="A38" s="128">
        <f>name!B34</f>
        <v>0</v>
      </c>
      <c r="B38" s="155">
        <f t="shared" si="1"/>
        <v>2.8257154904523185</v>
      </c>
      <c r="C38" s="87">
        <v>26.81499999999993</v>
      </c>
      <c r="D38" s="127">
        <v>7.5369999999999937</v>
      </c>
      <c r="E38" s="127">
        <v>8.6169620938889029</v>
      </c>
      <c r="F38" s="127">
        <f t="shared" si="2"/>
        <v>16.153962093888897</v>
      </c>
      <c r="G38" s="141"/>
      <c r="H38" s="155">
        <f t="shared" si="3"/>
        <v>2.7595137651860391</v>
      </c>
      <c r="I38" s="127">
        <v>9.6078449399321268</v>
      </c>
      <c r="J38" s="127">
        <v>1.1945418938920125</v>
      </c>
      <c r="K38" s="127">
        <v>3.0059681556585636</v>
      </c>
      <c r="L38" s="127">
        <f t="shared" si="4"/>
        <v>4.2005100495505765</v>
      </c>
      <c r="N38" s="155">
        <f t="shared" si="5"/>
        <v>2.7341953758082793</v>
      </c>
      <c r="O38" s="127">
        <v>9.4171479489873615</v>
      </c>
      <c r="P38" s="127">
        <v>4.3258837135697759</v>
      </c>
      <c r="Q38" s="127">
        <v>2.9158776210009156</v>
      </c>
      <c r="R38" s="127">
        <f t="shared" si="6"/>
        <v>7.2417613345706915</v>
      </c>
      <c r="S38" s="145"/>
      <c r="T38" s="155">
        <f t="shared" si="7"/>
        <v>3.0157359045575483</v>
      </c>
      <c r="U38" s="127">
        <v>7.7900071110804436</v>
      </c>
      <c r="V38" s="127">
        <v>2.0165743925382058</v>
      </c>
      <c r="W38" s="127">
        <v>2.6951163172294232</v>
      </c>
      <c r="X38" s="127">
        <f t="shared" si="8"/>
        <v>4.7116907097676286</v>
      </c>
      <c r="Y38" s="128">
        <f t="shared" si="0"/>
        <v>0</v>
      </c>
      <c r="Z38" s="155">
        <f t="shared" si="9"/>
        <v>2.9620533437984875</v>
      </c>
      <c r="AA38" s="87">
        <v>14.110138053458403</v>
      </c>
      <c r="AB38" s="127">
        <v>3.9764107081502162</v>
      </c>
      <c r="AC38" s="127">
        <v>4.782961494721258</v>
      </c>
      <c r="AD38" s="127">
        <f t="shared" si="10"/>
        <v>8.7593722028714751</v>
      </c>
      <c r="AE38" s="141"/>
      <c r="AF38" s="155">
        <f t="shared" si="11"/>
        <v>3.0508290138248517</v>
      </c>
      <c r="AG38" s="127">
        <v>2.6202275395242833</v>
      </c>
      <c r="AH38" s="127">
        <v>0.73551593091479284</v>
      </c>
      <c r="AI38" s="127">
        <v>0.91855524570148372</v>
      </c>
      <c r="AJ38" s="127">
        <f t="shared" si="12"/>
        <v>1.6540711766162766</v>
      </c>
      <c r="AL38" s="155">
        <f t="shared" si="13"/>
        <v>2.7890299588156253</v>
      </c>
      <c r="AM38" s="127">
        <v>5.0463247440146821</v>
      </c>
      <c r="AN38" s="127">
        <v>1.6277822226639092</v>
      </c>
      <c r="AO38" s="127">
        <v>1.5978779135482615</v>
      </c>
      <c r="AP38" s="127">
        <f t="shared" si="14"/>
        <v>3.2256601362121708</v>
      </c>
      <c r="AQ38" s="145"/>
      <c r="AR38" s="155">
        <f t="shared" si="15"/>
        <v>3.0598777753332529</v>
      </c>
      <c r="AS38" s="127">
        <v>6.4435857699194363</v>
      </c>
      <c r="AT38" s="127">
        <v>1.6131125545715137</v>
      </c>
      <c r="AU38" s="127">
        <v>2.266528335471512</v>
      </c>
      <c r="AV38" s="127">
        <f t="shared" si="16"/>
        <v>3.8796408900430257</v>
      </c>
      <c r="AW38" s="128">
        <f t="shared" si="17"/>
        <v>0</v>
      </c>
      <c r="AX38" s="155">
        <f t="shared" si="18"/>
        <v>2.6178151526021098</v>
      </c>
      <c r="AY38" s="87">
        <v>7.6620754162084248</v>
      </c>
      <c r="AZ38" s="127">
        <v>4.1655399185813149</v>
      </c>
      <c r="BA38" s="127">
        <v>2.2593497360645594</v>
      </c>
      <c r="BB38" s="127">
        <f t="shared" si="19"/>
        <v>6.4248896546458738</v>
      </c>
      <c r="BC38" s="141"/>
      <c r="BD38" s="155">
        <f t="shared" si="20"/>
        <v>2.5608888175541633</v>
      </c>
      <c r="BE38" s="127">
        <v>3.3773615761310447</v>
      </c>
      <c r="BF38" s="127">
        <v>1.945929096670862</v>
      </c>
      <c r="BG38" s="127">
        <v>0.97169760077091438</v>
      </c>
      <c r="BH38" s="127">
        <f t="shared" si="21"/>
        <v>2.9176266974417766</v>
      </c>
      <c r="BJ38" s="155">
        <f t="shared" si="22"/>
        <v>2.6173073729337526</v>
      </c>
      <c r="BK38" s="127">
        <v>3.0704844325527145</v>
      </c>
      <c r="BL38" s="127">
        <v>1.9069257326115823</v>
      </c>
      <c r="BM38" s="127">
        <v>0.90521045953698565</v>
      </c>
      <c r="BN38" s="127">
        <f t="shared" si="23"/>
        <v>2.8121361921485679</v>
      </c>
      <c r="BO38" s="145"/>
      <c r="BP38" s="155">
        <f t="shared" si="24"/>
        <v>2.7759432511544002</v>
      </c>
      <c r="BQ38" s="127">
        <v>1.2142294075246651</v>
      </c>
      <c r="BR38" s="127">
        <v>0.31268508929887001</v>
      </c>
      <c r="BS38" s="127">
        <v>0.38244167575665899</v>
      </c>
      <c r="BT38" s="127">
        <f t="shared" si="25"/>
        <v>0.69512676505552906</v>
      </c>
      <c r="BU38" s="128">
        <f t="shared" si="26"/>
        <v>0</v>
      </c>
      <c r="BV38" s="155">
        <f t="shared" si="27"/>
        <v>2.414473236517467</v>
      </c>
      <c r="BW38" s="87">
        <v>1.7431494173157795</v>
      </c>
      <c r="BX38" s="127">
        <v>0.61248561781568023</v>
      </c>
      <c r="BY38" s="127">
        <v>0.46968017566679687</v>
      </c>
      <c r="BZ38" s="127">
        <f t="shared" si="28"/>
        <v>1.0821657934824771</v>
      </c>
      <c r="CA38" s="141"/>
      <c r="CB38" s="155">
        <f t="shared" si="29"/>
        <v>2.3405169267602499</v>
      </c>
      <c r="CC38" s="127">
        <v>1.2042700345147108</v>
      </c>
      <c r="CD38" s="127">
        <v>0.30980767932272152</v>
      </c>
      <c r="CE38" s="127">
        <v>0.31347892181305265</v>
      </c>
      <c r="CF38" s="127">
        <f t="shared" si="30"/>
        <v>0.62328660113577417</v>
      </c>
      <c r="CH38" s="155">
        <f t="shared" si="31"/>
        <v>2.5716323827520871</v>
      </c>
      <c r="CI38" s="127">
        <v>0.51030481802269645</v>
      </c>
      <c r="CJ38" s="127">
        <v>0.30519047738461286</v>
      </c>
      <c r="CK38" s="127">
        <v>0.14750801317099851</v>
      </c>
      <c r="CL38" s="127">
        <f t="shared" si="32"/>
        <v>0.4526984905556114</v>
      </c>
      <c r="CM38" s="145"/>
      <c r="CN38" s="155">
        <f t="shared" si="33"/>
        <v>2.6917180041436728</v>
      </c>
      <c r="CO38" s="127">
        <v>2.8574564778372218E-2</v>
      </c>
      <c r="CP38" s="127">
        <v>-2.5125388916541216E-3</v>
      </c>
      <c r="CQ38" s="127">
        <v>8.6932406827457485E-3</v>
      </c>
      <c r="CR38" s="127">
        <f t="shared" si="34"/>
        <v>6.1807017910916265E-3</v>
      </c>
      <c r="CS38" s="128">
        <f t="shared" si="35"/>
        <v>0</v>
      </c>
      <c r="CT38" s="155">
        <f t="shared" si="36"/>
        <v>2.930505677421591</v>
      </c>
      <c r="CU38" s="87">
        <v>3.299637113017325</v>
      </c>
      <c r="CV38" s="127">
        <v>-1.2174362445472158</v>
      </c>
      <c r="CW38" s="127">
        <v>1.1049706874362895</v>
      </c>
      <c r="CX38" s="127">
        <f t="shared" si="37"/>
        <v>-0.11246555711092632</v>
      </c>
      <c r="CY38" s="141"/>
      <c r="CZ38" s="155">
        <f t="shared" si="38"/>
        <v>2.919374445859102</v>
      </c>
      <c r="DA38" s="127">
        <v>2.4059857897620875</v>
      </c>
      <c r="DB38" s="127">
        <v>-1.7967108130163638</v>
      </c>
      <c r="DC38" s="127">
        <v>0.80223638737311287</v>
      </c>
      <c r="DD38" s="127">
        <f t="shared" si="39"/>
        <v>-0.99447442564325095</v>
      </c>
      <c r="DF38" s="155">
        <f t="shared" si="40"/>
        <v>2.937506325372885</v>
      </c>
      <c r="DG38" s="127">
        <v>0.79003395439726709</v>
      </c>
      <c r="DH38" s="127">
        <v>0.48598528090967197</v>
      </c>
      <c r="DI38" s="127">
        <v>0.26528123474467041</v>
      </c>
      <c r="DJ38" s="127">
        <f t="shared" si="41"/>
        <v>0.75126651565434233</v>
      </c>
      <c r="DK38" s="145"/>
      <c r="DL38" s="155">
        <f t="shared" si="42"/>
        <v>3.1336395897629599</v>
      </c>
      <c r="DM38" s="127">
        <v>0.10361736885797046</v>
      </c>
      <c r="DN38" s="127">
        <v>9.3289287559476172E-2</v>
      </c>
      <c r="DO38" s="127">
        <v>3.7453065318506049E-2</v>
      </c>
      <c r="DP38" s="127">
        <f t="shared" si="43"/>
        <v>0.13074235287798222</v>
      </c>
    </row>
    <row r="39" spans="1:120" x14ac:dyDescent="0.2">
      <c r="A39" s="128">
        <f>name!B35</f>
        <v>0</v>
      </c>
      <c r="B39" s="155">
        <f t="shared" si="1"/>
        <v>2.9211108203484271</v>
      </c>
      <c r="C39" s="87">
        <v>368.77606295320101</v>
      </c>
      <c r="D39" s="127">
        <v>84.761622092085645</v>
      </c>
      <c r="E39" s="127">
        <v>123.04528099391801</v>
      </c>
      <c r="F39" s="127">
        <f t="shared" si="2"/>
        <v>207.80690308600367</v>
      </c>
      <c r="G39" s="141"/>
      <c r="H39" s="155">
        <f t="shared" si="3"/>
        <v>2.7717249598931071</v>
      </c>
      <c r="I39" s="127">
        <v>32.837927119185728</v>
      </c>
      <c r="J39" s="127">
        <v>4.3237049506459986</v>
      </c>
      <c r="K39" s="127">
        <v>10.325129723137874</v>
      </c>
      <c r="L39" s="127">
        <f t="shared" si="4"/>
        <v>14.648834673783872</v>
      </c>
      <c r="N39" s="155">
        <f t="shared" si="5"/>
        <v>2.7656612940708758</v>
      </c>
      <c r="O39" s="127">
        <v>92.687769994006359</v>
      </c>
      <c r="P39" s="127">
        <v>19.710235186067983</v>
      </c>
      <c r="Q39" s="127">
        <v>29.071671128619347</v>
      </c>
      <c r="R39" s="127">
        <f t="shared" si="6"/>
        <v>48.781906314687333</v>
      </c>
      <c r="S39" s="145"/>
      <c r="T39" s="155">
        <f t="shared" si="7"/>
        <v>2.9997068221470746</v>
      </c>
      <c r="U39" s="127">
        <v>243.25036584000898</v>
      </c>
      <c r="V39" s="127">
        <v>60.727681955371672</v>
      </c>
      <c r="W39" s="127">
        <v>83.648480142160807</v>
      </c>
      <c r="X39" s="127">
        <f t="shared" si="8"/>
        <v>144.37616209753247</v>
      </c>
      <c r="Y39" s="128">
        <f t="shared" si="0"/>
        <v>0</v>
      </c>
      <c r="Z39" s="155">
        <f t="shared" si="9"/>
        <v>2.9792358460889012</v>
      </c>
      <c r="AA39" s="87">
        <v>289.04342517306725</v>
      </c>
      <c r="AB39" s="127">
        <v>66.861243610511465</v>
      </c>
      <c r="AC39" s="127">
        <v>98.624387051621596</v>
      </c>
      <c r="AD39" s="127">
        <f t="shared" si="10"/>
        <v>165.48563066213308</v>
      </c>
      <c r="AE39" s="141"/>
      <c r="AF39" s="155">
        <f t="shared" si="11"/>
        <v>2.8543057167711661</v>
      </c>
      <c r="AG39" s="127">
        <v>18.48236538854206</v>
      </c>
      <c r="AH39" s="127">
        <v>4.0960252972031945</v>
      </c>
      <c r="AI39" s="127">
        <v>6.0072701306023175</v>
      </c>
      <c r="AJ39" s="127">
        <f t="shared" si="12"/>
        <v>10.103295427805513</v>
      </c>
      <c r="AL39" s="155">
        <f t="shared" si="13"/>
        <v>2.8320236000210164</v>
      </c>
      <c r="AM39" s="127">
        <v>54.824002647872582</v>
      </c>
      <c r="AN39" s="127">
        <v>11.073850669427829</v>
      </c>
      <c r="AO39" s="127">
        <v>17.662068695155931</v>
      </c>
      <c r="AP39" s="127">
        <f t="shared" si="14"/>
        <v>28.735919364583758</v>
      </c>
      <c r="AQ39" s="145"/>
      <c r="AR39" s="155">
        <f t="shared" si="15"/>
        <v>3.0269513060553033</v>
      </c>
      <c r="AS39" s="127">
        <v>215.73705713665262</v>
      </c>
      <c r="AT39" s="127">
        <v>51.691367643880433</v>
      </c>
      <c r="AU39" s="127">
        <v>74.955048225863351</v>
      </c>
      <c r="AV39" s="127">
        <f t="shared" si="16"/>
        <v>126.64641586974378</v>
      </c>
      <c r="AW39" s="128">
        <f t="shared" si="17"/>
        <v>0</v>
      </c>
      <c r="AX39" s="155">
        <f t="shared" si="18"/>
        <v>2.6968748254135422</v>
      </c>
      <c r="AY39" s="87">
        <v>69.208761822942577</v>
      </c>
      <c r="AZ39" s="127">
        <v>17.364813908921313</v>
      </c>
      <c r="BA39" s="127">
        <v>21.100721406247324</v>
      </c>
      <c r="BB39" s="127">
        <f t="shared" si="19"/>
        <v>38.465535315168637</v>
      </c>
      <c r="BC39" s="141"/>
      <c r="BD39" s="155">
        <f t="shared" si="20"/>
        <v>2.6111478879813799</v>
      </c>
      <c r="BE39" s="127">
        <v>8.5643903989708114</v>
      </c>
      <c r="BF39" s="127">
        <v>2.5133510791903837</v>
      </c>
      <c r="BG39" s="127">
        <v>2.5182161637376153</v>
      </c>
      <c r="BH39" s="127">
        <f t="shared" si="21"/>
        <v>5.0315672429279985</v>
      </c>
      <c r="BJ39" s="155">
        <f t="shared" si="22"/>
        <v>2.646322122033018</v>
      </c>
      <c r="BK39" s="127">
        <v>33.438393051364635</v>
      </c>
      <c r="BL39" s="127">
        <v>5.8534198050841955</v>
      </c>
      <c r="BM39" s="127">
        <v>9.9805580750418521</v>
      </c>
      <c r="BN39" s="127">
        <f t="shared" si="23"/>
        <v>15.833977880126048</v>
      </c>
      <c r="BO39" s="145"/>
      <c r="BP39" s="155">
        <f t="shared" si="24"/>
        <v>2.7854120715325115</v>
      </c>
      <c r="BQ39" s="127">
        <v>27.205978372607124</v>
      </c>
      <c r="BR39" s="127">
        <v>8.9980430246467371</v>
      </c>
      <c r="BS39" s="127">
        <v>8.6019471674678574</v>
      </c>
      <c r="BT39" s="127">
        <f t="shared" si="25"/>
        <v>17.599990192114596</v>
      </c>
      <c r="BU39" s="128">
        <f t="shared" si="26"/>
        <v>0</v>
      </c>
      <c r="BV39" s="155">
        <f t="shared" si="27"/>
        <v>2.5118352045522041</v>
      </c>
      <c r="BW39" s="87">
        <v>3.8656530906609365</v>
      </c>
      <c r="BX39" s="127">
        <v>1.3479415735600602</v>
      </c>
      <c r="BY39" s="127">
        <v>1.08842630099127</v>
      </c>
      <c r="BZ39" s="127">
        <f t="shared" si="28"/>
        <v>2.4363678745513302</v>
      </c>
      <c r="CA39" s="141"/>
      <c r="CB39" s="155">
        <f t="shared" si="29"/>
        <v>2.415283547581426</v>
      </c>
      <c r="CC39" s="127">
        <v>1.9483930173046786</v>
      </c>
      <c r="CD39" s="127">
        <v>0.36760454555590533</v>
      </c>
      <c r="CE39" s="127">
        <v>0.52517741956185582</v>
      </c>
      <c r="CF39" s="127">
        <f t="shared" si="30"/>
        <v>0.89278196511776109</v>
      </c>
      <c r="CH39" s="155">
        <f t="shared" si="31"/>
        <v>2.60322084904967</v>
      </c>
      <c r="CI39" s="127">
        <v>1.6099297426070227</v>
      </c>
      <c r="CJ39" s="127">
        <v>0.94206574115965114</v>
      </c>
      <c r="CK39" s="127">
        <v>0.47176413259982158</v>
      </c>
      <c r="CL39" s="127">
        <f t="shared" si="32"/>
        <v>1.4138298737594728</v>
      </c>
      <c r="CM39" s="145"/>
      <c r="CN39" s="155">
        <f t="shared" si="33"/>
        <v>2.6399932413593952</v>
      </c>
      <c r="CO39" s="127">
        <v>0.30733033074923499</v>
      </c>
      <c r="CP39" s="127">
        <v>3.8271286844503753E-2</v>
      </c>
      <c r="CQ39" s="127">
        <v>9.148474882959258E-2</v>
      </c>
      <c r="CR39" s="127">
        <f t="shared" si="34"/>
        <v>0.12975603567409633</v>
      </c>
      <c r="CS39" s="128">
        <f t="shared" si="35"/>
        <v>0</v>
      </c>
      <c r="CT39" s="155">
        <f t="shared" si="36"/>
        <v>2.9328961439813339</v>
      </c>
      <c r="CU39" s="87">
        <v>6.6582228665302994</v>
      </c>
      <c r="CV39" s="127">
        <v>-0.81237700090717724</v>
      </c>
      <c r="CW39" s="127">
        <v>2.2317462350578254</v>
      </c>
      <c r="CX39" s="127">
        <f t="shared" si="37"/>
        <v>1.4193692341506483</v>
      </c>
      <c r="CY39" s="141"/>
      <c r="CZ39" s="155">
        <f t="shared" si="38"/>
        <v>2.9056172918835443</v>
      </c>
      <c r="DA39" s="127">
        <v>3.8427783143681786</v>
      </c>
      <c r="DB39" s="127">
        <v>-2.6532759713034841</v>
      </c>
      <c r="DC39" s="127">
        <v>1.2744660092360849</v>
      </c>
      <c r="DD39" s="127">
        <f t="shared" si="39"/>
        <v>-1.3788099620673993</v>
      </c>
      <c r="DF39" s="155">
        <f t="shared" si="40"/>
        <v>2.9700241427257357</v>
      </c>
      <c r="DG39" s="127">
        <v>2.8154445521621203</v>
      </c>
      <c r="DH39" s="127">
        <v>1.840898970396307</v>
      </c>
      <c r="DI39" s="127">
        <v>0.95728022582174022</v>
      </c>
      <c r="DJ39" s="127">
        <f t="shared" si="41"/>
        <v>2.7981791962180473</v>
      </c>
      <c r="DK39" s="145"/>
      <c r="DL39" s="155">
        <f t="shared" si="42"/>
        <v>0</v>
      </c>
      <c r="DM39" s="127">
        <v>0</v>
      </c>
      <c r="DN39" s="127">
        <v>0</v>
      </c>
      <c r="DO39" s="127">
        <v>0</v>
      </c>
      <c r="DP39" s="127">
        <f t="shared" si="43"/>
        <v>0</v>
      </c>
    </row>
    <row r="40" spans="1:120" x14ac:dyDescent="0.2">
      <c r="A40" s="128">
        <f>name!B36</f>
        <v>0</v>
      </c>
      <c r="B40" s="155">
        <f t="shared" si="1"/>
        <v>2.6156670918794589</v>
      </c>
      <c r="C40" s="87">
        <v>59.103598741996336</v>
      </c>
      <c r="D40" s="127">
        <v>10.931351340026987</v>
      </c>
      <c r="E40" s="127">
        <v>17.412118425033665</v>
      </c>
      <c r="F40" s="127">
        <f t="shared" si="2"/>
        <v>28.343469765060654</v>
      </c>
      <c r="G40" s="141"/>
      <c r="H40" s="155">
        <f t="shared" si="3"/>
        <v>2.9162137159606694</v>
      </c>
      <c r="I40" s="127">
        <v>7.0907516731659292</v>
      </c>
      <c r="J40" s="127">
        <v>1.9187056475680879</v>
      </c>
      <c r="K40" s="127">
        <v>2.3613912018919283</v>
      </c>
      <c r="L40" s="127">
        <f t="shared" si="4"/>
        <v>4.2800968494600165</v>
      </c>
      <c r="N40" s="155">
        <f t="shared" si="5"/>
        <v>2.7970408811855085</v>
      </c>
      <c r="O40" s="127">
        <v>18.191156691215305</v>
      </c>
      <c r="P40" s="127">
        <v>8.022238906562599</v>
      </c>
      <c r="Q40" s="127">
        <v>5.7787557135900602</v>
      </c>
      <c r="R40" s="127">
        <f t="shared" si="6"/>
        <v>13.800994620152659</v>
      </c>
      <c r="S40" s="145"/>
      <c r="T40" s="155">
        <f t="shared" si="7"/>
        <v>2.4523227678848292</v>
      </c>
      <c r="U40" s="127">
        <v>33.821690377615099</v>
      </c>
      <c r="V40" s="127">
        <v>0.99040678589629894</v>
      </c>
      <c r="W40" s="127">
        <v>9.2719715095516726</v>
      </c>
      <c r="X40" s="127">
        <f t="shared" si="8"/>
        <v>10.262378295447972</v>
      </c>
      <c r="Y40" s="128">
        <f t="shared" si="0"/>
        <v>0</v>
      </c>
      <c r="Z40" s="155">
        <f t="shared" si="9"/>
        <v>2.484409578072122</v>
      </c>
      <c r="AA40" s="87">
        <v>44.995646288457721</v>
      </c>
      <c r="AB40" s="127">
        <v>0.7961289357498379</v>
      </c>
      <c r="AC40" s="127">
        <v>12.515037145045216</v>
      </c>
      <c r="AD40" s="127">
        <f t="shared" si="10"/>
        <v>13.311166080795054</v>
      </c>
      <c r="AE40" s="141"/>
      <c r="AF40" s="155">
        <f t="shared" si="11"/>
        <v>2.5511173362787742</v>
      </c>
      <c r="AG40" s="127">
        <v>2.5406257516550319</v>
      </c>
      <c r="AH40" s="127">
        <v>0.3259075522826399</v>
      </c>
      <c r="AI40" s="127">
        <v>0.72784543832994497</v>
      </c>
      <c r="AJ40" s="127">
        <f t="shared" si="12"/>
        <v>1.0537529906125849</v>
      </c>
      <c r="AL40" s="155">
        <f t="shared" si="13"/>
        <v>2.6421330232528906</v>
      </c>
      <c r="AM40" s="127">
        <v>11.02643601927363</v>
      </c>
      <c r="AN40" s="127">
        <v>-0.16285332189494414</v>
      </c>
      <c r="AO40" s="127">
        <v>3.2852845394032442</v>
      </c>
      <c r="AP40" s="127">
        <f t="shared" si="14"/>
        <v>3.1224312175083</v>
      </c>
      <c r="AQ40" s="145"/>
      <c r="AR40" s="155">
        <f t="shared" si="15"/>
        <v>2.4231158731658597</v>
      </c>
      <c r="AS40" s="127">
        <v>31.42858451752906</v>
      </c>
      <c r="AT40" s="127">
        <v>0.63307470536214216</v>
      </c>
      <c r="AU40" s="127">
        <v>8.5019071673120266</v>
      </c>
      <c r="AV40" s="127">
        <f t="shared" si="16"/>
        <v>9.1349818726741692</v>
      </c>
      <c r="AW40" s="128">
        <f t="shared" si="17"/>
        <v>0</v>
      </c>
      <c r="AX40" s="155">
        <f t="shared" si="18"/>
        <v>2.675817093692956</v>
      </c>
      <c r="AY40" s="87">
        <v>5.0502971452334489</v>
      </c>
      <c r="AZ40" s="127">
        <v>0.88079477764455349</v>
      </c>
      <c r="BA40" s="127">
        <v>1.5262601500564552</v>
      </c>
      <c r="BB40" s="127">
        <f t="shared" si="19"/>
        <v>2.4070549277010089</v>
      </c>
      <c r="BC40" s="141"/>
      <c r="BD40" s="155">
        <f t="shared" si="20"/>
        <v>2.6176394496400412</v>
      </c>
      <c r="BE40" s="127">
        <v>0.56332121807974112</v>
      </c>
      <c r="BF40" s="127">
        <v>6.7884082218324399E-2</v>
      </c>
      <c r="BG40" s="127">
        <v>0.16609650552913752</v>
      </c>
      <c r="BH40" s="127">
        <f t="shared" si="21"/>
        <v>0.23398058774746192</v>
      </c>
      <c r="BJ40" s="155">
        <f t="shared" si="22"/>
        <v>2.6168774278747309</v>
      </c>
      <c r="BK40" s="127">
        <v>2.8001519292734307</v>
      </c>
      <c r="BL40" s="127">
        <v>0.57994096053429567</v>
      </c>
      <c r="BM40" s="127">
        <v>0.8253617461934516</v>
      </c>
      <c r="BN40" s="127">
        <f t="shared" si="23"/>
        <v>1.4053027067277473</v>
      </c>
      <c r="BO40" s="145"/>
      <c r="BP40" s="155">
        <f t="shared" si="24"/>
        <v>2.7921892804910087</v>
      </c>
      <c r="BQ40" s="127">
        <v>1.6868239978802764</v>
      </c>
      <c r="BR40" s="127">
        <v>0.23296973489193351</v>
      </c>
      <c r="BS40" s="127">
        <v>0.53480189833386615</v>
      </c>
      <c r="BT40" s="127">
        <f t="shared" si="25"/>
        <v>0.76777163322579967</v>
      </c>
      <c r="BU40" s="128">
        <f t="shared" si="26"/>
        <v>0</v>
      </c>
      <c r="BV40" s="155">
        <f t="shared" si="27"/>
        <v>3.3032406781256851</v>
      </c>
      <c r="BW40" s="87">
        <v>7.5734451294849583</v>
      </c>
      <c r="BX40" s="127">
        <v>9.9445968505973621</v>
      </c>
      <c r="BY40" s="127">
        <v>2.9082842096564585</v>
      </c>
      <c r="BZ40" s="127">
        <f t="shared" si="28"/>
        <v>12.852881060253821</v>
      </c>
      <c r="CA40" s="141"/>
      <c r="CB40" s="155">
        <f t="shared" si="29"/>
        <v>3.3739759257654933</v>
      </c>
      <c r="CC40" s="127">
        <v>2.7837448344029059</v>
      </c>
      <c r="CD40" s="127">
        <v>2.278224621913898</v>
      </c>
      <c r="CE40" s="127">
        <v>1.0954503018874868</v>
      </c>
      <c r="CF40" s="127">
        <f t="shared" si="30"/>
        <v>3.373674923801385</v>
      </c>
      <c r="CH40" s="155">
        <f t="shared" si="31"/>
        <v>3.3175945471649371</v>
      </c>
      <c r="CI40" s="127">
        <v>4.0993032054196004</v>
      </c>
      <c r="CJ40" s="127">
        <v>7.5439376770551005</v>
      </c>
      <c r="CK40" s="127">
        <v>1.582064592612429</v>
      </c>
      <c r="CL40" s="127">
        <f t="shared" si="32"/>
        <v>9.1260022696675289</v>
      </c>
      <c r="CM40" s="145"/>
      <c r="CN40" s="155">
        <f t="shared" si="33"/>
        <v>2.9257200385051085</v>
      </c>
      <c r="CO40" s="127">
        <v>0.69039708966245217</v>
      </c>
      <c r="CP40" s="127">
        <v>0.1224345516283623</v>
      </c>
      <c r="CQ40" s="127">
        <v>0.23076931515654289</v>
      </c>
      <c r="CR40" s="127">
        <f t="shared" si="34"/>
        <v>0.35320386678490517</v>
      </c>
      <c r="CS40" s="128">
        <f t="shared" si="35"/>
        <v>0</v>
      </c>
      <c r="CT40" s="155">
        <f t="shared" si="36"/>
        <v>2.7499012245735921</v>
      </c>
      <c r="CU40" s="87">
        <v>1.4842101788202127</v>
      </c>
      <c r="CV40" s="127">
        <v>-0.69016922396476632</v>
      </c>
      <c r="CW40" s="127">
        <v>0.46253692027553084</v>
      </c>
      <c r="CX40" s="127">
        <f t="shared" si="37"/>
        <v>-0.22763230368923548</v>
      </c>
      <c r="CY40" s="141"/>
      <c r="CZ40" s="155">
        <f t="shared" si="38"/>
        <v>2.7308671095884973</v>
      </c>
      <c r="DA40" s="127">
        <v>1.2030598690282495</v>
      </c>
      <c r="DB40" s="127">
        <v>-0.75331060884677437</v>
      </c>
      <c r="DC40" s="127">
        <v>0.37199895614535888</v>
      </c>
      <c r="DD40" s="127">
        <f t="shared" si="39"/>
        <v>-0.38131165270141548</v>
      </c>
      <c r="DF40" s="155">
        <f t="shared" si="40"/>
        <v>2.8492227911662393</v>
      </c>
      <c r="DG40" s="127">
        <v>0.26526553724864882</v>
      </c>
      <c r="DH40" s="127">
        <v>6.1213590868147122E-2</v>
      </c>
      <c r="DI40" s="127">
        <v>8.6044835380935866E-2</v>
      </c>
      <c r="DJ40" s="127">
        <f t="shared" si="41"/>
        <v>0.14725842624908297</v>
      </c>
      <c r="DK40" s="145"/>
      <c r="DL40" s="155">
        <f t="shared" si="42"/>
        <v>2.5221830839160519</v>
      </c>
      <c r="DM40" s="127">
        <v>1.5884772543314236E-2</v>
      </c>
      <c r="DN40" s="127">
        <v>1.9277940138610408E-3</v>
      </c>
      <c r="DO40" s="127">
        <v>4.4931287492361305E-3</v>
      </c>
      <c r="DP40" s="127">
        <f t="shared" si="43"/>
        <v>6.4209227630971713E-3</v>
      </c>
    </row>
    <row r="41" spans="1:120" x14ac:dyDescent="0.2">
      <c r="A41" s="128">
        <f>name!B37</f>
        <v>0</v>
      </c>
      <c r="B41" s="155">
        <f t="shared" si="1"/>
        <v>2.6219584526235851</v>
      </c>
      <c r="C41" s="87">
        <v>9.5199829855549893</v>
      </c>
      <c r="D41" s="127">
        <v>1.2808958930051737</v>
      </c>
      <c r="E41" s="127">
        <v>2.8121772094303279</v>
      </c>
      <c r="F41" s="127">
        <f t="shared" si="2"/>
        <v>4.0930731024355014</v>
      </c>
      <c r="G41" s="141"/>
      <c r="H41" s="155">
        <f t="shared" si="3"/>
        <v>2.4658199500782629</v>
      </c>
      <c r="I41" s="127">
        <v>0.81619786230081037</v>
      </c>
      <c r="J41" s="127">
        <v>0.237585138792064</v>
      </c>
      <c r="K41" s="127">
        <v>0.22512559128548079</v>
      </c>
      <c r="L41" s="127">
        <f t="shared" si="4"/>
        <v>0.46271073007754482</v>
      </c>
      <c r="N41" s="155">
        <f t="shared" si="5"/>
        <v>2.6634862095569645</v>
      </c>
      <c r="O41" s="127">
        <v>2.0711276399167695</v>
      </c>
      <c r="P41" s="127">
        <v>0.44161042637100889</v>
      </c>
      <c r="Q41" s="127">
        <v>0.62268224619976209</v>
      </c>
      <c r="R41" s="127">
        <f t="shared" si="6"/>
        <v>1.0642926725707711</v>
      </c>
      <c r="S41" s="145"/>
      <c r="T41" s="155">
        <f t="shared" si="7"/>
        <v>2.628048625603352</v>
      </c>
      <c r="U41" s="127">
        <v>6.6326574833374119</v>
      </c>
      <c r="V41" s="127">
        <v>0.60170032784210092</v>
      </c>
      <c r="W41" s="127">
        <v>1.9643693719450848</v>
      </c>
      <c r="X41" s="127">
        <f t="shared" si="8"/>
        <v>2.5660696997871857</v>
      </c>
      <c r="Y41" s="128">
        <f t="shared" si="0"/>
        <v>0</v>
      </c>
      <c r="Z41" s="155">
        <f t="shared" si="9"/>
        <v>2.6231625982701789</v>
      </c>
      <c r="AA41" s="87">
        <v>7.8178668346409639</v>
      </c>
      <c r="AB41" s="127">
        <v>0.85873650454850714</v>
      </c>
      <c r="AC41" s="127">
        <v>2.3105650783484251</v>
      </c>
      <c r="AD41" s="127">
        <f t="shared" si="10"/>
        <v>3.1693015828969324</v>
      </c>
      <c r="AE41" s="141"/>
      <c r="AF41" s="155">
        <f t="shared" si="11"/>
        <v>2.4078323200257934</v>
      </c>
      <c r="AG41" s="127">
        <v>0.42302413000387928</v>
      </c>
      <c r="AH41" s="127">
        <v>0.33710538828897285</v>
      </c>
      <c r="AI41" s="127">
        <v>0.11363296527709778</v>
      </c>
      <c r="AJ41" s="127">
        <f t="shared" si="12"/>
        <v>0.45073835356607062</v>
      </c>
      <c r="AL41" s="155">
        <f t="shared" si="13"/>
        <v>2.7256227849607129</v>
      </c>
      <c r="AM41" s="127">
        <v>1.0976496509709948</v>
      </c>
      <c r="AN41" s="127">
        <v>1.0248190705673856E-3</v>
      </c>
      <c r="AO41" s="127">
        <v>0.33867155545083699</v>
      </c>
      <c r="AP41" s="127">
        <f t="shared" si="14"/>
        <v>0.33969637452140439</v>
      </c>
      <c r="AQ41" s="145"/>
      <c r="AR41" s="155">
        <f t="shared" si="15"/>
        <v>2.6195513042214014</v>
      </c>
      <c r="AS41" s="127">
        <v>6.2971930536660903</v>
      </c>
      <c r="AT41" s="127">
        <v>0.52060629718896689</v>
      </c>
      <c r="AU41" s="127">
        <v>1.8582605576204905</v>
      </c>
      <c r="AV41" s="127">
        <f t="shared" si="16"/>
        <v>2.3788668548094574</v>
      </c>
      <c r="AW41" s="128">
        <f t="shared" si="17"/>
        <v>0</v>
      </c>
      <c r="AX41" s="155">
        <f t="shared" si="18"/>
        <v>2.6785764491621844</v>
      </c>
      <c r="AY41" s="87">
        <v>0.96217009441048162</v>
      </c>
      <c r="AZ41" s="127">
        <v>0.19915521880321993</v>
      </c>
      <c r="BA41" s="127">
        <v>0.29111606469515938</v>
      </c>
      <c r="BB41" s="127">
        <f t="shared" si="19"/>
        <v>0.49027128349837934</v>
      </c>
      <c r="BC41" s="141"/>
      <c r="BD41" s="155">
        <f t="shared" si="20"/>
        <v>2.6372048618027666</v>
      </c>
      <c r="BE41" s="127">
        <v>0.12023971653791019</v>
      </c>
      <c r="BF41" s="127">
        <v>4.7709276205164207E-3</v>
      </c>
      <c r="BG41" s="127">
        <v>3.5750049535400286E-2</v>
      </c>
      <c r="BH41" s="127">
        <f t="shared" si="21"/>
        <v>4.052097715591671E-2</v>
      </c>
      <c r="BJ41" s="155">
        <f t="shared" si="22"/>
        <v>2.6370907343919114</v>
      </c>
      <c r="BK41" s="127">
        <v>0.59167940202908853</v>
      </c>
      <c r="BL41" s="127">
        <v>0.15764745541630559</v>
      </c>
      <c r="BM41" s="127">
        <v>0.17591143975903728</v>
      </c>
      <c r="BN41" s="127">
        <f t="shared" si="23"/>
        <v>0.33355889517534287</v>
      </c>
      <c r="BO41" s="145"/>
      <c r="BP41" s="155">
        <f t="shared" si="24"/>
        <v>2.7957236007542408</v>
      </c>
      <c r="BQ41" s="127">
        <v>0.25025097584348277</v>
      </c>
      <c r="BR41" s="127">
        <v>3.6736835766397878E-2</v>
      </c>
      <c r="BS41" s="127">
        <v>7.945457540072183E-2</v>
      </c>
      <c r="BT41" s="127">
        <f t="shared" si="25"/>
        <v>0.1161914111671197</v>
      </c>
      <c r="BU41" s="128">
        <f t="shared" si="26"/>
        <v>0</v>
      </c>
      <c r="BV41" s="155">
        <f t="shared" si="27"/>
        <v>2.5508183926929773</v>
      </c>
      <c r="BW41" s="87">
        <v>0.50584005818189604</v>
      </c>
      <c r="BX41" s="127">
        <v>0.32238456824668921</v>
      </c>
      <c r="BY41" s="127">
        <v>0.1448954785012399</v>
      </c>
      <c r="BZ41" s="127">
        <f t="shared" si="28"/>
        <v>0.46728004674792911</v>
      </c>
      <c r="CA41" s="141"/>
      <c r="CB41" s="155">
        <f t="shared" si="29"/>
        <v>2.5367449852401247</v>
      </c>
      <c r="CC41" s="127">
        <v>9.1589573227019994E-2</v>
      </c>
      <c r="CD41" s="127">
        <v>-4.2808638867016524E-3</v>
      </c>
      <c r="CE41" s="127">
        <v>2.6073802070792795E-2</v>
      </c>
      <c r="CF41" s="127">
        <f t="shared" si="30"/>
        <v>2.1792938184091143E-2</v>
      </c>
      <c r="CH41" s="155">
        <f t="shared" si="31"/>
        <v>2.5204548632431933</v>
      </c>
      <c r="CI41" s="127">
        <v>0.33966700342259021</v>
      </c>
      <c r="CJ41" s="127">
        <v>0.28850292379729831</v>
      </c>
      <c r="CK41" s="127">
        <v>9.6003947721158597E-2</v>
      </c>
      <c r="CL41" s="127">
        <f t="shared" si="32"/>
        <v>0.38450687151845692</v>
      </c>
      <c r="CM41" s="145"/>
      <c r="CN41" s="155">
        <f t="shared" si="33"/>
        <v>2.7051379124598762</v>
      </c>
      <c r="CO41" s="127">
        <v>7.458348153228582E-2</v>
      </c>
      <c r="CP41" s="127">
        <v>3.8162508336092499E-2</v>
      </c>
      <c r="CQ41" s="127">
        <v>2.2817728709288516E-2</v>
      </c>
      <c r="CR41" s="127">
        <f t="shared" si="34"/>
        <v>6.0980237045381011E-2</v>
      </c>
      <c r="CS41" s="128">
        <f t="shared" si="35"/>
        <v>0</v>
      </c>
      <c r="CT41" s="155">
        <f t="shared" si="36"/>
        <v>2.5010642333554323</v>
      </c>
      <c r="CU41" s="87">
        <v>0.23410599832164924</v>
      </c>
      <c r="CV41" s="127">
        <v>-9.9380398593242464E-2</v>
      </c>
      <c r="CW41" s="127">
        <v>6.5600587885503062E-2</v>
      </c>
      <c r="CX41" s="127">
        <f t="shared" si="37"/>
        <v>-3.3779810707739402E-2</v>
      </c>
      <c r="CY41" s="141"/>
      <c r="CZ41" s="155">
        <f t="shared" si="38"/>
        <v>2.4503054838948435</v>
      </c>
      <c r="DA41" s="127">
        <v>0.18134444253200094</v>
      </c>
      <c r="DB41" s="127">
        <v>-0.10001031323072365</v>
      </c>
      <c r="DC41" s="127">
        <v>4.9668774402189947E-2</v>
      </c>
      <c r="DD41" s="127">
        <f t="shared" si="39"/>
        <v>-5.0341538828533705E-2</v>
      </c>
      <c r="DF41" s="155">
        <f t="shared" si="40"/>
        <v>2.5559091493363884</v>
      </c>
      <c r="DG41" s="127">
        <v>4.2131583494095966E-2</v>
      </c>
      <c r="DH41" s="127">
        <v>-5.5647719131624168E-3</v>
      </c>
      <c r="DI41" s="127">
        <v>1.2095303268729192E-2</v>
      </c>
      <c r="DJ41" s="127">
        <f t="shared" si="41"/>
        <v>6.5305313555667748E-3</v>
      </c>
      <c r="DK41" s="145"/>
      <c r="DL41" s="155">
        <f t="shared" si="42"/>
        <v>3.1295401767871711</v>
      </c>
      <c r="DM41" s="127">
        <v>1.0629972295552376E-2</v>
      </c>
      <c r="DN41" s="127">
        <v>6.1946865506436119E-3</v>
      </c>
      <c r="DO41" s="127">
        <v>3.8365102145839292E-3</v>
      </c>
      <c r="DP41" s="127">
        <f t="shared" si="43"/>
        <v>1.003119676522754E-2</v>
      </c>
    </row>
    <row r="42" spans="1:120" x14ac:dyDescent="0.2">
      <c r="A42" s="128">
        <f>name!B38</f>
        <v>0</v>
      </c>
      <c r="B42" s="155">
        <f t="shared" si="1"/>
        <v>2.7659066814350819</v>
      </c>
      <c r="C42" s="87">
        <v>41.327917877507424</v>
      </c>
      <c r="D42" s="127">
        <v>5.5428905332373821</v>
      </c>
      <c r="E42" s="127">
        <v>12.963865628503205</v>
      </c>
      <c r="F42" s="127">
        <f t="shared" si="2"/>
        <v>18.506756161740586</v>
      </c>
      <c r="G42" s="141"/>
      <c r="H42" s="155">
        <f t="shared" si="3"/>
        <v>2.5883895459776651</v>
      </c>
      <c r="I42" s="127">
        <v>6.6477909633603698</v>
      </c>
      <c r="J42" s="127">
        <v>0.46903863547743174</v>
      </c>
      <c r="K42" s="127">
        <v>1.9356115118566004</v>
      </c>
      <c r="L42" s="127">
        <f t="shared" si="4"/>
        <v>2.4046501473340323</v>
      </c>
      <c r="N42" s="155">
        <f t="shared" si="5"/>
        <v>2.6369495607399429</v>
      </c>
      <c r="O42" s="127">
        <v>13.326579267199337</v>
      </c>
      <c r="P42" s="127">
        <v>1.877839557749986</v>
      </c>
      <c r="Q42" s="127">
        <v>3.9618702925814446</v>
      </c>
      <c r="R42" s="127">
        <f t="shared" si="6"/>
        <v>5.8397098503314311</v>
      </c>
      <c r="S42" s="145"/>
      <c r="T42" s="155">
        <f t="shared" si="7"/>
        <v>2.8999820012332478</v>
      </c>
      <c r="U42" s="127">
        <v>21.35354764694771</v>
      </c>
      <c r="V42" s="127">
        <v>3.1960123400099647</v>
      </c>
      <c r="W42" s="127">
        <v>7.0663838240651593</v>
      </c>
      <c r="X42" s="127">
        <f t="shared" si="8"/>
        <v>10.262396164075124</v>
      </c>
      <c r="Y42" s="128">
        <f t="shared" si="0"/>
        <v>0</v>
      </c>
      <c r="Z42" s="155">
        <f t="shared" si="9"/>
        <v>2.8515281797403702</v>
      </c>
      <c r="AA42" s="87">
        <v>28.851400371214467</v>
      </c>
      <c r="AB42" s="127">
        <v>2.9117941769720685</v>
      </c>
      <c r="AC42" s="127">
        <v>9.3671654902328125</v>
      </c>
      <c r="AD42" s="127">
        <f t="shared" si="10"/>
        <v>12.27895966720488</v>
      </c>
      <c r="AE42" s="141"/>
      <c r="AF42" s="155">
        <f t="shared" si="11"/>
        <v>2.7312978006911237</v>
      </c>
      <c r="AG42" s="127">
        <v>2.3074493769266002</v>
      </c>
      <c r="AH42" s="127">
        <v>8.8154748807107802E-2</v>
      </c>
      <c r="AI42" s="127">
        <v>0.7136146359797787</v>
      </c>
      <c r="AJ42" s="127">
        <f t="shared" si="12"/>
        <v>0.80176938478688653</v>
      </c>
      <c r="AL42" s="155">
        <f t="shared" si="13"/>
        <v>2.6978647455589311</v>
      </c>
      <c r="AM42" s="127">
        <v>7.996889456722271</v>
      </c>
      <c r="AN42" s="127">
        <v>0.23978644928801202</v>
      </c>
      <c r="AO42" s="127">
        <v>2.4391384738532835</v>
      </c>
      <c r="AP42" s="127">
        <f t="shared" si="14"/>
        <v>2.6789249231412957</v>
      </c>
      <c r="AQ42" s="145"/>
      <c r="AR42" s="155">
        <f t="shared" si="15"/>
        <v>2.9319352041224489</v>
      </c>
      <c r="AS42" s="127">
        <v>18.547061537565593</v>
      </c>
      <c r="AT42" s="127">
        <v>2.5838529788769486</v>
      </c>
      <c r="AU42" s="127">
        <v>6.2144123803997511</v>
      </c>
      <c r="AV42" s="127">
        <f t="shared" si="16"/>
        <v>8.7982653592766997</v>
      </c>
      <c r="AW42" s="128">
        <f t="shared" si="17"/>
        <v>0</v>
      </c>
      <c r="AX42" s="155">
        <f t="shared" si="18"/>
        <v>2.5785306073743852</v>
      </c>
      <c r="AY42" s="87">
        <v>6.5037812929444394</v>
      </c>
      <c r="AZ42" s="127">
        <v>1.0757665767010658</v>
      </c>
      <c r="BA42" s="127">
        <v>1.8856141436015186</v>
      </c>
      <c r="BB42" s="127">
        <f t="shared" si="19"/>
        <v>2.9613807203025844</v>
      </c>
      <c r="BC42" s="141"/>
      <c r="BD42" s="155">
        <f t="shared" si="20"/>
        <v>2.4818332070334348</v>
      </c>
      <c r="BE42" s="127">
        <v>1.8237775728680967</v>
      </c>
      <c r="BF42" s="127">
        <v>0.40035255591572777</v>
      </c>
      <c r="BG42" s="127">
        <v>0.50667745232067052</v>
      </c>
      <c r="BH42" s="127">
        <f t="shared" si="21"/>
        <v>0.90703000823639823</v>
      </c>
      <c r="BJ42" s="155">
        <f t="shared" si="22"/>
        <v>2.5440839893432932</v>
      </c>
      <c r="BK42" s="127">
        <v>2.6329814450846953</v>
      </c>
      <c r="BL42" s="127">
        <v>0.36645710610714699</v>
      </c>
      <c r="BM42" s="127">
        <v>0.75198133827523139</v>
      </c>
      <c r="BN42" s="127">
        <f t="shared" si="23"/>
        <v>1.1184384443823783</v>
      </c>
      <c r="BO42" s="145"/>
      <c r="BP42" s="155">
        <f t="shared" si="24"/>
        <v>2.7078220766586059</v>
      </c>
      <c r="BQ42" s="127">
        <v>2.0470222749916469</v>
      </c>
      <c r="BR42" s="127">
        <v>0.30895691467819097</v>
      </c>
      <c r="BS42" s="127">
        <v>0.62695535300561678</v>
      </c>
      <c r="BT42" s="127">
        <f t="shared" si="25"/>
        <v>0.93591226768380775</v>
      </c>
      <c r="BU42" s="128">
        <f t="shared" si="26"/>
        <v>0</v>
      </c>
      <c r="BV42" s="155">
        <f t="shared" si="27"/>
        <v>2.4352549002091939</v>
      </c>
      <c r="BW42" s="87">
        <v>3.9926676757116213</v>
      </c>
      <c r="BX42" s="127">
        <v>1.3942061283114771</v>
      </c>
      <c r="BY42" s="127">
        <v>1.0860923018676825</v>
      </c>
      <c r="BZ42" s="127">
        <f t="shared" si="28"/>
        <v>2.4802984301791593</v>
      </c>
      <c r="CA42" s="141"/>
      <c r="CB42" s="155">
        <f t="shared" si="29"/>
        <v>2.3820319758712349</v>
      </c>
      <c r="CC42" s="127">
        <v>1.5804510737327937</v>
      </c>
      <c r="CD42" s="127">
        <v>0.54763313458440666</v>
      </c>
      <c r="CE42" s="127">
        <v>0.41949600254904829</v>
      </c>
      <c r="CF42" s="127">
        <f t="shared" si="30"/>
        <v>0.96712913713345494</v>
      </c>
      <c r="CH42" s="155">
        <f t="shared" si="31"/>
        <v>2.4397967914120189</v>
      </c>
      <c r="CI42" s="127">
        <v>1.8177774091588061</v>
      </c>
      <c r="CJ42" s="127">
        <v>0.71493905267938562</v>
      </c>
      <c r="CK42" s="127">
        <v>0.49550036268130071</v>
      </c>
      <c r="CL42" s="127">
        <f t="shared" si="32"/>
        <v>1.2104394153606863</v>
      </c>
      <c r="CM42" s="145"/>
      <c r="CN42" s="155">
        <f t="shared" si="33"/>
        <v>2.5618317898631338</v>
      </c>
      <c r="CO42" s="127">
        <v>0.59443919282002144</v>
      </c>
      <c r="CP42" s="127">
        <v>0.13163394104768467</v>
      </c>
      <c r="CQ42" s="127">
        <v>0.1710959366373333</v>
      </c>
      <c r="CR42" s="127">
        <f t="shared" si="34"/>
        <v>0.30272987768501797</v>
      </c>
      <c r="CS42" s="128">
        <f t="shared" si="35"/>
        <v>0</v>
      </c>
      <c r="CT42" s="155">
        <f t="shared" si="36"/>
        <v>2.7812246199814927</v>
      </c>
      <c r="CU42" s="87">
        <v>1.9800685376368916</v>
      </c>
      <c r="CV42" s="127">
        <v>0.16112365125277109</v>
      </c>
      <c r="CW42" s="127">
        <v>0.62499369280119021</v>
      </c>
      <c r="CX42" s="127">
        <f t="shared" si="37"/>
        <v>0.78611734405396128</v>
      </c>
      <c r="CY42" s="141"/>
      <c r="CZ42" s="155">
        <f t="shared" si="38"/>
        <v>2.7841153979467625</v>
      </c>
      <c r="DA42" s="127">
        <v>0.93611293983287924</v>
      </c>
      <c r="DB42" s="127">
        <v>-0.56710180382981035</v>
      </c>
      <c r="DC42" s="127">
        <v>0.29582342100710285</v>
      </c>
      <c r="DD42" s="127">
        <f t="shared" si="39"/>
        <v>-0.2712783828227075</v>
      </c>
      <c r="DF42" s="155">
        <f t="shared" si="40"/>
        <v>2.7618510900035087</v>
      </c>
      <c r="DG42" s="127">
        <v>0.87893095623356221</v>
      </c>
      <c r="DH42" s="127">
        <v>0.55665694967544133</v>
      </c>
      <c r="DI42" s="127">
        <v>0.275250117771629</v>
      </c>
      <c r="DJ42" s="127">
        <f t="shared" si="41"/>
        <v>0.83190706744707033</v>
      </c>
      <c r="DK42" s="145"/>
      <c r="DL42" s="155">
        <f t="shared" si="42"/>
        <v>2.8675941660104565</v>
      </c>
      <c r="DM42" s="127">
        <v>0.16502464157045005</v>
      </c>
      <c r="DN42" s="127">
        <v>0.17156850540714014</v>
      </c>
      <c r="DO42" s="127">
        <v>5.3920154022458346E-2</v>
      </c>
      <c r="DP42" s="127">
        <f t="shared" si="43"/>
        <v>0.22548865942959848</v>
      </c>
    </row>
    <row r="43" spans="1:120" x14ac:dyDescent="0.2">
      <c r="A43" s="128">
        <f>name!B39</f>
        <v>0</v>
      </c>
      <c r="B43" s="155">
        <f t="shared" si="1"/>
        <v>2.964323205894126</v>
      </c>
      <c r="C43" s="87">
        <v>366.60612974536059</v>
      </c>
      <c r="D43" s="127">
        <v>59.276568078745363</v>
      </c>
      <c r="E43" s="127">
        <v>124.37795424368858</v>
      </c>
      <c r="F43" s="127">
        <f t="shared" si="2"/>
        <v>183.65452232243393</v>
      </c>
      <c r="G43" s="141"/>
      <c r="H43" s="155">
        <f t="shared" si="3"/>
        <v>2.8629023744369153</v>
      </c>
      <c r="I43" s="127">
        <v>60.29612584772859</v>
      </c>
      <c r="J43" s="127">
        <v>6.2659503707421011</v>
      </c>
      <c r="K43" s="127">
        <v>19.664677844879822</v>
      </c>
      <c r="L43" s="127">
        <f t="shared" si="4"/>
        <v>25.930628215621923</v>
      </c>
      <c r="N43" s="155">
        <f t="shared" si="5"/>
        <v>2.910542307155306</v>
      </c>
      <c r="O43" s="127">
        <v>109.06467888707947</v>
      </c>
      <c r="P43" s="127">
        <v>29.524424023904043</v>
      </c>
      <c r="Q43" s="127">
        <v>36.241068661330416</v>
      </c>
      <c r="R43" s="127">
        <f t="shared" si="6"/>
        <v>65.765492685234463</v>
      </c>
      <c r="S43" s="145"/>
      <c r="T43" s="155">
        <f t="shared" si="7"/>
        <v>3.0246977932693042</v>
      </c>
      <c r="U43" s="127">
        <v>197.24532501055251</v>
      </c>
      <c r="V43" s="127">
        <v>23.486193684099216</v>
      </c>
      <c r="W43" s="127">
        <v>68.472207737478328</v>
      </c>
      <c r="X43" s="127">
        <f t="shared" si="8"/>
        <v>91.958401421577548</v>
      </c>
      <c r="Y43" s="128">
        <f t="shared" si="0"/>
        <v>0</v>
      </c>
      <c r="Z43" s="155">
        <f t="shared" si="9"/>
        <v>3.067775138448714</v>
      </c>
      <c r="AA43" s="87">
        <v>128.40645062723203</v>
      </c>
      <c r="AB43" s="127">
        <v>11.85508119620458</v>
      </c>
      <c r="AC43" s="127">
        <v>45.299963238210964</v>
      </c>
      <c r="AD43" s="127">
        <f t="shared" si="10"/>
        <v>57.155044434415544</v>
      </c>
      <c r="AE43" s="141"/>
      <c r="AF43" s="155">
        <f t="shared" si="11"/>
        <v>2.9973382412868288</v>
      </c>
      <c r="AG43" s="127">
        <v>2.355165456214976</v>
      </c>
      <c r="AH43" s="127">
        <v>0.9637811048672672</v>
      </c>
      <c r="AI43" s="127">
        <v>0.80916212463532233</v>
      </c>
      <c r="AJ43" s="127">
        <f t="shared" si="12"/>
        <v>1.7729432295025895</v>
      </c>
      <c r="AL43" s="155">
        <f t="shared" si="13"/>
        <v>2.9883483560949609</v>
      </c>
      <c r="AM43" s="127">
        <v>12.753554522103531</v>
      </c>
      <c r="AN43" s="127">
        <v>-1.189686119892166</v>
      </c>
      <c r="AO43" s="127">
        <v>4.3667772486974572</v>
      </c>
      <c r="AP43" s="127">
        <f t="shared" si="14"/>
        <v>3.1770911288052912</v>
      </c>
      <c r="AQ43" s="145"/>
      <c r="AR43" s="155">
        <f t="shared" si="15"/>
        <v>3.0781400233887757</v>
      </c>
      <c r="AS43" s="127">
        <v>113.29773064891354</v>
      </c>
      <c r="AT43" s="127">
        <v>12.080986211229478</v>
      </c>
      <c r="AU43" s="127">
        <v>40.124023864878183</v>
      </c>
      <c r="AV43" s="127">
        <f t="shared" si="16"/>
        <v>52.205010076107662</v>
      </c>
      <c r="AW43" s="128">
        <f t="shared" si="17"/>
        <v>0</v>
      </c>
      <c r="AX43" s="155">
        <f t="shared" si="18"/>
        <v>2.6535599438878954</v>
      </c>
      <c r="AY43" s="87">
        <v>85.340941379457291</v>
      </c>
      <c r="AZ43" s="127">
        <v>21.654635101028848</v>
      </c>
      <c r="BA43" s="127">
        <v>25.550385149909442</v>
      </c>
      <c r="BB43" s="127">
        <f t="shared" si="19"/>
        <v>47.20502025093829</v>
      </c>
      <c r="BC43" s="141"/>
      <c r="BD43" s="155">
        <f t="shared" si="20"/>
        <v>2.5369749451499946</v>
      </c>
      <c r="BE43" s="127">
        <v>7.9924706336224665</v>
      </c>
      <c r="BF43" s="127">
        <v>4.6323396613046155</v>
      </c>
      <c r="BG43" s="127">
        <v>2.275534005888348</v>
      </c>
      <c r="BH43" s="127">
        <f t="shared" si="21"/>
        <v>6.9078736671929635</v>
      </c>
      <c r="BJ43" s="155">
        <f t="shared" si="22"/>
        <v>2.5624762152512082</v>
      </c>
      <c r="BK43" s="127">
        <v>27.005268580631853</v>
      </c>
      <c r="BL43" s="127">
        <v>10.223864247757708</v>
      </c>
      <c r="BM43" s="127">
        <v>7.7750437532035859</v>
      </c>
      <c r="BN43" s="127">
        <f t="shared" si="23"/>
        <v>17.998908000961293</v>
      </c>
      <c r="BO43" s="145"/>
      <c r="BP43" s="155">
        <f t="shared" si="24"/>
        <v>2.7204430066313234</v>
      </c>
      <c r="BQ43" s="127">
        <v>50.343202165202975</v>
      </c>
      <c r="BR43" s="127">
        <v>6.7984311919665235</v>
      </c>
      <c r="BS43" s="127">
        <v>15.499807390817509</v>
      </c>
      <c r="BT43" s="127">
        <f t="shared" si="25"/>
        <v>22.29823858278403</v>
      </c>
      <c r="BU43" s="128">
        <f t="shared" si="26"/>
        <v>0</v>
      </c>
      <c r="BV43" s="155">
        <f t="shared" si="27"/>
        <v>3.5825178625260357</v>
      </c>
      <c r="BW43" s="87">
        <v>28.783589754031564</v>
      </c>
      <c r="BX43" s="127">
        <v>9.0490542940407099</v>
      </c>
      <c r="BY43" s="127">
        <v>12.143380105807763</v>
      </c>
      <c r="BZ43" s="127">
        <f t="shared" si="28"/>
        <v>21.192434399848473</v>
      </c>
      <c r="CA43" s="141"/>
      <c r="CB43" s="155">
        <f t="shared" si="29"/>
        <v>3.2872271423685318</v>
      </c>
      <c r="CC43" s="127">
        <v>6.0845432642854735</v>
      </c>
      <c r="CD43" s="127">
        <v>4.4133646639922466</v>
      </c>
      <c r="CE43" s="127">
        <v>2.3234851029341566</v>
      </c>
      <c r="CF43" s="127">
        <f t="shared" si="30"/>
        <v>6.7368497669264027</v>
      </c>
      <c r="CH43" s="155">
        <f t="shared" si="31"/>
        <v>3.5081488727088939</v>
      </c>
      <c r="CI43" s="127">
        <v>13.730317697403695</v>
      </c>
      <c r="CJ43" s="127">
        <v>4.0524808534125691</v>
      </c>
      <c r="CK43" s="127">
        <v>5.6529058299467811</v>
      </c>
      <c r="CL43" s="127">
        <f t="shared" si="32"/>
        <v>9.7053866833593503</v>
      </c>
      <c r="CM43" s="145"/>
      <c r="CN43" s="155">
        <f t="shared" si="33"/>
        <v>3.8896522062592975</v>
      </c>
      <c r="CO43" s="127">
        <v>8.9687287923423913</v>
      </c>
      <c r="CP43" s="127">
        <v>0.58320877663589499</v>
      </c>
      <c r="CQ43" s="127">
        <v>4.1669891729268249</v>
      </c>
      <c r="CR43" s="127">
        <f t="shared" si="34"/>
        <v>4.75019794956272</v>
      </c>
      <c r="CS43" s="128">
        <f t="shared" si="35"/>
        <v>0</v>
      </c>
      <c r="CT43" s="155">
        <f t="shared" si="36"/>
        <v>2.9202085195014771</v>
      </c>
      <c r="CU43" s="87">
        <v>124.07514798463968</v>
      </c>
      <c r="CV43" s="127">
        <v>16.717797487471227</v>
      </c>
      <c r="CW43" s="127">
        <v>41.384225749760404</v>
      </c>
      <c r="CX43" s="127">
        <f t="shared" si="37"/>
        <v>58.102023237231634</v>
      </c>
      <c r="CY43" s="141"/>
      <c r="CZ43" s="155">
        <f t="shared" si="38"/>
        <v>2.8542214955234568</v>
      </c>
      <c r="DA43" s="127">
        <v>43.863946493605674</v>
      </c>
      <c r="DB43" s="127">
        <v>-3.7435350594220274</v>
      </c>
      <c r="DC43" s="127">
        <v>14.256496611421996</v>
      </c>
      <c r="DD43" s="127">
        <f t="shared" si="39"/>
        <v>10.512961551999968</v>
      </c>
      <c r="DF43" s="155">
        <f t="shared" si="40"/>
        <v>2.9076458934621296</v>
      </c>
      <c r="DG43" s="127">
        <v>55.575538086940398</v>
      </c>
      <c r="DH43" s="127">
        <v>16.43776504262593</v>
      </c>
      <c r="DI43" s="127">
        <v>18.446341829482595</v>
      </c>
      <c r="DJ43" s="127">
        <f t="shared" si="41"/>
        <v>34.884106872108525</v>
      </c>
      <c r="DK43" s="145"/>
      <c r="DL43" s="155">
        <f t="shared" si="42"/>
        <v>3.0647677202802814</v>
      </c>
      <c r="DM43" s="127">
        <v>24.635663404093616</v>
      </c>
      <c r="DN43" s="127">
        <v>4.0235675042673211</v>
      </c>
      <c r="DO43" s="127">
        <v>8.6813873088558129</v>
      </c>
      <c r="DP43" s="127">
        <f t="shared" si="43"/>
        <v>12.704954813123134</v>
      </c>
    </row>
    <row r="44" spans="1:120" x14ac:dyDescent="0.2">
      <c r="A44" s="128">
        <f>name!B40</f>
        <v>0</v>
      </c>
      <c r="B44" s="155">
        <f t="shared" si="1"/>
        <v>2.8357475835989687</v>
      </c>
      <c r="C44" s="87">
        <v>393.35784380285861</v>
      </c>
      <c r="D44" s="127">
        <v>-15.846501627171115</v>
      </c>
      <c r="E44" s="127">
        <v>126.91230773625192</v>
      </c>
      <c r="F44" s="127">
        <f t="shared" si="2"/>
        <v>111.0658061090808</v>
      </c>
      <c r="G44" s="141"/>
      <c r="H44" s="155">
        <f t="shared" si="3"/>
        <v>2.7516949963118487</v>
      </c>
      <c r="I44" s="127">
        <v>59.61461044933764</v>
      </c>
      <c r="J44" s="127">
        <v>-20.900434984544614</v>
      </c>
      <c r="K44" s="127">
        <v>18.591854917813837</v>
      </c>
      <c r="L44" s="127">
        <f t="shared" si="4"/>
        <v>-2.3085800667307765</v>
      </c>
      <c r="N44" s="155">
        <f t="shared" si="5"/>
        <v>2.7239499243143506</v>
      </c>
      <c r="O44" s="127">
        <v>173.18501469973404</v>
      </c>
      <c r="P44" s="127">
        <v>-1.7972543490150141</v>
      </c>
      <c r="Q44" s="127">
        <v>53.398033728841654</v>
      </c>
      <c r="R44" s="127">
        <f t="shared" si="6"/>
        <v>51.600779379826641</v>
      </c>
      <c r="S44" s="145"/>
      <c r="T44" s="155">
        <f t="shared" si="7"/>
        <v>2.9858531510617459</v>
      </c>
      <c r="U44" s="127">
        <v>160.55821865378698</v>
      </c>
      <c r="V44" s="127">
        <v>6.8511877063885063</v>
      </c>
      <c r="W44" s="127">
        <v>54.922419089596445</v>
      </c>
      <c r="X44" s="127">
        <f t="shared" si="8"/>
        <v>61.773606795984954</v>
      </c>
      <c r="Y44" s="128">
        <f t="shared" si="0"/>
        <v>0</v>
      </c>
      <c r="Z44" s="155">
        <f t="shared" si="9"/>
        <v>2.9519471351278748</v>
      </c>
      <c r="AA44" s="87">
        <v>193.55143168230654</v>
      </c>
      <c r="AB44" s="127">
        <v>39.567328495072999</v>
      </c>
      <c r="AC44" s="127">
        <v>65.354521617917186</v>
      </c>
      <c r="AD44" s="127">
        <f t="shared" si="10"/>
        <v>104.92185011299019</v>
      </c>
      <c r="AE44" s="141"/>
      <c r="AF44" s="155">
        <f t="shared" si="11"/>
        <v>2.732765888214872</v>
      </c>
      <c r="AG44" s="127">
        <v>8.9496893108903919</v>
      </c>
      <c r="AH44" s="127">
        <v>-0.38086275940552278</v>
      </c>
      <c r="AI44" s="127">
        <v>2.7695053307141997</v>
      </c>
      <c r="AJ44" s="127">
        <f t="shared" si="12"/>
        <v>2.3886425713086767</v>
      </c>
      <c r="AL44" s="155">
        <f t="shared" si="13"/>
        <v>2.7942517550996859</v>
      </c>
      <c r="AM44" s="127">
        <v>63.890128782218703</v>
      </c>
      <c r="AN44" s="127">
        <v>26.216367345241078</v>
      </c>
      <c r="AO44" s="127">
        <v>20.273036384531288</v>
      </c>
      <c r="AP44" s="127">
        <f t="shared" si="14"/>
        <v>46.489403729772363</v>
      </c>
      <c r="AQ44" s="145"/>
      <c r="AR44" s="155">
        <f t="shared" si="15"/>
        <v>3.0505088630622845</v>
      </c>
      <c r="AS44" s="127">
        <v>120.71161358919746</v>
      </c>
      <c r="AT44" s="127">
        <v>13.731823909237447</v>
      </c>
      <c r="AU44" s="127">
        <v>42.311979902671695</v>
      </c>
      <c r="AV44" s="127">
        <f t="shared" si="16"/>
        <v>56.043803811909143</v>
      </c>
      <c r="AW44" s="128">
        <f t="shared" si="17"/>
        <v>0</v>
      </c>
      <c r="AX44" s="155">
        <f t="shared" si="18"/>
        <v>2.6545992493075765</v>
      </c>
      <c r="AY44" s="87">
        <v>136.55603857187839</v>
      </c>
      <c r="AZ44" s="127">
        <v>-43.002314866399423</v>
      </c>
      <c r="BA44" s="127">
        <v>40.901735073909045</v>
      </c>
      <c r="BB44" s="127">
        <f t="shared" si="19"/>
        <v>-2.1005797924903788</v>
      </c>
      <c r="BC44" s="141"/>
      <c r="BD44" s="155">
        <f t="shared" si="20"/>
        <v>2.5646880453044751</v>
      </c>
      <c r="BE44" s="127">
        <v>18.059085654406232</v>
      </c>
      <c r="BF44" s="127">
        <v>-9.0180538971045241</v>
      </c>
      <c r="BG44" s="127">
        <v>5.2043788432435791</v>
      </c>
      <c r="BH44" s="127">
        <f t="shared" si="21"/>
        <v>-3.813675053860945</v>
      </c>
      <c r="BJ44" s="155">
        <f t="shared" si="22"/>
        <v>2.6194787613104564</v>
      </c>
      <c r="BK44" s="127">
        <v>81.562939535953078</v>
      </c>
      <c r="BL44" s="127">
        <v>-26.535125434477635</v>
      </c>
      <c r="BM44" s="127">
        <v>24.06794423722156</v>
      </c>
      <c r="BN44" s="127">
        <f t="shared" si="23"/>
        <v>-2.4671811972560747</v>
      </c>
      <c r="BO44" s="145"/>
      <c r="BP44" s="155">
        <f t="shared" si="24"/>
        <v>2.775188253093952</v>
      </c>
      <c r="BQ44" s="127">
        <v>36.93401338151908</v>
      </c>
      <c r="BR44" s="127">
        <v>-7.4491355348172679</v>
      </c>
      <c r="BS44" s="127">
        <v>11.629411993443906</v>
      </c>
      <c r="BT44" s="127">
        <f t="shared" si="25"/>
        <v>4.1802764586266381</v>
      </c>
      <c r="BU44" s="128">
        <f t="shared" si="26"/>
        <v>0</v>
      </c>
      <c r="BV44" s="155">
        <f t="shared" si="27"/>
        <v>2.8583954213786456</v>
      </c>
      <c r="BW44" s="87">
        <v>20.489593186295824</v>
      </c>
      <c r="BX44" s="127">
        <v>-3.6169124626271385</v>
      </c>
      <c r="BY44" s="127">
        <v>6.6704706699605909</v>
      </c>
      <c r="BZ44" s="127">
        <f t="shared" si="28"/>
        <v>3.0535582073334524</v>
      </c>
      <c r="CA44" s="141"/>
      <c r="CB44" s="155">
        <f t="shared" si="29"/>
        <v>2.886706102007186</v>
      </c>
      <c r="CC44" s="127">
        <v>8.3246385618980643</v>
      </c>
      <c r="CD44" s="127">
        <v>-2.3561745304099531</v>
      </c>
      <c r="CE44" s="127">
        <v>2.7405296991725199</v>
      </c>
      <c r="CF44" s="127">
        <f t="shared" si="30"/>
        <v>0.38435516876256681</v>
      </c>
      <c r="CH44" s="155">
        <f t="shared" si="31"/>
        <v>2.8369795300950962</v>
      </c>
      <c r="CI44" s="127">
        <v>10.970091359887151</v>
      </c>
      <c r="CJ44" s="127">
        <v>-1.2157453343966669</v>
      </c>
      <c r="CK44" s="127">
        <v>3.541109966200767</v>
      </c>
      <c r="CL44" s="127">
        <f t="shared" si="32"/>
        <v>2.3253646318041001</v>
      </c>
      <c r="CM44" s="145"/>
      <c r="CN44" s="155">
        <f t="shared" si="33"/>
        <v>2.8573458698798015</v>
      </c>
      <c r="CO44" s="127">
        <v>1.1948632645106076</v>
      </c>
      <c r="CP44" s="127">
        <v>-4.4992597820518516E-2</v>
      </c>
      <c r="CQ44" s="127">
        <v>0.38883100458730496</v>
      </c>
      <c r="CR44" s="127">
        <f t="shared" si="34"/>
        <v>0.34383840676678645</v>
      </c>
      <c r="CS44" s="128">
        <f t="shared" si="35"/>
        <v>0</v>
      </c>
      <c r="CT44" s="155">
        <f t="shared" si="36"/>
        <v>2.8701182898648092</v>
      </c>
      <c r="CU44" s="87">
        <v>42.760780362377908</v>
      </c>
      <c r="CV44" s="127">
        <v>-8.7946027932175515</v>
      </c>
      <c r="CW44" s="127">
        <v>13.985580374465099</v>
      </c>
      <c r="CX44" s="127">
        <f t="shared" si="37"/>
        <v>5.190977581247548</v>
      </c>
      <c r="CY44" s="141"/>
      <c r="CZ44" s="155">
        <f t="shared" si="38"/>
        <v>2.8496351806148512</v>
      </c>
      <c r="DA44" s="127">
        <v>24.281196922142954</v>
      </c>
      <c r="DB44" s="127">
        <v>-9.1453437976246104</v>
      </c>
      <c r="DC44" s="127">
        <v>7.8774410446835388</v>
      </c>
      <c r="DD44" s="127">
        <f t="shared" si="39"/>
        <v>-1.2679027529410716</v>
      </c>
      <c r="DF44" s="155">
        <f t="shared" si="40"/>
        <v>2.8857004199172476</v>
      </c>
      <c r="DG44" s="127">
        <v>16.761855021675107</v>
      </c>
      <c r="DH44" s="127">
        <v>-0.26275092538178862</v>
      </c>
      <c r="DI44" s="127">
        <v>5.5159431408880319</v>
      </c>
      <c r="DJ44" s="127">
        <f t="shared" si="41"/>
        <v>5.2531922155062434</v>
      </c>
      <c r="DK44" s="145"/>
      <c r="DL44" s="155">
        <f t="shared" si="42"/>
        <v>3.0064287710700022</v>
      </c>
      <c r="DM44" s="127">
        <v>1.7177284185598474</v>
      </c>
      <c r="DN44" s="127">
        <v>0.61349192978884681</v>
      </c>
      <c r="DO44" s="127">
        <v>0.59219618889352987</v>
      </c>
      <c r="DP44" s="127">
        <f t="shared" si="43"/>
        <v>1.2056881186823767</v>
      </c>
    </row>
    <row r="45" spans="1:120" x14ac:dyDescent="0.2">
      <c r="A45" s="128">
        <f>name!B41</f>
        <v>0</v>
      </c>
      <c r="B45" s="155">
        <f t="shared" si="1"/>
        <v>2.5589515569040877</v>
      </c>
      <c r="C45" s="87">
        <v>378.65361093918506</v>
      </c>
      <c r="D45" s="127">
        <v>36.796399092126755</v>
      </c>
      <c r="E45" s="127">
        <v>108.84998948408384</v>
      </c>
      <c r="F45" s="127">
        <f t="shared" si="2"/>
        <v>145.6463885762106</v>
      </c>
      <c r="G45" s="141"/>
      <c r="H45" s="155">
        <f t="shared" si="3"/>
        <v>2.6970336356285651</v>
      </c>
      <c r="I45" s="127">
        <v>21.232264083662649</v>
      </c>
      <c r="J45" s="127">
        <v>5.5608874318156268E-2</v>
      </c>
      <c r="K45" s="127">
        <v>6.4738297499487887</v>
      </c>
      <c r="L45" s="127">
        <f t="shared" si="4"/>
        <v>6.5294386242669447</v>
      </c>
      <c r="N45" s="155">
        <f t="shared" si="5"/>
        <v>2.6178307858164995</v>
      </c>
      <c r="O45" s="127">
        <v>54.055750144900642</v>
      </c>
      <c r="P45" s="127">
        <v>7.7932985015424325</v>
      </c>
      <c r="Q45" s="127">
        <v>15.939762430606391</v>
      </c>
      <c r="R45" s="127">
        <f t="shared" si="6"/>
        <v>23.733060932148824</v>
      </c>
      <c r="S45" s="145"/>
      <c r="T45" s="155">
        <f t="shared" si="7"/>
        <v>2.5386919147606823</v>
      </c>
      <c r="U45" s="127">
        <v>303.36559671062184</v>
      </c>
      <c r="V45" s="127">
        <v>28.947491716266153</v>
      </c>
      <c r="W45" s="127">
        <v>86.436397303528679</v>
      </c>
      <c r="X45" s="127">
        <f t="shared" si="8"/>
        <v>115.38388901979484</v>
      </c>
      <c r="Y45" s="128">
        <f t="shared" si="0"/>
        <v>0</v>
      </c>
      <c r="Z45" s="155">
        <f t="shared" si="9"/>
        <v>2.5199611178011505</v>
      </c>
      <c r="AA45" s="87">
        <v>312.18144659946984</v>
      </c>
      <c r="AB45" s="127">
        <v>28.895682554218279</v>
      </c>
      <c r="AC45" s="127">
        <v>88.21610831482117</v>
      </c>
      <c r="AD45" s="127">
        <f t="shared" si="10"/>
        <v>117.11179086903945</v>
      </c>
      <c r="AE45" s="141"/>
      <c r="AF45" s="155">
        <f t="shared" si="11"/>
        <v>2.4310222459994479</v>
      </c>
      <c r="AG45" s="127">
        <v>3.9811352808305944</v>
      </c>
      <c r="AH45" s="127">
        <v>4.5008812227039625</v>
      </c>
      <c r="AI45" s="127">
        <v>1.0808631323162383</v>
      </c>
      <c r="AJ45" s="127">
        <f t="shared" si="12"/>
        <v>5.5817443550202004</v>
      </c>
      <c r="AL45" s="155">
        <f t="shared" si="13"/>
        <v>2.4685169170641119</v>
      </c>
      <c r="AM45" s="127">
        <v>20.509890701227175</v>
      </c>
      <c r="AN45" s="127">
        <v>4.1191890490955583</v>
      </c>
      <c r="AO45" s="127">
        <v>5.6639738538481845</v>
      </c>
      <c r="AP45" s="127">
        <f t="shared" si="14"/>
        <v>9.7831629029437437</v>
      </c>
      <c r="AQ45" s="145"/>
      <c r="AR45" s="155">
        <f t="shared" si="15"/>
        <v>2.524845301627332</v>
      </c>
      <c r="AS45" s="127">
        <v>287.69042061741203</v>
      </c>
      <c r="AT45" s="127">
        <v>20.275612282418756</v>
      </c>
      <c r="AU45" s="127">
        <v>81.471271328656755</v>
      </c>
      <c r="AV45" s="127">
        <f t="shared" si="16"/>
        <v>101.7468836110755</v>
      </c>
      <c r="AW45" s="128">
        <f t="shared" si="17"/>
        <v>0</v>
      </c>
      <c r="AX45" s="155">
        <f t="shared" si="18"/>
        <v>2.6549442218402941</v>
      </c>
      <c r="AY45" s="87">
        <v>41.892929155094187</v>
      </c>
      <c r="AZ45" s="127">
        <v>9.2492751468853793</v>
      </c>
      <c r="BA45" s="127">
        <v>12.549743972538471</v>
      </c>
      <c r="BB45" s="127">
        <f t="shared" si="19"/>
        <v>21.79901911942385</v>
      </c>
      <c r="BC45" s="141"/>
      <c r="BD45" s="155">
        <f t="shared" si="20"/>
        <v>2.5532327548231981</v>
      </c>
      <c r="BE45" s="127">
        <v>6.2009149306433597</v>
      </c>
      <c r="BF45" s="127">
        <v>-0.93789945412547293</v>
      </c>
      <c r="BG45" s="127">
        <v>1.7781008484106056</v>
      </c>
      <c r="BH45" s="127">
        <f t="shared" si="21"/>
        <v>0.84020139428513263</v>
      </c>
      <c r="BJ45" s="155">
        <f t="shared" si="22"/>
        <v>2.603317774412961</v>
      </c>
      <c r="BK45" s="127">
        <v>21.307415275332314</v>
      </c>
      <c r="BL45" s="127">
        <v>2.2423318572234603</v>
      </c>
      <c r="BM45" s="127">
        <v>6.2440571353848382</v>
      </c>
      <c r="BN45" s="127">
        <f t="shared" si="23"/>
        <v>8.4863889926082976</v>
      </c>
      <c r="BO45" s="145"/>
      <c r="BP45" s="155">
        <f t="shared" si="24"/>
        <v>2.7742686070164835</v>
      </c>
      <c r="BQ45" s="127">
        <v>14.384598949118512</v>
      </c>
      <c r="BR45" s="127">
        <v>7.9448427437873912</v>
      </c>
      <c r="BS45" s="127">
        <v>4.5275859887430272</v>
      </c>
      <c r="BT45" s="127">
        <f t="shared" si="25"/>
        <v>12.472428732530418</v>
      </c>
      <c r="BU45" s="128">
        <f t="shared" si="26"/>
        <v>0</v>
      </c>
      <c r="BV45" s="155">
        <f t="shared" si="27"/>
        <v>2.6192743149682007</v>
      </c>
      <c r="BW45" s="87">
        <v>2.9857552680997586</v>
      </c>
      <c r="BX45" s="127">
        <v>0.29752966440157663</v>
      </c>
      <c r="BY45" s="127">
        <v>0.88097251477732141</v>
      </c>
      <c r="BZ45" s="127">
        <f t="shared" si="28"/>
        <v>1.1785021791788981</v>
      </c>
      <c r="CA45" s="141"/>
      <c r="CB45" s="155">
        <f t="shared" si="29"/>
        <v>2.6102783759339943</v>
      </c>
      <c r="CC45" s="127">
        <v>1.0704246420939711</v>
      </c>
      <c r="CD45" s="127">
        <v>-0.11337152429818138</v>
      </c>
      <c r="CE45" s="127">
        <v>0.31462314152439591</v>
      </c>
      <c r="CF45" s="127">
        <f t="shared" si="30"/>
        <v>0.20125161722621454</v>
      </c>
      <c r="CH45" s="155">
        <f t="shared" si="31"/>
        <v>2.6315936742941082</v>
      </c>
      <c r="CI45" s="127">
        <v>1.5955005485136557</v>
      </c>
      <c r="CJ45" s="127">
        <v>0.30848080422027463</v>
      </c>
      <c r="CK45" s="127">
        <v>0.47324789856842298</v>
      </c>
      <c r="CL45" s="127">
        <f t="shared" si="32"/>
        <v>0.78172870278869766</v>
      </c>
      <c r="CM45" s="145"/>
      <c r="CN45" s="155">
        <f t="shared" si="33"/>
        <v>2.5878378150158365</v>
      </c>
      <c r="CO45" s="127">
        <v>0.31983007749213199</v>
      </c>
      <c r="CP45" s="127">
        <v>0.10242038447948336</v>
      </c>
      <c r="CQ45" s="127">
        <v>9.3101474684502514E-2</v>
      </c>
      <c r="CR45" s="127">
        <f t="shared" si="34"/>
        <v>0.19552185916398587</v>
      </c>
      <c r="CS45" s="128">
        <f t="shared" si="35"/>
        <v>0</v>
      </c>
      <c r="CT45" s="155">
        <f t="shared" si="36"/>
        <v>2.9205088963651926</v>
      </c>
      <c r="CU45" s="87">
        <v>21.593479916521417</v>
      </c>
      <c r="CV45" s="127">
        <v>-1.6460882733784852</v>
      </c>
      <c r="CW45" s="127">
        <v>7.2031646819468875</v>
      </c>
      <c r="CX45" s="127">
        <f t="shared" si="37"/>
        <v>5.5570764085684026</v>
      </c>
      <c r="CY45" s="141"/>
      <c r="CZ45" s="155">
        <f t="shared" si="38"/>
        <v>2.8981993026460096</v>
      </c>
      <c r="DA45" s="127">
        <v>9.979789230094724</v>
      </c>
      <c r="DB45" s="127">
        <v>-3.3940013699621523</v>
      </c>
      <c r="DC45" s="127">
        <v>3.3002426276975489</v>
      </c>
      <c r="DD45" s="127">
        <f t="shared" si="39"/>
        <v>-9.3758742264603345E-2</v>
      </c>
      <c r="DF45" s="155">
        <f t="shared" si="40"/>
        <v>2.9264568687984216</v>
      </c>
      <c r="DG45" s="127">
        <v>10.642943619827502</v>
      </c>
      <c r="DH45" s="127">
        <v>1.1232967910031393</v>
      </c>
      <c r="DI45" s="127">
        <v>3.5584835428049475</v>
      </c>
      <c r="DJ45" s="127">
        <f t="shared" si="41"/>
        <v>4.6817803338080868</v>
      </c>
      <c r="DK45" s="145"/>
      <c r="DL45" s="155">
        <f t="shared" si="42"/>
        <v>3.0832482448727161</v>
      </c>
      <c r="DM45" s="127">
        <v>0.97074706659919119</v>
      </c>
      <c r="DN45" s="127">
        <v>0.62461630558052772</v>
      </c>
      <c r="DO45" s="127">
        <v>0.34443851144439169</v>
      </c>
      <c r="DP45" s="127">
        <f t="shared" si="43"/>
        <v>0.96905481702491936</v>
      </c>
    </row>
    <row r="46" spans="1:120" x14ac:dyDescent="0.2">
      <c r="A46" s="128">
        <f>name!B42</f>
        <v>0</v>
      </c>
      <c r="B46" s="155">
        <f t="shared" si="1"/>
        <v>2.890259729191258</v>
      </c>
      <c r="C46" s="87">
        <v>596.16075467408132</v>
      </c>
      <c r="D46" s="127">
        <v>130.76412576439193</v>
      </c>
      <c r="E46" s="127">
        <v>196.53406172763593</v>
      </c>
      <c r="F46" s="127">
        <f t="shared" si="2"/>
        <v>327.29818749202786</v>
      </c>
      <c r="G46" s="141"/>
      <c r="H46" s="155">
        <f t="shared" si="3"/>
        <v>2.6788795437322488</v>
      </c>
      <c r="I46" s="127">
        <v>75.585819538445264</v>
      </c>
      <c r="J46" s="127">
        <v>4.2136979795279563</v>
      </c>
      <c r="K46" s="127">
        <v>22.872299636804904</v>
      </c>
      <c r="L46" s="127">
        <f t="shared" si="4"/>
        <v>27.085997616332861</v>
      </c>
      <c r="N46" s="155">
        <f t="shared" si="5"/>
        <v>2.706098654684097</v>
      </c>
      <c r="O46" s="127">
        <v>212.25679919065291</v>
      </c>
      <c r="P46" s="127">
        <v>64.236584035540048</v>
      </c>
      <c r="Q46" s="127">
        <v>64.962803722137807</v>
      </c>
      <c r="R46" s="127">
        <f t="shared" si="6"/>
        <v>129.19938775767787</v>
      </c>
      <c r="S46" s="145"/>
      <c r="T46" s="155">
        <f t="shared" si="7"/>
        <v>3.0660135882804918</v>
      </c>
      <c r="U46" s="127">
        <v>308.31813594498311</v>
      </c>
      <c r="V46" s="127">
        <v>62.313843749323915</v>
      </c>
      <c r="W46" s="127">
        <v>108.69895836869323</v>
      </c>
      <c r="X46" s="127">
        <f t="shared" si="8"/>
        <v>171.01280211801713</v>
      </c>
      <c r="Y46" s="128">
        <f t="shared" si="0"/>
        <v>0</v>
      </c>
      <c r="Z46" s="155">
        <f t="shared" si="9"/>
        <v>3.0502708921622101</v>
      </c>
      <c r="AA46" s="87">
        <v>335.93921919202376</v>
      </c>
      <c r="AB46" s="127">
        <v>65.992763386883993</v>
      </c>
      <c r="AC46" s="127">
        <v>117.74334207940043</v>
      </c>
      <c r="AD46" s="127">
        <f t="shared" si="10"/>
        <v>183.73610546628441</v>
      </c>
      <c r="AE46" s="141"/>
      <c r="AF46" s="155">
        <f t="shared" si="11"/>
        <v>2.772118894951725</v>
      </c>
      <c r="AG46" s="127">
        <v>6.0163041652184992</v>
      </c>
      <c r="AH46" s="127">
        <v>1.3292953942067818</v>
      </c>
      <c r="AI46" s="127">
        <v>1.8919913793244785</v>
      </c>
      <c r="AJ46" s="127">
        <f t="shared" si="12"/>
        <v>3.2212867735312605</v>
      </c>
      <c r="AL46" s="155">
        <f t="shared" si="13"/>
        <v>2.8305616396997912</v>
      </c>
      <c r="AM46" s="127">
        <v>54.066211981632996</v>
      </c>
      <c r="AN46" s="127">
        <v>15.192793130377611</v>
      </c>
      <c r="AO46" s="127">
        <v>17.40777706255945</v>
      </c>
      <c r="AP46" s="127">
        <f t="shared" si="14"/>
        <v>32.600570192937063</v>
      </c>
      <c r="AQ46" s="145"/>
      <c r="AR46" s="155">
        <f t="shared" si="15"/>
        <v>3.0988119312854945</v>
      </c>
      <c r="AS46" s="127">
        <v>275.85670304517225</v>
      </c>
      <c r="AT46" s="127">
        <v>49.470674862299603</v>
      </c>
      <c r="AU46" s="127">
        <v>98.443573637516494</v>
      </c>
      <c r="AV46" s="127">
        <f t="shared" si="16"/>
        <v>147.9142484998161</v>
      </c>
      <c r="AW46" s="128">
        <f t="shared" si="17"/>
        <v>0</v>
      </c>
      <c r="AX46" s="155">
        <f t="shared" si="18"/>
        <v>2.6039196652279051</v>
      </c>
      <c r="AY46" s="87">
        <v>159.03458473919616</v>
      </c>
      <c r="AZ46" s="127">
        <v>40.296222391531657</v>
      </c>
      <c r="BA46" s="127">
        <v>46.616544654725452</v>
      </c>
      <c r="BB46" s="127">
        <f t="shared" si="19"/>
        <v>86.912767046257102</v>
      </c>
      <c r="BC46" s="141"/>
      <c r="BD46" s="155">
        <f t="shared" si="20"/>
        <v>2.5452433226490934</v>
      </c>
      <c r="BE46" s="127">
        <v>21.770784421414771</v>
      </c>
      <c r="BF46" s="127">
        <v>-0.58525794672168419</v>
      </c>
      <c r="BG46" s="127">
        <v>6.2209156872515399</v>
      </c>
      <c r="BH46" s="127">
        <f t="shared" si="21"/>
        <v>5.6356577405298554</v>
      </c>
      <c r="BJ46" s="155">
        <f t="shared" si="22"/>
        <v>2.5795517536157053</v>
      </c>
      <c r="BK46" s="127">
        <v>109.52927387637574</v>
      </c>
      <c r="BL46" s="127">
        <v>30.843442039124554</v>
      </c>
      <c r="BM46" s="127">
        <v>31.769430063648457</v>
      </c>
      <c r="BN46" s="127">
        <f t="shared" si="23"/>
        <v>62.612872102773011</v>
      </c>
      <c r="BO46" s="145"/>
      <c r="BP46" s="155">
        <f t="shared" si="24"/>
        <v>2.7451139967111571</v>
      </c>
      <c r="BQ46" s="127">
        <v>27.734526441405688</v>
      </c>
      <c r="BR46" s="127">
        <v>10.038038299128784</v>
      </c>
      <c r="BS46" s="127">
        <v>8.6261989038254558</v>
      </c>
      <c r="BT46" s="127">
        <f t="shared" si="25"/>
        <v>18.66423720295424</v>
      </c>
      <c r="BU46" s="128">
        <f t="shared" si="26"/>
        <v>0</v>
      </c>
      <c r="BV46" s="155">
        <f t="shared" si="27"/>
        <v>2.4641512026180035</v>
      </c>
      <c r="BW46" s="87">
        <v>12.81458334002725</v>
      </c>
      <c r="BX46" s="127">
        <v>4.3895704257866655</v>
      </c>
      <c r="BY46" s="127">
        <v>3.5318857518426356</v>
      </c>
      <c r="BZ46" s="127">
        <f t="shared" si="28"/>
        <v>7.9214561776293007</v>
      </c>
      <c r="CA46" s="141"/>
      <c r="CB46" s="155">
        <f t="shared" si="29"/>
        <v>2.3360812858931101</v>
      </c>
      <c r="CC46" s="127">
        <v>6.0632147564116732</v>
      </c>
      <c r="CD46" s="127">
        <v>2.5684165487773454</v>
      </c>
      <c r="CE46" s="127">
        <v>1.5749808838887966</v>
      </c>
      <c r="CF46" s="127">
        <f t="shared" si="30"/>
        <v>4.1433974326661422</v>
      </c>
      <c r="CH46" s="155">
        <f t="shared" si="31"/>
        <v>2.5656844346393592</v>
      </c>
      <c r="CI46" s="127">
        <v>5.7160556182605653</v>
      </c>
      <c r="CJ46" s="127">
        <v>1.556033629424588</v>
      </c>
      <c r="CK46" s="127">
        <v>1.6480035734914502</v>
      </c>
      <c r="CL46" s="127">
        <f t="shared" si="32"/>
        <v>3.2040372029160382</v>
      </c>
      <c r="CM46" s="145"/>
      <c r="CN46" s="155">
        <f t="shared" si="33"/>
        <v>2.645445634877297</v>
      </c>
      <c r="CO46" s="127">
        <v>1.0353129653550115</v>
      </c>
      <c r="CP46" s="127">
        <v>0.26512024758473196</v>
      </c>
      <c r="CQ46" s="127">
        <v>0.30890129446238906</v>
      </c>
      <c r="CR46" s="127">
        <f t="shared" si="34"/>
        <v>0.57402154204712108</v>
      </c>
      <c r="CS46" s="128">
        <f t="shared" si="35"/>
        <v>0</v>
      </c>
      <c r="CT46" s="155">
        <f t="shared" si="36"/>
        <v>2.8471774384655868</v>
      </c>
      <c r="CU46" s="87">
        <v>88.372367402834058</v>
      </c>
      <c r="CV46" s="127">
        <v>20.085569560189615</v>
      </c>
      <c r="CW46" s="127">
        <v>28.642289241667434</v>
      </c>
      <c r="CX46" s="127">
        <f t="shared" si="37"/>
        <v>48.727858801857053</v>
      </c>
      <c r="CY46" s="141"/>
      <c r="CZ46" s="155">
        <f t="shared" si="38"/>
        <v>2.7832667945406842</v>
      </c>
      <c r="DA46" s="127">
        <v>41.735516195400322</v>
      </c>
      <c r="DB46" s="127">
        <v>0.90124398326551358</v>
      </c>
      <c r="DC46" s="127">
        <v>13.184411686340088</v>
      </c>
      <c r="DD46" s="127">
        <f t="shared" si="39"/>
        <v>14.085655669605602</v>
      </c>
      <c r="DF46" s="155">
        <f t="shared" si="40"/>
        <v>2.8866540918025541</v>
      </c>
      <c r="DG46" s="127">
        <v>42.945257714383601</v>
      </c>
      <c r="DH46" s="127">
        <v>16.644315236613298</v>
      </c>
      <c r="DI46" s="127">
        <v>14.137593022438447</v>
      </c>
      <c r="DJ46" s="127">
        <f t="shared" si="41"/>
        <v>30.781908259051747</v>
      </c>
      <c r="DK46" s="145"/>
      <c r="DL46" s="155">
        <f t="shared" si="42"/>
        <v>3.1047472891351457</v>
      </c>
      <c r="DM46" s="127">
        <v>3.6915934930501404</v>
      </c>
      <c r="DN46" s="127">
        <v>2.5400103403108023</v>
      </c>
      <c r="DO46" s="127">
        <v>1.320284532888897</v>
      </c>
      <c r="DP46" s="127">
        <f t="shared" si="43"/>
        <v>3.8602948731996993</v>
      </c>
    </row>
    <row r="47" spans="1:120" x14ac:dyDescent="0.2">
      <c r="A47" s="128">
        <f>name!B43</f>
        <v>0</v>
      </c>
      <c r="B47" s="155">
        <f t="shared" si="1"/>
        <v>2.865344899385458</v>
      </c>
      <c r="C47" s="87">
        <v>40.376210097149027</v>
      </c>
      <c r="D47" s="127">
        <v>12.806927196821107</v>
      </c>
      <c r="E47" s="127">
        <v>13.180811533634204</v>
      </c>
      <c r="F47" s="127">
        <f t="shared" si="2"/>
        <v>25.987738730455312</v>
      </c>
      <c r="G47" s="141"/>
      <c r="H47" s="155">
        <f t="shared" si="3"/>
        <v>2.7751718770929079</v>
      </c>
      <c r="I47" s="127">
        <v>9.3187758939343261</v>
      </c>
      <c r="J47" s="127">
        <v>1.4740755938305261</v>
      </c>
      <c r="K47" s="127">
        <v>2.934183240230555</v>
      </c>
      <c r="L47" s="127">
        <f t="shared" si="4"/>
        <v>4.4082588340610815</v>
      </c>
      <c r="N47" s="155">
        <f t="shared" si="5"/>
        <v>2.8011029016640654</v>
      </c>
      <c r="O47" s="127">
        <v>15.51970188832003</v>
      </c>
      <c r="P47" s="127">
        <v>4.6916947620293463</v>
      </c>
      <c r="Q47" s="127">
        <v>4.9382011045192602</v>
      </c>
      <c r="R47" s="127">
        <f t="shared" si="6"/>
        <v>9.6298958665486065</v>
      </c>
      <c r="S47" s="145"/>
      <c r="T47" s="155">
        <f t="shared" si="7"/>
        <v>2.9825975993459597</v>
      </c>
      <c r="U47" s="127">
        <v>15.537732314894669</v>
      </c>
      <c r="V47" s="127">
        <v>6.6411568409612336</v>
      </c>
      <c r="W47" s="127">
        <v>5.3084271888843881</v>
      </c>
      <c r="X47" s="127">
        <f t="shared" si="8"/>
        <v>11.949584029845621</v>
      </c>
      <c r="Y47" s="128">
        <f t="shared" si="0"/>
        <v>0</v>
      </c>
      <c r="Z47" s="155">
        <f t="shared" si="9"/>
        <v>3.0248158548996429</v>
      </c>
      <c r="AA47" s="87">
        <v>21.444049548280258</v>
      </c>
      <c r="AB47" s="127">
        <v>6.4637391240695505</v>
      </c>
      <c r="AC47" s="127">
        <v>7.4444690278107304</v>
      </c>
      <c r="AD47" s="127">
        <f t="shared" si="10"/>
        <v>13.908208151880281</v>
      </c>
      <c r="AE47" s="141"/>
      <c r="AF47" s="155">
        <f t="shared" si="11"/>
        <v>3.0872958603731293</v>
      </c>
      <c r="AG47" s="127">
        <v>2.7651222683057175</v>
      </c>
      <c r="AH47" s="127">
        <v>0.53339249467469196</v>
      </c>
      <c r="AI47" s="127">
        <v>0.98258633136794948</v>
      </c>
      <c r="AJ47" s="127">
        <f t="shared" si="12"/>
        <v>1.5159788260426414</v>
      </c>
      <c r="AL47" s="155">
        <f t="shared" si="13"/>
        <v>2.9781314195511888</v>
      </c>
      <c r="AM47" s="127">
        <v>6.7043000761876437</v>
      </c>
      <c r="AN47" s="127">
        <v>0.72118551121563768</v>
      </c>
      <c r="AO47" s="127">
        <v>2.286607135241129</v>
      </c>
      <c r="AP47" s="127">
        <f t="shared" si="14"/>
        <v>3.0077926464567666</v>
      </c>
      <c r="AQ47" s="145"/>
      <c r="AR47" s="155">
        <f t="shared" si="15"/>
        <v>3.0364271872712179</v>
      </c>
      <c r="AS47" s="127">
        <v>11.974627203786897</v>
      </c>
      <c r="AT47" s="127">
        <v>5.209161118179221</v>
      </c>
      <c r="AU47" s="127">
        <v>4.1752755612016514</v>
      </c>
      <c r="AV47" s="127">
        <f t="shared" si="16"/>
        <v>9.3844366793808724</v>
      </c>
      <c r="AW47" s="128">
        <f t="shared" si="17"/>
        <v>0</v>
      </c>
      <c r="AX47" s="155">
        <f t="shared" si="18"/>
        <v>2.6056938584245515</v>
      </c>
      <c r="AY47" s="87">
        <v>11.013605155901349</v>
      </c>
      <c r="AZ47" s="127">
        <v>1.0299128541872438</v>
      </c>
      <c r="BA47" s="127">
        <v>3.2307934614555975</v>
      </c>
      <c r="BB47" s="127">
        <f t="shared" si="19"/>
        <v>4.2607063156428415</v>
      </c>
      <c r="BC47" s="141"/>
      <c r="BD47" s="155">
        <f t="shared" si="20"/>
        <v>2.5171144014275004</v>
      </c>
      <c r="BE47" s="127">
        <v>2.5657167308459536</v>
      </c>
      <c r="BF47" s="127">
        <v>-2.0249829680665472E-2</v>
      </c>
      <c r="BG47" s="127">
        <v>0.72410556877585575</v>
      </c>
      <c r="BH47" s="127">
        <f t="shared" si="21"/>
        <v>0.70385573909519028</v>
      </c>
      <c r="BJ47" s="155">
        <f t="shared" si="22"/>
        <v>2.564691401725705</v>
      </c>
      <c r="BK47" s="127">
        <v>5.4392446032435906</v>
      </c>
      <c r="BL47" s="127">
        <v>0.51504624411421973</v>
      </c>
      <c r="BM47" s="127">
        <v>1.5675173974350798</v>
      </c>
      <c r="BN47" s="127">
        <f t="shared" si="23"/>
        <v>2.0825636415492994</v>
      </c>
      <c r="BO47" s="145"/>
      <c r="BP47" s="155">
        <f t="shared" si="24"/>
        <v>2.7539661724697684</v>
      </c>
      <c r="BQ47" s="127">
        <v>3.0086438218118041</v>
      </c>
      <c r="BR47" s="127">
        <v>0.53511643975368939</v>
      </c>
      <c r="BS47" s="127">
        <v>0.93917049524466201</v>
      </c>
      <c r="BT47" s="127">
        <f t="shared" si="25"/>
        <v>1.4742869349983514</v>
      </c>
      <c r="BU47" s="128">
        <f t="shared" si="26"/>
        <v>0</v>
      </c>
      <c r="BV47" s="155">
        <f t="shared" si="27"/>
        <v>2.7769349895925721</v>
      </c>
      <c r="BW47" s="87">
        <v>2.8680773838859954</v>
      </c>
      <c r="BX47" s="127">
        <v>1.8124842888357913</v>
      </c>
      <c r="BY47" s="127">
        <v>0.90371244599220335</v>
      </c>
      <c r="BZ47" s="127">
        <f t="shared" si="28"/>
        <v>2.7161967348279945</v>
      </c>
      <c r="CA47" s="141"/>
      <c r="CB47" s="155">
        <f t="shared" si="29"/>
        <v>2.6526063565382341</v>
      </c>
      <c r="CC47" s="127">
        <v>1.133194068533085</v>
      </c>
      <c r="CD47" s="127">
        <v>0.1263303128615518</v>
      </c>
      <c r="CE47" s="127">
        <v>0.33913232926021469</v>
      </c>
      <c r="CF47" s="127">
        <f t="shared" si="30"/>
        <v>0.46546264212176647</v>
      </c>
      <c r="CH47" s="155">
        <f t="shared" si="31"/>
        <v>2.7982733108218305</v>
      </c>
      <c r="CI47" s="127">
        <v>1.5036570788687731</v>
      </c>
      <c r="CJ47" s="127">
        <v>1.358746094911804</v>
      </c>
      <c r="CK47" s="127">
        <v>0.47790189710881065</v>
      </c>
      <c r="CL47" s="127">
        <f t="shared" si="32"/>
        <v>1.8366479920206147</v>
      </c>
      <c r="CM47" s="145"/>
      <c r="CN47" s="155">
        <f t="shared" si="33"/>
        <v>3.2347595318199085</v>
      </c>
      <c r="CO47" s="127">
        <v>0.23122623648413734</v>
      </c>
      <c r="CP47" s="127">
        <v>0.32740788106243529</v>
      </c>
      <c r="CQ47" s="127">
        <v>8.6678219623177913E-2</v>
      </c>
      <c r="CR47" s="127">
        <f t="shared" si="34"/>
        <v>0.41408610068561319</v>
      </c>
      <c r="CS47" s="128">
        <f t="shared" si="35"/>
        <v>0</v>
      </c>
      <c r="CT47" s="155">
        <f t="shared" si="36"/>
        <v>2.7931156217943398</v>
      </c>
      <c r="CU47" s="87">
        <v>5.0504780090814236</v>
      </c>
      <c r="CV47" s="127">
        <v>3.5007909297285211</v>
      </c>
      <c r="CW47" s="127">
        <v>1.6018365983756719</v>
      </c>
      <c r="CX47" s="127">
        <f t="shared" si="37"/>
        <v>5.1026275281041933</v>
      </c>
      <c r="CY47" s="141"/>
      <c r="CZ47" s="155">
        <f t="shared" si="38"/>
        <v>2.74636478298389</v>
      </c>
      <c r="DA47" s="127">
        <v>2.8547428262495687</v>
      </c>
      <c r="DB47" s="127">
        <v>0.83460261597494789</v>
      </c>
      <c r="DC47" s="127">
        <v>0.88835901082653501</v>
      </c>
      <c r="DD47" s="127">
        <f t="shared" si="39"/>
        <v>1.7229616268014829</v>
      </c>
      <c r="DF47" s="155">
        <f t="shared" si="40"/>
        <v>2.8441917872239486</v>
      </c>
      <c r="DG47" s="127">
        <v>1.8725001300200237</v>
      </c>
      <c r="DH47" s="127">
        <v>2.0967169117876856</v>
      </c>
      <c r="DI47" s="127">
        <v>0.60617467473424025</v>
      </c>
      <c r="DJ47" s="127">
        <f t="shared" si="41"/>
        <v>2.7028915865219258</v>
      </c>
      <c r="DK47" s="145"/>
      <c r="DL47" s="155">
        <f t="shared" si="42"/>
        <v>2.9080384999745856</v>
      </c>
      <c r="DM47" s="127">
        <v>0.32323505281183162</v>
      </c>
      <c r="DN47" s="127">
        <v>0.5694714019658873</v>
      </c>
      <c r="DO47" s="127">
        <v>0.10730291281489671</v>
      </c>
      <c r="DP47" s="127">
        <f t="shared" si="43"/>
        <v>0.67677431478078398</v>
      </c>
    </row>
    <row r="48" spans="1:120" x14ac:dyDescent="0.2">
      <c r="A48" s="128">
        <f>name!B44</f>
        <v>0</v>
      </c>
      <c r="B48" s="155">
        <f t="shared" si="1"/>
        <v>2.8169915417421754</v>
      </c>
      <c r="C48" s="87">
        <v>158.75130574877755</v>
      </c>
      <c r="D48" s="127">
        <v>31.053175488358242</v>
      </c>
      <c r="E48" s="127">
        <v>50.836604439456309</v>
      </c>
      <c r="F48" s="127">
        <f t="shared" si="2"/>
        <v>81.889779927814544</v>
      </c>
      <c r="G48" s="141"/>
      <c r="H48" s="155">
        <f t="shared" si="3"/>
        <v>2.7131406842493488</v>
      </c>
      <c r="I48" s="127">
        <v>37.269430586923946</v>
      </c>
      <c r="J48" s="127">
        <v>2.0080357660646397</v>
      </c>
      <c r="K48" s="127">
        <v>11.439976930786587</v>
      </c>
      <c r="L48" s="127">
        <f t="shared" si="4"/>
        <v>13.448012696851226</v>
      </c>
      <c r="N48" s="155">
        <f t="shared" si="5"/>
        <v>2.6835187325179533</v>
      </c>
      <c r="O48" s="127">
        <v>64.168727676686729</v>
      </c>
      <c r="P48" s="127">
        <v>9.648746828409589</v>
      </c>
      <c r="Q48" s="127">
        <v>19.45525621806194</v>
      </c>
      <c r="R48" s="127">
        <f t="shared" si="6"/>
        <v>29.104003046471529</v>
      </c>
      <c r="S48" s="145"/>
      <c r="T48" s="155">
        <f t="shared" si="7"/>
        <v>3.0307741956072665</v>
      </c>
      <c r="U48" s="127">
        <v>57.313147485166859</v>
      </c>
      <c r="V48" s="127">
        <v>19.396392893884016</v>
      </c>
      <c r="W48" s="127">
        <v>19.941371290607766</v>
      </c>
      <c r="X48" s="127">
        <f t="shared" si="8"/>
        <v>39.337764184491782</v>
      </c>
      <c r="Y48" s="128">
        <f t="shared" si="0"/>
        <v>0</v>
      </c>
      <c r="Z48" s="155">
        <f t="shared" si="9"/>
        <v>3.0844034831169376</v>
      </c>
      <c r="AA48" s="87">
        <v>54.043501876163091</v>
      </c>
      <c r="AB48" s="127">
        <v>16.838248878570081</v>
      </c>
      <c r="AC48" s="127">
        <v>19.18381203425853</v>
      </c>
      <c r="AD48" s="127">
        <f t="shared" si="10"/>
        <v>36.022060912828607</v>
      </c>
      <c r="AE48" s="141"/>
      <c r="AF48" s="155">
        <f t="shared" si="11"/>
        <v>3.0687126992563263</v>
      </c>
      <c r="AG48" s="127">
        <v>2.872339077635929</v>
      </c>
      <c r="AH48" s="127">
        <v>0.88105911598627318</v>
      </c>
      <c r="AI48" s="127">
        <v>1.0136737094918047</v>
      </c>
      <c r="AJ48" s="127">
        <f t="shared" si="12"/>
        <v>1.8947328254780778</v>
      </c>
      <c r="AL48" s="155">
        <f t="shared" si="13"/>
        <v>2.9854531104971826</v>
      </c>
      <c r="AM48" s="127">
        <v>8.4616752757594771</v>
      </c>
      <c r="AN48" s="127">
        <v>0.5129240985808613</v>
      </c>
      <c r="AO48" s="127">
        <v>2.8940583365838495</v>
      </c>
      <c r="AP48" s="127">
        <f t="shared" si="14"/>
        <v>3.4069824351647107</v>
      </c>
      <c r="AQ48" s="145"/>
      <c r="AR48" s="155">
        <f t="shared" si="15"/>
        <v>3.1049593059016889</v>
      </c>
      <c r="AS48" s="127">
        <v>42.709487522767688</v>
      </c>
      <c r="AT48" s="127">
        <v>15.444265664002945</v>
      </c>
      <c r="AU48" s="127">
        <v>15.276079988182877</v>
      </c>
      <c r="AV48" s="127">
        <f t="shared" si="16"/>
        <v>30.72034565218582</v>
      </c>
      <c r="AW48" s="128">
        <f t="shared" si="17"/>
        <v>0</v>
      </c>
      <c r="AX48" s="155">
        <f t="shared" si="18"/>
        <v>2.6049805214462873</v>
      </c>
      <c r="AY48" s="87">
        <v>67.279720597550053</v>
      </c>
      <c r="AZ48" s="127">
        <v>-1.7061260839949342</v>
      </c>
      <c r="BA48" s="127">
        <v>19.73016584504331</v>
      </c>
      <c r="BB48" s="127">
        <f t="shared" si="19"/>
        <v>18.024039761048375</v>
      </c>
      <c r="BC48" s="141"/>
      <c r="BD48" s="155">
        <f t="shared" si="20"/>
        <v>2.5409532368865007</v>
      </c>
      <c r="BE48" s="127">
        <v>14.926976334729311</v>
      </c>
      <c r="BF48" s="127">
        <v>-1.3830273865244627</v>
      </c>
      <c r="BG48" s="127">
        <v>4.2572967639145958</v>
      </c>
      <c r="BH48" s="127">
        <f t="shared" si="21"/>
        <v>2.8742693773901333</v>
      </c>
      <c r="BJ48" s="155">
        <f t="shared" si="22"/>
        <v>2.5796718808031471</v>
      </c>
      <c r="BK48" s="127">
        <v>40.385319730226364</v>
      </c>
      <c r="BL48" s="127">
        <v>-0.75084702548436888</v>
      </c>
      <c r="BM48" s="127">
        <v>11.714543255967428</v>
      </c>
      <c r="BN48" s="127">
        <f t="shared" si="23"/>
        <v>10.963696230483059</v>
      </c>
      <c r="BO48" s="145"/>
      <c r="BP48" s="155">
        <f t="shared" si="24"/>
        <v>2.7687485385664345</v>
      </c>
      <c r="BQ48" s="127">
        <v>11.967424532594377</v>
      </c>
      <c r="BR48" s="127">
        <v>0.42774832801389723</v>
      </c>
      <c r="BS48" s="127">
        <v>3.7583258251612852</v>
      </c>
      <c r="BT48" s="127">
        <f t="shared" si="25"/>
        <v>4.1860741531751824</v>
      </c>
      <c r="BU48" s="128">
        <f t="shared" si="26"/>
        <v>0</v>
      </c>
      <c r="BV48" s="155">
        <f t="shared" si="27"/>
        <v>2.518201489640326</v>
      </c>
      <c r="BW48" s="87">
        <v>11.027664527945932</v>
      </c>
      <c r="BX48" s="127">
        <v>1.3879359269084375</v>
      </c>
      <c r="BY48" s="127">
        <v>3.1137656010156576</v>
      </c>
      <c r="BZ48" s="127">
        <f t="shared" si="28"/>
        <v>4.5017015279240953</v>
      </c>
      <c r="CA48" s="141"/>
      <c r="CB48" s="155">
        <f t="shared" si="29"/>
        <v>2.4600010102901804</v>
      </c>
      <c r="CC48" s="127">
        <v>4.6043551889988352</v>
      </c>
      <c r="CD48" s="127">
        <v>-9.4762721156135488E-2</v>
      </c>
      <c r="CE48" s="127">
        <v>1.2666488182504458</v>
      </c>
      <c r="CF48" s="127">
        <f t="shared" si="30"/>
        <v>1.1718860970943104</v>
      </c>
      <c r="CH48" s="155">
        <f t="shared" si="31"/>
        <v>2.5135092689739569</v>
      </c>
      <c r="CI48" s="127">
        <v>5.3897928205850842</v>
      </c>
      <c r="CJ48" s="127">
        <v>0.93986804735963958</v>
      </c>
      <c r="CK48" s="127">
        <v>1.5186963016257615</v>
      </c>
      <c r="CL48" s="127">
        <f t="shared" si="32"/>
        <v>2.458564348985401</v>
      </c>
      <c r="CM48" s="145"/>
      <c r="CN48" s="155">
        <f t="shared" si="33"/>
        <v>2.7978329732376128</v>
      </c>
      <c r="CO48" s="127">
        <v>1.0335165183620134</v>
      </c>
      <c r="CP48" s="127">
        <v>0.5428306007049335</v>
      </c>
      <c r="CQ48" s="127">
        <v>0.32842048113944977</v>
      </c>
      <c r="CR48" s="127">
        <f t="shared" si="34"/>
        <v>0.87125108184438327</v>
      </c>
      <c r="CS48" s="128">
        <f t="shared" si="35"/>
        <v>0</v>
      </c>
      <c r="CT48" s="155">
        <f t="shared" si="36"/>
        <v>2.9211505487475975</v>
      </c>
      <c r="CU48" s="87">
        <v>26.400418747118454</v>
      </c>
      <c r="CV48" s="127">
        <v>14.533116766874658</v>
      </c>
      <c r="CW48" s="127">
        <v>8.8088609591388032</v>
      </c>
      <c r="CX48" s="127">
        <f t="shared" si="37"/>
        <v>23.341977726013461</v>
      </c>
      <c r="CY48" s="141"/>
      <c r="CZ48" s="155">
        <f t="shared" si="38"/>
        <v>2.8911023071172881</v>
      </c>
      <c r="DA48" s="127">
        <v>14.865759985559873</v>
      </c>
      <c r="DB48" s="127">
        <v>2.6047667577589646</v>
      </c>
      <c r="DC48" s="127">
        <v>4.9023576391297414</v>
      </c>
      <c r="DD48" s="127">
        <f t="shared" si="39"/>
        <v>7.507124396888706</v>
      </c>
      <c r="DF48" s="155">
        <f t="shared" si="40"/>
        <v>2.9320472834624356</v>
      </c>
      <c r="DG48" s="127">
        <v>9.9319398501158016</v>
      </c>
      <c r="DH48" s="127">
        <v>8.9468017079534565</v>
      </c>
      <c r="DI48" s="127">
        <v>3.3279583238849022</v>
      </c>
      <c r="DJ48" s="127">
        <f t="shared" si="41"/>
        <v>12.274760031838358</v>
      </c>
      <c r="DK48" s="145"/>
      <c r="DL48" s="155">
        <f t="shared" si="42"/>
        <v>3.1300160142738953</v>
      </c>
      <c r="DM48" s="127">
        <v>1.6027189114427818</v>
      </c>
      <c r="DN48" s="127">
        <v>2.981548301162237</v>
      </c>
      <c r="DO48" s="127">
        <v>0.57854499612415899</v>
      </c>
      <c r="DP48" s="127">
        <f t="shared" si="43"/>
        <v>3.5600932972863961</v>
      </c>
    </row>
    <row r="49" spans="1:120" x14ac:dyDescent="0.2">
      <c r="A49" s="128"/>
      <c r="B49" s="155"/>
      <c r="C49" s="141"/>
      <c r="D49" s="141"/>
      <c r="E49" s="141"/>
      <c r="F49" s="141"/>
      <c r="G49" s="141"/>
      <c r="H49" s="155"/>
      <c r="I49" s="127"/>
      <c r="J49" s="127"/>
      <c r="K49" s="127"/>
      <c r="L49" s="127"/>
      <c r="N49" s="155"/>
      <c r="O49" s="127"/>
      <c r="P49" s="127"/>
      <c r="Q49" s="127"/>
      <c r="R49" s="127"/>
      <c r="S49" s="145"/>
      <c r="T49" s="155"/>
      <c r="U49" s="127"/>
      <c r="V49" s="127"/>
      <c r="W49" s="127"/>
      <c r="X49" s="127"/>
      <c r="Y49" s="128"/>
      <c r="Z49" s="155"/>
      <c r="AA49" s="141"/>
      <c r="AB49" s="141"/>
      <c r="AC49" s="141"/>
      <c r="AD49" s="141"/>
      <c r="AE49" s="141"/>
      <c r="AF49" s="155"/>
      <c r="AG49" s="127"/>
      <c r="AH49" s="127"/>
      <c r="AI49" s="127"/>
      <c r="AJ49" s="127"/>
      <c r="AL49" s="155"/>
      <c r="AM49" s="127"/>
      <c r="AN49" s="127"/>
      <c r="AO49" s="127"/>
      <c r="AP49" s="127"/>
      <c r="AQ49" s="145"/>
      <c r="AR49" s="155"/>
      <c r="AS49" s="127"/>
      <c r="AT49" s="127"/>
      <c r="AU49" s="127"/>
      <c r="AV49" s="127"/>
      <c r="AW49" s="128"/>
      <c r="AX49" s="155"/>
      <c r="AY49" s="141"/>
      <c r="AZ49" s="141"/>
      <c r="BA49" s="141"/>
      <c r="BB49" s="141"/>
      <c r="BC49" s="141"/>
      <c r="BD49" s="155"/>
      <c r="BE49" s="127"/>
      <c r="BF49" s="127"/>
      <c r="BG49" s="127"/>
      <c r="BH49" s="127"/>
      <c r="BJ49" s="155"/>
      <c r="BK49" s="127"/>
      <c r="BL49" s="127"/>
      <c r="BM49" s="127"/>
      <c r="BN49" s="127"/>
      <c r="BO49" s="145"/>
      <c r="BP49" s="155"/>
      <c r="BQ49" s="127"/>
      <c r="BR49" s="127"/>
      <c r="BS49" s="127"/>
      <c r="BT49" s="127"/>
      <c r="BU49" s="128"/>
      <c r="BV49" s="155"/>
      <c r="BW49" s="141"/>
      <c r="BX49" s="141"/>
      <c r="BY49" s="141"/>
      <c r="BZ49" s="141"/>
      <c r="CA49" s="141"/>
      <c r="CB49" s="155"/>
      <c r="CC49" s="127"/>
      <c r="CD49" s="127"/>
      <c r="CE49" s="127"/>
      <c r="CF49" s="127"/>
      <c r="CH49" s="155"/>
      <c r="CI49" s="127"/>
      <c r="CJ49" s="127"/>
      <c r="CK49" s="127"/>
      <c r="CL49" s="127"/>
      <c r="CM49" s="145"/>
      <c r="CN49" s="155"/>
      <c r="CO49" s="127"/>
      <c r="CP49" s="127"/>
      <c r="CQ49" s="127"/>
      <c r="CR49" s="127"/>
      <c r="CS49" s="128"/>
      <c r="CT49" s="155"/>
      <c r="CU49" s="141"/>
      <c r="CV49" s="141"/>
      <c r="CW49" s="141"/>
      <c r="CX49" s="141"/>
      <c r="CY49" s="141"/>
      <c r="CZ49" s="155"/>
      <c r="DA49" s="127"/>
      <c r="DB49" s="127"/>
      <c r="DC49" s="127"/>
      <c r="DD49" s="127"/>
      <c r="DF49" s="155"/>
      <c r="DG49" s="127"/>
      <c r="DH49" s="127"/>
      <c r="DI49" s="127"/>
      <c r="DJ49" s="127"/>
      <c r="DK49" s="145"/>
      <c r="DL49" s="155"/>
      <c r="DM49" s="127"/>
      <c r="DN49" s="127"/>
      <c r="DO49" s="127"/>
      <c r="DP49" s="127"/>
    </row>
    <row r="50" spans="1:120" x14ac:dyDescent="0.2">
      <c r="A50" s="146" t="str">
        <f>name!B3</f>
        <v>All industries</v>
      </c>
      <c r="B50" s="156">
        <f t="shared" si="1"/>
        <v>2.7912372459239387</v>
      </c>
      <c r="C50" s="125">
        <v>4561.2992279926211</v>
      </c>
      <c r="D50" s="125">
        <v>431.97496524334053</v>
      </c>
      <c r="E50" s="125">
        <v>1445.5882710202891</v>
      </c>
      <c r="F50" s="125">
        <f t="shared" si="2"/>
        <v>1877.5632362636297</v>
      </c>
      <c r="G50" s="125"/>
      <c r="H50" s="156">
        <f t="shared" si="3"/>
        <v>2.6517730789267446</v>
      </c>
      <c r="I50" s="125">
        <v>774.77767553257945</v>
      </c>
      <c r="J50" s="125">
        <v>-90.9176985646708</v>
      </c>
      <c r="K50" s="125">
        <v>231.78692033646578</v>
      </c>
      <c r="L50" s="125">
        <f>SUM(J50:K50)</f>
        <v>140.86922177179497</v>
      </c>
      <c r="M50" s="124"/>
      <c r="N50" s="156">
        <f t="shared" si="5"/>
        <v>2.6893242464146816</v>
      </c>
      <c r="O50" s="125">
        <v>1810.6123702397726</v>
      </c>
      <c r="P50" s="125">
        <v>208.84741372398935</v>
      </c>
      <c r="Q50" s="125">
        <v>550.29225403969679</v>
      </c>
      <c r="R50" s="125">
        <f>SUM(P50:Q50)</f>
        <v>759.13966776368613</v>
      </c>
      <c r="S50" s="147"/>
      <c r="T50" s="156">
        <f t="shared" si="7"/>
        <v>2.9376202991175049</v>
      </c>
      <c r="U50" s="125">
        <v>1975.9091822202711</v>
      </c>
      <c r="V50" s="125">
        <v>314.04525008402186</v>
      </c>
      <c r="W50" s="125">
        <v>663.50909664412427</v>
      </c>
      <c r="X50" s="125">
        <f>SUM(V50:W50)</f>
        <v>977.55434672814613</v>
      </c>
      <c r="Y50" s="146" t="str">
        <f>A50</f>
        <v>All industries</v>
      </c>
      <c r="Z50" s="156">
        <f>IF(AA50&gt;0,((1+(AC50/AA50))^(1/($A$101-$A$100))-1)*100,0)</f>
        <v>2.9771972098236787</v>
      </c>
      <c r="AA50" s="125">
        <v>2141.7348734083043</v>
      </c>
      <c r="AB50" s="125">
        <v>328.18012130131888</v>
      </c>
      <c r="AC50" s="125">
        <v>730.21185757939747</v>
      </c>
      <c r="AD50" s="125">
        <f>SUM(AB50:AC50)</f>
        <v>1058.3919788807164</v>
      </c>
      <c r="AE50" s="125"/>
      <c r="AF50" s="156">
        <f>IF(AG50&gt;0,((1+(AI50/AG50))^(1/($A$101-$A$100))-1)*100,0)</f>
        <v>3.0280155732974823</v>
      </c>
      <c r="AG50" s="125">
        <v>114.36183531349347</v>
      </c>
      <c r="AH50" s="125">
        <v>10.806009020856356</v>
      </c>
      <c r="AI50" s="125">
        <v>39.749458273691218</v>
      </c>
      <c r="AJ50" s="125">
        <f>SUM(AH50:AI50)</f>
        <v>50.555467294547576</v>
      </c>
      <c r="AK50" s="124"/>
      <c r="AL50" s="156">
        <f>IF(AM50&gt;0,((1+(AO50/AM50))^(1/($A$101-$A$100))-1)*100,0)</f>
        <v>2.9663353480916088</v>
      </c>
      <c r="AM50" s="125">
        <v>484.03376220781502</v>
      </c>
      <c r="AN50" s="125">
        <v>80.752171418150368</v>
      </c>
      <c r="AO50" s="125">
        <v>164.34415782441963</v>
      </c>
      <c r="AP50" s="125">
        <f>SUM(AN50:AO50)</f>
        <v>245.09632924256999</v>
      </c>
      <c r="AQ50" s="147"/>
      <c r="AR50" s="156">
        <f>IF(AS50&gt;0,((1+(AU50/AS50))^(1/($A$101-$A$100))-1)*100,0)</f>
        <v>2.9768281396108875</v>
      </c>
      <c r="AS50" s="125">
        <v>1543.3392758869961</v>
      </c>
      <c r="AT50" s="125">
        <v>236.62194086231219</v>
      </c>
      <c r="AU50" s="125">
        <v>526.11824148128676</v>
      </c>
      <c r="AV50" s="125">
        <f>SUM(AT50:AU50)</f>
        <v>762.74018234359892</v>
      </c>
      <c r="AW50" s="146" t="str">
        <f>Y50</f>
        <v>All industries</v>
      </c>
      <c r="AX50" s="156">
        <f>IF(AY50&gt;0,((1+(BA50/AY50))^(1/($A$101-$A$100))-1)*100,0)</f>
        <v>2.5960689907792656</v>
      </c>
      <c r="AY50" s="125">
        <v>1169.4910110900296</v>
      </c>
      <c r="AZ50" s="125">
        <v>61.012733866251224</v>
      </c>
      <c r="BA50" s="125">
        <v>341.64688672572964</v>
      </c>
      <c r="BB50" s="125">
        <f>SUM(AZ50:BA50)</f>
        <v>402.65962059198085</v>
      </c>
      <c r="BC50" s="125"/>
      <c r="BD50" s="156">
        <f>IF(BE50&gt;0,((1+(BG50/BE50))^(1/($A$101-$A$100))-1)*100,0)</f>
        <v>2.5108134589674425</v>
      </c>
      <c r="BE50" s="125">
        <v>196.77997170605971</v>
      </c>
      <c r="BF50" s="125">
        <v>-19.19988351079143</v>
      </c>
      <c r="BG50" s="125">
        <v>55.380896948664599</v>
      </c>
      <c r="BH50" s="125">
        <f>SUM(BF50:BG50)</f>
        <v>36.181013437873169</v>
      </c>
      <c r="BI50" s="124"/>
      <c r="BJ50" s="156">
        <f>IF(BK50&gt;0,((1+(BM50/BK50))^(1/($A$101-$A$100))-1)*100,0)</f>
        <v>2.5531077119064882</v>
      </c>
      <c r="BK50" s="125">
        <v>650.12175377402275</v>
      </c>
      <c r="BL50" s="125">
        <v>42.192712487148434</v>
      </c>
      <c r="BM50" s="125">
        <v>186.41100647521165</v>
      </c>
      <c r="BN50" s="125">
        <f>SUM(BL50:BM50)</f>
        <v>228.60371896236009</v>
      </c>
      <c r="BO50" s="147"/>
      <c r="BP50" s="156">
        <f>IF(BQ50&gt;0,((1+(BS50/BQ50))^(1/($A$101-$A$100))-1)*100,0)</f>
        <v>2.7334678665663192</v>
      </c>
      <c r="BQ50" s="125">
        <v>322.58928560994713</v>
      </c>
      <c r="BR50" s="125">
        <v>38.019904889894228</v>
      </c>
      <c r="BS50" s="125">
        <v>99.854983301853494</v>
      </c>
      <c r="BT50" s="125">
        <f>SUM(BR50:BS50)</f>
        <v>137.87488819174771</v>
      </c>
      <c r="BU50" s="146" t="str">
        <f>AW50</f>
        <v>All industries</v>
      </c>
      <c r="BV50" s="156">
        <f>IF(BW50&gt;0,((1+(BY50/BW50))^(1/($A$101-$A$100))-1)*100,0)</f>
        <v>2.5889208699682698</v>
      </c>
      <c r="BW50" s="125">
        <v>786.26148565798121</v>
      </c>
      <c r="BX50" s="125">
        <v>-16.768227409449015</v>
      </c>
      <c r="BY50" s="125">
        <v>228.98528730973825</v>
      </c>
      <c r="BZ50" s="125">
        <f>SUM(BX50:BY50)</f>
        <v>212.21705990028923</v>
      </c>
      <c r="CA50" s="125"/>
      <c r="CB50" s="156">
        <f>IF(CC50&gt;0,((1+(CE50/CC50))^(1/($A$101-$A$100))-1)*100,0)</f>
        <v>2.5278948366694864</v>
      </c>
      <c r="CC50" s="125">
        <v>257.91842111045776</v>
      </c>
      <c r="CD50" s="125">
        <v>-52.179148361626908</v>
      </c>
      <c r="CE50" s="125">
        <v>73.138570554183204</v>
      </c>
      <c r="CF50" s="125">
        <f>SUM(CD50:CE50)</f>
        <v>20.959422192556296</v>
      </c>
      <c r="CG50" s="124"/>
      <c r="CH50" s="156">
        <f>IF(CI50&gt;0,((1+(CK50/CI50))^(1/($A$101-$A$100))-1)*100,0)</f>
        <v>2.5655949055339189</v>
      </c>
      <c r="CI50" s="125">
        <v>462.50112579230256</v>
      </c>
      <c r="CJ50" s="125">
        <v>18.263082416840735</v>
      </c>
      <c r="CK50" s="125">
        <v>133.33911166207648</v>
      </c>
      <c r="CL50" s="125">
        <f>SUM(CJ50:CK50)</f>
        <v>151.60219407891722</v>
      </c>
      <c r="CM50" s="147"/>
      <c r="CN50" s="156">
        <f>IF(CO50&gt;0,((1+(CQ50/CO50))^(1/($A$101-$A$100))-1)*100,0)</f>
        <v>2.9840981402702971</v>
      </c>
      <c r="CO50" s="125">
        <v>65.841938755220539</v>
      </c>
      <c r="CP50" s="125">
        <v>17.147838535337179</v>
      </c>
      <c r="CQ50" s="125">
        <v>22.507605093478684</v>
      </c>
      <c r="CR50" s="125">
        <f>SUM(CP50:CQ50)</f>
        <v>39.65544362881586</v>
      </c>
      <c r="CS50" s="146" t="str">
        <f>BU50</f>
        <v>All industries</v>
      </c>
      <c r="CT50" s="156">
        <f>IF(CU50&gt;0,((1+(CW50/CU50))^(1/($A$101-$A$100))-1)*100,0)</f>
        <v>2.7533233225370157</v>
      </c>
      <c r="CU50" s="125">
        <v>463.81185783630696</v>
      </c>
      <c r="CV50" s="125">
        <v>59.550337485219423</v>
      </c>
      <c r="CW50" s="125">
        <v>144.74423940542175</v>
      </c>
      <c r="CX50" s="125">
        <f>SUM(CV50:CW50)</f>
        <v>204.29457689064117</v>
      </c>
      <c r="CY50" s="125"/>
      <c r="CZ50" s="156">
        <f>IF(DA50&gt;0,((1+(DC50/DA50))^(1/($A$101-$A$100))-1)*100,0)</f>
        <v>2.7273559755584653</v>
      </c>
      <c r="DA50" s="125">
        <v>205.71744740256855</v>
      </c>
      <c r="DB50" s="125">
        <v>-30.344675713108767</v>
      </c>
      <c r="DC50" s="125">
        <v>63.517994559926827</v>
      </c>
      <c r="DD50" s="125">
        <f>SUM(DB50:DC50)</f>
        <v>33.173318846818063</v>
      </c>
      <c r="DE50" s="124"/>
      <c r="DF50" s="156">
        <f>IF(DG50&gt;0,((1+(DI50/DG50))^(1/($A$101-$A$100))-1)*100,0)</f>
        <v>2.7323553670193235</v>
      </c>
      <c r="DG50" s="125">
        <v>213.95572846563186</v>
      </c>
      <c r="DH50" s="125">
        <v>67.639447401849822</v>
      </c>
      <c r="DI50" s="125">
        <v>66.197978077989319</v>
      </c>
      <c r="DJ50" s="125">
        <f>SUM(DH50:DI50)</f>
        <v>133.83742547983914</v>
      </c>
      <c r="DK50" s="147"/>
      <c r="DL50" s="156">
        <f>IF(DM50&gt;0,((1+(DO50/DM50))^(1/($A$101-$A$100))-1)*100,0)</f>
        <v>2.9736201868302725</v>
      </c>
      <c r="DM50" s="125">
        <v>44.13868196810671</v>
      </c>
      <c r="DN50" s="125">
        <v>22.25556579647839</v>
      </c>
      <c r="DO50" s="125">
        <v>15.028266767505601</v>
      </c>
      <c r="DP50" s="125">
        <f>SUM(DN50:DO50)</f>
        <v>37.283832563983992</v>
      </c>
    </row>
    <row r="51" spans="1:120" x14ac:dyDescent="0.2">
      <c r="A51" s="128"/>
      <c r="B51" s="141"/>
      <c r="C51" s="141"/>
      <c r="D51" s="141"/>
      <c r="E51" s="141"/>
      <c r="F51" s="141"/>
      <c r="G51" s="141"/>
      <c r="H51" s="129"/>
      <c r="I51" s="129"/>
      <c r="J51" s="129"/>
      <c r="K51" s="129"/>
      <c r="Y51" s="128"/>
      <c r="Z51" s="141"/>
      <c r="AA51" s="141"/>
      <c r="AB51" s="141"/>
      <c r="AC51" s="141"/>
      <c r="AD51" s="141"/>
      <c r="AE51" s="141"/>
      <c r="AF51" s="129"/>
      <c r="AG51" s="129"/>
      <c r="AH51" s="129"/>
      <c r="AI51" s="129"/>
      <c r="AW51" s="128"/>
      <c r="AX51" s="141"/>
      <c r="AY51" s="141"/>
      <c r="AZ51" s="141"/>
      <c r="BA51" s="141"/>
      <c r="BB51" s="141"/>
      <c r="BC51" s="141"/>
      <c r="BD51" s="129"/>
      <c r="BE51" s="129"/>
      <c r="BF51" s="129"/>
      <c r="BG51" s="129"/>
      <c r="BU51" s="128"/>
      <c r="BV51" s="141"/>
      <c r="BW51" s="141"/>
      <c r="BX51" s="141"/>
      <c r="BY51" s="141"/>
      <c r="BZ51" s="141"/>
      <c r="CA51" s="141"/>
      <c r="CB51" s="129"/>
      <c r="CC51" s="129"/>
      <c r="CD51" s="129"/>
      <c r="CE51" s="129"/>
      <c r="CS51" s="128"/>
      <c r="CT51" s="141"/>
      <c r="CU51" s="141"/>
      <c r="CV51" s="141"/>
      <c r="CW51" s="141"/>
      <c r="CX51" s="141"/>
      <c r="CY51" s="141"/>
      <c r="CZ51" s="129"/>
      <c r="DA51" s="129"/>
      <c r="DB51" s="129"/>
      <c r="DC51" s="129"/>
    </row>
    <row r="52" spans="1:120" x14ac:dyDescent="0.2">
      <c r="A52" s="123" t="str">
        <f ca="1">CELL("filename")</f>
        <v>S:\Gateway Web Design\12.LMI\2020.07.29 Gateway LMI\[WA_MainTables.Main.xlsx]Warning</v>
      </c>
      <c r="B52" s="141"/>
      <c r="C52" s="141"/>
      <c r="D52" s="141"/>
      <c r="E52" s="141"/>
      <c r="F52" s="141"/>
      <c r="G52" s="141"/>
      <c r="H52" s="129"/>
      <c r="I52" s="129"/>
      <c r="J52" s="129"/>
      <c r="K52" s="129"/>
      <c r="Y52" s="123" t="str">
        <f ca="1">CELL("filename")</f>
        <v>S:\Gateway Web Design\12.LMI\2020.07.29 Gateway LMI\[WA_MainTables.Main.xlsx]Warning</v>
      </c>
      <c r="Z52" s="141"/>
      <c r="AA52" s="141"/>
      <c r="AB52" s="141"/>
      <c r="AC52" s="141"/>
      <c r="AD52" s="141"/>
      <c r="AE52" s="141"/>
      <c r="AF52" s="129"/>
      <c r="AG52" s="129"/>
      <c r="AH52" s="129"/>
      <c r="AI52" s="129"/>
      <c r="AW52" s="123" t="str">
        <f ca="1">CELL("filename")</f>
        <v>S:\Gateway Web Design\12.LMI\2020.07.29 Gateway LMI\[WA_MainTables.Main.xlsx]Warning</v>
      </c>
      <c r="AX52" s="141"/>
      <c r="AY52" s="141"/>
      <c r="AZ52" s="141"/>
      <c r="BA52" s="141"/>
      <c r="BB52" s="141"/>
      <c r="BC52" s="141"/>
      <c r="BD52" s="129"/>
      <c r="BE52" s="129"/>
      <c r="BF52" s="129"/>
      <c r="BG52" s="129"/>
      <c r="BU52" s="123" t="str">
        <f ca="1">CELL("filename")</f>
        <v>S:\Gateway Web Design\12.LMI\2020.07.29 Gateway LMI\[WA_MainTables.Main.xlsx]Warning</v>
      </c>
      <c r="BV52" s="141"/>
      <c r="BW52" s="141"/>
      <c r="BX52" s="141"/>
      <c r="BY52" s="141"/>
      <c r="BZ52" s="141"/>
      <c r="CA52" s="141"/>
      <c r="CB52" s="129"/>
      <c r="CC52" s="129"/>
      <c r="CD52" s="129"/>
      <c r="CE52" s="129"/>
      <c r="CS52" s="123" t="str">
        <f ca="1">CELL("filename")</f>
        <v>S:\Gateway Web Design\12.LMI\2020.07.29 Gateway LMI\[WA_MainTables.Main.xlsx]Warning</v>
      </c>
      <c r="CT52" s="141"/>
      <c r="CU52" s="141"/>
      <c r="CV52" s="141"/>
      <c r="CW52" s="141"/>
      <c r="CX52" s="141"/>
      <c r="CY52" s="141"/>
      <c r="CZ52" s="129"/>
      <c r="DA52" s="129"/>
      <c r="DB52" s="129"/>
      <c r="DC52" s="129"/>
    </row>
    <row r="53" spans="1:120" ht="15.75" x14ac:dyDescent="0.25">
      <c r="A53" s="23" t="str">
        <f>CONCATENATE("Basic Table 5  Replacement Demand, ",A100,"-",A101,", by Industry Group and Qualification for ",name!$H$3)</f>
        <v>Basic Table 5  Replacement Demand, 2015-2025, by Industry Group and Qualification for M</v>
      </c>
      <c r="G53" s="123"/>
      <c r="M53" s="123"/>
      <c r="N53" s="123"/>
      <c r="Y53" s="23" t="str">
        <f>CONCATENATE("Basic Table 5  Replacement Demand, ",A100,"-",A101,", by Industry Group and Qualification for ",name!$H$4)</f>
        <v>Basic Table 5  Replacement Demand, 2015-2025, by Industry Group and Qualification for F</v>
      </c>
      <c r="AE53" s="123"/>
      <c r="AK53" s="123"/>
      <c r="AL53" s="123"/>
      <c r="AW53" s="23" t="str">
        <f>CONCATENATE("Basic Table 5  Replacement Demand, ",A100,"-",A101,", by Industry Group and Qualification for ",name!$H$5)</f>
        <v xml:space="preserve">Basic Table 5  Replacement Demand, 2015-2025, by Industry Group and Qualification for </v>
      </c>
      <c r="BC53" s="123"/>
      <c r="BI53" s="123"/>
      <c r="BJ53" s="123"/>
      <c r="BU53" s="23" t="str">
        <f>CONCATENATE("Basic Table 5  Replacement Demand, ",A100,"-",A101,", by Industry Group and Qualification for ",name!$H$6)</f>
        <v xml:space="preserve">Basic Table 5  Replacement Demand, 2015-2025, by Industry Group and Qualification for </v>
      </c>
      <c r="CA53" s="123"/>
      <c r="CG53" s="123"/>
      <c r="CH53" s="123"/>
      <c r="CS53" s="23" t="str">
        <f>CONCATENATE("Basic Table 5  Replacement Demand, ",A100,"-",A101,", by Industry Group and Qualification for ",name!$H$7)</f>
        <v xml:space="preserve">Basic Table 5  Replacement Demand, 2015-2025, by Industry Group and Qualification for </v>
      </c>
      <c r="CY53" s="123"/>
      <c r="DE53" s="123"/>
      <c r="DF53" s="123"/>
    </row>
    <row r="54" spans="1:120" x14ac:dyDescent="0.2">
      <c r="G54" s="123"/>
      <c r="M54" s="123"/>
      <c r="N54" s="123"/>
      <c r="AE54" s="123"/>
      <c r="AK54" s="123"/>
      <c r="AL54" s="123"/>
      <c r="BC54" s="123"/>
      <c r="BI54" s="123"/>
      <c r="BJ54" s="123"/>
      <c r="CA54" s="123"/>
      <c r="CG54" s="123"/>
      <c r="CH54" s="123"/>
      <c r="CY54" s="123"/>
      <c r="DE54" s="123"/>
      <c r="DF54" s="123"/>
    </row>
    <row r="55" spans="1:120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57" t="str">
        <f>$X$3</f>
        <v>thousands</v>
      </c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57" t="str">
        <f>$X$3</f>
        <v>thousands</v>
      </c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57" t="str">
        <f>$X$3</f>
        <v>thousands</v>
      </c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57" t="str">
        <f>$X$3</f>
        <v>thousands</v>
      </c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57" t="str">
        <f>$X$3</f>
        <v>thousands</v>
      </c>
    </row>
    <row r="56" spans="1:120" s="129" customFormat="1" x14ac:dyDescent="0.2">
      <c r="B56" s="529" t="str">
        <f>B4</f>
        <v>All qualifications</v>
      </c>
      <c r="C56" s="529"/>
      <c r="D56" s="529"/>
      <c r="E56" s="529"/>
      <c r="F56" s="529"/>
      <c r="G56" s="153"/>
      <c r="H56" s="529" t="str">
        <f>H4</f>
        <v>RQF8 Doctorate</v>
      </c>
      <c r="I56" s="529"/>
      <c r="J56" s="529"/>
      <c r="K56" s="529"/>
      <c r="L56" s="529"/>
      <c r="M56" s="153"/>
      <c r="N56" s="530" t="str">
        <f>N4</f>
        <v>RQF7 Other higher degree</v>
      </c>
      <c r="O56" s="530"/>
      <c r="P56" s="530"/>
      <c r="Q56" s="530"/>
      <c r="R56" s="530"/>
      <c r="S56" s="150"/>
      <c r="T56" s="530" t="str">
        <f>T4</f>
        <v>RQF6 First degree</v>
      </c>
      <c r="U56" s="530"/>
      <c r="V56" s="530"/>
      <c r="W56" s="530"/>
      <c r="X56" s="530"/>
      <c r="Z56" s="529" t="str">
        <f>Z4</f>
        <v>All qualifications</v>
      </c>
      <c r="AA56" s="529"/>
      <c r="AB56" s="529"/>
      <c r="AC56" s="529"/>
      <c r="AD56" s="529"/>
      <c r="AE56" s="153"/>
      <c r="AF56" s="529" t="str">
        <f>AF4</f>
        <v>RQF8 Doctorate</v>
      </c>
      <c r="AG56" s="529"/>
      <c r="AH56" s="529"/>
      <c r="AI56" s="529"/>
      <c r="AJ56" s="529"/>
      <c r="AK56" s="153"/>
      <c r="AL56" s="530" t="str">
        <f>AL4</f>
        <v>RQF7 Other higher degree</v>
      </c>
      <c r="AM56" s="530"/>
      <c r="AN56" s="530"/>
      <c r="AO56" s="530"/>
      <c r="AP56" s="530"/>
      <c r="AQ56" s="150"/>
      <c r="AR56" s="530" t="str">
        <f>AR4</f>
        <v>RQF6 First degree</v>
      </c>
      <c r="AS56" s="530"/>
      <c r="AT56" s="530"/>
      <c r="AU56" s="530"/>
      <c r="AV56" s="530"/>
      <c r="AX56" s="529" t="str">
        <f>AX4</f>
        <v>All qualifications</v>
      </c>
      <c r="AY56" s="529"/>
      <c r="AZ56" s="529"/>
      <c r="BA56" s="529"/>
      <c r="BB56" s="529"/>
      <c r="BC56" s="153"/>
      <c r="BD56" s="529" t="str">
        <f>BD4</f>
        <v>RQF8 Doctorate</v>
      </c>
      <c r="BE56" s="529"/>
      <c r="BF56" s="529"/>
      <c r="BG56" s="529"/>
      <c r="BH56" s="529"/>
      <c r="BI56" s="153"/>
      <c r="BJ56" s="530" t="str">
        <f>BJ4</f>
        <v>RQF7 Other higher degree</v>
      </c>
      <c r="BK56" s="530"/>
      <c r="BL56" s="530"/>
      <c r="BM56" s="530"/>
      <c r="BN56" s="530"/>
      <c r="BO56" s="150"/>
      <c r="BP56" s="530" t="str">
        <f>BP4</f>
        <v>RQF6 First degree</v>
      </c>
      <c r="BQ56" s="530"/>
      <c r="BR56" s="530"/>
      <c r="BS56" s="530"/>
      <c r="BT56" s="530"/>
      <c r="BV56" s="529" t="str">
        <f>BV4</f>
        <v>All qualifications</v>
      </c>
      <c r="BW56" s="529"/>
      <c r="BX56" s="529"/>
      <c r="BY56" s="529"/>
      <c r="BZ56" s="529"/>
      <c r="CA56" s="153"/>
      <c r="CB56" s="529" t="str">
        <f>CB4</f>
        <v>RQF8 Doctorate</v>
      </c>
      <c r="CC56" s="529"/>
      <c r="CD56" s="529"/>
      <c r="CE56" s="529"/>
      <c r="CF56" s="529"/>
      <c r="CG56" s="153"/>
      <c r="CH56" s="530" t="str">
        <f>CH4</f>
        <v>RQF7 Other higher degree</v>
      </c>
      <c r="CI56" s="530"/>
      <c r="CJ56" s="530"/>
      <c r="CK56" s="530"/>
      <c r="CL56" s="530"/>
      <c r="CM56" s="150"/>
      <c r="CN56" s="530" t="str">
        <f>CN4</f>
        <v>RQF6 First degree</v>
      </c>
      <c r="CO56" s="530"/>
      <c r="CP56" s="530"/>
      <c r="CQ56" s="530"/>
      <c r="CR56" s="530"/>
      <c r="CT56" s="529" t="str">
        <f>CT4</f>
        <v>All qualifications</v>
      </c>
      <c r="CU56" s="529"/>
      <c r="CV56" s="529"/>
      <c r="CW56" s="529"/>
      <c r="CX56" s="529"/>
      <c r="CY56" s="153"/>
      <c r="CZ56" s="529" t="str">
        <f>CZ4</f>
        <v>RQF8 Doctorate</v>
      </c>
      <c r="DA56" s="529"/>
      <c r="DB56" s="529"/>
      <c r="DC56" s="529"/>
      <c r="DD56" s="529"/>
      <c r="DE56" s="153"/>
      <c r="DF56" s="530" t="str">
        <f>DF4</f>
        <v>RQF7 Other higher degree</v>
      </c>
      <c r="DG56" s="530"/>
      <c r="DH56" s="530"/>
      <c r="DI56" s="530"/>
      <c r="DJ56" s="530"/>
      <c r="DK56" s="150"/>
      <c r="DL56" s="530" t="str">
        <f>DL4</f>
        <v>RQF6 First degree</v>
      </c>
      <c r="DM56" s="530"/>
      <c r="DN56" s="530"/>
      <c r="DO56" s="530"/>
      <c r="DP56" s="530"/>
    </row>
    <row r="57" spans="1:120" x14ac:dyDescent="0.2">
      <c r="A57" s="129"/>
      <c r="B57" s="129"/>
      <c r="C57" s="129"/>
      <c r="D57" s="129"/>
      <c r="E57" s="129"/>
      <c r="F57" s="129"/>
      <c r="H57" s="129"/>
      <c r="I57" s="129"/>
      <c r="J57" s="129"/>
      <c r="Y57" s="129"/>
      <c r="Z57" s="129"/>
      <c r="AA57" s="129"/>
      <c r="AB57" s="129"/>
      <c r="AC57" s="129"/>
      <c r="AD57" s="129"/>
      <c r="AF57" s="129"/>
      <c r="AG57" s="129"/>
      <c r="AH57" s="129"/>
      <c r="AW57" s="129"/>
      <c r="AX57" s="129"/>
      <c r="AY57" s="129"/>
      <c r="AZ57" s="129"/>
      <c r="BA57" s="129"/>
      <c r="BB57" s="129"/>
      <c r="BD57" s="129"/>
      <c r="BE57" s="129"/>
      <c r="BF57" s="129"/>
      <c r="BU57" s="129"/>
      <c r="BV57" s="129"/>
      <c r="BW57" s="129"/>
      <c r="BX57" s="129"/>
      <c r="BY57" s="129"/>
      <c r="BZ57" s="129"/>
      <c r="CB57" s="129"/>
      <c r="CC57" s="129"/>
      <c r="CD57" s="129"/>
      <c r="CS57" s="129"/>
      <c r="CT57" s="129"/>
      <c r="CU57" s="129"/>
      <c r="CV57" s="129"/>
      <c r="CW57" s="129"/>
      <c r="CX57" s="129"/>
      <c r="CZ57" s="129"/>
      <c r="DA57" s="129"/>
      <c r="DB57" s="129"/>
    </row>
    <row r="58" spans="1:120" ht="38.25" x14ac:dyDescent="0.2">
      <c r="A58" s="152"/>
      <c r="B58" s="149" t="str">
        <f>B6</f>
        <v>RD p.a%</v>
      </c>
      <c r="C58" s="149" t="str">
        <f>C6</f>
        <v>2015 Level</v>
      </c>
      <c r="D58" s="149" t="str">
        <f>D6</f>
        <v>Net Change</v>
      </c>
      <c r="E58" s="149" t="str">
        <f>E6</f>
        <v>Replace-ment Demand</v>
      </c>
      <c r="F58" s="149" t="str">
        <f>F6</f>
        <v>Total Require-ment</v>
      </c>
      <c r="G58" s="148"/>
      <c r="H58" s="143" t="str">
        <f>B58</f>
        <v>RD p.a%</v>
      </c>
      <c r="I58" s="143" t="str">
        <f>C58</f>
        <v>2015 Level</v>
      </c>
      <c r="J58" s="143" t="str">
        <f>D58</f>
        <v>Net Change</v>
      </c>
      <c r="K58" s="143" t="str">
        <f>E58</f>
        <v>Replace-ment Demand</v>
      </c>
      <c r="L58" s="143" t="str">
        <f>F58</f>
        <v>Total Require-ment</v>
      </c>
      <c r="M58" s="142"/>
      <c r="N58" s="144" t="str">
        <f>H58</f>
        <v>RD p.a%</v>
      </c>
      <c r="O58" s="144" t="str">
        <f>I58</f>
        <v>2015 Level</v>
      </c>
      <c r="P58" s="144" t="str">
        <f>J58</f>
        <v>Net Change</v>
      </c>
      <c r="Q58" s="144" t="str">
        <f>K58</f>
        <v>Replace-ment Demand</v>
      </c>
      <c r="R58" s="144" t="str">
        <f>L58</f>
        <v>Total Require-ment</v>
      </c>
      <c r="S58" s="142"/>
      <c r="T58" s="144" t="str">
        <f>N58</f>
        <v>RD p.a%</v>
      </c>
      <c r="U58" s="144" t="str">
        <f>O58</f>
        <v>2015 Level</v>
      </c>
      <c r="V58" s="144" t="str">
        <f>P58</f>
        <v>Net Change</v>
      </c>
      <c r="W58" s="144" t="str">
        <f>Q58</f>
        <v>Replace-ment Demand</v>
      </c>
      <c r="X58" s="144" t="str">
        <f>R58</f>
        <v>Total Require-ment</v>
      </c>
      <c r="Y58" s="152"/>
      <c r="Z58" s="149" t="str">
        <f>Z6</f>
        <v>RD p.a%</v>
      </c>
      <c r="AA58" s="149" t="str">
        <f>AA6</f>
        <v>2015 Level</v>
      </c>
      <c r="AB58" s="149" t="str">
        <f>AB6</f>
        <v>Net Change</v>
      </c>
      <c r="AC58" s="149" t="str">
        <f>AC6</f>
        <v>Replace-ment Demand</v>
      </c>
      <c r="AD58" s="149" t="str">
        <f>AD6</f>
        <v>Total Require-ment</v>
      </c>
      <c r="AE58" s="148"/>
      <c r="AF58" s="143" t="str">
        <f>Z58</f>
        <v>RD p.a%</v>
      </c>
      <c r="AG58" s="143" t="str">
        <f>AA58</f>
        <v>2015 Level</v>
      </c>
      <c r="AH58" s="143" t="str">
        <f>AB58</f>
        <v>Net Change</v>
      </c>
      <c r="AI58" s="143" t="str">
        <f>AC58</f>
        <v>Replace-ment Demand</v>
      </c>
      <c r="AJ58" s="143" t="str">
        <f>AD58</f>
        <v>Total Require-ment</v>
      </c>
      <c r="AK58" s="142"/>
      <c r="AL58" s="144" t="str">
        <f>AF58</f>
        <v>RD p.a%</v>
      </c>
      <c r="AM58" s="144" t="str">
        <f>AG58</f>
        <v>2015 Level</v>
      </c>
      <c r="AN58" s="144" t="str">
        <f>AH58</f>
        <v>Net Change</v>
      </c>
      <c r="AO58" s="144" t="str">
        <f>AI58</f>
        <v>Replace-ment Demand</v>
      </c>
      <c r="AP58" s="144" t="str">
        <f>AJ58</f>
        <v>Total Require-ment</v>
      </c>
      <c r="AQ58" s="142"/>
      <c r="AR58" s="144" t="str">
        <f>AL58</f>
        <v>RD p.a%</v>
      </c>
      <c r="AS58" s="144" t="str">
        <f>AM58</f>
        <v>2015 Level</v>
      </c>
      <c r="AT58" s="144" t="str">
        <f>AN58</f>
        <v>Net Change</v>
      </c>
      <c r="AU58" s="144" t="str">
        <f>AO58</f>
        <v>Replace-ment Demand</v>
      </c>
      <c r="AV58" s="144" t="str">
        <f>AP58</f>
        <v>Total Require-ment</v>
      </c>
      <c r="AW58" s="152"/>
      <c r="AX58" s="149" t="str">
        <f>AX6</f>
        <v>RD p.a%</v>
      </c>
      <c r="AY58" s="149" t="str">
        <f>AY6</f>
        <v>2015 Level</v>
      </c>
      <c r="AZ58" s="149" t="str">
        <f>AZ6</f>
        <v>Net Change</v>
      </c>
      <c r="BA58" s="149" t="str">
        <f>BA6</f>
        <v>Replace-ment Demand</v>
      </c>
      <c r="BB58" s="149" t="str">
        <f>BB6</f>
        <v>Total Require-ment</v>
      </c>
      <c r="BC58" s="148"/>
      <c r="BD58" s="143" t="str">
        <f>AX58</f>
        <v>RD p.a%</v>
      </c>
      <c r="BE58" s="143" t="str">
        <f>AY58</f>
        <v>2015 Level</v>
      </c>
      <c r="BF58" s="143" t="str">
        <f>AZ58</f>
        <v>Net Change</v>
      </c>
      <c r="BG58" s="143" t="str">
        <f>BA58</f>
        <v>Replace-ment Demand</v>
      </c>
      <c r="BH58" s="143" t="str">
        <f>BB58</f>
        <v>Total Require-ment</v>
      </c>
      <c r="BI58" s="142"/>
      <c r="BJ58" s="144" t="str">
        <f>BD58</f>
        <v>RD p.a%</v>
      </c>
      <c r="BK58" s="144" t="str">
        <f>BE58</f>
        <v>2015 Level</v>
      </c>
      <c r="BL58" s="144" t="str">
        <f>BF58</f>
        <v>Net Change</v>
      </c>
      <c r="BM58" s="144" t="str">
        <f>BG58</f>
        <v>Replace-ment Demand</v>
      </c>
      <c r="BN58" s="144" t="str">
        <f>BH58</f>
        <v>Total Require-ment</v>
      </c>
      <c r="BO58" s="142"/>
      <c r="BP58" s="144" t="str">
        <f>BJ58</f>
        <v>RD p.a%</v>
      </c>
      <c r="BQ58" s="144" t="str">
        <f>BK58</f>
        <v>2015 Level</v>
      </c>
      <c r="BR58" s="144" t="str">
        <f>BL58</f>
        <v>Net Change</v>
      </c>
      <c r="BS58" s="144" t="str">
        <f>BM58</f>
        <v>Replace-ment Demand</v>
      </c>
      <c r="BT58" s="144" t="str">
        <f>BN58</f>
        <v>Total Require-ment</v>
      </c>
      <c r="BU58" s="152"/>
      <c r="BV58" s="149" t="str">
        <f>BV6</f>
        <v>RD p.a%</v>
      </c>
      <c r="BW58" s="149" t="str">
        <f>BW6</f>
        <v>2015 Level</v>
      </c>
      <c r="BX58" s="149" t="str">
        <f>BX6</f>
        <v>Net Change</v>
      </c>
      <c r="BY58" s="149" t="str">
        <f>BY6</f>
        <v>Replace-ment Demand</v>
      </c>
      <c r="BZ58" s="149" t="str">
        <f>BZ6</f>
        <v>Total Require-ment</v>
      </c>
      <c r="CA58" s="148"/>
      <c r="CB58" s="143" t="str">
        <f>BV58</f>
        <v>RD p.a%</v>
      </c>
      <c r="CC58" s="143" t="str">
        <f>BW58</f>
        <v>2015 Level</v>
      </c>
      <c r="CD58" s="143" t="str">
        <f>BX58</f>
        <v>Net Change</v>
      </c>
      <c r="CE58" s="143" t="str">
        <f>BY58</f>
        <v>Replace-ment Demand</v>
      </c>
      <c r="CF58" s="143" t="str">
        <f>BZ58</f>
        <v>Total Require-ment</v>
      </c>
      <c r="CG58" s="142"/>
      <c r="CH58" s="144" t="str">
        <f>CB58</f>
        <v>RD p.a%</v>
      </c>
      <c r="CI58" s="144" t="str">
        <f>CC58</f>
        <v>2015 Level</v>
      </c>
      <c r="CJ58" s="144" t="str">
        <f>CD58</f>
        <v>Net Change</v>
      </c>
      <c r="CK58" s="144" t="str">
        <f>CE58</f>
        <v>Replace-ment Demand</v>
      </c>
      <c r="CL58" s="144" t="str">
        <f>CF58</f>
        <v>Total Require-ment</v>
      </c>
      <c r="CM58" s="142"/>
      <c r="CN58" s="144" t="str">
        <f>CH58</f>
        <v>RD p.a%</v>
      </c>
      <c r="CO58" s="144" t="str">
        <f>CI58</f>
        <v>2015 Level</v>
      </c>
      <c r="CP58" s="144" t="str">
        <f>CJ58</f>
        <v>Net Change</v>
      </c>
      <c r="CQ58" s="144" t="str">
        <f>CK58</f>
        <v>Replace-ment Demand</v>
      </c>
      <c r="CR58" s="144" t="str">
        <f>CL58</f>
        <v>Total Require-ment</v>
      </c>
      <c r="CS58" s="152"/>
      <c r="CT58" s="149" t="str">
        <f>CT6</f>
        <v>RD p.a%</v>
      </c>
      <c r="CU58" s="149" t="str">
        <f>CU6</f>
        <v>2015 Level</v>
      </c>
      <c r="CV58" s="149" t="str">
        <f>CV6</f>
        <v>Net Change</v>
      </c>
      <c r="CW58" s="149" t="str">
        <f>CW6</f>
        <v>Replace-ment Demand</v>
      </c>
      <c r="CX58" s="149" t="str">
        <f>CX6</f>
        <v>Total Require-ment</v>
      </c>
      <c r="CY58" s="148"/>
      <c r="CZ58" s="143" t="str">
        <f>CT58</f>
        <v>RD p.a%</v>
      </c>
      <c r="DA58" s="143" t="str">
        <f>CU58</f>
        <v>2015 Level</v>
      </c>
      <c r="DB58" s="143" t="str">
        <f>CV58</f>
        <v>Net Change</v>
      </c>
      <c r="DC58" s="143" t="str">
        <f>CW58</f>
        <v>Replace-ment Demand</v>
      </c>
      <c r="DD58" s="143" t="str">
        <f>CX58</f>
        <v>Total Require-ment</v>
      </c>
      <c r="DE58" s="142"/>
      <c r="DF58" s="144" t="str">
        <f>CZ58</f>
        <v>RD p.a%</v>
      </c>
      <c r="DG58" s="144" t="str">
        <f>DA58</f>
        <v>2015 Level</v>
      </c>
      <c r="DH58" s="144" t="str">
        <f>DB58</f>
        <v>Net Change</v>
      </c>
      <c r="DI58" s="144" t="str">
        <f>DC58</f>
        <v>Replace-ment Demand</v>
      </c>
      <c r="DJ58" s="144" t="str">
        <f>DD58</f>
        <v>Total Require-ment</v>
      </c>
      <c r="DK58" s="142"/>
      <c r="DL58" s="144" t="str">
        <f>DF58</f>
        <v>RD p.a%</v>
      </c>
      <c r="DM58" s="144" t="str">
        <f>DG58</f>
        <v>2015 Level</v>
      </c>
      <c r="DN58" s="144" t="str">
        <f>DH58</f>
        <v>Net Change</v>
      </c>
      <c r="DO58" s="144" t="str">
        <f>DI58</f>
        <v>Replace-ment Demand</v>
      </c>
      <c r="DP58" s="144" t="str">
        <f>DJ58</f>
        <v>Total Require-ment</v>
      </c>
    </row>
    <row r="59" spans="1:120" x14ac:dyDescent="0.2">
      <c r="G59" s="123"/>
      <c r="M59" s="123"/>
      <c r="N59" s="123"/>
      <c r="AE59" s="123"/>
      <c r="AK59" s="123"/>
      <c r="AL59" s="123"/>
      <c r="BC59" s="123"/>
      <c r="BI59" s="123"/>
      <c r="BJ59" s="123"/>
      <c r="CA59" s="123"/>
      <c r="CG59" s="123"/>
      <c r="CH59" s="123"/>
      <c r="CY59" s="123"/>
      <c r="DE59" s="123"/>
      <c r="DF59" s="123"/>
    </row>
    <row r="60" spans="1:120" x14ac:dyDescent="0.2">
      <c r="A60" s="123" t="e">
        <f>name!#REF!</f>
        <v>#REF!</v>
      </c>
      <c r="B60" s="155">
        <f t="shared" ref="B60:B77" si="44">IF(C60&gt;0,((1+(E60/C60))^(1/($A$101-$A$100))-1)*100,0)</f>
        <v>3.0200371662758352</v>
      </c>
      <c r="C60" s="127">
        <f t="array" ref="C60:C75">MMULT(aggregation!$B$28:$AP$33,C8:C48)</f>
        <v>366.4282299047502</v>
      </c>
      <c r="D60" s="127">
        <f t="array" ref="D60:D75">MMULT(aggregation!$B$28:$AP$33,D8:D48)</f>
        <v>12.375876953571559</v>
      </c>
      <c r="E60" s="127">
        <f t="array" ref="E60:E75">MMULT(aggregation!$B$28:$AP$33,E8:E48)</f>
        <v>126.97949758360076</v>
      </c>
      <c r="F60" s="127">
        <f t="array" ref="F60:F75">MMULT(aggregation!$B$28:$AP$33,F8:F48)</f>
        <v>139.35537453717231</v>
      </c>
      <c r="G60" s="123"/>
      <c r="H60" s="155">
        <f t="shared" ref="H60:H77" si="45">IF(I60&gt;0,((1+(K60/I60))^(1/($A$101-$A$100))-1)*100,0)</f>
        <v>2.9285612180755871</v>
      </c>
      <c r="I60" s="127">
        <f t="array" ref="I60:I75">MMULT(aggregation!$B$28:$AP$33,I8:I48)</f>
        <v>97.376228083615871</v>
      </c>
      <c r="J60" s="127">
        <f t="array" ref="J60:J75">MMULT(aggregation!$B$28:$AP$33,J8:J48)</f>
        <v>-20.134418454551835</v>
      </c>
      <c r="K60" s="127">
        <f t="array" ref="K60:K75">MMULT(aggregation!$B$28:$AP$33,K8:K48)</f>
        <v>32.584449941883307</v>
      </c>
      <c r="L60" s="127">
        <f t="array" ref="L60:L75">MMULT(aggregation!$B$28:$AP$33,L8:L48)</f>
        <v>12.450031487331474</v>
      </c>
      <c r="M60" s="123"/>
      <c r="N60" s="155">
        <f t="shared" ref="N60:N77" si="46">IF(O60&gt;0,((1+(Q60/O60))^(1/($A$101-$A$100))-1)*100,0)</f>
        <v>3.0078818163740584</v>
      </c>
      <c r="O60" s="127">
        <f t="array" ref="O60:O75">MMULT(aggregation!$B$28:$AP$33,O8:O48)</f>
        <v>182.91528670445331</v>
      </c>
      <c r="P60" s="127">
        <f t="array" ref="P60:P75">MMULT(aggregation!$B$28:$AP$33,P8:P48)</f>
        <v>11.860906329989675</v>
      </c>
      <c r="Q60" s="127">
        <f t="array" ref="Q60:Q75">MMULT(aggregation!$B$28:$AP$33,Q8:Q48)</f>
        <v>63.095737682523136</v>
      </c>
      <c r="R60" s="127">
        <f t="array" ref="R60:R75">MMULT(aggregation!$B$28:$AP$33,R8:R48)</f>
        <v>74.956644012512811</v>
      </c>
      <c r="S60" s="127"/>
      <c r="T60" s="155">
        <f t="shared" ref="T60:T77" si="47">IF(U60&gt;0,((1+(W60/U60))^(1/($A$101-$A$100))-1)*100,0)</f>
        <v>3.1481168893008116</v>
      </c>
      <c r="U60" s="127">
        <f t="array" ref="U60:U75">MMULT(aggregation!$B$28:$AP$33,U8:U48)</f>
        <v>86.136715116681074</v>
      </c>
      <c r="V60" s="127">
        <f t="array" ref="V60:V75">MMULT(aggregation!$B$28:$AP$33,V8:V48)</f>
        <v>20.649389078133723</v>
      </c>
      <c r="W60" s="127">
        <f t="array" ref="W60:W75">MMULT(aggregation!$B$28:$AP$33,W8:W48)</f>
        <v>31.299309959194293</v>
      </c>
      <c r="X60" s="127">
        <f t="array" ref="X60:X75">MMULT(aggregation!$B$28:$AP$33,X8:X48)</f>
        <v>51.948699037328012</v>
      </c>
      <c r="Y60" s="123" t="e">
        <f>A60</f>
        <v>#REF!</v>
      </c>
      <c r="Z60" s="155">
        <f t="shared" ref="Z60:Z75" si="48">IF(AA60&gt;0,((1+(AC60/AA60))^(1/($A$101-$A$100))-1)*100,0)</f>
        <v>3.4510693323820618</v>
      </c>
      <c r="AA60" s="127">
        <f t="array" ref="AA60:AA75">MMULT(aggregation!$B$28:$AP$33,AA8:AA48)</f>
        <v>109.40097762183721</v>
      </c>
      <c r="AB60" s="127">
        <f t="array" ref="AB60:AB75">MMULT(aggregation!$B$28:$AP$33,AB8:AB48)</f>
        <v>9.4111962426802158</v>
      </c>
      <c r="AC60" s="127">
        <f t="array" ref="AC60:AC75">MMULT(aggregation!$B$28:$AP$33,AC8:AC48)</f>
        <v>44.19188844178916</v>
      </c>
      <c r="AD60" s="127">
        <f t="array" ref="AD60:AD75">MMULT(aggregation!$B$28:$AP$33,AD8:AD48)</f>
        <v>53.603084684469373</v>
      </c>
      <c r="AE60" s="123"/>
      <c r="AF60" s="155">
        <f t="shared" ref="AF60:AF75" si="49">IF(AG60&gt;0,((1+(AI60/AG60))^(1/($A$101-$A$100))-1)*100,0)</f>
        <v>3.8042706160036355</v>
      </c>
      <c r="AG60" s="127">
        <f t="array" ref="AG60:AG75">MMULT(aggregation!$B$28:$AP$33,AG8:AG48)</f>
        <v>13.890583179106276</v>
      </c>
      <c r="AH60" s="127">
        <f t="array" ref="AH60:AH75">MMULT(aggregation!$B$28:$AP$33,AH8:AH48)</f>
        <v>-3.9765127034124319</v>
      </c>
      <c r="AI60" s="127">
        <f t="array" ref="AI60:AI75">MMULT(aggregation!$B$28:$AP$33,AI8:AI48)</f>
        <v>6.2871647138905322</v>
      </c>
      <c r="AJ60" s="127">
        <f t="array" ref="AJ60:AJ75">MMULT(aggregation!$B$28:$AP$33,AJ8:AJ48)</f>
        <v>2.3106520104781003</v>
      </c>
      <c r="AK60" s="123"/>
      <c r="AL60" s="155">
        <f t="shared" ref="AL60:AL75" si="50">IF(AM60&gt;0,((1+(AO60/AM60))^(1/($A$101-$A$100))-1)*100,0)</f>
        <v>3.5604682409842825</v>
      </c>
      <c r="AM60" s="127">
        <f t="array" ref="AM60:AM75">MMULT(aggregation!$B$28:$AP$33,AM8:AM48)</f>
        <v>46.925666714529029</v>
      </c>
      <c r="AN60" s="127">
        <f t="array" ref="AN60:AN75">MMULT(aggregation!$B$28:$AP$33,AN8:AN48)</f>
        <v>3.8599342908012759</v>
      </c>
      <c r="AO60" s="127">
        <f t="array" ref="AO60:AO75">MMULT(aggregation!$B$28:$AP$33,AO8:AO48)</f>
        <v>19.655362728522867</v>
      </c>
      <c r="AP60" s="127">
        <f t="array" ref="AP60:AP75">MMULT(aggregation!$B$28:$AP$33,AP8:AP48)</f>
        <v>23.515297019324144</v>
      </c>
      <c r="AQ60" s="127"/>
      <c r="AR60" s="155">
        <f t="shared" ref="AR60:AR75" si="51">IF(AS60&gt;0,((1+(AU60/AS60))^(1/($A$101-$A$100))-1)*100,0)</f>
        <v>3.2404350006200788</v>
      </c>
      <c r="AS60" s="127">
        <f t="array" ref="AS60:AS75">MMULT(aggregation!$B$28:$AP$33,AS8:AS48)</f>
        <v>48.584727728201912</v>
      </c>
      <c r="AT60" s="127">
        <f t="array" ref="AT60:AT75">MMULT(aggregation!$B$28:$AP$33,AT8:AT48)</f>
        <v>9.5277746552913687</v>
      </c>
      <c r="AU60" s="127">
        <f t="array" ref="AU60:AU75">MMULT(aggregation!$B$28:$AP$33,AU8:AU48)</f>
        <v>18.249360999375764</v>
      </c>
      <c r="AV60" s="127">
        <f t="array" ref="AV60:AV75">MMULT(aggregation!$B$28:$AP$33,AV8:AV48)</f>
        <v>27.777135654667134</v>
      </c>
      <c r="AW60" s="123" t="e">
        <f>Y60</f>
        <v>#REF!</v>
      </c>
      <c r="AX60" s="155">
        <f t="shared" ref="AX60:AX75" si="52">IF(AY60&gt;0,((1+(BA60/AY60))^(1/($A$101-$A$100))-1)*100,0)</f>
        <v>2.5964738060617387</v>
      </c>
      <c r="AY60" s="127">
        <f t="array" ref="AY60:AY75">MMULT(aggregation!$B$28:$AP$33,AY8:AY48)</f>
        <v>133.76328434115098</v>
      </c>
      <c r="AZ60" s="127">
        <f t="array" ref="AZ60:AZ75">MMULT(aggregation!$B$28:$AP$33,AZ8:AZ48)</f>
        <v>2.9837836487827287</v>
      </c>
      <c r="BA60" s="127">
        <f t="array" ref="BA60:BA75">MMULT(aggregation!$B$28:$AP$33,BA8:BA48)</f>
        <v>39.083485919914963</v>
      </c>
      <c r="BB60" s="127">
        <f t="array" ref="BB60:BB75">MMULT(aggregation!$B$28:$AP$33,BB8:BB48)</f>
        <v>42.067269568697697</v>
      </c>
      <c r="BC60" s="123"/>
      <c r="BD60" s="155">
        <f t="shared" ref="BD60:BD75" si="53">IF(BE60&gt;0,((1+(BG60/BE60))^(1/($A$101-$A$100))-1)*100,0)</f>
        <v>2.547134735934975</v>
      </c>
      <c r="BE60" s="127">
        <f t="array" ref="BE60:BE75">MMULT(aggregation!$B$28:$AP$33,BE8:BE48)</f>
        <v>38.038082841341755</v>
      </c>
      <c r="BF60" s="127">
        <f t="array" ref="BF60:BF75">MMULT(aggregation!$B$28:$AP$33,BF8:BF48)</f>
        <v>-2.4133097813355744</v>
      </c>
      <c r="BG60" s="127">
        <f t="array" ref="BG60:BG75">MMULT(aggregation!$B$28:$AP$33,BG8:BG48)</f>
        <v>10.878253522030754</v>
      </c>
      <c r="BH60" s="127">
        <f t="array" ref="BH60:BH75">MMULT(aggregation!$B$28:$AP$33,BH8:BH48)</f>
        <v>8.4649437406951797</v>
      </c>
      <c r="BI60" s="123"/>
      <c r="BJ60" s="155">
        <f t="shared" ref="BJ60:BJ75" si="54">IF(BK60&gt;0,((1+(BM60/BK60))^(1/($A$101-$A$100))-1)*100,0)</f>
        <v>2.5845775387473902</v>
      </c>
      <c r="BK60" s="127">
        <f t="array" ref="BK60:BK75">MMULT(aggregation!$B$28:$AP$33,BK8:BK48)</f>
        <v>74.411735017406926</v>
      </c>
      <c r="BL60" s="127">
        <f t="array" ref="BL60:BL75">MMULT(aggregation!$B$28:$AP$33,BL8:BL48)</f>
        <v>3.1855192819452687</v>
      </c>
      <c r="BM60" s="127">
        <f t="array" ref="BM60:BM75">MMULT(aggregation!$B$28:$AP$33,BM8:BM48)</f>
        <v>21.630481362749549</v>
      </c>
      <c r="BN60" s="127">
        <f t="array" ref="BN60:BN75">MMULT(aggregation!$B$28:$AP$33,BN8:BN48)</f>
        <v>24.816000644694821</v>
      </c>
      <c r="BO60" s="127"/>
      <c r="BP60" s="155">
        <f t="shared" ref="BP60:BP75" si="55">IF(BQ60&gt;0,((1+(BS60/BQ60))^(1/($A$101-$A$100))-1)*100,0)</f>
        <v>2.7251222269226272</v>
      </c>
      <c r="BQ60" s="127">
        <f t="array" ref="BQ60:BQ75">MMULT(aggregation!$B$28:$AP$33,BQ8:BQ48)</f>
        <v>21.313466482402312</v>
      </c>
      <c r="BR60" s="127">
        <f t="array" ref="BR60:BR75">MMULT(aggregation!$B$28:$AP$33,BR8:BR48)</f>
        <v>2.2115741481730335</v>
      </c>
      <c r="BS60" s="127">
        <f t="array" ref="BS60:BS75">MMULT(aggregation!$B$28:$AP$33,BS8:BS48)</f>
        <v>6.5747510351346579</v>
      </c>
      <c r="BT60" s="127">
        <f t="array" ref="BT60:BT75">MMULT(aggregation!$B$28:$AP$33,BT8:BT48)</f>
        <v>8.7863251833076923</v>
      </c>
      <c r="BU60" s="123" t="e">
        <f>AW60</f>
        <v>#REF!</v>
      </c>
      <c r="BV60" s="155">
        <f t="shared" ref="BV60:BV75" si="56">IF(BW60&gt;0,((1+(BY60/BW60))^(1/($A$101-$A$100))-1)*100,0)</f>
        <v>3.485095393773241</v>
      </c>
      <c r="BW60" s="127">
        <f t="array" ref="BW60:BW75">MMULT(aggregation!$B$28:$AP$33,BW8:BW48)</f>
        <v>65.409196417553474</v>
      </c>
      <c r="BX60" s="127">
        <f t="array" ref="BX60:BX75">MMULT(aggregation!$B$28:$AP$33,BX8:BX48)</f>
        <v>-7.2725784365581729</v>
      </c>
      <c r="BY60" s="127">
        <f t="array" ref="BY60:BY75">MMULT(aggregation!$B$28:$AP$33,BY8:BY48)</f>
        <v>26.724152418105156</v>
      </c>
      <c r="BZ60" s="127">
        <f t="array" ref="BZ60:BZ75">MMULT(aggregation!$B$28:$AP$33,BZ8:BZ48)</f>
        <v>19.451573981546982</v>
      </c>
      <c r="CA60" s="123"/>
      <c r="CB60" s="155">
        <f t="shared" ref="CB60:CB75" si="57">IF(CC60&gt;0,((1+(CE60/CC60))^(1/($A$101-$A$100))-1)*100,0)</f>
        <v>3.3945866942973302</v>
      </c>
      <c r="CC60" s="127">
        <f t="array" ref="CC60:CC75">MMULT(aggregation!$B$28:$AP$33,CC8:CC48)</f>
        <v>21.05053288471078</v>
      </c>
      <c r="CD60" s="127">
        <f t="array" ref="CD60:CD75">MMULT(aggregation!$B$28:$AP$33,CD8:CD48)</f>
        <v>-8.6356916223892384</v>
      </c>
      <c r="CE60" s="127">
        <f t="array" ref="CE60:CE75">MMULT(aggregation!$B$28:$AP$33,CE8:CE48)</f>
        <v>8.342277262525851</v>
      </c>
      <c r="CF60" s="127">
        <f t="array" ref="CF60:CF75">MMULT(aggregation!$B$28:$AP$33,CF8:CF48)</f>
        <v>-0.2934143598633871</v>
      </c>
      <c r="CG60" s="123"/>
      <c r="CH60" s="155">
        <f t="shared" ref="CH60:CH75" si="58">IF(CI60&gt;0,((1+(CK60/CI60))^(1/($A$101-$A$100))-1)*100,0)</f>
        <v>3.4521857773551767</v>
      </c>
      <c r="CI60" s="127">
        <f t="array" ref="CI60:CI75">MMULT(aggregation!$B$28:$AP$33,CI8:CI48)</f>
        <v>34.546886160025707</v>
      </c>
      <c r="CJ60" s="127">
        <f t="array" ref="CJ60:CJ75">MMULT(aggregation!$B$28:$AP$33,CJ8:CJ48)</f>
        <v>-1.2189766380635714</v>
      </c>
      <c r="CK60" s="127">
        <f t="array" ref="CK60:CK75">MMULT(aggregation!$B$28:$AP$33,CK8:CK48)</f>
        <v>13.96024826295576</v>
      </c>
      <c r="CL60" s="127">
        <f t="array" ref="CL60:CL75">MMULT(aggregation!$B$28:$AP$33,CL8:CL48)</f>
        <v>12.741271624892187</v>
      </c>
      <c r="CM60" s="127"/>
      <c r="CN60" s="155">
        <f t="shared" ref="CN60:CN75" si="59">IF(CO60&gt;0,((1+(CQ60/CO60))^(1/($A$101-$A$100))-1)*100,0)</f>
        <v>3.7901429015048116</v>
      </c>
      <c r="CO60" s="127">
        <f t="array" ref="CO60:CO75">MMULT(aggregation!$B$28:$AP$33,CO8:CO48)</f>
        <v>9.8117773728169944</v>
      </c>
      <c r="CP60" s="127">
        <f t="array" ref="CP60:CP75">MMULT(aggregation!$B$28:$AP$33,CP8:CP48)</f>
        <v>2.5820898238946395</v>
      </c>
      <c r="CQ60" s="127">
        <f t="array" ref="CQ60:CQ75">MMULT(aggregation!$B$28:$AP$33,CQ8:CQ48)</f>
        <v>4.421626892623542</v>
      </c>
      <c r="CR60" s="127">
        <f t="array" ref="CR60:CR75">MMULT(aggregation!$B$28:$AP$33,CR8:CR48)</f>
        <v>7.0037167165181815</v>
      </c>
      <c r="CS60" s="123" t="e">
        <f>BU60</f>
        <v>#REF!</v>
      </c>
      <c r="CT60" s="155">
        <f t="shared" ref="CT60:CT75" si="60">IF(CU60&gt;0,((1+(CW60/CU60))^(1/($A$101-$A$100))-1)*100,0)</f>
        <v>2.6068626107773829</v>
      </c>
      <c r="CU60" s="127">
        <f t="array" ref="CU60:CU75">MMULT(aggregation!$B$28:$AP$33,CU8:CU48)</f>
        <v>57.854771524208537</v>
      </c>
      <c r="CV60" s="127">
        <f t="array" ref="CV60:CV75">MMULT(aggregation!$B$28:$AP$33,CV8:CV48)</f>
        <v>7.2534754986667886</v>
      </c>
      <c r="CW60" s="127">
        <f t="array" ref="CW60:CW75">MMULT(aggregation!$B$28:$AP$33,CW8:CW48)</f>
        <v>16.979970803791471</v>
      </c>
      <c r="CX60" s="127">
        <f t="array" ref="CX60:CX75">MMULT(aggregation!$B$28:$AP$33,CX8:CX48)</f>
        <v>24.233446302458258</v>
      </c>
      <c r="CY60" s="123"/>
      <c r="CZ60" s="155">
        <f t="shared" ref="CZ60:CZ75" si="61">IF(DA60&gt;0,((1+(DC60/DA60))^(1/($A$101-$A$100))-1)*100,0)</f>
        <v>2.5796471633499296</v>
      </c>
      <c r="DA60" s="127">
        <f t="array" ref="DA60:DA75">MMULT(aggregation!$B$28:$AP$33,DA8:DA48)</f>
        <v>24.397029178457057</v>
      </c>
      <c r="DB60" s="127">
        <f t="array" ref="DB60:DB75">MMULT(aggregation!$B$28:$AP$33,DB8:DB48)</f>
        <v>-5.1089043474145921</v>
      </c>
      <c r="DC60" s="127">
        <f t="array" ref="DC60:DC75">MMULT(aggregation!$B$28:$AP$33,DC8:DC48)</f>
        <v>7.0767544434361751</v>
      </c>
      <c r="DD60" s="127">
        <f t="array" ref="DD60:DD75">MMULT(aggregation!$B$28:$AP$33,DD8:DD48)</f>
        <v>1.967850096021583</v>
      </c>
      <c r="DE60" s="123"/>
      <c r="DF60" s="155">
        <f t="shared" ref="DF60:DF75" si="62">IF(DG60&gt;0,((1+(DI60/DG60))^(1/($A$101-$A$100))-1)*100,0)</f>
        <v>2.5822546806152147</v>
      </c>
      <c r="DG60" s="127">
        <f t="array" ref="DG60:DG75">MMULT(aggregation!$B$28:$AP$33,DG8:DG48)</f>
        <v>27.030998812491621</v>
      </c>
      <c r="DH60" s="127">
        <f t="array" ref="DH60:DH75">MMULT(aggregation!$B$28:$AP$33,DH8:DH48)</f>
        <v>6.0344293953067005</v>
      </c>
      <c r="DI60" s="127">
        <f t="array" ref="DI60:DI75">MMULT(aggregation!$B$28:$AP$33,DI8:DI48)</f>
        <v>7.8496453282949643</v>
      </c>
      <c r="DJ60" s="127">
        <f t="array" ref="DJ60:DJ75">MMULT(aggregation!$B$28:$AP$33,DJ8:DJ48)</f>
        <v>13.884074723601664</v>
      </c>
      <c r="DK60" s="127"/>
      <c r="DL60" s="155">
        <f t="shared" ref="DL60:DL75" si="63">IF(DM60&gt;0,((1+(DO60/DM60))^(1/($A$101-$A$100))-1)*100,0)</f>
        <v>2.8115955969045814</v>
      </c>
      <c r="DM60" s="127">
        <f t="array" ref="DM60:DM75">MMULT(aggregation!$B$28:$AP$33,DM8:DM48)</f>
        <v>6.426743533259863</v>
      </c>
      <c r="DN60" s="127">
        <f t="array" ref="DN60:DN75">MMULT(aggregation!$B$28:$AP$33,DN8:DN48)</f>
        <v>6.3279504507746802</v>
      </c>
      <c r="DO60" s="127">
        <f t="array" ref="DO60:DO75">MMULT(aggregation!$B$28:$AP$33,DO8:DO48)</f>
        <v>2.0535710320603289</v>
      </c>
      <c r="DP60" s="127">
        <f t="array" ref="DP60:DP75">MMULT(aggregation!$B$28:$AP$33,DP8:DP48)</f>
        <v>8.3815214828350086</v>
      </c>
    </row>
    <row r="61" spans="1:120" x14ac:dyDescent="0.2">
      <c r="A61" s="123" t="e">
        <f>name!#REF!</f>
        <v>#REF!</v>
      </c>
      <c r="B61" s="155">
        <f t="shared" si="44"/>
        <v>2.6428578302956751</v>
      </c>
      <c r="C61" s="127">
        <v>1531.9705805222009</v>
      </c>
      <c r="D61" s="127">
        <v>38.373634438141572</v>
      </c>
      <c r="E61" s="127">
        <v>456.58520540961894</v>
      </c>
      <c r="F61" s="127">
        <v>494.95883984776049</v>
      </c>
      <c r="G61" s="123"/>
      <c r="H61" s="155">
        <f t="shared" si="45"/>
        <v>2.4792103651163355</v>
      </c>
      <c r="I61" s="127">
        <v>346.9543032994946</v>
      </c>
      <c r="J61" s="127">
        <v>-71.701267476699215</v>
      </c>
      <c r="K61" s="127">
        <v>96.27654812183178</v>
      </c>
      <c r="L61" s="127">
        <v>24.575280645132562</v>
      </c>
      <c r="M61" s="123"/>
      <c r="N61" s="155">
        <f t="shared" si="46"/>
        <v>2.5614670093909275</v>
      </c>
      <c r="O61" s="127">
        <v>814.35141810968503</v>
      </c>
      <c r="P61" s="127">
        <v>55.745517961636317</v>
      </c>
      <c r="Q61" s="127">
        <v>234.35541894926229</v>
      </c>
      <c r="R61" s="127">
        <v>290.10093691089861</v>
      </c>
      <c r="S61" s="127"/>
      <c r="T61" s="155">
        <f t="shared" si="47"/>
        <v>2.9684351632191186</v>
      </c>
      <c r="U61" s="127">
        <v>370.66485911302107</v>
      </c>
      <c r="V61" s="127">
        <v>54.329383953204463</v>
      </c>
      <c r="W61" s="127">
        <v>125.95323833852494</v>
      </c>
      <c r="X61" s="127">
        <v>180.28262229172944</v>
      </c>
      <c r="Y61" s="123" t="e">
        <f t="shared" ref="Y61:Y75" si="64">A61</f>
        <v>#REF!</v>
      </c>
      <c r="Z61" s="155">
        <f t="shared" si="48"/>
        <v>3.09935723132575</v>
      </c>
      <c r="AA61" s="127">
        <v>449.17774942270398</v>
      </c>
      <c r="AB61" s="127">
        <v>50.084024973176945</v>
      </c>
      <c r="AC61" s="127">
        <v>160.32800726207913</v>
      </c>
      <c r="AD61" s="127">
        <v>210.41203223525608</v>
      </c>
      <c r="AE61" s="123"/>
      <c r="AF61" s="155">
        <f t="shared" si="49"/>
        <v>3.0553735251015013</v>
      </c>
      <c r="AG61" s="127">
        <v>43.103207322115679</v>
      </c>
      <c r="AH61" s="127">
        <v>0.19587937567616226</v>
      </c>
      <c r="AI61" s="127">
        <v>15.136073680613812</v>
      </c>
      <c r="AJ61" s="127">
        <v>15.331953056289972</v>
      </c>
      <c r="AK61" s="123"/>
      <c r="AL61" s="155">
        <f t="shared" si="50"/>
        <v>3.0511586415955083</v>
      </c>
      <c r="AM61" s="127">
        <v>165.52931783494364</v>
      </c>
      <c r="AN61" s="127">
        <v>19.535586179291034</v>
      </c>
      <c r="AO61" s="127">
        <v>58.035631729329729</v>
      </c>
      <c r="AP61" s="127">
        <v>77.571217908620767</v>
      </c>
      <c r="AQ61" s="127"/>
      <c r="AR61" s="155">
        <f t="shared" si="51"/>
        <v>3.1402482773775109</v>
      </c>
      <c r="AS61" s="127">
        <v>240.54522426564475</v>
      </c>
      <c r="AT61" s="127">
        <v>30.35255941820974</v>
      </c>
      <c r="AU61" s="127">
        <v>87.156301852135613</v>
      </c>
      <c r="AV61" s="127">
        <v>117.50886127034535</v>
      </c>
      <c r="AW61" s="123" t="e">
        <f t="shared" ref="AW61:AW75" si="65">Y61</f>
        <v>#REF!</v>
      </c>
      <c r="AX61" s="155">
        <f t="shared" si="52"/>
        <v>2.5119602836049859</v>
      </c>
      <c r="AY61" s="127">
        <v>382.12363836563554</v>
      </c>
      <c r="AZ61" s="127">
        <v>14.987876400880856</v>
      </c>
      <c r="BA61" s="127">
        <v>107.597993602248</v>
      </c>
      <c r="BB61" s="127">
        <v>122.58587000312885</v>
      </c>
      <c r="BC61" s="123"/>
      <c r="BD61" s="155">
        <f t="shared" si="53"/>
        <v>2.4324488727566429</v>
      </c>
      <c r="BE61" s="127">
        <v>68.87792182820661</v>
      </c>
      <c r="BF61" s="127">
        <v>-12.980223779533098</v>
      </c>
      <c r="BG61" s="127">
        <v>18.712292944480623</v>
      </c>
      <c r="BH61" s="127">
        <v>5.7320691649475206</v>
      </c>
      <c r="BI61" s="123"/>
      <c r="BJ61" s="155">
        <f t="shared" si="54"/>
        <v>2.4743901795061252</v>
      </c>
      <c r="BK61" s="127">
        <v>227.41154731887079</v>
      </c>
      <c r="BL61" s="127">
        <v>20.277004150306102</v>
      </c>
      <c r="BM61" s="127">
        <v>62.967942886752354</v>
      </c>
      <c r="BN61" s="127">
        <v>83.244947037058452</v>
      </c>
      <c r="BO61" s="127"/>
      <c r="BP61" s="155">
        <f t="shared" si="55"/>
        <v>2.6737634790460207</v>
      </c>
      <c r="BQ61" s="127">
        <v>85.834169218558088</v>
      </c>
      <c r="BR61" s="127">
        <v>7.6910960301078566</v>
      </c>
      <c r="BS61" s="127">
        <v>25.917757771015022</v>
      </c>
      <c r="BT61" s="127">
        <v>33.608853801122876</v>
      </c>
      <c r="BU61" s="123" t="e">
        <f t="shared" ref="BU61:BU75" si="66">AW61</f>
        <v>#REF!</v>
      </c>
      <c r="BV61" s="155">
        <f t="shared" si="56"/>
        <v>2.4273686289485896</v>
      </c>
      <c r="BW61" s="127">
        <v>618.6998990746248</v>
      </c>
      <c r="BX61" s="127">
        <v>-37.145990679902553</v>
      </c>
      <c r="BY61" s="127">
        <v>167.69412219711813</v>
      </c>
      <c r="BZ61" s="127">
        <v>130.54813151721558</v>
      </c>
      <c r="CA61" s="123"/>
      <c r="CB61" s="155">
        <f t="shared" si="57"/>
        <v>2.3908219482846826</v>
      </c>
      <c r="CC61" s="127">
        <v>200.76690413153926</v>
      </c>
      <c r="CD61" s="127">
        <v>-51.773551523444716</v>
      </c>
      <c r="CE61" s="127">
        <v>53.507365477367323</v>
      </c>
      <c r="CF61" s="127">
        <v>1.7338139539226114</v>
      </c>
      <c r="CG61" s="123"/>
      <c r="CH61" s="155">
        <f t="shared" si="58"/>
        <v>2.4281776316902093</v>
      </c>
      <c r="CI61" s="127">
        <v>377.66885349128535</v>
      </c>
      <c r="CJ61" s="127">
        <v>2.3971579400366365</v>
      </c>
      <c r="CK61" s="127">
        <v>102.40232056245216</v>
      </c>
      <c r="CL61" s="127">
        <v>104.79947850248878</v>
      </c>
      <c r="CM61" s="127"/>
      <c r="CN61" s="155">
        <f t="shared" si="59"/>
        <v>2.6003972395548303</v>
      </c>
      <c r="CO61" s="127">
        <v>40.264141451800178</v>
      </c>
      <c r="CP61" s="127">
        <v>12.230402903505531</v>
      </c>
      <c r="CQ61" s="127">
        <v>11.78443615729863</v>
      </c>
      <c r="CR61" s="127">
        <v>24.014839060804167</v>
      </c>
      <c r="CS61" s="123" t="e">
        <f t="shared" ref="CS61:CS75" si="67">BU61</f>
        <v>#REF!</v>
      </c>
      <c r="CT61" s="155">
        <f t="shared" si="60"/>
        <v>2.3036018395404811</v>
      </c>
      <c r="CU61" s="127">
        <v>81.969293659236243</v>
      </c>
      <c r="CV61" s="127">
        <v>10.447723743986325</v>
      </c>
      <c r="CW61" s="127">
        <v>20.965082348173706</v>
      </c>
      <c r="CX61" s="127">
        <v>31.412806092160039</v>
      </c>
      <c r="CY61" s="123"/>
      <c r="CZ61" s="155">
        <f t="shared" si="61"/>
        <v>2.3444837267214247</v>
      </c>
      <c r="DA61" s="127">
        <v>34.206270017633031</v>
      </c>
      <c r="DB61" s="127">
        <v>-7.1433715493975534</v>
      </c>
      <c r="DC61" s="127">
        <v>8.920816019370017</v>
      </c>
      <c r="DD61" s="127">
        <v>1.7774444699724654</v>
      </c>
      <c r="DE61" s="123"/>
      <c r="DF61" s="155">
        <f t="shared" si="62"/>
        <v>2.2591547110890398</v>
      </c>
      <c r="DG61" s="127">
        <v>43.741699464585146</v>
      </c>
      <c r="DH61" s="127">
        <v>13.535769692002548</v>
      </c>
      <c r="DI61" s="127">
        <v>10.949523770728023</v>
      </c>
      <c r="DJ61" s="127">
        <v>24.485293462730571</v>
      </c>
      <c r="DK61" s="127"/>
      <c r="DL61" s="155">
        <f t="shared" si="63"/>
        <v>2.4369670928403142</v>
      </c>
      <c r="DM61" s="127">
        <v>4.0213241770180499</v>
      </c>
      <c r="DN61" s="127">
        <v>4.055325601381333</v>
      </c>
      <c r="DO61" s="127">
        <v>1.0947425580756691</v>
      </c>
      <c r="DP61" s="127">
        <v>5.1500681594570024</v>
      </c>
    </row>
    <row r="62" spans="1:120" x14ac:dyDescent="0.2">
      <c r="A62" s="123" t="e">
        <f>name!#REF!</f>
        <v>#REF!</v>
      </c>
      <c r="B62" s="155">
        <f t="shared" si="44"/>
        <v>2.9873927143805101</v>
      </c>
      <c r="C62" s="127">
        <v>223.45199999999954</v>
      </c>
      <c r="D62" s="127">
        <v>16.32099999999997</v>
      </c>
      <c r="E62" s="127">
        <v>76.481434511542574</v>
      </c>
      <c r="F62" s="127">
        <v>92.802434511542543</v>
      </c>
      <c r="G62" s="123"/>
      <c r="H62" s="155">
        <f t="shared" si="45"/>
        <v>2.7027065972447861</v>
      </c>
      <c r="I62" s="127">
        <v>10.129605191491642</v>
      </c>
      <c r="J62" s="127">
        <v>-0.34252249973408699</v>
      </c>
      <c r="K62" s="127">
        <v>3.0958737684558137</v>
      </c>
      <c r="L62" s="127">
        <v>2.753351268721727</v>
      </c>
      <c r="M62" s="123"/>
      <c r="N62" s="155">
        <f t="shared" si="46"/>
        <v>2.7752129639048606</v>
      </c>
      <c r="O62" s="127">
        <v>49.401211396935132</v>
      </c>
      <c r="P62" s="127">
        <v>-7.2343121603684377</v>
      </c>
      <c r="Q62" s="127">
        <v>15.555114540422643</v>
      </c>
      <c r="R62" s="127">
        <v>8.3208023800542072</v>
      </c>
      <c r="S62" s="127"/>
      <c r="T62" s="155">
        <f t="shared" si="47"/>
        <v>3.0678398412407049</v>
      </c>
      <c r="U62" s="127">
        <v>163.92118341157277</v>
      </c>
      <c r="V62" s="127">
        <v>23.897834660102497</v>
      </c>
      <c r="W62" s="127">
        <v>57.830446202664113</v>
      </c>
      <c r="X62" s="127">
        <v>81.72828086276661</v>
      </c>
      <c r="Y62" s="123" t="e">
        <f t="shared" si="64"/>
        <v>#REF!</v>
      </c>
      <c r="Z62" s="155">
        <f t="shared" si="48"/>
        <v>3.115253870350565</v>
      </c>
      <c r="AA62" s="127">
        <v>152.77157011744924</v>
      </c>
      <c r="AB62" s="127">
        <v>23.667742514510199</v>
      </c>
      <c r="AC62" s="127">
        <v>54.849629303140759</v>
      </c>
      <c r="AD62" s="127">
        <v>78.517371817650954</v>
      </c>
      <c r="AE62" s="123"/>
      <c r="AF62" s="155">
        <f t="shared" si="49"/>
        <v>2.8153091738603475</v>
      </c>
      <c r="AG62" s="127">
        <v>4.0545970665235638</v>
      </c>
      <c r="AH62" s="127">
        <v>1.1763868580624641</v>
      </c>
      <c r="AI62" s="127">
        <v>1.2975194554462604</v>
      </c>
      <c r="AJ62" s="127">
        <v>2.4739063135087247</v>
      </c>
      <c r="AK62" s="123"/>
      <c r="AL62" s="155">
        <f t="shared" si="50"/>
        <v>2.9300260019708757</v>
      </c>
      <c r="AM62" s="127">
        <v>25.201713800358746</v>
      </c>
      <c r="AN62" s="127">
        <v>-0.99571290511587751</v>
      </c>
      <c r="AO62" s="127">
        <v>8.4378921676941143</v>
      </c>
      <c r="AP62" s="127">
        <v>7.4421792625782359</v>
      </c>
      <c r="AQ62" s="127"/>
      <c r="AR62" s="155">
        <f t="shared" si="51"/>
        <v>3.162364541262197</v>
      </c>
      <c r="AS62" s="127">
        <v>123.5152592505669</v>
      </c>
      <c r="AT62" s="127">
        <v>23.487068561563614</v>
      </c>
      <c r="AU62" s="127">
        <v>45.11421768000038</v>
      </c>
      <c r="AV62" s="127">
        <v>68.601286241563997</v>
      </c>
      <c r="AW62" s="123" t="e">
        <f t="shared" si="65"/>
        <v>#REF!</v>
      </c>
      <c r="AX62" s="155">
        <f t="shared" si="52"/>
        <v>2.7074686991907182</v>
      </c>
      <c r="AY62" s="127">
        <v>63.099183012426266</v>
      </c>
      <c r="AZ62" s="127">
        <v>-8.1666011273025987</v>
      </c>
      <c r="BA62" s="127">
        <v>19.322977545320413</v>
      </c>
      <c r="BB62" s="127">
        <v>11.156376418017812</v>
      </c>
      <c r="BC62" s="123"/>
      <c r="BD62" s="155">
        <f t="shared" si="53"/>
        <v>2.5809393895366073</v>
      </c>
      <c r="BE62" s="127">
        <v>3.8989278482616347</v>
      </c>
      <c r="BF62" s="127">
        <v>-1.4264888386863785</v>
      </c>
      <c r="BG62" s="127">
        <v>1.13158099277498</v>
      </c>
      <c r="BH62" s="127">
        <v>-0.29490784591139857</v>
      </c>
      <c r="BI62" s="123"/>
      <c r="BJ62" s="155">
        <f t="shared" si="54"/>
        <v>2.6099720549441985</v>
      </c>
      <c r="BK62" s="127">
        <v>20.535319575677597</v>
      </c>
      <c r="BL62" s="127">
        <v>-6.6729139331144127</v>
      </c>
      <c r="BM62" s="127">
        <v>6.0350233240421796</v>
      </c>
      <c r="BN62" s="127">
        <v>-0.63789060907223316</v>
      </c>
      <c r="BO62" s="127"/>
      <c r="BP62" s="155">
        <f t="shared" si="55"/>
        <v>2.7715378913155231</v>
      </c>
      <c r="BQ62" s="127">
        <v>38.66493558848704</v>
      </c>
      <c r="BR62" s="127">
        <v>-6.719835550180675E-2</v>
      </c>
      <c r="BS62" s="127">
        <v>12.156373228503252</v>
      </c>
      <c r="BT62" s="127">
        <v>12.089174873001445</v>
      </c>
      <c r="BU62" s="123" t="e">
        <f t="shared" si="66"/>
        <v>#REF!</v>
      </c>
      <c r="BV62" s="155">
        <f t="shared" si="56"/>
        <v>2.6220470512831273</v>
      </c>
      <c r="BW62" s="127">
        <v>5.5023713341610581</v>
      </c>
      <c r="BX62" s="127">
        <v>0.709064831134398</v>
      </c>
      <c r="BY62" s="127">
        <v>1.6254471384354698</v>
      </c>
      <c r="BZ62" s="127">
        <v>2.334511969569868</v>
      </c>
      <c r="CA62" s="123"/>
      <c r="CB62" s="155">
        <f t="shared" si="57"/>
        <v>2.5681173483516284</v>
      </c>
      <c r="CC62" s="127">
        <v>1.2121650788045106</v>
      </c>
      <c r="CD62" s="127">
        <v>0.18730291694992937</v>
      </c>
      <c r="CE62" s="127">
        <v>0.3498513913772372</v>
      </c>
      <c r="CF62" s="127">
        <v>0.53715430832716649</v>
      </c>
      <c r="CG62" s="123"/>
      <c r="CH62" s="155">
        <f t="shared" si="58"/>
        <v>2.5816875541381901</v>
      </c>
      <c r="CI62" s="127">
        <v>3.0029888388418309</v>
      </c>
      <c r="CJ62" s="127">
        <v>0.29040114785941096</v>
      </c>
      <c r="CK62" s="127">
        <v>0.87183632094087737</v>
      </c>
      <c r="CL62" s="127">
        <v>1.1622374688002883</v>
      </c>
      <c r="CM62" s="127"/>
      <c r="CN62" s="155">
        <f t="shared" si="59"/>
        <v>2.765792391549815</v>
      </c>
      <c r="CO62" s="127">
        <v>1.2872174165147163</v>
      </c>
      <c r="CP62" s="127">
        <v>0.23136076632505748</v>
      </c>
      <c r="CQ62" s="127">
        <v>0.40375942611735538</v>
      </c>
      <c r="CR62" s="127">
        <v>0.6351201924424128</v>
      </c>
      <c r="CS62" s="123" t="e">
        <f t="shared" si="67"/>
        <v>#REF!</v>
      </c>
      <c r="CT62" s="155">
        <f t="shared" si="60"/>
        <v>2.882982269596579</v>
      </c>
      <c r="CU62" s="127">
        <v>2.0788755359629878</v>
      </c>
      <c r="CV62" s="127">
        <v>0.11079378165796983</v>
      </c>
      <c r="CW62" s="127">
        <v>0.68338052464593657</v>
      </c>
      <c r="CX62" s="127">
        <v>0.7941743063039064</v>
      </c>
      <c r="CY62" s="123"/>
      <c r="CZ62" s="155">
        <f t="shared" si="61"/>
        <v>2.8834473778163394</v>
      </c>
      <c r="DA62" s="127">
        <v>0.9639151979019317</v>
      </c>
      <c r="DB62" s="127">
        <v>-0.27972343606010208</v>
      </c>
      <c r="DC62" s="127">
        <v>0.31692192885733617</v>
      </c>
      <c r="DD62" s="127">
        <v>3.7198492797234056E-2</v>
      </c>
      <c r="DE62" s="123"/>
      <c r="DF62" s="155">
        <f t="shared" si="62"/>
        <v>2.8008609727499634</v>
      </c>
      <c r="DG62" s="127">
        <v>0.66118918205696109</v>
      </c>
      <c r="DH62" s="127">
        <v>0.14391353000244075</v>
      </c>
      <c r="DI62" s="127">
        <v>0.21036272774547143</v>
      </c>
      <c r="DJ62" s="127">
        <v>0.35427625774791216</v>
      </c>
      <c r="DK62" s="127"/>
      <c r="DL62" s="155">
        <f t="shared" si="63"/>
        <v>3.0006170576280633</v>
      </c>
      <c r="DM62" s="127">
        <v>0.45377115600409529</v>
      </c>
      <c r="DN62" s="127">
        <v>0.24660368771563115</v>
      </c>
      <c r="DO62" s="127">
        <v>0.15609586804312911</v>
      </c>
      <c r="DP62" s="127">
        <v>0.40269955575876026</v>
      </c>
    </row>
    <row r="63" spans="1:120" x14ac:dyDescent="0.2">
      <c r="A63" s="123" t="e">
        <f>name!#REF!</f>
        <v>#REF!</v>
      </c>
      <c r="B63" s="155">
        <f t="shared" si="44"/>
        <v>2.8318785937824886</v>
      </c>
      <c r="C63" s="127">
        <v>2280.697111816894</v>
      </c>
      <c r="D63" s="127">
        <v>333.85127836326922</v>
      </c>
      <c r="E63" s="127">
        <v>734.70552907606873</v>
      </c>
      <c r="F63" s="127">
        <v>1068.5568074393379</v>
      </c>
      <c r="G63" s="123"/>
      <c r="H63" s="155">
        <f t="shared" si="45"/>
        <v>2.7549207370162865</v>
      </c>
      <c r="I63" s="127">
        <v>283.04810837105344</v>
      </c>
      <c r="J63" s="127">
        <v>-0.74752589975027828</v>
      </c>
      <c r="K63" s="127">
        <v>88.390071573508365</v>
      </c>
      <c r="L63" s="127">
        <v>87.642545673758079</v>
      </c>
      <c r="M63" s="123"/>
      <c r="N63" s="155">
        <f t="shared" si="46"/>
        <v>2.7471439144256316</v>
      </c>
      <c r="O63" s="127">
        <v>699.77572635201216</v>
      </c>
      <c r="P63" s="127">
        <v>138.82655476432222</v>
      </c>
      <c r="Q63" s="127">
        <v>217.83072664942705</v>
      </c>
      <c r="R63" s="127">
        <v>356.65728141374927</v>
      </c>
      <c r="S63" s="127"/>
      <c r="T63" s="155">
        <f t="shared" si="47"/>
        <v>2.8939541756485054</v>
      </c>
      <c r="U63" s="127">
        <v>1297.8732770938286</v>
      </c>
      <c r="V63" s="127">
        <v>195.77224949869728</v>
      </c>
      <c r="W63" s="127">
        <v>428.48473085313316</v>
      </c>
      <c r="X63" s="127">
        <v>624.25698035183052</v>
      </c>
      <c r="Y63" s="123" t="e">
        <f t="shared" si="64"/>
        <v>#REF!</v>
      </c>
      <c r="Z63" s="155">
        <f t="shared" si="48"/>
        <v>2.8785897697706897</v>
      </c>
      <c r="AA63" s="127">
        <v>1376.3410743701511</v>
      </c>
      <c r="AB63" s="127">
        <v>228.17890869238147</v>
      </c>
      <c r="AC63" s="127">
        <v>451.65852053812984</v>
      </c>
      <c r="AD63" s="127">
        <v>679.83742923051125</v>
      </c>
      <c r="AE63" s="123"/>
      <c r="AF63" s="155">
        <f t="shared" si="49"/>
        <v>2.7957231009731576</v>
      </c>
      <c r="AG63" s="127">
        <v>50.44110866811203</v>
      </c>
      <c r="AH63" s="127">
        <v>12.529196374543888</v>
      </c>
      <c r="AI63" s="127">
        <v>16.015026714248812</v>
      </c>
      <c r="AJ63" s="127">
        <v>28.544223088792698</v>
      </c>
      <c r="AK63" s="123"/>
      <c r="AL63" s="155">
        <f t="shared" si="50"/>
        <v>2.7886108998469661</v>
      </c>
      <c r="AM63" s="127">
        <v>237.91538858222418</v>
      </c>
      <c r="AN63" s="127">
        <v>57.839439754593094</v>
      </c>
      <c r="AO63" s="127">
        <v>75.321212862289059</v>
      </c>
      <c r="AP63" s="127">
        <v>133.16065261688217</v>
      </c>
      <c r="AQ63" s="127"/>
      <c r="AR63" s="155">
        <f t="shared" si="51"/>
        <v>2.9019926640608151</v>
      </c>
      <c r="AS63" s="127">
        <v>1087.984577119815</v>
      </c>
      <c r="AT63" s="127">
        <v>157.81027256324452</v>
      </c>
      <c r="AU63" s="127">
        <v>360.32228096159196</v>
      </c>
      <c r="AV63" s="127">
        <v>518.13255352483634</v>
      </c>
      <c r="AW63" s="123" t="e">
        <f t="shared" si="65"/>
        <v>#REF!</v>
      </c>
      <c r="AX63" s="155">
        <f t="shared" si="52"/>
        <v>2.6424249686811008</v>
      </c>
      <c r="AY63" s="127">
        <v>523.22518477326673</v>
      </c>
      <c r="AZ63" s="127">
        <v>52.913801027885178</v>
      </c>
      <c r="BA63" s="127">
        <v>155.91226381320303</v>
      </c>
      <c r="BB63" s="127">
        <v>208.82606484108817</v>
      </c>
      <c r="BC63" s="123"/>
      <c r="BD63" s="155">
        <f t="shared" si="53"/>
        <v>2.5567595525065601</v>
      </c>
      <c r="BE63" s="127">
        <v>71.038062853520373</v>
      </c>
      <c r="BF63" s="127">
        <v>-0.99683372471191745</v>
      </c>
      <c r="BG63" s="127">
        <v>20.401472725463666</v>
      </c>
      <c r="BH63" s="127">
        <v>19.40463900075175</v>
      </c>
      <c r="BI63" s="123"/>
      <c r="BJ63" s="155">
        <f t="shared" si="54"/>
        <v>2.5991209312550723</v>
      </c>
      <c r="BK63" s="127">
        <v>287.37783213184116</v>
      </c>
      <c r="BL63" s="127">
        <v>26.153950013495834</v>
      </c>
      <c r="BM63" s="127">
        <v>84.063015645700077</v>
      </c>
      <c r="BN63" s="127">
        <v>110.21696565919591</v>
      </c>
      <c r="BO63" s="127"/>
      <c r="BP63" s="155">
        <f t="shared" si="55"/>
        <v>2.7540294923941611</v>
      </c>
      <c r="BQ63" s="127">
        <v>164.80928978790524</v>
      </c>
      <c r="BR63" s="127">
        <v>27.756684739101249</v>
      </c>
      <c r="BS63" s="127">
        <v>51.44777544203928</v>
      </c>
      <c r="BT63" s="127">
        <v>79.204460181140519</v>
      </c>
      <c r="BU63" s="123" t="e">
        <f t="shared" si="66"/>
        <v>#REF!</v>
      </c>
      <c r="BV63" s="155">
        <f t="shared" si="56"/>
        <v>3.0340414804767457</v>
      </c>
      <c r="BW63" s="127">
        <v>85.622354303695573</v>
      </c>
      <c r="BX63" s="127">
        <v>25.553340948968874</v>
      </c>
      <c r="BY63" s="127">
        <v>29.827799955063963</v>
      </c>
      <c r="BZ63" s="127">
        <v>55.38114090403284</v>
      </c>
      <c r="CA63" s="123"/>
      <c r="CB63" s="155">
        <f t="shared" si="57"/>
        <v>2.8104311558199369</v>
      </c>
      <c r="CC63" s="127">
        <v>30.284463826404377</v>
      </c>
      <c r="CD63" s="127">
        <v>8.1375545884132379</v>
      </c>
      <c r="CE63" s="127">
        <v>9.6724276046623192</v>
      </c>
      <c r="CF63" s="127">
        <v>17.809982193075562</v>
      </c>
      <c r="CG63" s="123"/>
      <c r="CH63" s="155">
        <f t="shared" si="58"/>
        <v>3.032601937255075</v>
      </c>
      <c r="CI63" s="127">
        <v>41.892604481564547</v>
      </c>
      <c r="CJ63" s="127">
        <v>15.854631919648618</v>
      </c>
      <c r="CK63" s="127">
        <v>14.586010214101943</v>
      </c>
      <c r="CL63" s="127">
        <v>30.440642133750558</v>
      </c>
      <c r="CM63" s="127"/>
      <c r="CN63" s="155">
        <f t="shared" si="59"/>
        <v>3.5265698752577679</v>
      </c>
      <c r="CO63" s="127">
        <v>13.445285995726644</v>
      </c>
      <c r="CP63" s="127">
        <v>1.5611544409070162</v>
      </c>
      <c r="CQ63" s="127">
        <v>5.569362136299703</v>
      </c>
      <c r="CR63" s="127">
        <v>7.1305165772067181</v>
      </c>
      <c r="CS63" s="123" t="e">
        <f t="shared" si="67"/>
        <v>#REF!</v>
      </c>
      <c r="CT63" s="155">
        <f t="shared" si="60"/>
        <v>2.8873206920158934</v>
      </c>
      <c r="CU63" s="127">
        <v>295.50849836978091</v>
      </c>
      <c r="CV63" s="127">
        <v>27.205227694033695</v>
      </c>
      <c r="CW63" s="127">
        <v>97.30694476967183</v>
      </c>
      <c r="CX63" s="127">
        <v>124.51217246370554</v>
      </c>
      <c r="CY63" s="123"/>
      <c r="CZ63" s="155">
        <f t="shared" si="61"/>
        <v>2.8324154996547835</v>
      </c>
      <c r="DA63" s="127">
        <v>131.28447302301666</v>
      </c>
      <c r="DB63" s="127">
        <v>-20.417443137995487</v>
      </c>
      <c r="DC63" s="127">
        <v>42.301144529133552</v>
      </c>
      <c r="DD63" s="127">
        <v>21.883701391138072</v>
      </c>
      <c r="DE63" s="123"/>
      <c r="DF63" s="155">
        <f t="shared" si="62"/>
        <v>2.8990149638167262</v>
      </c>
      <c r="DG63" s="127">
        <v>132.58990115638235</v>
      </c>
      <c r="DH63" s="127">
        <v>38.978533076584675</v>
      </c>
      <c r="DI63" s="127">
        <v>43.860487927335967</v>
      </c>
      <c r="DJ63" s="127">
        <v>82.839021003920635</v>
      </c>
      <c r="DK63" s="127"/>
      <c r="DL63" s="155">
        <f t="shared" si="63"/>
        <v>3.0642208582672747</v>
      </c>
      <c r="DM63" s="127">
        <v>31.634124190381911</v>
      </c>
      <c r="DN63" s="127">
        <v>8.6441377554445076</v>
      </c>
      <c r="DO63" s="127">
        <v>11.145312313202311</v>
      </c>
      <c r="DP63" s="127">
        <v>19.789450068646818</v>
      </c>
    </row>
    <row r="64" spans="1:120" x14ac:dyDescent="0.2">
      <c r="A64" s="123" t="e">
        <f>name!#REF!</f>
        <v>#REF!</v>
      </c>
      <c r="B64" s="155">
        <f t="shared" si="44"/>
        <v>2.8169915417421754</v>
      </c>
      <c r="C64" s="127">
        <v>158.75130574877755</v>
      </c>
      <c r="D64" s="127">
        <v>31.053175488358242</v>
      </c>
      <c r="E64" s="127">
        <v>50.836604439456309</v>
      </c>
      <c r="F64" s="127">
        <v>81.889779927814544</v>
      </c>
      <c r="G64" s="123"/>
      <c r="H64" s="155">
        <f t="shared" si="45"/>
        <v>2.7131406842493488</v>
      </c>
      <c r="I64" s="127">
        <v>37.269430586923946</v>
      </c>
      <c r="J64" s="127">
        <v>2.0080357660646397</v>
      </c>
      <c r="K64" s="127">
        <v>11.439976930786587</v>
      </c>
      <c r="L64" s="127">
        <v>13.448012696851226</v>
      </c>
      <c r="M64" s="123"/>
      <c r="N64" s="155">
        <f t="shared" si="46"/>
        <v>2.6835187325179533</v>
      </c>
      <c r="O64" s="127">
        <v>64.168727676686729</v>
      </c>
      <c r="P64" s="127">
        <v>9.648746828409589</v>
      </c>
      <c r="Q64" s="127">
        <v>19.45525621806194</v>
      </c>
      <c r="R64" s="127">
        <v>29.104003046471529</v>
      </c>
      <c r="S64" s="127"/>
      <c r="T64" s="155">
        <f t="shared" si="47"/>
        <v>3.0307741956072665</v>
      </c>
      <c r="U64" s="127">
        <v>57.313147485166859</v>
      </c>
      <c r="V64" s="127">
        <v>19.396392893884016</v>
      </c>
      <c r="W64" s="127">
        <v>19.941371290607766</v>
      </c>
      <c r="X64" s="127">
        <v>39.337764184491782</v>
      </c>
      <c r="Y64" s="123" t="e">
        <f t="shared" si="64"/>
        <v>#REF!</v>
      </c>
      <c r="Z64" s="155">
        <f t="shared" si="48"/>
        <v>3.0844034831169376</v>
      </c>
      <c r="AA64" s="127">
        <v>54.043501876163091</v>
      </c>
      <c r="AB64" s="127">
        <v>16.838248878570081</v>
      </c>
      <c r="AC64" s="127">
        <v>19.18381203425853</v>
      </c>
      <c r="AD64" s="127">
        <v>36.022060912828607</v>
      </c>
      <c r="AE64" s="123"/>
      <c r="AF64" s="155">
        <f t="shared" si="49"/>
        <v>3.0687126992563263</v>
      </c>
      <c r="AG64" s="127">
        <v>2.872339077635929</v>
      </c>
      <c r="AH64" s="127">
        <v>0.88105911598627318</v>
      </c>
      <c r="AI64" s="127">
        <v>1.0136737094918047</v>
      </c>
      <c r="AJ64" s="127">
        <v>1.8947328254780778</v>
      </c>
      <c r="AK64" s="123"/>
      <c r="AL64" s="155">
        <f t="shared" si="50"/>
        <v>2.9854531104971826</v>
      </c>
      <c r="AM64" s="127">
        <v>8.4616752757594771</v>
      </c>
      <c r="AN64" s="127">
        <v>0.5129240985808613</v>
      </c>
      <c r="AO64" s="127">
        <v>2.8940583365838495</v>
      </c>
      <c r="AP64" s="127">
        <v>3.4069824351647107</v>
      </c>
      <c r="AQ64" s="127"/>
      <c r="AR64" s="155">
        <f t="shared" si="51"/>
        <v>3.1049593059016889</v>
      </c>
      <c r="AS64" s="127">
        <v>42.709487522767688</v>
      </c>
      <c r="AT64" s="127">
        <v>15.444265664002945</v>
      </c>
      <c r="AU64" s="127">
        <v>15.276079988182877</v>
      </c>
      <c r="AV64" s="127">
        <v>30.72034565218582</v>
      </c>
      <c r="AW64" s="123" t="e">
        <f t="shared" si="65"/>
        <v>#REF!</v>
      </c>
      <c r="AX64" s="155">
        <f t="shared" si="52"/>
        <v>2.6049805214462873</v>
      </c>
      <c r="AY64" s="127">
        <v>67.279720597550053</v>
      </c>
      <c r="AZ64" s="127">
        <v>-1.7061260839949342</v>
      </c>
      <c r="BA64" s="127">
        <v>19.73016584504331</v>
      </c>
      <c r="BB64" s="127">
        <v>18.024039761048375</v>
      </c>
      <c r="BC64" s="123"/>
      <c r="BD64" s="155">
        <f t="shared" si="53"/>
        <v>2.5409532368865007</v>
      </c>
      <c r="BE64" s="127">
        <v>14.926976334729311</v>
      </c>
      <c r="BF64" s="127">
        <v>-1.3830273865244627</v>
      </c>
      <c r="BG64" s="127">
        <v>4.2572967639145958</v>
      </c>
      <c r="BH64" s="127">
        <v>2.8742693773901333</v>
      </c>
      <c r="BI64" s="123"/>
      <c r="BJ64" s="155">
        <f t="shared" si="54"/>
        <v>2.5796718808031471</v>
      </c>
      <c r="BK64" s="127">
        <v>40.385319730226364</v>
      </c>
      <c r="BL64" s="127">
        <v>-0.75084702548436888</v>
      </c>
      <c r="BM64" s="127">
        <v>11.714543255967428</v>
      </c>
      <c r="BN64" s="127">
        <v>10.963696230483059</v>
      </c>
      <c r="BO64" s="127"/>
      <c r="BP64" s="155">
        <f t="shared" si="55"/>
        <v>2.7687485385664345</v>
      </c>
      <c r="BQ64" s="127">
        <v>11.967424532594377</v>
      </c>
      <c r="BR64" s="127">
        <v>0.42774832801389723</v>
      </c>
      <c r="BS64" s="127">
        <v>3.7583258251612852</v>
      </c>
      <c r="BT64" s="127">
        <v>4.1860741531751824</v>
      </c>
      <c r="BU64" s="123" t="e">
        <f t="shared" si="66"/>
        <v>#REF!</v>
      </c>
      <c r="BV64" s="155">
        <f t="shared" si="56"/>
        <v>2.518201489640326</v>
      </c>
      <c r="BW64" s="127">
        <v>11.027664527945932</v>
      </c>
      <c r="BX64" s="127">
        <v>1.3879359269084375</v>
      </c>
      <c r="BY64" s="127">
        <v>3.1137656010156576</v>
      </c>
      <c r="BZ64" s="127">
        <v>4.5017015279240953</v>
      </c>
      <c r="CA64" s="123"/>
      <c r="CB64" s="155">
        <f t="shared" si="57"/>
        <v>2.4600010102901804</v>
      </c>
      <c r="CC64" s="127">
        <v>4.6043551889988352</v>
      </c>
      <c r="CD64" s="127">
        <v>-9.4762721156135488E-2</v>
      </c>
      <c r="CE64" s="127">
        <v>1.2666488182504458</v>
      </c>
      <c r="CF64" s="127">
        <v>1.1718860970943104</v>
      </c>
      <c r="CG64" s="123"/>
      <c r="CH64" s="155">
        <f t="shared" si="58"/>
        <v>2.5135092689739569</v>
      </c>
      <c r="CI64" s="127">
        <v>5.3897928205850842</v>
      </c>
      <c r="CJ64" s="127">
        <v>0.93986804735963958</v>
      </c>
      <c r="CK64" s="127">
        <v>1.5186963016257615</v>
      </c>
      <c r="CL64" s="127">
        <v>2.458564348985401</v>
      </c>
      <c r="CM64" s="127"/>
      <c r="CN64" s="155">
        <f t="shared" si="59"/>
        <v>2.7978329732376128</v>
      </c>
      <c r="CO64" s="127">
        <v>1.0335165183620134</v>
      </c>
      <c r="CP64" s="127">
        <v>0.5428306007049335</v>
      </c>
      <c r="CQ64" s="127">
        <v>0.32842048113944977</v>
      </c>
      <c r="CR64" s="127">
        <v>0.87125108184438327</v>
      </c>
      <c r="CS64" s="123" t="e">
        <f t="shared" si="67"/>
        <v>#REF!</v>
      </c>
      <c r="CT64" s="155">
        <f t="shared" si="60"/>
        <v>2.9211505487475975</v>
      </c>
      <c r="CU64" s="127">
        <v>26.400418747118454</v>
      </c>
      <c r="CV64" s="127">
        <v>14.533116766874658</v>
      </c>
      <c r="CW64" s="127">
        <v>8.8088609591388032</v>
      </c>
      <c r="CX64" s="127">
        <v>23.341977726013461</v>
      </c>
      <c r="CY64" s="123"/>
      <c r="CZ64" s="155">
        <f t="shared" si="61"/>
        <v>2.8911023071172881</v>
      </c>
      <c r="DA64" s="127">
        <v>14.865759985559873</v>
      </c>
      <c r="DB64" s="127">
        <v>2.6047667577589646</v>
      </c>
      <c r="DC64" s="127">
        <v>4.9023576391297414</v>
      </c>
      <c r="DD64" s="127">
        <v>7.507124396888706</v>
      </c>
      <c r="DE64" s="123"/>
      <c r="DF64" s="155">
        <f t="shared" si="62"/>
        <v>2.9320472834624356</v>
      </c>
      <c r="DG64" s="127">
        <v>9.9319398501158016</v>
      </c>
      <c r="DH64" s="127">
        <v>8.9468017079534565</v>
      </c>
      <c r="DI64" s="127">
        <v>3.3279583238849022</v>
      </c>
      <c r="DJ64" s="127">
        <v>12.274760031838358</v>
      </c>
      <c r="DK64" s="127"/>
      <c r="DL64" s="155">
        <f t="shared" si="63"/>
        <v>3.1300160142738953</v>
      </c>
      <c r="DM64" s="127">
        <v>1.6027189114427818</v>
      </c>
      <c r="DN64" s="127">
        <v>2.981548301162237</v>
      </c>
      <c r="DO64" s="127">
        <v>0.57854499612415899</v>
      </c>
      <c r="DP64" s="127">
        <v>3.5600932972863961</v>
      </c>
    </row>
    <row r="65" spans="1:120" x14ac:dyDescent="0.2">
      <c r="A65" s="123" t="e">
        <f>name!#REF!</f>
        <v>#REF!</v>
      </c>
      <c r="B65" s="155">
        <f t="shared" si="44"/>
        <v>0</v>
      </c>
      <c r="C65" s="127">
        <v>0</v>
      </c>
      <c r="D65" s="127">
        <v>0</v>
      </c>
      <c r="E65" s="127">
        <v>0</v>
      </c>
      <c r="F65" s="127">
        <v>0</v>
      </c>
      <c r="G65" s="123"/>
      <c r="H65" s="155">
        <f t="shared" si="45"/>
        <v>0</v>
      </c>
      <c r="I65" s="127">
        <v>0</v>
      </c>
      <c r="J65" s="127">
        <v>0</v>
      </c>
      <c r="K65" s="127">
        <v>0</v>
      </c>
      <c r="L65" s="127">
        <v>0</v>
      </c>
      <c r="M65" s="123"/>
      <c r="N65" s="155">
        <f t="shared" si="46"/>
        <v>0</v>
      </c>
      <c r="O65" s="127">
        <v>0</v>
      </c>
      <c r="P65" s="127">
        <v>0</v>
      </c>
      <c r="Q65" s="127">
        <v>0</v>
      </c>
      <c r="R65" s="127">
        <v>0</v>
      </c>
      <c r="S65" s="127"/>
      <c r="T65" s="155">
        <f t="shared" si="47"/>
        <v>0</v>
      </c>
      <c r="U65" s="127">
        <v>0</v>
      </c>
      <c r="V65" s="127">
        <v>0</v>
      </c>
      <c r="W65" s="127">
        <v>0</v>
      </c>
      <c r="X65" s="127">
        <v>0</v>
      </c>
      <c r="Y65" s="123" t="e">
        <f t="shared" si="64"/>
        <v>#REF!</v>
      </c>
      <c r="Z65" s="155">
        <f t="shared" si="48"/>
        <v>0</v>
      </c>
      <c r="AA65" s="127">
        <v>0</v>
      </c>
      <c r="AB65" s="127">
        <v>0</v>
      </c>
      <c r="AC65" s="127">
        <v>0</v>
      </c>
      <c r="AD65" s="127">
        <v>0</v>
      </c>
      <c r="AE65" s="123"/>
      <c r="AF65" s="155">
        <f t="shared" si="49"/>
        <v>0</v>
      </c>
      <c r="AG65" s="127">
        <v>0</v>
      </c>
      <c r="AH65" s="127">
        <v>0</v>
      </c>
      <c r="AI65" s="127">
        <v>0</v>
      </c>
      <c r="AJ65" s="127">
        <v>0</v>
      </c>
      <c r="AK65" s="123"/>
      <c r="AL65" s="155">
        <f t="shared" si="50"/>
        <v>0</v>
      </c>
      <c r="AM65" s="127">
        <v>0</v>
      </c>
      <c r="AN65" s="127">
        <v>0</v>
      </c>
      <c r="AO65" s="127">
        <v>0</v>
      </c>
      <c r="AP65" s="127">
        <v>0</v>
      </c>
      <c r="AQ65" s="127"/>
      <c r="AR65" s="155">
        <f t="shared" si="51"/>
        <v>0</v>
      </c>
      <c r="AS65" s="127">
        <v>0</v>
      </c>
      <c r="AT65" s="127">
        <v>0</v>
      </c>
      <c r="AU65" s="127">
        <v>0</v>
      </c>
      <c r="AV65" s="127">
        <v>0</v>
      </c>
      <c r="AW65" s="123" t="e">
        <f t="shared" si="65"/>
        <v>#REF!</v>
      </c>
      <c r="AX65" s="155">
        <f t="shared" si="52"/>
        <v>0</v>
      </c>
      <c r="AY65" s="127">
        <v>0</v>
      </c>
      <c r="AZ65" s="127">
        <v>0</v>
      </c>
      <c r="BA65" s="127">
        <v>0</v>
      </c>
      <c r="BB65" s="127">
        <v>0</v>
      </c>
      <c r="BC65" s="123"/>
      <c r="BD65" s="155">
        <f t="shared" si="53"/>
        <v>0</v>
      </c>
      <c r="BE65" s="127">
        <v>0</v>
      </c>
      <c r="BF65" s="127">
        <v>0</v>
      </c>
      <c r="BG65" s="127">
        <v>0</v>
      </c>
      <c r="BH65" s="127">
        <v>0</v>
      </c>
      <c r="BI65" s="123"/>
      <c r="BJ65" s="155">
        <f t="shared" si="54"/>
        <v>0</v>
      </c>
      <c r="BK65" s="127">
        <v>0</v>
      </c>
      <c r="BL65" s="127">
        <v>0</v>
      </c>
      <c r="BM65" s="127">
        <v>0</v>
      </c>
      <c r="BN65" s="127">
        <v>0</v>
      </c>
      <c r="BO65" s="127"/>
      <c r="BP65" s="155">
        <f t="shared" si="55"/>
        <v>0</v>
      </c>
      <c r="BQ65" s="127">
        <v>0</v>
      </c>
      <c r="BR65" s="127">
        <v>0</v>
      </c>
      <c r="BS65" s="127">
        <v>0</v>
      </c>
      <c r="BT65" s="127">
        <v>0</v>
      </c>
      <c r="BU65" s="123" t="e">
        <f t="shared" si="66"/>
        <v>#REF!</v>
      </c>
      <c r="BV65" s="155">
        <f t="shared" si="56"/>
        <v>0</v>
      </c>
      <c r="BW65" s="127">
        <v>0</v>
      </c>
      <c r="BX65" s="127">
        <v>0</v>
      </c>
      <c r="BY65" s="127">
        <v>0</v>
      </c>
      <c r="BZ65" s="127">
        <v>0</v>
      </c>
      <c r="CA65" s="123"/>
      <c r="CB65" s="155">
        <f t="shared" si="57"/>
        <v>0</v>
      </c>
      <c r="CC65" s="127">
        <v>0</v>
      </c>
      <c r="CD65" s="127">
        <v>0</v>
      </c>
      <c r="CE65" s="127">
        <v>0</v>
      </c>
      <c r="CF65" s="127">
        <v>0</v>
      </c>
      <c r="CG65" s="123"/>
      <c r="CH65" s="155">
        <f t="shared" si="58"/>
        <v>0</v>
      </c>
      <c r="CI65" s="127">
        <v>0</v>
      </c>
      <c r="CJ65" s="127">
        <v>0</v>
      </c>
      <c r="CK65" s="127">
        <v>0</v>
      </c>
      <c r="CL65" s="127">
        <v>0</v>
      </c>
      <c r="CM65" s="127"/>
      <c r="CN65" s="155">
        <f t="shared" si="59"/>
        <v>0</v>
      </c>
      <c r="CO65" s="127">
        <v>0</v>
      </c>
      <c r="CP65" s="127">
        <v>0</v>
      </c>
      <c r="CQ65" s="127">
        <v>0</v>
      </c>
      <c r="CR65" s="127">
        <v>0</v>
      </c>
      <c r="CS65" s="123" t="e">
        <f t="shared" si="67"/>
        <v>#REF!</v>
      </c>
      <c r="CT65" s="155">
        <f t="shared" si="60"/>
        <v>0</v>
      </c>
      <c r="CU65" s="127">
        <v>0</v>
      </c>
      <c r="CV65" s="127">
        <v>0</v>
      </c>
      <c r="CW65" s="127">
        <v>0</v>
      </c>
      <c r="CX65" s="127">
        <v>0</v>
      </c>
      <c r="CY65" s="123"/>
      <c r="CZ65" s="155">
        <f t="shared" si="61"/>
        <v>0</v>
      </c>
      <c r="DA65" s="127">
        <v>0</v>
      </c>
      <c r="DB65" s="127">
        <v>0</v>
      </c>
      <c r="DC65" s="127">
        <v>0</v>
      </c>
      <c r="DD65" s="127">
        <v>0</v>
      </c>
      <c r="DE65" s="123"/>
      <c r="DF65" s="155">
        <f t="shared" si="62"/>
        <v>0</v>
      </c>
      <c r="DG65" s="127">
        <v>0</v>
      </c>
      <c r="DH65" s="127">
        <v>0</v>
      </c>
      <c r="DI65" s="127">
        <v>0</v>
      </c>
      <c r="DJ65" s="127">
        <v>0</v>
      </c>
      <c r="DK65" s="127"/>
      <c r="DL65" s="155">
        <f t="shared" si="63"/>
        <v>0</v>
      </c>
      <c r="DM65" s="127">
        <v>0</v>
      </c>
      <c r="DN65" s="127">
        <v>0</v>
      </c>
      <c r="DO65" s="127">
        <v>0</v>
      </c>
      <c r="DP65" s="127">
        <v>0</v>
      </c>
    </row>
    <row r="66" spans="1:120" x14ac:dyDescent="0.2">
      <c r="A66" s="123" t="e">
        <f>name!#REF!</f>
        <v>#REF!</v>
      </c>
      <c r="B66" s="155" t="e">
        <f t="shared" si="44"/>
        <v>#N/A</v>
      </c>
      <c r="C66" s="127" t="e">
        <v>#N/A</v>
      </c>
      <c r="D66" s="127" t="e">
        <v>#N/A</v>
      </c>
      <c r="E66" s="127" t="e">
        <v>#N/A</v>
      </c>
      <c r="F66" s="127" t="e">
        <v>#N/A</v>
      </c>
      <c r="G66" s="123"/>
      <c r="H66" s="155" t="e">
        <f t="shared" si="45"/>
        <v>#N/A</v>
      </c>
      <c r="I66" s="127" t="e">
        <v>#N/A</v>
      </c>
      <c r="J66" s="127" t="e">
        <v>#N/A</v>
      </c>
      <c r="K66" s="127" t="e">
        <v>#N/A</v>
      </c>
      <c r="L66" s="127" t="e">
        <v>#N/A</v>
      </c>
      <c r="M66" s="123"/>
      <c r="N66" s="155" t="e">
        <f t="shared" si="46"/>
        <v>#N/A</v>
      </c>
      <c r="O66" s="127" t="e">
        <v>#N/A</v>
      </c>
      <c r="P66" s="127" t="e">
        <v>#N/A</v>
      </c>
      <c r="Q66" s="127" t="e">
        <v>#N/A</v>
      </c>
      <c r="R66" s="127" t="e">
        <v>#N/A</v>
      </c>
      <c r="S66" s="127"/>
      <c r="T66" s="155" t="e">
        <f t="shared" si="47"/>
        <v>#N/A</v>
      </c>
      <c r="U66" s="127" t="e">
        <v>#N/A</v>
      </c>
      <c r="V66" s="127" t="e">
        <v>#N/A</v>
      </c>
      <c r="W66" s="127" t="e">
        <v>#N/A</v>
      </c>
      <c r="X66" s="127" t="e">
        <v>#N/A</v>
      </c>
      <c r="Y66" s="123" t="e">
        <f t="shared" si="64"/>
        <v>#REF!</v>
      </c>
      <c r="Z66" s="155" t="e">
        <f t="shared" si="48"/>
        <v>#N/A</v>
      </c>
      <c r="AA66" s="127" t="e">
        <v>#N/A</v>
      </c>
      <c r="AB66" s="127" t="e">
        <v>#N/A</v>
      </c>
      <c r="AC66" s="127" t="e">
        <v>#N/A</v>
      </c>
      <c r="AD66" s="127" t="e">
        <v>#N/A</v>
      </c>
      <c r="AE66" s="123"/>
      <c r="AF66" s="155" t="e">
        <f t="shared" si="49"/>
        <v>#N/A</v>
      </c>
      <c r="AG66" s="127" t="e">
        <v>#N/A</v>
      </c>
      <c r="AH66" s="127" t="e">
        <v>#N/A</v>
      </c>
      <c r="AI66" s="127" t="e">
        <v>#N/A</v>
      </c>
      <c r="AJ66" s="127" t="e">
        <v>#N/A</v>
      </c>
      <c r="AK66" s="123"/>
      <c r="AL66" s="155" t="e">
        <f t="shared" si="50"/>
        <v>#N/A</v>
      </c>
      <c r="AM66" s="127" t="e">
        <v>#N/A</v>
      </c>
      <c r="AN66" s="127" t="e">
        <v>#N/A</v>
      </c>
      <c r="AO66" s="127" t="e">
        <v>#N/A</v>
      </c>
      <c r="AP66" s="127" t="e">
        <v>#N/A</v>
      </c>
      <c r="AQ66" s="127"/>
      <c r="AR66" s="155" t="e">
        <f t="shared" si="51"/>
        <v>#N/A</v>
      </c>
      <c r="AS66" s="127" t="e">
        <v>#N/A</v>
      </c>
      <c r="AT66" s="127" t="e">
        <v>#N/A</v>
      </c>
      <c r="AU66" s="127" t="e">
        <v>#N/A</v>
      </c>
      <c r="AV66" s="127" t="e">
        <v>#N/A</v>
      </c>
      <c r="AW66" s="123" t="e">
        <f t="shared" si="65"/>
        <v>#REF!</v>
      </c>
      <c r="AX66" s="155" t="e">
        <f t="shared" si="52"/>
        <v>#N/A</v>
      </c>
      <c r="AY66" s="127" t="e">
        <v>#N/A</v>
      </c>
      <c r="AZ66" s="127" t="e">
        <v>#N/A</v>
      </c>
      <c r="BA66" s="127" t="e">
        <v>#N/A</v>
      </c>
      <c r="BB66" s="127" t="e">
        <v>#N/A</v>
      </c>
      <c r="BC66" s="123"/>
      <c r="BD66" s="155" t="e">
        <f t="shared" si="53"/>
        <v>#N/A</v>
      </c>
      <c r="BE66" s="127" t="e">
        <v>#N/A</v>
      </c>
      <c r="BF66" s="127" t="e">
        <v>#N/A</v>
      </c>
      <c r="BG66" s="127" t="e">
        <v>#N/A</v>
      </c>
      <c r="BH66" s="127" t="e">
        <v>#N/A</v>
      </c>
      <c r="BI66" s="123"/>
      <c r="BJ66" s="155" t="e">
        <f t="shared" si="54"/>
        <v>#N/A</v>
      </c>
      <c r="BK66" s="127" t="e">
        <v>#N/A</v>
      </c>
      <c r="BL66" s="127" t="e">
        <v>#N/A</v>
      </c>
      <c r="BM66" s="127" t="e">
        <v>#N/A</v>
      </c>
      <c r="BN66" s="127" t="e">
        <v>#N/A</v>
      </c>
      <c r="BO66" s="127"/>
      <c r="BP66" s="155" t="e">
        <f t="shared" si="55"/>
        <v>#N/A</v>
      </c>
      <c r="BQ66" s="127" t="e">
        <v>#N/A</v>
      </c>
      <c r="BR66" s="127" t="e">
        <v>#N/A</v>
      </c>
      <c r="BS66" s="127" t="e">
        <v>#N/A</v>
      </c>
      <c r="BT66" s="127" t="e">
        <v>#N/A</v>
      </c>
      <c r="BU66" s="123" t="e">
        <f t="shared" si="66"/>
        <v>#REF!</v>
      </c>
      <c r="BV66" s="155" t="e">
        <f t="shared" si="56"/>
        <v>#N/A</v>
      </c>
      <c r="BW66" s="127" t="e">
        <v>#N/A</v>
      </c>
      <c r="BX66" s="127" t="e">
        <v>#N/A</v>
      </c>
      <c r="BY66" s="127" t="e">
        <v>#N/A</v>
      </c>
      <c r="BZ66" s="127" t="e">
        <v>#N/A</v>
      </c>
      <c r="CA66" s="123"/>
      <c r="CB66" s="155" t="e">
        <f t="shared" si="57"/>
        <v>#N/A</v>
      </c>
      <c r="CC66" s="127" t="e">
        <v>#N/A</v>
      </c>
      <c r="CD66" s="127" t="e">
        <v>#N/A</v>
      </c>
      <c r="CE66" s="127" t="e">
        <v>#N/A</v>
      </c>
      <c r="CF66" s="127" t="e">
        <v>#N/A</v>
      </c>
      <c r="CG66" s="123"/>
      <c r="CH66" s="155" t="e">
        <f t="shared" si="58"/>
        <v>#N/A</v>
      </c>
      <c r="CI66" s="127" t="e">
        <v>#N/A</v>
      </c>
      <c r="CJ66" s="127" t="e">
        <v>#N/A</v>
      </c>
      <c r="CK66" s="127" t="e">
        <v>#N/A</v>
      </c>
      <c r="CL66" s="127" t="e">
        <v>#N/A</v>
      </c>
      <c r="CM66" s="127"/>
      <c r="CN66" s="155" t="e">
        <f t="shared" si="59"/>
        <v>#N/A</v>
      </c>
      <c r="CO66" s="127" t="e">
        <v>#N/A</v>
      </c>
      <c r="CP66" s="127" t="e">
        <v>#N/A</v>
      </c>
      <c r="CQ66" s="127" t="e">
        <v>#N/A</v>
      </c>
      <c r="CR66" s="127" t="e">
        <v>#N/A</v>
      </c>
      <c r="CS66" s="123" t="e">
        <f t="shared" si="67"/>
        <v>#REF!</v>
      </c>
      <c r="CT66" s="155" t="e">
        <f t="shared" si="60"/>
        <v>#N/A</v>
      </c>
      <c r="CU66" s="127" t="e">
        <v>#N/A</v>
      </c>
      <c r="CV66" s="127" t="e">
        <v>#N/A</v>
      </c>
      <c r="CW66" s="127" t="e">
        <v>#N/A</v>
      </c>
      <c r="CX66" s="127" t="e">
        <v>#N/A</v>
      </c>
      <c r="CY66" s="123"/>
      <c r="CZ66" s="155" t="e">
        <f t="shared" si="61"/>
        <v>#N/A</v>
      </c>
      <c r="DA66" s="127" t="e">
        <v>#N/A</v>
      </c>
      <c r="DB66" s="127" t="e">
        <v>#N/A</v>
      </c>
      <c r="DC66" s="127" t="e">
        <v>#N/A</v>
      </c>
      <c r="DD66" s="127" t="e">
        <v>#N/A</v>
      </c>
      <c r="DE66" s="123"/>
      <c r="DF66" s="155" t="e">
        <f t="shared" si="62"/>
        <v>#N/A</v>
      </c>
      <c r="DG66" s="127" t="e">
        <v>#N/A</v>
      </c>
      <c r="DH66" s="127" t="e">
        <v>#N/A</v>
      </c>
      <c r="DI66" s="127" t="e">
        <v>#N/A</v>
      </c>
      <c r="DJ66" s="127" t="e">
        <v>#N/A</v>
      </c>
      <c r="DK66" s="127"/>
      <c r="DL66" s="155" t="e">
        <f t="shared" si="63"/>
        <v>#N/A</v>
      </c>
      <c r="DM66" s="127" t="e">
        <v>#N/A</v>
      </c>
      <c r="DN66" s="127" t="e">
        <v>#N/A</v>
      </c>
      <c r="DO66" s="127" t="e">
        <v>#N/A</v>
      </c>
      <c r="DP66" s="127" t="e">
        <v>#N/A</v>
      </c>
    </row>
    <row r="67" spans="1:120" x14ac:dyDescent="0.2">
      <c r="A67" s="123" t="e">
        <f>name!#REF!</f>
        <v>#REF!</v>
      </c>
      <c r="B67" s="155" t="e">
        <f t="shared" si="44"/>
        <v>#N/A</v>
      </c>
      <c r="C67" s="127" t="e">
        <v>#N/A</v>
      </c>
      <c r="D67" s="127" t="e">
        <v>#N/A</v>
      </c>
      <c r="E67" s="127" t="e">
        <v>#N/A</v>
      </c>
      <c r="F67" s="127" t="e">
        <v>#N/A</v>
      </c>
      <c r="G67" s="123"/>
      <c r="H67" s="155" t="e">
        <f t="shared" si="45"/>
        <v>#N/A</v>
      </c>
      <c r="I67" s="127" t="e">
        <v>#N/A</v>
      </c>
      <c r="J67" s="127" t="e">
        <v>#N/A</v>
      </c>
      <c r="K67" s="127" t="e">
        <v>#N/A</v>
      </c>
      <c r="L67" s="127" t="e">
        <v>#N/A</v>
      </c>
      <c r="M67" s="123"/>
      <c r="N67" s="155" t="e">
        <f t="shared" si="46"/>
        <v>#N/A</v>
      </c>
      <c r="O67" s="127" t="e">
        <v>#N/A</v>
      </c>
      <c r="P67" s="127" t="e">
        <v>#N/A</v>
      </c>
      <c r="Q67" s="127" t="e">
        <v>#N/A</v>
      </c>
      <c r="R67" s="127" t="e">
        <v>#N/A</v>
      </c>
      <c r="S67" s="127"/>
      <c r="T67" s="155" t="e">
        <f t="shared" si="47"/>
        <v>#N/A</v>
      </c>
      <c r="U67" s="127" t="e">
        <v>#N/A</v>
      </c>
      <c r="V67" s="127" t="e">
        <v>#N/A</v>
      </c>
      <c r="W67" s="127" t="e">
        <v>#N/A</v>
      </c>
      <c r="X67" s="127" t="e">
        <v>#N/A</v>
      </c>
      <c r="Y67" s="123" t="e">
        <f t="shared" si="64"/>
        <v>#REF!</v>
      </c>
      <c r="Z67" s="155" t="e">
        <f t="shared" si="48"/>
        <v>#N/A</v>
      </c>
      <c r="AA67" s="127" t="e">
        <v>#N/A</v>
      </c>
      <c r="AB67" s="127" t="e">
        <v>#N/A</v>
      </c>
      <c r="AC67" s="127" t="e">
        <v>#N/A</v>
      </c>
      <c r="AD67" s="127" t="e">
        <v>#N/A</v>
      </c>
      <c r="AE67" s="123"/>
      <c r="AF67" s="155" t="e">
        <f t="shared" si="49"/>
        <v>#N/A</v>
      </c>
      <c r="AG67" s="127" t="e">
        <v>#N/A</v>
      </c>
      <c r="AH67" s="127" t="e">
        <v>#N/A</v>
      </c>
      <c r="AI67" s="127" t="e">
        <v>#N/A</v>
      </c>
      <c r="AJ67" s="127" t="e">
        <v>#N/A</v>
      </c>
      <c r="AK67" s="123"/>
      <c r="AL67" s="155" t="e">
        <f t="shared" si="50"/>
        <v>#N/A</v>
      </c>
      <c r="AM67" s="127" t="e">
        <v>#N/A</v>
      </c>
      <c r="AN67" s="127" t="e">
        <v>#N/A</v>
      </c>
      <c r="AO67" s="127" t="e">
        <v>#N/A</v>
      </c>
      <c r="AP67" s="127" t="e">
        <v>#N/A</v>
      </c>
      <c r="AQ67" s="127"/>
      <c r="AR67" s="155" t="e">
        <f t="shared" si="51"/>
        <v>#N/A</v>
      </c>
      <c r="AS67" s="127" t="e">
        <v>#N/A</v>
      </c>
      <c r="AT67" s="127" t="e">
        <v>#N/A</v>
      </c>
      <c r="AU67" s="127" t="e">
        <v>#N/A</v>
      </c>
      <c r="AV67" s="127" t="e">
        <v>#N/A</v>
      </c>
      <c r="AW67" s="123" t="e">
        <f t="shared" si="65"/>
        <v>#REF!</v>
      </c>
      <c r="AX67" s="155" t="e">
        <f t="shared" si="52"/>
        <v>#N/A</v>
      </c>
      <c r="AY67" s="127" t="e">
        <v>#N/A</v>
      </c>
      <c r="AZ67" s="127" t="e">
        <v>#N/A</v>
      </c>
      <c r="BA67" s="127" t="e">
        <v>#N/A</v>
      </c>
      <c r="BB67" s="127" t="e">
        <v>#N/A</v>
      </c>
      <c r="BC67" s="123"/>
      <c r="BD67" s="155" t="e">
        <f t="shared" si="53"/>
        <v>#N/A</v>
      </c>
      <c r="BE67" s="127" t="e">
        <v>#N/A</v>
      </c>
      <c r="BF67" s="127" t="e">
        <v>#N/A</v>
      </c>
      <c r="BG67" s="127" t="e">
        <v>#N/A</v>
      </c>
      <c r="BH67" s="127" t="e">
        <v>#N/A</v>
      </c>
      <c r="BI67" s="123"/>
      <c r="BJ67" s="155" t="e">
        <f t="shared" si="54"/>
        <v>#N/A</v>
      </c>
      <c r="BK67" s="127" t="e">
        <v>#N/A</v>
      </c>
      <c r="BL67" s="127" t="e">
        <v>#N/A</v>
      </c>
      <c r="BM67" s="127" t="e">
        <v>#N/A</v>
      </c>
      <c r="BN67" s="127" t="e">
        <v>#N/A</v>
      </c>
      <c r="BO67" s="127"/>
      <c r="BP67" s="155" t="e">
        <f t="shared" si="55"/>
        <v>#N/A</v>
      </c>
      <c r="BQ67" s="127" t="e">
        <v>#N/A</v>
      </c>
      <c r="BR67" s="127" t="e">
        <v>#N/A</v>
      </c>
      <c r="BS67" s="127" t="e">
        <v>#N/A</v>
      </c>
      <c r="BT67" s="127" t="e">
        <v>#N/A</v>
      </c>
      <c r="BU67" s="123" t="e">
        <f t="shared" si="66"/>
        <v>#REF!</v>
      </c>
      <c r="BV67" s="155" t="e">
        <f t="shared" si="56"/>
        <v>#N/A</v>
      </c>
      <c r="BW67" s="127" t="e">
        <v>#N/A</v>
      </c>
      <c r="BX67" s="127" t="e">
        <v>#N/A</v>
      </c>
      <c r="BY67" s="127" t="e">
        <v>#N/A</v>
      </c>
      <c r="BZ67" s="127" t="e">
        <v>#N/A</v>
      </c>
      <c r="CA67" s="123"/>
      <c r="CB67" s="155" t="e">
        <f t="shared" si="57"/>
        <v>#N/A</v>
      </c>
      <c r="CC67" s="127" t="e">
        <v>#N/A</v>
      </c>
      <c r="CD67" s="127" t="e">
        <v>#N/A</v>
      </c>
      <c r="CE67" s="127" t="e">
        <v>#N/A</v>
      </c>
      <c r="CF67" s="127" t="e">
        <v>#N/A</v>
      </c>
      <c r="CG67" s="123"/>
      <c r="CH67" s="155" t="e">
        <f t="shared" si="58"/>
        <v>#N/A</v>
      </c>
      <c r="CI67" s="127" t="e">
        <v>#N/A</v>
      </c>
      <c r="CJ67" s="127" t="e">
        <v>#N/A</v>
      </c>
      <c r="CK67" s="127" t="e">
        <v>#N/A</v>
      </c>
      <c r="CL67" s="127" t="e">
        <v>#N/A</v>
      </c>
      <c r="CM67" s="127"/>
      <c r="CN67" s="155" t="e">
        <f t="shared" si="59"/>
        <v>#N/A</v>
      </c>
      <c r="CO67" s="127" t="e">
        <v>#N/A</v>
      </c>
      <c r="CP67" s="127" t="e">
        <v>#N/A</v>
      </c>
      <c r="CQ67" s="127" t="e">
        <v>#N/A</v>
      </c>
      <c r="CR67" s="127" t="e">
        <v>#N/A</v>
      </c>
      <c r="CS67" s="123" t="e">
        <f t="shared" si="67"/>
        <v>#REF!</v>
      </c>
      <c r="CT67" s="155" t="e">
        <f t="shared" si="60"/>
        <v>#N/A</v>
      </c>
      <c r="CU67" s="127" t="e">
        <v>#N/A</v>
      </c>
      <c r="CV67" s="127" t="e">
        <v>#N/A</v>
      </c>
      <c r="CW67" s="127" t="e">
        <v>#N/A</v>
      </c>
      <c r="CX67" s="127" t="e">
        <v>#N/A</v>
      </c>
      <c r="CY67" s="123"/>
      <c r="CZ67" s="155" t="e">
        <f t="shared" si="61"/>
        <v>#N/A</v>
      </c>
      <c r="DA67" s="127" t="e">
        <v>#N/A</v>
      </c>
      <c r="DB67" s="127" t="e">
        <v>#N/A</v>
      </c>
      <c r="DC67" s="127" t="e">
        <v>#N/A</v>
      </c>
      <c r="DD67" s="127" t="e">
        <v>#N/A</v>
      </c>
      <c r="DE67" s="123"/>
      <c r="DF67" s="155" t="e">
        <f t="shared" si="62"/>
        <v>#N/A</v>
      </c>
      <c r="DG67" s="127" t="e">
        <v>#N/A</v>
      </c>
      <c r="DH67" s="127" t="e">
        <v>#N/A</v>
      </c>
      <c r="DI67" s="127" t="e">
        <v>#N/A</v>
      </c>
      <c r="DJ67" s="127" t="e">
        <v>#N/A</v>
      </c>
      <c r="DK67" s="127"/>
      <c r="DL67" s="155" t="e">
        <f t="shared" si="63"/>
        <v>#N/A</v>
      </c>
      <c r="DM67" s="127" t="e">
        <v>#N/A</v>
      </c>
      <c r="DN67" s="127" t="e">
        <v>#N/A</v>
      </c>
      <c r="DO67" s="127" t="e">
        <v>#N/A</v>
      </c>
      <c r="DP67" s="127" t="e">
        <v>#N/A</v>
      </c>
    </row>
    <row r="68" spans="1:120" x14ac:dyDescent="0.2">
      <c r="A68" s="123" t="e">
        <f>name!#REF!</f>
        <v>#REF!</v>
      </c>
      <c r="B68" s="155" t="e">
        <f t="shared" si="44"/>
        <v>#N/A</v>
      </c>
      <c r="C68" s="127" t="e">
        <v>#N/A</v>
      </c>
      <c r="D68" s="127" t="e">
        <v>#N/A</v>
      </c>
      <c r="E68" s="127" t="e">
        <v>#N/A</v>
      </c>
      <c r="F68" s="127" t="e">
        <v>#N/A</v>
      </c>
      <c r="G68" s="123"/>
      <c r="H68" s="155" t="e">
        <f t="shared" si="45"/>
        <v>#N/A</v>
      </c>
      <c r="I68" s="127" t="e">
        <v>#N/A</v>
      </c>
      <c r="J68" s="127" t="e">
        <v>#N/A</v>
      </c>
      <c r="K68" s="127" t="e">
        <v>#N/A</v>
      </c>
      <c r="L68" s="127" t="e">
        <v>#N/A</v>
      </c>
      <c r="M68" s="123"/>
      <c r="N68" s="155" t="e">
        <f t="shared" si="46"/>
        <v>#N/A</v>
      </c>
      <c r="O68" s="127" t="e">
        <v>#N/A</v>
      </c>
      <c r="P68" s="127" t="e">
        <v>#N/A</v>
      </c>
      <c r="Q68" s="127" t="e">
        <v>#N/A</v>
      </c>
      <c r="R68" s="127" t="e">
        <v>#N/A</v>
      </c>
      <c r="S68" s="127"/>
      <c r="T68" s="155" t="e">
        <f t="shared" si="47"/>
        <v>#N/A</v>
      </c>
      <c r="U68" s="127" t="e">
        <v>#N/A</v>
      </c>
      <c r="V68" s="127" t="e">
        <v>#N/A</v>
      </c>
      <c r="W68" s="127" t="e">
        <v>#N/A</v>
      </c>
      <c r="X68" s="127" t="e">
        <v>#N/A</v>
      </c>
      <c r="Y68" s="123" t="e">
        <f t="shared" si="64"/>
        <v>#REF!</v>
      </c>
      <c r="Z68" s="155" t="e">
        <f t="shared" si="48"/>
        <v>#N/A</v>
      </c>
      <c r="AA68" s="127" t="e">
        <v>#N/A</v>
      </c>
      <c r="AB68" s="127" t="e">
        <v>#N/A</v>
      </c>
      <c r="AC68" s="127" t="e">
        <v>#N/A</v>
      </c>
      <c r="AD68" s="127" t="e">
        <v>#N/A</v>
      </c>
      <c r="AE68" s="123"/>
      <c r="AF68" s="155" t="e">
        <f t="shared" si="49"/>
        <v>#N/A</v>
      </c>
      <c r="AG68" s="127" t="e">
        <v>#N/A</v>
      </c>
      <c r="AH68" s="127" t="e">
        <v>#N/A</v>
      </c>
      <c r="AI68" s="127" t="e">
        <v>#N/A</v>
      </c>
      <c r="AJ68" s="127" t="e">
        <v>#N/A</v>
      </c>
      <c r="AK68" s="123"/>
      <c r="AL68" s="155" t="e">
        <f t="shared" si="50"/>
        <v>#N/A</v>
      </c>
      <c r="AM68" s="127" t="e">
        <v>#N/A</v>
      </c>
      <c r="AN68" s="127" t="e">
        <v>#N/A</v>
      </c>
      <c r="AO68" s="127" t="e">
        <v>#N/A</v>
      </c>
      <c r="AP68" s="127" t="e">
        <v>#N/A</v>
      </c>
      <c r="AQ68" s="127"/>
      <c r="AR68" s="155" t="e">
        <f t="shared" si="51"/>
        <v>#N/A</v>
      </c>
      <c r="AS68" s="127" t="e">
        <v>#N/A</v>
      </c>
      <c r="AT68" s="127" t="e">
        <v>#N/A</v>
      </c>
      <c r="AU68" s="127" t="e">
        <v>#N/A</v>
      </c>
      <c r="AV68" s="127" t="e">
        <v>#N/A</v>
      </c>
      <c r="AW68" s="123" t="e">
        <f t="shared" si="65"/>
        <v>#REF!</v>
      </c>
      <c r="AX68" s="155" t="e">
        <f t="shared" si="52"/>
        <v>#N/A</v>
      </c>
      <c r="AY68" s="127" t="e">
        <v>#N/A</v>
      </c>
      <c r="AZ68" s="127" t="e">
        <v>#N/A</v>
      </c>
      <c r="BA68" s="127" t="e">
        <v>#N/A</v>
      </c>
      <c r="BB68" s="127" t="e">
        <v>#N/A</v>
      </c>
      <c r="BC68" s="123"/>
      <c r="BD68" s="155" t="e">
        <f t="shared" si="53"/>
        <v>#N/A</v>
      </c>
      <c r="BE68" s="127" t="e">
        <v>#N/A</v>
      </c>
      <c r="BF68" s="127" t="e">
        <v>#N/A</v>
      </c>
      <c r="BG68" s="127" t="e">
        <v>#N/A</v>
      </c>
      <c r="BH68" s="127" t="e">
        <v>#N/A</v>
      </c>
      <c r="BI68" s="123"/>
      <c r="BJ68" s="155" t="e">
        <f t="shared" si="54"/>
        <v>#N/A</v>
      </c>
      <c r="BK68" s="127" t="e">
        <v>#N/A</v>
      </c>
      <c r="BL68" s="127" t="e">
        <v>#N/A</v>
      </c>
      <c r="BM68" s="127" t="e">
        <v>#N/A</v>
      </c>
      <c r="BN68" s="127" t="e">
        <v>#N/A</v>
      </c>
      <c r="BO68" s="127"/>
      <c r="BP68" s="155" t="e">
        <f t="shared" si="55"/>
        <v>#N/A</v>
      </c>
      <c r="BQ68" s="127" t="e">
        <v>#N/A</v>
      </c>
      <c r="BR68" s="127" t="e">
        <v>#N/A</v>
      </c>
      <c r="BS68" s="127" t="e">
        <v>#N/A</v>
      </c>
      <c r="BT68" s="127" t="e">
        <v>#N/A</v>
      </c>
      <c r="BU68" s="123" t="e">
        <f t="shared" si="66"/>
        <v>#REF!</v>
      </c>
      <c r="BV68" s="155" t="e">
        <f t="shared" si="56"/>
        <v>#N/A</v>
      </c>
      <c r="BW68" s="127" t="e">
        <v>#N/A</v>
      </c>
      <c r="BX68" s="127" t="e">
        <v>#N/A</v>
      </c>
      <c r="BY68" s="127" t="e">
        <v>#N/A</v>
      </c>
      <c r="BZ68" s="127" t="e">
        <v>#N/A</v>
      </c>
      <c r="CA68" s="123"/>
      <c r="CB68" s="155" t="e">
        <f t="shared" si="57"/>
        <v>#N/A</v>
      </c>
      <c r="CC68" s="127" t="e">
        <v>#N/A</v>
      </c>
      <c r="CD68" s="127" t="e">
        <v>#N/A</v>
      </c>
      <c r="CE68" s="127" t="e">
        <v>#N/A</v>
      </c>
      <c r="CF68" s="127" t="e">
        <v>#N/A</v>
      </c>
      <c r="CG68" s="123"/>
      <c r="CH68" s="155" t="e">
        <f t="shared" si="58"/>
        <v>#N/A</v>
      </c>
      <c r="CI68" s="127" t="e">
        <v>#N/A</v>
      </c>
      <c r="CJ68" s="127" t="e">
        <v>#N/A</v>
      </c>
      <c r="CK68" s="127" t="e">
        <v>#N/A</v>
      </c>
      <c r="CL68" s="127" t="e">
        <v>#N/A</v>
      </c>
      <c r="CM68" s="127"/>
      <c r="CN68" s="155" t="e">
        <f t="shared" si="59"/>
        <v>#N/A</v>
      </c>
      <c r="CO68" s="127" t="e">
        <v>#N/A</v>
      </c>
      <c r="CP68" s="127" t="e">
        <v>#N/A</v>
      </c>
      <c r="CQ68" s="127" t="e">
        <v>#N/A</v>
      </c>
      <c r="CR68" s="127" t="e">
        <v>#N/A</v>
      </c>
      <c r="CS68" s="123" t="e">
        <f t="shared" si="67"/>
        <v>#REF!</v>
      </c>
      <c r="CT68" s="155" t="e">
        <f t="shared" si="60"/>
        <v>#N/A</v>
      </c>
      <c r="CU68" s="127" t="e">
        <v>#N/A</v>
      </c>
      <c r="CV68" s="127" t="e">
        <v>#N/A</v>
      </c>
      <c r="CW68" s="127" t="e">
        <v>#N/A</v>
      </c>
      <c r="CX68" s="127" t="e">
        <v>#N/A</v>
      </c>
      <c r="CY68" s="123"/>
      <c r="CZ68" s="155" t="e">
        <f t="shared" si="61"/>
        <v>#N/A</v>
      </c>
      <c r="DA68" s="127" t="e">
        <v>#N/A</v>
      </c>
      <c r="DB68" s="127" t="e">
        <v>#N/A</v>
      </c>
      <c r="DC68" s="127" t="e">
        <v>#N/A</v>
      </c>
      <c r="DD68" s="127" t="e">
        <v>#N/A</v>
      </c>
      <c r="DE68" s="123"/>
      <c r="DF68" s="155" t="e">
        <f t="shared" si="62"/>
        <v>#N/A</v>
      </c>
      <c r="DG68" s="127" t="e">
        <v>#N/A</v>
      </c>
      <c r="DH68" s="127" t="e">
        <v>#N/A</v>
      </c>
      <c r="DI68" s="127" t="e">
        <v>#N/A</v>
      </c>
      <c r="DJ68" s="127" t="e">
        <v>#N/A</v>
      </c>
      <c r="DK68" s="127"/>
      <c r="DL68" s="155" t="e">
        <f t="shared" si="63"/>
        <v>#N/A</v>
      </c>
      <c r="DM68" s="127" t="e">
        <v>#N/A</v>
      </c>
      <c r="DN68" s="127" t="e">
        <v>#N/A</v>
      </c>
      <c r="DO68" s="127" t="e">
        <v>#N/A</v>
      </c>
      <c r="DP68" s="127" t="e">
        <v>#N/A</v>
      </c>
    </row>
    <row r="69" spans="1:120" x14ac:dyDescent="0.2">
      <c r="A69" s="123" t="e">
        <f>name!#REF!</f>
        <v>#REF!</v>
      </c>
      <c r="B69" s="155" t="e">
        <f t="shared" si="44"/>
        <v>#N/A</v>
      </c>
      <c r="C69" s="127" t="e">
        <v>#N/A</v>
      </c>
      <c r="D69" s="127" t="e">
        <v>#N/A</v>
      </c>
      <c r="E69" s="127" t="e">
        <v>#N/A</v>
      </c>
      <c r="F69" s="127" t="e">
        <v>#N/A</v>
      </c>
      <c r="G69" s="123"/>
      <c r="H69" s="155" t="e">
        <f t="shared" si="45"/>
        <v>#N/A</v>
      </c>
      <c r="I69" s="127" t="e">
        <v>#N/A</v>
      </c>
      <c r="J69" s="127" t="e">
        <v>#N/A</v>
      </c>
      <c r="K69" s="127" t="e">
        <v>#N/A</v>
      </c>
      <c r="L69" s="127" t="e">
        <v>#N/A</v>
      </c>
      <c r="M69" s="123"/>
      <c r="N69" s="155" t="e">
        <f t="shared" si="46"/>
        <v>#N/A</v>
      </c>
      <c r="O69" s="127" t="e">
        <v>#N/A</v>
      </c>
      <c r="P69" s="127" t="e">
        <v>#N/A</v>
      </c>
      <c r="Q69" s="127" t="e">
        <v>#N/A</v>
      </c>
      <c r="R69" s="127" t="e">
        <v>#N/A</v>
      </c>
      <c r="S69" s="127"/>
      <c r="T69" s="155" t="e">
        <f t="shared" si="47"/>
        <v>#N/A</v>
      </c>
      <c r="U69" s="127" t="e">
        <v>#N/A</v>
      </c>
      <c r="V69" s="127" t="e">
        <v>#N/A</v>
      </c>
      <c r="W69" s="127" t="e">
        <v>#N/A</v>
      </c>
      <c r="X69" s="127" t="e">
        <v>#N/A</v>
      </c>
      <c r="Y69" s="123" t="e">
        <f t="shared" si="64"/>
        <v>#REF!</v>
      </c>
      <c r="Z69" s="155" t="e">
        <f t="shared" si="48"/>
        <v>#N/A</v>
      </c>
      <c r="AA69" s="127" t="e">
        <v>#N/A</v>
      </c>
      <c r="AB69" s="127" t="e">
        <v>#N/A</v>
      </c>
      <c r="AC69" s="127" t="e">
        <v>#N/A</v>
      </c>
      <c r="AD69" s="127" t="e">
        <v>#N/A</v>
      </c>
      <c r="AE69" s="123"/>
      <c r="AF69" s="155" t="e">
        <f t="shared" si="49"/>
        <v>#N/A</v>
      </c>
      <c r="AG69" s="127" t="e">
        <v>#N/A</v>
      </c>
      <c r="AH69" s="127" t="e">
        <v>#N/A</v>
      </c>
      <c r="AI69" s="127" t="e">
        <v>#N/A</v>
      </c>
      <c r="AJ69" s="127" t="e">
        <v>#N/A</v>
      </c>
      <c r="AK69" s="123"/>
      <c r="AL69" s="155" t="e">
        <f t="shared" si="50"/>
        <v>#N/A</v>
      </c>
      <c r="AM69" s="127" t="e">
        <v>#N/A</v>
      </c>
      <c r="AN69" s="127" t="e">
        <v>#N/A</v>
      </c>
      <c r="AO69" s="127" t="e">
        <v>#N/A</v>
      </c>
      <c r="AP69" s="127" t="e">
        <v>#N/A</v>
      </c>
      <c r="AQ69" s="127"/>
      <c r="AR69" s="155" t="e">
        <f t="shared" si="51"/>
        <v>#N/A</v>
      </c>
      <c r="AS69" s="127" t="e">
        <v>#N/A</v>
      </c>
      <c r="AT69" s="127" t="e">
        <v>#N/A</v>
      </c>
      <c r="AU69" s="127" t="e">
        <v>#N/A</v>
      </c>
      <c r="AV69" s="127" t="e">
        <v>#N/A</v>
      </c>
      <c r="AW69" s="123" t="e">
        <f t="shared" si="65"/>
        <v>#REF!</v>
      </c>
      <c r="AX69" s="155" t="e">
        <f t="shared" si="52"/>
        <v>#N/A</v>
      </c>
      <c r="AY69" s="127" t="e">
        <v>#N/A</v>
      </c>
      <c r="AZ69" s="127" t="e">
        <v>#N/A</v>
      </c>
      <c r="BA69" s="127" t="e">
        <v>#N/A</v>
      </c>
      <c r="BB69" s="127" t="e">
        <v>#N/A</v>
      </c>
      <c r="BC69" s="123"/>
      <c r="BD69" s="155" t="e">
        <f t="shared" si="53"/>
        <v>#N/A</v>
      </c>
      <c r="BE69" s="127" t="e">
        <v>#N/A</v>
      </c>
      <c r="BF69" s="127" t="e">
        <v>#N/A</v>
      </c>
      <c r="BG69" s="127" t="e">
        <v>#N/A</v>
      </c>
      <c r="BH69" s="127" t="e">
        <v>#N/A</v>
      </c>
      <c r="BI69" s="123"/>
      <c r="BJ69" s="155" t="e">
        <f t="shared" si="54"/>
        <v>#N/A</v>
      </c>
      <c r="BK69" s="127" t="e">
        <v>#N/A</v>
      </c>
      <c r="BL69" s="127" t="e">
        <v>#N/A</v>
      </c>
      <c r="BM69" s="127" t="e">
        <v>#N/A</v>
      </c>
      <c r="BN69" s="127" t="e">
        <v>#N/A</v>
      </c>
      <c r="BO69" s="127"/>
      <c r="BP69" s="155" t="e">
        <f t="shared" si="55"/>
        <v>#N/A</v>
      </c>
      <c r="BQ69" s="127" t="e">
        <v>#N/A</v>
      </c>
      <c r="BR69" s="127" t="e">
        <v>#N/A</v>
      </c>
      <c r="BS69" s="127" t="e">
        <v>#N/A</v>
      </c>
      <c r="BT69" s="127" t="e">
        <v>#N/A</v>
      </c>
      <c r="BU69" s="123" t="e">
        <f t="shared" si="66"/>
        <v>#REF!</v>
      </c>
      <c r="BV69" s="155" t="e">
        <f t="shared" si="56"/>
        <v>#N/A</v>
      </c>
      <c r="BW69" s="127" t="e">
        <v>#N/A</v>
      </c>
      <c r="BX69" s="127" t="e">
        <v>#N/A</v>
      </c>
      <c r="BY69" s="127" t="e">
        <v>#N/A</v>
      </c>
      <c r="BZ69" s="127" t="e">
        <v>#N/A</v>
      </c>
      <c r="CA69" s="123"/>
      <c r="CB69" s="155" t="e">
        <f t="shared" si="57"/>
        <v>#N/A</v>
      </c>
      <c r="CC69" s="127" t="e">
        <v>#N/A</v>
      </c>
      <c r="CD69" s="127" t="e">
        <v>#N/A</v>
      </c>
      <c r="CE69" s="127" t="e">
        <v>#N/A</v>
      </c>
      <c r="CF69" s="127" t="e">
        <v>#N/A</v>
      </c>
      <c r="CG69" s="123"/>
      <c r="CH69" s="155" t="e">
        <f t="shared" si="58"/>
        <v>#N/A</v>
      </c>
      <c r="CI69" s="127" t="e">
        <v>#N/A</v>
      </c>
      <c r="CJ69" s="127" t="e">
        <v>#N/A</v>
      </c>
      <c r="CK69" s="127" t="e">
        <v>#N/A</v>
      </c>
      <c r="CL69" s="127" t="e">
        <v>#N/A</v>
      </c>
      <c r="CM69" s="127"/>
      <c r="CN69" s="155" t="e">
        <f t="shared" si="59"/>
        <v>#N/A</v>
      </c>
      <c r="CO69" s="127" t="e">
        <v>#N/A</v>
      </c>
      <c r="CP69" s="127" t="e">
        <v>#N/A</v>
      </c>
      <c r="CQ69" s="127" t="e">
        <v>#N/A</v>
      </c>
      <c r="CR69" s="127" t="e">
        <v>#N/A</v>
      </c>
      <c r="CS69" s="123" t="e">
        <f t="shared" si="67"/>
        <v>#REF!</v>
      </c>
      <c r="CT69" s="155" t="e">
        <f t="shared" si="60"/>
        <v>#N/A</v>
      </c>
      <c r="CU69" s="127" t="e">
        <v>#N/A</v>
      </c>
      <c r="CV69" s="127" t="e">
        <v>#N/A</v>
      </c>
      <c r="CW69" s="127" t="e">
        <v>#N/A</v>
      </c>
      <c r="CX69" s="127" t="e">
        <v>#N/A</v>
      </c>
      <c r="CY69" s="123"/>
      <c r="CZ69" s="155" t="e">
        <f t="shared" si="61"/>
        <v>#N/A</v>
      </c>
      <c r="DA69" s="127" t="e">
        <v>#N/A</v>
      </c>
      <c r="DB69" s="127" t="e">
        <v>#N/A</v>
      </c>
      <c r="DC69" s="127" t="e">
        <v>#N/A</v>
      </c>
      <c r="DD69" s="127" t="e">
        <v>#N/A</v>
      </c>
      <c r="DE69" s="123"/>
      <c r="DF69" s="155" t="e">
        <f t="shared" si="62"/>
        <v>#N/A</v>
      </c>
      <c r="DG69" s="127" t="e">
        <v>#N/A</v>
      </c>
      <c r="DH69" s="127" t="e">
        <v>#N/A</v>
      </c>
      <c r="DI69" s="127" t="e">
        <v>#N/A</v>
      </c>
      <c r="DJ69" s="127" t="e">
        <v>#N/A</v>
      </c>
      <c r="DK69" s="127"/>
      <c r="DL69" s="155" t="e">
        <f t="shared" si="63"/>
        <v>#N/A</v>
      </c>
      <c r="DM69" s="127" t="e">
        <v>#N/A</v>
      </c>
      <c r="DN69" s="127" t="e">
        <v>#N/A</v>
      </c>
      <c r="DO69" s="127" t="e">
        <v>#N/A</v>
      </c>
      <c r="DP69" s="127" t="e">
        <v>#N/A</v>
      </c>
    </row>
    <row r="70" spans="1:120" x14ac:dyDescent="0.2">
      <c r="A70" s="123" t="e">
        <f>name!#REF!</f>
        <v>#REF!</v>
      </c>
      <c r="B70" s="155" t="e">
        <f t="shared" si="44"/>
        <v>#N/A</v>
      </c>
      <c r="C70" s="127" t="e">
        <v>#N/A</v>
      </c>
      <c r="D70" s="127" t="e">
        <v>#N/A</v>
      </c>
      <c r="E70" s="127" t="e">
        <v>#N/A</v>
      </c>
      <c r="F70" s="127" t="e">
        <v>#N/A</v>
      </c>
      <c r="G70" s="123"/>
      <c r="H70" s="155" t="e">
        <f t="shared" si="45"/>
        <v>#N/A</v>
      </c>
      <c r="I70" s="127" t="e">
        <v>#N/A</v>
      </c>
      <c r="J70" s="127" t="e">
        <v>#N/A</v>
      </c>
      <c r="K70" s="127" t="e">
        <v>#N/A</v>
      </c>
      <c r="L70" s="127" t="e">
        <v>#N/A</v>
      </c>
      <c r="M70" s="123"/>
      <c r="N70" s="155" t="e">
        <f t="shared" si="46"/>
        <v>#N/A</v>
      </c>
      <c r="O70" s="127" t="e">
        <v>#N/A</v>
      </c>
      <c r="P70" s="127" t="e">
        <v>#N/A</v>
      </c>
      <c r="Q70" s="127" t="e">
        <v>#N/A</v>
      </c>
      <c r="R70" s="127" t="e">
        <v>#N/A</v>
      </c>
      <c r="S70" s="127"/>
      <c r="T70" s="155" t="e">
        <f t="shared" si="47"/>
        <v>#N/A</v>
      </c>
      <c r="U70" s="127" t="e">
        <v>#N/A</v>
      </c>
      <c r="V70" s="127" t="e">
        <v>#N/A</v>
      </c>
      <c r="W70" s="127" t="e">
        <v>#N/A</v>
      </c>
      <c r="X70" s="127" t="e">
        <v>#N/A</v>
      </c>
      <c r="Y70" s="123" t="e">
        <f t="shared" si="64"/>
        <v>#REF!</v>
      </c>
      <c r="Z70" s="155" t="e">
        <f t="shared" si="48"/>
        <v>#N/A</v>
      </c>
      <c r="AA70" s="127" t="e">
        <v>#N/A</v>
      </c>
      <c r="AB70" s="127" t="e">
        <v>#N/A</v>
      </c>
      <c r="AC70" s="127" t="e">
        <v>#N/A</v>
      </c>
      <c r="AD70" s="127" t="e">
        <v>#N/A</v>
      </c>
      <c r="AE70" s="123"/>
      <c r="AF70" s="155" t="e">
        <f t="shared" si="49"/>
        <v>#N/A</v>
      </c>
      <c r="AG70" s="127" t="e">
        <v>#N/A</v>
      </c>
      <c r="AH70" s="127" t="e">
        <v>#N/A</v>
      </c>
      <c r="AI70" s="127" t="e">
        <v>#N/A</v>
      </c>
      <c r="AJ70" s="127" t="e">
        <v>#N/A</v>
      </c>
      <c r="AK70" s="123"/>
      <c r="AL70" s="155" t="e">
        <f t="shared" si="50"/>
        <v>#N/A</v>
      </c>
      <c r="AM70" s="127" t="e">
        <v>#N/A</v>
      </c>
      <c r="AN70" s="127" t="e">
        <v>#N/A</v>
      </c>
      <c r="AO70" s="127" t="e">
        <v>#N/A</v>
      </c>
      <c r="AP70" s="127" t="e">
        <v>#N/A</v>
      </c>
      <c r="AQ70" s="127"/>
      <c r="AR70" s="155" t="e">
        <f t="shared" si="51"/>
        <v>#N/A</v>
      </c>
      <c r="AS70" s="127" t="e">
        <v>#N/A</v>
      </c>
      <c r="AT70" s="127" t="e">
        <v>#N/A</v>
      </c>
      <c r="AU70" s="127" t="e">
        <v>#N/A</v>
      </c>
      <c r="AV70" s="127" t="e">
        <v>#N/A</v>
      </c>
      <c r="AW70" s="123" t="e">
        <f t="shared" si="65"/>
        <v>#REF!</v>
      </c>
      <c r="AX70" s="155" t="e">
        <f t="shared" si="52"/>
        <v>#N/A</v>
      </c>
      <c r="AY70" s="127" t="e">
        <v>#N/A</v>
      </c>
      <c r="AZ70" s="127" t="e">
        <v>#N/A</v>
      </c>
      <c r="BA70" s="127" t="e">
        <v>#N/A</v>
      </c>
      <c r="BB70" s="127" t="e">
        <v>#N/A</v>
      </c>
      <c r="BC70" s="123"/>
      <c r="BD70" s="155" t="e">
        <f t="shared" si="53"/>
        <v>#N/A</v>
      </c>
      <c r="BE70" s="127" t="e">
        <v>#N/A</v>
      </c>
      <c r="BF70" s="127" t="e">
        <v>#N/A</v>
      </c>
      <c r="BG70" s="127" t="e">
        <v>#N/A</v>
      </c>
      <c r="BH70" s="127" t="e">
        <v>#N/A</v>
      </c>
      <c r="BI70" s="123"/>
      <c r="BJ70" s="155" t="e">
        <f t="shared" si="54"/>
        <v>#N/A</v>
      </c>
      <c r="BK70" s="127" t="e">
        <v>#N/A</v>
      </c>
      <c r="BL70" s="127" t="e">
        <v>#N/A</v>
      </c>
      <c r="BM70" s="127" t="e">
        <v>#N/A</v>
      </c>
      <c r="BN70" s="127" t="e">
        <v>#N/A</v>
      </c>
      <c r="BO70" s="127"/>
      <c r="BP70" s="155" t="e">
        <f t="shared" si="55"/>
        <v>#N/A</v>
      </c>
      <c r="BQ70" s="127" t="e">
        <v>#N/A</v>
      </c>
      <c r="BR70" s="127" t="e">
        <v>#N/A</v>
      </c>
      <c r="BS70" s="127" t="e">
        <v>#N/A</v>
      </c>
      <c r="BT70" s="127" t="e">
        <v>#N/A</v>
      </c>
      <c r="BU70" s="123" t="e">
        <f t="shared" si="66"/>
        <v>#REF!</v>
      </c>
      <c r="BV70" s="155" t="e">
        <f t="shared" si="56"/>
        <v>#N/A</v>
      </c>
      <c r="BW70" s="127" t="e">
        <v>#N/A</v>
      </c>
      <c r="BX70" s="127" t="e">
        <v>#N/A</v>
      </c>
      <c r="BY70" s="127" t="e">
        <v>#N/A</v>
      </c>
      <c r="BZ70" s="127" t="e">
        <v>#N/A</v>
      </c>
      <c r="CA70" s="123"/>
      <c r="CB70" s="155" t="e">
        <f t="shared" si="57"/>
        <v>#N/A</v>
      </c>
      <c r="CC70" s="127" t="e">
        <v>#N/A</v>
      </c>
      <c r="CD70" s="127" t="e">
        <v>#N/A</v>
      </c>
      <c r="CE70" s="127" t="e">
        <v>#N/A</v>
      </c>
      <c r="CF70" s="127" t="e">
        <v>#N/A</v>
      </c>
      <c r="CG70" s="123"/>
      <c r="CH70" s="155" t="e">
        <f t="shared" si="58"/>
        <v>#N/A</v>
      </c>
      <c r="CI70" s="127" t="e">
        <v>#N/A</v>
      </c>
      <c r="CJ70" s="127" t="e">
        <v>#N/A</v>
      </c>
      <c r="CK70" s="127" t="e">
        <v>#N/A</v>
      </c>
      <c r="CL70" s="127" t="e">
        <v>#N/A</v>
      </c>
      <c r="CM70" s="127"/>
      <c r="CN70" s="155" t="e">
        <f t="shared" si="59"/>
        <v>#N/A</v>
      </c>
      <c r="CO70" s="127" t="e">
        <v>#N/A</v>
      </c>
      <c r="CP70" s="127" t="e">
        <v>#N/A</v>
      </c>
      <c r="CQ70" s="127" t="e">
        <v>#N/A</v>
      </c>
      <c r="CR70" s="127" t="e">
        <v>#N/A</v>
      </c>
      <c r="CS70" s="123" t="e">
        <f t="shared" si="67"/>
        <v>#REF!</v>
      </c>
      <c r="CT70" s="155" t="e">
        <f t="shared" si="60"/>
        <v>#N/A</v>
      </c>
      <c r="CU70" s="127" t="e">
        <v>#N/A</v>
      </c>
      <c r="CV70" s="127" t="e">
        <v>#N/A</v>
      </c>
      <c r="CW70" s="127" t="e">
        <v>#N/A</v>
      </c>
      <c r="CX70" s="127" t="e">
        <v>#N/A</v>
      </c>
      <c r="CY70" s="123"/>
      <c r="CZ70" s="155" t="e">
        <f t="shared" si="61"/>
        <v>#N/A</v>
      </c>
      <c r="DA70" s="127" t="e">
        <v>#N/A</v>
      </c>
      <c r="DB70" s="127" t="e">
        <v>#N/A</v>
      </c>
      <c r="DC70" s="127" t="e">
        <v>#N/A</v>
      </c>
      <c r="DD70" s="127" t="e">
        <v>#N/A</v>
      </c>
      <c r="DE70" s="123"/>
      <c r="DF70" s="155" t="e">
        <f t="shared" si="62"/>
        <v>#N/A</v>
      </c>
      <c r="DG70" s="127" t="e">
        <v>#N/A</v>
      </c>
      <c r="DH70" s="127" t="e">
        <v>#N/A</v>
      </c>
      <c r="DI70" s="127" t="e">
        <v>#N/A</v>
      </c>
      <c r="DJ70" s="127" t="e">
        <v>#N/A</v>
      </c>
      <c r="DK70" s="127"/>
      <c r="DL70" s="155" t="e">
        <f t="shared" si="63"/>
        <v>#N/A</v>
      </c>
      <c r="DM70" s="127" t="e">
        <v>#N/A</v>
      </c>
      <c r="DN70" s="127" t="e">
        <v>#N/A</v>
      </c>
      <c r="DO70" s="127" t="e">
        <v>#N/A</v>
      </c>
      <c r="DP70" s="127" t="e">
        <v>#N/A</v>
      </c>
    </row>
    <row r="71" spans="1:120" x14ac:dyDescent="0.2">
      <c r="A71" s="123" t="e">
        <f>name!#REF!</f>
        <v>#REF!</v>
      </c>
      <c r="B71" s="155" t="e">
        <f t="shared" si="44"/>
        <v>#N/A</v>
      </c>
      <c r="C71" s="127" t="e">
        <v>#N/A</v>
      </c>
      <c r="D71" s="127" t="e">
        <v>#N/A</v>
      </c>
      <c r="E71" s="127" t="e">
        <v>#N/A</v>
      </c>
      <c r="F71" s="127" t="e">
        <v>#N/A</v>
      </c>
      <c r="G71" s="123"/>
      <c r="H71" s="155" t="e">
        <f t="shared" si="45"/>
        <v>#N/A</v>
      </c>
      <c r="I71" s="127" t="e">
        <v>#N/A</v>
      </c>
      <c r="J71" s="127" t="e">
        <v>#N/A</v>
      </c>
      <c r="K71" s="127" t="e">
        <v>#N/A</v>
      </c>
      <c r="L71" s="127" t="e">
        <v>#N/A</v>
      </c>
      <c r="M71" s="123"/>
      <c r="N71" s="155" t="e">
        <f t="shared" si="46"/>
        <v>#N/A</v>
      </c>
      <c r="O71" s="127" t="e">
        <v>#N/A</v>
      </c>
      <c r="P71" s="127" t="e">
        <v>#N/A</v>
      </c>
      <c r="Q71" s="127" t="e">
        <v>#N/A</v>
      </c>
      <c r="R71" s="127" t="e">
        <v>#N/A</v>
      </c>
      <c r="S71" s="127"/>
      <c r="T71" s="155" t="e">
        <f t="shared" si="47"/>
        <v>#N/A</v>
      </c>
      <c r="U71" s="127" t="e">
        <v>#N/A</v>
      </c>
      <c r="V71" s="127" t="e">
        <v>#N/A</v>
      </c>
      <c r="W71" s="127" t="e">
        <v>#N/A</v>
      </c>
      <c r="X71" s="127" t="e">
        <v>#N/A</v>
      </c>
      <c r="Y71" s="123" t="e">
        <f t="shared" si="64"/>
        <v>#REF!</v>
      </c>
      <c r="Z71" s="155" t="e">
        <f t="shared" si="48"/>
        <v>#N/A</v>
      </c>
      <c r="AA71" s="127" t="e">
        <v>#N/A</v>
      </c>
      <c r="AB71" s="127" t="e">
        <v>#N/A</v>
      </c>
      <c r="AC71" s="127" t="e">
        <v>#N/A</v>
      </c>
      <c r="AD71" s="127" t="e">
        <v>#N/A</v>
      </c>
      <c r="AE71" s="123"/>
      <c r="AF71" s="155" t="e">
        <f t="shared" si="49"/>
        <v>#N/A</v>
      </c>
      <c r="AG71" s="127" t="e">
        <v>#N/A</v>
      </c>
      <c r="AH71" s="127" t="e">
        <v>#N/A</v>
      </c>
      <c r="AI71" s="127" t="e">
        <v>#N/A</v>
      </c>
      <c r="AJ71" s="127" t="e">
        <v>#N/A</v>
      </c>
      <c r="AK71" s="123"/>
      <c r="AL71" s="155" t="e">
        <f t="shared" si="50"/>
        <v>#N/A</v>
      </c>
      <c r="AM71" s="127" t="e">
        <v>#N/A</v>
      </c>
      <c r="AN71" s="127" t="e">
        <v>#N/A</v>
      </c>
      <c r="AO71" s="127" t="e">
        <v>#N/A</v>
      </c>
      <c r="AP71" s="127" t="e">
        <v>#N/A</v>
      </c>
      <c r="AQ71" s="127"/>
      <c r="AR71" s="155" t="e">
        <f t="shared" si="51"/>
        <v>#N/A</v>
      </c>
      <c r="AS71" s="127" t="e">
        <v>#N/A</v>
      </c>
      <c r="AT71" s="127" t="e">
        <v>#N/A</v>
      </c>
      <c r="AU71" s="127" t="e">
        <v>#N/A</v>
      </c>
      <c r="AV71" s="127" t="e">
        <v>#N/A</v>
      </c>
      <c r="AW71" s="123" t="e">
        <f t="shared" si="65"/>
        <v>#REF!</v>
      </c>
      <c r="AX71" s="155" t="e">
        <f t="shared" si="52"/>
        <v>#N/A</v>
      </c>
      <c r="AY71" s="127" t="e">
        <v>#N/A</v>
      </c>
      <c r="AZ71" s="127" t="e">
        <v>#N/A</v>
      </c>
      <c r="BA71" s="127" t="e">
        <v>#N/A</v>
      </c>
      <c r="BB71" s="127" t="e">
        <v>#N/A</v>
      </c>
      <c r="BC71" s="123"/>
      <c r="BD71" s="155" t="e">
        <f t="shared" si="53"/>
        <v>#N/A</v>
      </c>
      <c r="BE71" s="127" t="e">
        <v>#N/A</v>
      </c>
      <c r="BF71" s="127" t="e">
        <v>#N/A</v>
      </c>
      <c r="BG71" s="127" t="e">
        <v>#N/A</v>
      </c>
      <c r="BH71" s="127" t="e">
        <v>#N/A</v>
      </c>
      <c r="BI71" s="123"/>
      <c r="BJ71" s="155" t="e">
        <f t="shared" si="54"/>
        <v>#N/A</v>
      </c>
      <c r="BK71" s="127" t="e">
        <v>#N/A</v>
      </c>
      <c r="BL71" s="127" t="e">
        <v>#N/A</v>
      </c>
      <c r="BM71" s="127" t="e">
        <v>#N/A</v>
      </c>
      <c r="BN71" s="127" t="e">
        <v>#N/A</v>
      </c>
      <c r="BO71" s="127"/>
      <c r="BP71" s="155" t="e">
        <f t="shared" si="55"/>
        <v>#N/A</v>
      </c>
      <c r="BQ71" s="127" t="e">
        <v>#N/A</v>
      </c>
      <c r="BR71" s="127" t="e">
        <v>#N/A</v>
      </c>
      <c r="BS71" s="127" t="e">
        <v>#N/A</v>
      </c>
      <c r="BT71" s="127" t="e">
        <v>#N/A</v>
      </c>
      <c r="BU71" s="123" t="e">
        <f t="shared" si="66"/>
        <v>#REF!</v>
      </c>
      <c r="BV71" s="155" t="e">
        <f t="shared" si="56"/>
        <v>#N/A</v>
      </c>
      <c r="BW71" s="127" t="e">
        <v>#N/A</v>
      </c>
      <c r="BX71" s="127" t="e">
        <v>#N/A</v>
      </c>
      <c r="BY71" s="127" t="e">
        <v>#N/A</v>
      </c>
      <c r="BZ71" s="127" t="e">
        <v>#N/A</v>
      </c>
      <c r="CA71" s="123"/>
      <c r="CB71" s="155" t="e">
        <f t="shared" si="57"/>
        <v>#N/A</v>
      </c>
      <c r="CC71" s="127" t="e">
        <v>#N/A</v>
      </c>
      <c r="CD71" s="127" t="e">
        <v>#N/A</v>
      </c>
      <c r="CE71" s="127" t="e">
        <v>#N/A</v>
      </c>
      <c r="CF71" s="127" t="e">
        <v>#N/A</v>
      </c>
      <c r="CG71" s="123"/>
      <c r="CH71" s="155" t="e">
        <f t="shared" si="58"/>
        <v>#N/A</v>
      </c>
      <c r="CI71" s="127" t="e">
        <v>#N/A</v>
      </c>
      <c r="CJ71" s="127" t="e">
        <v>#N/A</v>
      </c>
      <c r="CK71" s="127" t="e">
        <v>#N/A</v>
      </c>
      <c r="CL71" s="127" t="e">
        <v>#N/A</v>
      </c>
      <c r="CM71" s="127"/>
      <c r="CN71" s="155" t="e">
        <f t="shared" si="59"/>
        <v>#N/A</v>
      </c>
      <c r="CO71" s="127" t="e">
        <v>#N/A</v>
      </c>
      <c r="CP71" s="127" t="e">
        <v>#N/A</v>
      </c>
      <c r="CQ71" s="127" t="e">
        <v>#N/A</v>
      </c>
      <c r="CR71" s="127" t="e">
        <v>#N/A</v>
      </c>
      <c r="CS71" s="123" t="e">
        <f t="shared" si="67"/>
        <v>#REF!</v>
      </c>
      <c r="CT71" s="155" t="e">
        <f t="shared" si="60"/>
        <v>#N/A</v>
      </c>
      <c r="CU71" s="127" t="e">
        <v>#N/A</v>
      </c>
      <c r="CV71" s="127" t="e">
        <v>#N/A</v>
      </c>
      <c r="CW71" s="127" t="e">
        <v>#N/A</v>
      </c>
      <c r="CX71" s="127" t="e">
        <v>#N/A</v>
      </c>
      <c r="CY71" s="123"/>
      <c r="CZ71" s="155" t="e">
        <f t="shared" si="61"/>
        <v>#N/A</v>
      </c>
      <c r="DA71" s="127" t="e">
        <v>#N/A</v>
      </c>
      <c r="DB71" s="127" t="e">
        <v>#N/A</v>
      </c>
      <c r="DC71" s="127" t="e">
        <v>#N/A</v>
      </c>
      <c r="DD71" s="127" t="e">
        <v>#N/A</v>
      </c>
      <c r="DE71" s="123"/>
      <c r="DF71" s="155" t="e">
        <f t="shared" si="62"/>
        <v>#N/A</v>
      </c>
      <c r="DG71" s="127" t="e">
        <v>#N/A</v>
      </c>
      <c r="DH71" s="127" t="e">
        <v>#N/A</v>
      </c>
      <c r="DI71" s="127" t="e">
        <v>#N/A</v>
      </c>
      <c r="DJ71" s="127" t="e">
        <v>#N/A</v>
      </c>
      <c r="DK71" s="127"/>
      <c r="DL71" s="155" t="e">
        <f t="shared" si="63"/>
        <v>#N/A</v>
      </c>
      <c r="DM71" s="127" t="e">
        <v>#N/A</v>
      </c>
      <c r="DN71" s="127" t="e">
        <v>#N/A</v>
      </c>
      <c r="DO71" s="127" t="e">
        <v>#N/A</v>
      </c>
      <c r="DP71" s="127" t="e">
        <v>#N/A</v>
      </c>
    </row>
    <row r="72" spans="1:120" x14ac:dyDescent="0.2">
      <c r="A72" s="123" t="e">
        <f>name!#REF!</f>
        <v>#REF!</v>
      </c>
      <c r="B72" s="155" t="e">
        <f t="shared" si="44"/>
        <v>#N/A</v>
      </c>
      <c r="C72" s="127" t="e">
        <v>#N/A</v>
      </c>
      <c r="D72" s="127" t="e">
        <v>#N/A</v>
      </c>
      <c r="E72" s="127" t="e">
        <v>#N/A</v>
      </c>
      <c r="F72" s="127" t="e">
        <v>#N/A</v>
      </c>
      <c r="G72" s="123"/>
      <c r="H72" s="155" t="e">
        <f t="shared" si="45"/>
        <v>#N/A</v>
      </c>
      <c r="I72" s="127" t="e">
        <v>#N/A</v>
      </c>
      <c r="J72" s="127" t="e">
        <v>#N/A</v>
      </c>
      <c r="K72" s="127" t="e">
        <v>#N/A</v>
      </c>
      <c r="L72" s="127" t="e">
        <v>#N/A</v>
      </c>
      <c r="M72" s="123"/>
      <c r="N72" s="155" t="e">
        <f t="shared" si="46"/>
        <v>#N/A</v>
      </c>
      <c r="O72" s="127" t="e">
        <v>#N/A</v>
      </c>
      <c r="P72" s="127" t="e">
        <v>#N/A</v>
      </c>
      <c r="Q72" s="127" t="e">
        <v>#N/A</v>
      </c>
      <c r="R72" s="127" t="e">
        <v>#N/A</v>
      </c>
      <c r="S72" s="127"/>
      <c r="T72" s="155" t="e">
        <f t="shared" si="47"/>
        <v>#N/A</v>
      </c>
      <c r="U72" s="127" t="e">
        <v>#N/A</v>
      </c>
      <c r="V72" s="127" t="e">
        <v>#N/A</v>
      </c>
      <c r="W72" s="127" t="e">
        <v>#N/A</v>
      </c>
      <c r="X72" s="127" t="e">
        <v>#N/A</v>
      </c>
      <c r="Y72" s="123" t="e">
        <f t="shared" si="64"/>
        <v>#REF!</v>
      </c>
      <c r="Z72" s="155" t="e">
        <f t="shared" si="48"/>
        <v>#N/A</v>
      </c>
      <c r="AA72" s="127" t="e">
        <v>#N/A</v>
      </c>
      <c r="AB72" s="127" t="e">
        <v>#N/A</v>
      </c>
      <c r="AC72" s="127" t="e">
        <v>#N/A</v>
      </c>
      <c r="AD72" s="127" t="e">
        <v>#N/A</v>
      </c>
      <c r="AE72" s="123"/>
      <c r="AF72" s="155" t="e">
        <f t="shared" si="49"/>
        <v>#N/A</v>
      </c>
      <c r="AG72" s="127" t="e">
        <v>#N/A</v>
      </c>
      <c r="AH72" s="127" t="e">
        <v>#N/A</v>
      </c>
      <c r="AI72" s="127" t="e">
        <v>#N/A</v>
      </c>
      <c r="AJ72" s="127" t="e">
        <v>#N/A</v>
      </c>
      <c r="AK72" s="123"/>
      <c r="AL72" s="155" t="e">
        <f t="shared" si="50"/>
        <v>#N/A</v>
      </c>
      <c r="AM72" s="127" t="e">
        <v>#N/A</v>
      </c>
      <c r="AN72" s="127" t="e">
        <v>#N/A</v>
      </c>
      <c r="AO72" s="127" t="e">
        <v>#N/A</v>
      </c>
      <c r="AP72" s="127" t="e">
        <v>#N/A</v>
      </c>
      <c r="AQ72" s="127"/>
      <c r="AR72" s="155" t="e">
        <f t="shared" si="51"/>
        <v>#N/A</v>
      </c>
      <c r="AS72" s="127" t="e">
        <v>#N/A</v>
      </c>
      <c r="AT72" s="127" t="e">
        <v>#N/A</v>
      </c>
      <c r="AU72" s="127" t="e">
        <v>#N/A</v>
      </c>
      <c r="AV72" s="127" t="e">
        <v>#N/A</v>
      </c>
      <c r="AW72" s="123" t="e">
        <f t="shared" si="65"/>
        <v>#REF!</v>
      </c>
      <c r="AX72" s="155" t="e">
        <f t="shared" si="52"/>
        <v>#N/A</v>
      </c>
      <c r="AY72" s="127" t="e">
        <v>#N/A</v>
      </c>
      <c r="AZ72" s="127" t="e">
        <v>#N/A</v>
      </c>
      <c r="BA72" s="127" t="e">
        <v>#N/A</v>
      </c>
      <c r="BB72" s="127" t="e">
        <v>#N/A</v>
      </c>
      <c r="BC72" s="123"/>
      <c r="BD72" s="155" t="e">
        <f t="shared" si="53"/>
        <v>#N/A</v>
      </c>
      <c r="BE72" s="127" t="e">
        <v>#N/A</v>
      </c>
      <c r="BF72" s="127" t="e">
        <v>#N/A</v>
      </c>
      <c r="BG72" s="127" t="e">
        <v>#N/A</v>
      </c>
      <c r="BH72" s="127" t="e">
        <v>#N/A</v>
      </c>
      <c r="BI72" s="123"/>
      <c r="BJ72" s="155" t="e">
        <f t="shared" si="54"/>
        <v>#N/A</v>
      </c>
      <c r="BK72" s="127" t="e">
        <v>#N/A</v>
      </c>
      <c r="BL72" s="127" t="e">
        <v>#N/A</v>
      </c>
      <c r="BM72" s="127" t="e">
        <v>#N/A</v>
      </c>
      <c r="BN72" s="127" t="e">
        <v>#N/A</v>
      </c>
      <c r="BO72" s="127"/>
      <c r="BP72" s="155" t="e">
        <f t="shared" si="55"/>
        <v>#N/A</v>
      </c>
      <c r="BQ72" s="127" t="e">
        <v>#N/A</v>
      </c>
      <c r="BR72" s="127" t="e">
        <v>#N/A</v>
      </c>
      <c r="BS72" s="127" t="e">
        <v>#N/A</v>
      </c>
      <c r="BT72" s="127" t="e">
        <v>#N/A</v>
      </c>
      <c r="BU72" s="123" t="e">
        <f t="shared" si="66"/>
        <v>#REF!</v>
      </c>
      <c r="BV72" s="155" t="e">
        <f t="shared" si="56"/>
        <v>#N/A</v>
      </c>
      <c r="BW72" s="127" t="e">
        <v>#N/A</v>
      </c>
      <c r="BX72" s="127" t="e">
        <v>#N/A</v>
      </c>
      <c r="BY72" s="127" t="e">
        <v>#N/A</v>
      </c>
      <c r="BZ72" s="127" t="e">
        <v>#N/A</v>
      </c>
      <c r="CA72" s="123"/>
      <c r="CB72" s="155" t="e">
        <f t="shared" si="57"/>
        <v>#N/A</v>
      </c>
      <c r="CC72" s="127" t="e">
        <v>#N/A</v>
      </c>
      <c r="CD72" s="127" t="e">
        <v>#N/A</v>
      </c>
      <c r="CE72" s="127" t="e">
        <v>#N/A</v>
      </c>
      <c r="CF72" s="127" t="e">
        <v>#N/A</v>
      </c>
      <c r="CG72" s="123"/>
      <c r="CH72" s="155" t="e">
        <f t="shared" si="58"/>
        <v>#N/A</v>
      </c>
      <c r="CI72" s="127" t="e">
        <v>#N/A</v>
      </c>
      <c r="CJ72" s="127" t="e">
        <v>#N/A</v>
      </c>
      <c r="CK72" s="127" t="e">
        <v>#N/A</v>
      </c>
      <c r="CL72" s="127" t="e">
        <v>#N/A</v>
      </c>
      <c r="CM72" s="127"/>
      <c r="CN72" s="155" t="e">
        <f t="shared" si="59"/>
        <v>#N/A</v>
      </c>
      <c r="CO72" s="127" t="e">
        <v>#N/A</v>
      </c>
      <c r="CP72" s="127" t="e">
        <v>#N/A</v>
      </c>
      <c r="CQ72" s="127" t="e">
        <v>#N/A</v>
      </c>
      <c r="CR72" s="127" t="e">
        <v>#N/A</v>
      </c>
      <c r="CS72" s="123" t="e">
        <f t="shared" si="67"/>
        <v>#REF!</v>
      </c>
      <c r="CT72" s="155" t="e">
        <f t="shared" si="60"/>
        <v>#N/A</v>
      </c>
      <c r="CU72" s="127" t="e">
        <v>#N/A</v>
      </c>
      <c r="CV72" s="127" t="e">
        <v>#N/A</v>
      </c>
      <c r="CW72" s="127" t="e">
        <v>#N/A</v>
      </c>
      <c r="CX72" s="127" t="e">
        <v>#N/A</v>
      </c>
      <c r="CY72" s="123"/>
      <c r="CZ72" s="155" t="e">
        <f t="shared" si="61"/>
        <v>#N/A</v>
      </c>
      <c r="DA72" s="127" t="e">
        <v>#N/A</v>
      </c>
      <c r="DB72" s="127" t="e">
        <v>#N/A</v>
      </c>
      <c r="DC72" s="127" t="e">
        <v>#N/A</v>
      </c>
      <c r="DD72" s="127" t="e">
        <v>#N/A</v>
      </c>
      <c r="DE72" s="123"/>
      <c r="DF72" s="155" t="e">
        <f t="shared" si="62"/>
        <v>#N/A</v>
      </c>
      <c r="DG72" s="127" t="e">
        <v>#N/A</v>
      </c>
      <c r="DH72" s="127" t="e">
        <v>#N/A</v>
      </c>
      <c r="DI72" s="127" t="e">
        <v>#N/A</v>
      </c>
      <c r="DJ72" s="127" t="e">
        <v>#N/A</v>
      </c>
      <c r="DK72" s="127"/>
      <c r="DL72" s="155" t="e">
        <f t="shared" si="63"/>
        <v>#N/A</v>
      </c>
      <c r="DM72" s="127" t="e">
        <v>#N/A</v>
      </c>
      <c r="DN72" s="127" t="e">
        <v>#N/A</v>
      </c>
      <c r="DO72" s="127" t="e">
        <v>#N/A</v>
      </c>
      <c r="DP72" s="127" t="e">
        <v>#N/A</v>
      </c>
    </row>
    <row r="73" spans="1:120" x14ac:dyDescent="0.2">
      <c r="A73" s="123" t="e">
        <f>name!#REF!</f>
        <v>#REF!</v>
      </c>
      <c r="B73" s="155" t="e">
        <f t="shared" si="44"/>
        <v>#N/A</v>
      </c>
      <c r="C73" s="127" t="e">
        <v>#N/A</v>
      </c>
      <c r="D73" s="127" t="e">
        <v>#N/A</v>
      </c>
      <c r="E73" s="127" t="e">
        <v>#N/A</v>
      </c>
      <c r="F73" s="127" t="e">
        <v>#N/A</v>
      </c>
      <c r="G73" s="123"/>
      <c r="H73" s="155" t="e">
        <f t="shared" si="45"/>
        <v>#N/A</v>
      </c>
      <c r="I73" s="127" t="e">
        <v>#N/A</v>
      </c>
      <c r="J73" s="127" t="e">
        <v>#N/A</v>
      </c>
      <c r="K73" s="127" t="e">
        <v>#N/A</v>
      </c>
      <c r="L73" s="127" t="e">
        <v>#N/A</v>
      </c>
      <c r="M73" s="123"/>
      <c r="N73" s="155" t="e">
        <f t="shared" si="46"/>
        <v>#N/A</v>
      </c>
      <c r="O73" s="127" t="e">
        <v>#N/A</v>
      </c>
      <c r="P73" s="127" t="e">
        <v>#N/A</v>
      </c>
      <c r="Q73" s="127" t="e">
        <v>#N/A</v>
      </c>
      <c r="R73" s="127" t="e">
        <v>#N/A</v>
      </c>
      <c r="S73" s="127"/>
      <c r="T73" s="155" t="e">
        <f t="shared" si="47"/>
        <v>#N/A</v>
      </c>
      <c r="U73" s="127" t="e">
        <v>#N/A</v>
      </c>
      <c r="V73" s="127" t="e">
        <v>#N/A</v>
      </c>
      <c r="W73" s="127" t="e">
        <v>#N/A</v>
      </c>
      <c r="X73" s="127" t="e">
        <v>#N/A</v>
      </c>
      <c r="Y73" s="123" t="e">
        <f t="shared" si="64"/>
        <v>#REF!</v>
      </c>
      <c r="Z73" s="155" t="e">
        <f t="shared" si="48"/>
        <v>#N/A</v>
      </c>
      <c r="AA73" s="127" t="e">
        <v>#N/A</v>
      </c>
      <c r="AB73" s="127" t="e">
        <v>#N/A</v>
      </c>
      <c r="AC73" s="127" t="e">
        <v>#N/A</v>
      </c>
      <c r="AD73" s="127" t="e">
        <v>#N/A</v>
      </c>
      <c r="AE73" s="123"/>
      <c r="AF73" s="155" t="e">
        <f t="shared" si="49"/>
        <v>#N/A</v>
      </c>
      <c r="AG73" s="127" t="e">
        <v>#N/A</v>
      </c>
      <c r="AH73" s="127" t="e">
        <v>#N/A</v>
      </c>
      <c r="AI73" s="127" t="e">
        <v>#N/A</v>
      </c>
      <c r="AJ73" s="127" t="e">
        <v>#N/A</v>
      </c>
      <c r="AK73" s="123"/>
      <c r="AL73" s="155" t="e">
        <f t="shared" si="50"/>
        <v>#N/A</v>
      </c>
      <c r="AM73" s="127" t="e">
        <v>#N/A</v>
      </c>
      <c r="AN73" s="127" t="e">
        <v>#N/A</v>
      </c>
      <c r="AO73" s="127" t="e">
        <v>#N/A</v>
      </c>
      <c r="AP73" s="127" t="e">
        <v>#N/A</v>
      </c>
      <c r="AQ73" s="127"/>
      <c r="AR73" s="155" t="e">
        <f t="shared" si="51"/>
        <v>#N/A</v>
      </c>
      <c r="AS73" s="127" t="e">
        <v>#N/A</v>
      </c>
      <c r="AT73" s="127" t="e">
        <v>#N/A</v>
      </c>
      <c r="AU73" s="127" t="e">
        <v>#N/A</v>
      </c>
      <c r="AV73" s="127" t="e">
        <v>#N/A</v>
      </c>
      <c r="AW73" s="123" t="e">
        <f t="shared" si="65"/>
        <v>#REF!</v>
      </c>
      <c r="AX73" s="155" t="e">
        <f t="shared" si="52"/>
        <v>#N/A</v>
      </c>
      <c r="AY73" s="127" t="e">
        <v>#N/A</v>
      </c>
      <c r="AZ73" s="127" t="e">
        <v>#N/A</v>
      </c>
      <c r="BA73" s="127" t="e">
        <v>#N/A</v>
      </c>
      <c r="BB73" s="127" t="e">
        <v>#N/A</v>
      </c>
      <c r="BC73" s="123"/>
      <c r="BD73" s="155" t="e">
        <f t="shared" si="53"/>
        <v>#N/A</v>
      </c>
      <c r="BE73" s="127" t="e">
        <v>#N/A</v>
      </c>
      <c r="BF73" s="127" t="e">
        <v>#N/A</v>
      </c>
      <c r="BG73" s="127" t="e">
        <v>#N/A</v>
      </c>
      <c r="BH73" s="127" t="e">
        <v>#N/A</v>
      </c>
      <c r="BI73" s="123"/>
      <c r="BJ73" s="155" t="e">
        <f t="shared" si="54"/>
        <v>#N/A</v>
      </c>
      <c r="BK73" s="127" t="e">
        <v>#N/A</v>
      </c>
      <c r="BL73" s="127" t="e">
        <v>#N/A</v>
      </c>
      <c r="BM73" s="127" t="e">
        <v>#N/A</v>
      </c>
      <c r="BN73" s="127" t="e">
        <v>#N/A</v>
      </c>
      <c r="BO73" s="127"/>
      <c r="BP73" s="155" t="e">
        <f t="shared" si="55"/>
        <v>#N/A</v>
      </c>
      <c r="BQ73" s="127" t="e">
        <v>#N/A</v>
      </c>
      <c r="BR73" s="127" t="e">
        <v>#N/A</v>
      </c>
      <c r="BS73" s="127" t="e">
        <v>#N/A</v>
      </c>
      <c r="BT73" s="127" t="e">
        <v>#N/A</v>
      </c>
      <c r="BU73" s="123" t="e">
        <f t="shared" si="66"/>
        <v>#REF!</v>
      </c>
      <c r="BV73" s="155" t="e">
        <f t="shared" si="56"/>
        <v>#N/A</v>
      </c>
      <c r="BW73" s="127" t="e">
        <v>#N/A</v>
      </c>
      <c r="BX73" s="127" t="e">
        <v>#N/A</v>
      </c>
      <c r="BY73" s="127" t="e">
        <v>#N/A</v>
      </c>
      <c r="BZ73" s="127" t="e">
        <v>#N/A</v>
      </c>
      <c r="CA73" s="123"/>
      <c r="CB73" s="155" t="e">
        <f t="shared" si="57"/>
        <v>#N/A</v>
      </c>
      <c r="CC73" s="127" t="e">
        <v>#N/A</v>
      </c>
      <c r="CD73" s="127" t="e">
        <v>#N/A</v>
      </c>
      <c r="CE73" s="127" t="e">
        <v>#N/A</v>
      </c>
      <c r="CF73" s="127" t="e">
        <v>#N/A</v>
      </c>
      <c r="CG73" s="123"/>
      <c r="CH73" s="155" t="e">
        <f t="shared" si="58"/>
        <v>#N/A</v>
      </c>
      <c r="CI73" s="127" t="e">
        <v>#N/A</v>
      </c>
      <c r="CJ73" s="127" t="e">
        <v>#N/A</v>
      </c>
      <c r="CK73" s="127" t="e">
        <v>#N/A</v>
      </c>
      <c r="CL73" s="127" t="e">
        <v>#N/A</v>
      </c>
      <c r="CM73" s="127"/>
      <c r="CN73" s="155" t="e">
        <f t="shared" si="59"/>
        <v>#N/A</v>
      </c>
      <c r="CO73" s="127" t="e">
        <v>#N/A</v>
      </c>
      <c r="CP73" s="127" t="e">
        <v>#N/A</v>
      </c>
      <c r="CQ73" s="127" t="e">
        <v>#N/A</v>
      </c>
      <c r="CR73" s="127" t="e">
        <v>#N/A</v>
      </c>
      <c r="CS73" s="123" t="e">
        <f t="shared" si="67"/>
        <v>#REF!</v>
      </c>
      <c r="CT73" s="155" t="e">
        <f t="shared" si="60"/>
        <v>#N/A</v>
      </c>
      <c r="CU73" s="127" t="e">
        <v>#N/A</v>
      </c>
      <c r="CV73" s="127" t="e">
        <v>#N/A</v>
      </c>
      <c r="CW73" s="127" t="e">
        <v>#N/A</v>
      </c>
      <c r="CX73" s="127" t="e">
        <v>#N/A</v>
      </c>
      <c r="CY73" s="123"/>
      <c r="CZ73" s="155" t="e">
        <f t="shared" si="61"/>
        <v>#N/A</v>
      </c>
      <c r="DA73" s="127" t="e">
        <v>#N/A</v>
      </c>
      <c r="DB73" s="127" t="e">
        <v>#N/A</v>
      </c>
      <c r="DC73" s="127" t="e">
        <v>#N/A</v>
      </c>
      <c r="DD73" s="127" t="e">
        <v>#N/A</v>
      </c>
      <c r="DE73" s="123"/>
      <c r="DF73" s="155" t="e">
        <f t="shared" si="62"/>
        <v>#N/A</v>
      </c>
      <c r="DG73" s="127" t="e">
        <v>#N/A</v>
      </c>
      <c r="DH73" s="127" t="e">
        <v>#N/A</v>
      </c>
      <c r="DI73" s="127" t="e">
        <v>#N/A</v>
      </c>
      <c r="DJ73" s="127" t="e">
        <v>#N/A</v>
      </c>
      <c r="DK73" s="127"/>
      <c r="DL73" s="155" t="e">
        <f t="shared" si="63"/>
        <v>#N/A</v>
      </c>
      <c r="DM73" s="127" t="e">
        <v>#N/A</v>
      </c>
      <c r="DN73" s="127" t="e">
        <v>#N/A</v>
      </c>
      <c r="DO73" s="127" t="e">
        <v>#N/A</v>
      </c>
      <c r="DP73" s="127" t="e">
        <v>#N/A</v>
      </c>
    </row>
    <row r="74" spans="1:120" x14ac:dyDescent="0.2">
      <c r="A74" s="123" t="e">
        <f>name!#REF!</f>
        <v>#REF!</v>
      </c>
      <c r="B74" s="155" t="e">
        <f t="shared" si="44"/>
        <v>#N/A</v>
      </c>
      <c r="C74" s="127" t="e">
        <v>#N/A</v>
      </c>
      <c r="D74" s="127" t="e">
        <v>#N/A</v>
      </c>
      <c r="E74" s="127" t="e">
        <v>#N/A</v>
      </c>
      <c r="F74" s="127" t="e">
        <v>#N/A</v>
      </c>
      <c r="G74" s="123"/>
      <c r="H74" s="155" t="e">
        <f t="shared" si="45"/>
        <v>#N/A</v>
      </c>
      <c r="I74" s="127" t="e">
        <v>#N/A</v>
      </c>
      <c r="J74" s="127" t="e">
        <v>#N/A</v>
      </c>
      <c r="K74" s="127" t="e">
        <v>#N/A</v>
      </c>
      <c r="L74" s="127" t="e">
        <v>#N/A</v>
      </c>
      <c r="M74" s="123"/>
      <c r="N74" s="155" t="e">
        <f t="shared" si="46"/>
        <v>#N/A</v>
      </c>
      <c r="O74" s="127" t="e">
        <v>#N/A</v>
      </c>
      <c r="P74" s="127" t="e">
        <v>#N/A</v>
      </c>
      <c r="Q74" s="127" t="e">
        <v>#N/A</v>
      </c>
      <c r="R74" s="127" t="e">
        <v>#N/A</v>
      </c>
      <c r="S74" s="127"/>
      <c r="T74" s="155" t="e">
        <f t="shared" si="47"/>
        <v>#N/A</v>
      </c>
      <c r="U74" s="127" t="e">
        <v>#N/A</v>
      </c>
      <c r="V74" s="127" t="e">
        <v>#N/A</v>
      </c>
      <c r="W74" s="127" t="e">
        <v>#N/A</v>
      </c>
      <c r="X74" s="127" t="e">
        <v>#N/A</v>
      </c>
      <c r="Y74" s="123" t="e">
        <f t="shared" si="64"/>
        <v>#REF!</v>
      </c>
      <c r="Z74" s="155" t="e">
        <f t="shared" si="48"/>
        <v>#N/A</v>
      </c>
      <c r="AA74" s="127" t="e">
        <v>#N/A</v>
      </c>
      <c r="AB74" s="127" t="e">
        <v>#N/A</v>
      </c>
      <c r="AC74" s="127" t="e">
        <v>#N/A</v>
      </c>
      <c r="AD74" s="127" t="e">
        <v>#N/A</v>
      </c>
      <c r="AE74" s="123"/>
      <c r="AF74" s="155" t="e">
        <f t="shared" si="49"/>
        <v>#N/A</v>
      </c>
      <c r="AG74" s="127" t="e">
        <v>#N/A</v>
      </c>
      <c r="AH74" s="127" t="e">
        <v>#N/A</v>
      </c>
      <c r="AI74" s="127" t="e">
        <v>#N/A</v>
      </c>
      <c r="AJ74" s="127" t="e">
        <v>#N/A</v>
      </c>
      <c r="AK74" s="123"/>
      <c r="AL74" s="155" t="e">
        <f t="shared" si="50"/>
        <v>#N/A</v>
      </c>
      <c r="AM74" s="127" t="e">
        <v>#N/A</v>
      </c>
      <c r="AN74" s="127" t="e">
        <v>#N/A</v>
      </c>
      <c r="AO74" s="127" t="e">
        <v>#N/A</v>
      </c>
      <c r="AP74" s="127" t="e">
        <v>#N/A</v>
      </c>
      <c r="AQ74" s="127"/>
      <c r="AR74" s="155" t="e">
        <f t="shared" si="51"/>
        <v>#N/A</v>
      </c>
      <c r="AS74" s="127" t="e">
        <v>#N/A</v>
      </c>
      <c r="AT74" s="127" t="e">
        <v>#N/A</v>
      </c>
      <c r="AU74" s="127" t="e">
        <v>#N/A</v>
      </c>
      <c r="AV74" s="127" t="e">
        <v>#N/A</v>
      </c>
      <c r="AW74" s="123" t="e">
        <f t="shared" si="65"/>
        <v>#REF!</v>
      </c>
      <c r="AX74" s="155" t="e">
        <f t="shared" si="52"/>
        <v>#N/A</v>
      </c>
      <c r="AY74" s="127" t="e">
        <v>#N/A</v>
      </c>
      <c r="AZ74" s="127" t="e">
        <v>#N/A</v>
      </c>
      <c r="BA74" s="127" t="e">
        <v>#N/A</v>
      </c>
      <c r="BB74" s="127" t="e">
        <v>#N/A</v>
      </c>
      <c r="BC74" s="123"/>
      <c r="BD74" s="155" t="e">
        <f t="shared" si="53"/>
        <v>#N/A</v>
      </c>
      <c r="BE74" s="127" t="e">
        <v>#N/A</v>
      </c>
      <c r="BF74" s="127" t="e">
        <v>#N/A</v>
      </c>
      <c r="BG74" s="127" t="e">
        <v>#N/A</v>
      </c>
      <c r="BH74" s="127" t="e">
        <v>#N/A</v>
      </c>
      <c r="BI74" s="123"/>
      <c r="BJ74" s="155" t="e">
        <f t="shared" si="54"/>
        <v>#N/A</v>
      </c>
      <c r="BK74" s="127" t="e">
        <v>#N/A</v>
      </c>
      <c r="BL74" s="127" t="e">
        <v>#N/A</v>
      </c>
      <c r="BM74" s="127" t="e">
        <v>#N/A</v>
      </c>
      <c r="BN74" s="127" t="e">
        <v>#N/A</v>
      </c>
      <c r="BO74" s="127"/>
      <c r="BP74" s="155" t="e">
        <f t="shared" si="55"/>
        <v>#N/A</v>
      </c>
      <c r="BQ74" s="127" t="e">
        <v>#N/A</v>
      </c>
      <c r="BR74" s="127" t="e">
        <v>#N/A</v>
      </c>
      <c r="BS74" s="127" t="e">
        <v>#N/A</v>
      </c>
      <c r="BT74" s="127" t="e">
        <v>#N/A</v>
      </c>
      <c r="BU74" s="123" t="e">
        <f t="shared" si="66"/>
        <v>#REF!</v>
      </c>
      <c r="BV74" s="155" t="e">
        <f t="shared" si="56"/>
        <v>#N/A</v>
      </c>
      <c r="BW74" s="127" t="e">
        <v>#N/A</v>
      </c>
      <c r="BX74" s="127" t="e">
        <v>#N/A</v>
      </c>
      <c r="BY74" s="127" t="e">
        <v>#N/A</v>
      </c>
      <c r="BZ74" s="127" t="e">
        <v>#N/A</v>
      </c>
      <c r="CA74" s="123"/>
      <c r="CB74" s="155" t="e">
        <f t="shared" si="57"/>
        <v>#N/A</v>
      </c>
      <c r="CC74" s="127" t="e">
        <v>#N/A</v>
      </c>
      <c r="CD74" s="127" t="e">
        <v>#N/A</v>
      </c>
      <c r="CE74" s="127" t="e">
        <v>#N/A</v>
      </c>
      <c r="CF74" s="127" t="e">
        <v>#N/A</v>
      </c>
      <c r="CG74" s="123"/>
      <c r="CH74" s="155" t="e">
        <f t="shared" si="58"/>
        <v>#N/A</v>
      </c>
      <c r="CI74" s="127" t="e">
        <v>#N/A</v>
      </c>
      <c r="CJ74" s="127" t="e">
        <v>#N/A</v>
      </c>
      <c r="CK74" s="127" t="e">
        <v>#N/A</v>
      </c>
      <c r="CL74" s="127" t="e">
        <v>#N/A</v>
      </c>
      <c r="CM74" s="127"/>
      <c r="CN74" s="155" t="e">
        <f t="shared" si="59"/>
        <v>#N/A</v>
      </c>
      <c r="CO74" s="127" t="e">
        <v>#N/A</v>
      </c>
      <c r="CP74" s="127" t="e">
        <v>#N/A</v>
      </c>
      <c r="CQ74" s="127" t="e">
        <v>#N/A</v>
      </c>
      <c r="CR74" s="127" t="e">
        <v>#N/A</v>
      </c>
      <c r="CS74" s="123" t="e">
        <f t="shared" si="67"/>
        <v>#REF!</v>
      </c>
      <c r="CT74" s="155" t="e">
        <f t="shared" si="60"/>
        <v>#N/A</v>
      </c>
      <c r="CU74" s="127" t="e">
        <v>#N/A</v>
      </c>
      <c r="CV74" s="127" t="e">
        <v>#N/A</v>
      </c>
      <c r="CW74" s="127" t="e">
        <v>#N/A</v>
      </c>
      <c r="CX74" s="127" t="e">
        <v>#N/A</v>
      </c>
      <c r="CY74" s="123"/>
      <c r="CZ74" s="155" t="e">
        <f t="shared" si="61"/>
        <v>#N/A</v>
      </c>
      <c r="DA74" s="127" t="e">
        <v>#N/A</v>
      </c>
      <c r="DB74" s="127" t="e">
        <v>#N/A</v>
      </c>
      <c r="DC74" s="127" t="e">
        <v>#N/A</v>
      </c>
      <c r="DD74" s="127" t="e">
        <v>#N/A</v>
      </c>
      <c r="DE74" s="123"/>
      <c r="DF74" s="155" t="e">
        <f t="shared" si="62"/>
        <v>#N/A</v>
      </c>
      <c r="DG74" s="127" t="e">
        <v>#N/A</v>
      </c>
      <c r="DH74" s="127" t="e">
        <v>#N/A</v>
      </c>
      <c r="DI74" s="127" t="e">
        <v>#N/A</v>
      </c>
      <c r="DJ74" s="127" t="e">
        <v>#N/A</v>
      </c>
      <c r="DK74" s="127"/>
      <c r="DL74" s="155" t="e">
        <f t="shared" si="63"/>
        <v>#N/A</v>
      </c>
      <c r="DM74" s="127" t="e">
        <v>#N/A</v>
      </c>
      <c r="DN74" s="127" t="e">
        <v>#N/A</v>
      </c>
      <c r="DO74" s="127" t="e">
        <v>#N/A</v>
      </c>
      <c r="DP74" s="127" t="e">
        <v>#N/A</v>
      </c>
    </row>
    <row r="75" spans="1:120" x14ac:dyDescent="0.2">
      <c r="A75" s="123" t="e">
        <f>name!#REF!</f>
        <v>#REF!</v>
      </c>
      <c r="B75" s="155" t="e">
        <f t="shared" si="44"/>
        <v>#N/A</v>
      </c>
      <c r="C75" s="127" t="e">
        <v>#N/A</v>
      </c>
      <c r="D75" s="127" t="e">
        <v>#N/A</v>
      </c>
      <c r="E75" s="127" t="e">
        <v>#N/A</v>
      </c>
      <c r="F75" s="127" t="e">
        <v>#N/A</v>
      </c>
      <c r="G75" s="123"/>
      <c r="H75" s="155" t="e">
        <f t="shared" si="45"/>
        <v>#N/A</v>
      </c>
      <c r="I75" s="127" t="e">
        <v>#N/A</v>
      </c>
      <c r="J75" s="127" t="e">
        <v>#N/A</v>
      </c>
      <c r="K75" s="127" t="e">
        <v>#N/A</v>
      </c>
      <c r="L75" s="127" t="e">
        <v>#N/A</v>
      </c>
      <c r="M75" s="123"/>
      <c r="N75" s="155" t="e">
        <f t="shared" si="46"/>
        <v>#N/A</v>
      </c>
      <c r="O75" s="127" t="e">
        <v>#N/A</v>
      </c>
      <c r="P75" s="127" t="e">
        <v>#N/A</v>
      </c>
      <c r="Q75" s="127" t="e">
        <v>#N/A</v>
      </c>
      <c r="R75" s="127" t="e">
        <v>#N/A</v>
      </c>
      <c r="S75" s="127"/>
      <c r="T75" s="155" t="e">
        <f t="shared" si="47"/>
        <v>#N/A</v>
      </c>
      <c r="U75" s="127" t="e">
        <v>#N/A</v>
      </c>
      <c r="V75" s="127" t="e">
        <v>#N/A</v>
      </c>
      <c r="W75" s="127" t="e">
        <v>#N/A</v>
      </c>
      <c r="X75" s="127" t="e">
        <v>#N/A</v>
      </c>
      <c r="Y75" s="123" t="e">
        <f t="shared" si="64"/>
        <v>#REF!</v>
      </c>
      <c r="Z75" s="155" t="e">
        <f t="shared" si="48"/>
        <v>#N/A</v>
      </c>
      <c r="AA75" s="127" t="e">
        <v>#N/A</v>
      </c>
      <c r="AB75" s="127" t="e">
        <v>#N/A</v>
      </c>
      <c r="AC75" s="127" t="e">
        <v>#N/A</v>
      </c>
      <c r="AD75" s="127" t="e">
        <v>#N/A</v>
      </c>
      <c r="AE75" s="123"/>
      <c r="AF75" s="155" t="e">
        <f t="shared" si="49"/>
        <v>#N/A</v>
      </c>
      <c r="AG75" s="127" t="e">
        <v>#N/A</v>
      </c>
      <c r="AH75" s="127" t="e">
        <v>#N/A</v>
      </c>
      <c r="AI75" s="127" t="e">
        <v>#N/A</v>
      </c>
      <c r="AJ75" s="127" t="e">
        <v>#N/A</v>
      </c>
      <c r="AK75" s="123"/>
      <c r="AL75" s="155" t="e">
        <f t="shared" si="50"/>
        <v>#N/A</v>
      </c>
      <c r="AM75" s="127" t="e">
        <v>#N/A</v>
      </c>
      <c r="AN75" s="127" t="e">
        <v>#N/A</v>
      </c>
      <c r="AO75" s="127" t="e">
        <v>#N/A</v>
      </c>
      <c r="AP75" s="127" t="e">
        <v>#N/A</v>
      </c>
      <c r="AQ75" s="127"/>
      <c r="AR75" s="155" t="e">
        <f t="shared" si="51"/>
        <v>#N/A</v>
      </c>
      <c r="AS75" s="127" t="e">
        <v>#N/A</v>
      </c>
      <c r="AT75" s="127" t="e">
        <v>#N/A</v>
      </c>
      <c r="AU75" s="127" t="e">
        <v>#N/A</v>
      </c>
      <c r="AV75" s="127" t="e">
        <v>#N/A</v>
      </c>
      <c r="AW75" s="123" t="e">
        <f t="shared" si="65"/>
        <v>#REF!</v>
      </c>
      <c r="AX75" s="155" t="e">
        <f t="shared" si="52"/>
        <v>#N/A</v>
      </c>
      <c r="AY75" s="127" t="e">
        <v>#N/A</v>
      </c>
      <c r="AZ75" s="127" t="e">
        <v>#N/A</v>
      </c>
      <c r="BA75" s="127" t="e">
        <v>#N/A</v>
      </c>
      <c r="BB75" s="127" t="e">
        <v>#N/A</v>
      </c>
      <c r="BC75" s="123"/>
      <c r="BD75" s="155" t="e">
        <f t="shared" si="53"/>
        <v>#N/A</v>
      </c>
      <c r="BE75" s="127" t="e">
        <v>#N/A</v>
      </c>
      <c r="BF75" s="127" t="e">
        <v>#N/A</v>
      </c>
      <c r="BG75" s="127" t="e">
        <v>#N/A</v>
      </c>
      <c r="BH75" s="127" t="e">
        <v>#N/A</v>
      </c>
      <c r="BI75" s="123"/>
      <c r="BJ75" s="155" t="e">
        <f t="shared" si="54"/>
        <v>#N/A</v>
      </c>
      <c r="BK75" s="127" t="e">
        <v>#N/A</v>
      </c>
      <c r="BL75" s="127" t="e">
        <v>#N/A</v>
      </c>
      <c r="BM75" s="127" t="e">
        <v>#N/A</v>
      </c>
      <c r="BN75" s="127" t="e">
        <v>#N/A</v>
      </c>
      <c r="BO75" s="127"/>
      <c r="BP75" s="155" t="e">
        <f t="shared" si="55"/>
        <v>#N/A</v>
      </c>
      <c r="BQ75" s="127" t="e">
        <v>#N/A</v>
      </c>
      <c r="BR75" s="127" t="e">
        <v>#N/A</v>
      </c>
      <c r="BS75" s="127" t="e">
        <v>#N/A</v>
      </c>
      <c r="BT75" s="127" t="e">
        <v>#N/A</v>
      </c>
      <c r="BU75" s="123" t="e">
        <f t="shared" si="66"/>
        <v>#REF!</v>
      </c>
      <c r="BV75" s="155" t="e">
        <f t="shared" si="56"/>
        <v>#N/A</v>
      </c>
      <c r="BW75" s="127" t="e">
        <v>#N/A</v>
      </c>
      <c r="BX75" s="127" t="e">
        <v>#N/A</v>
      </c>
      <c r="BY75" s="127" t="e">
        <v>#N/A</v>
      </c>
      <c r="BZ75" s="127" t="e">
        <v>#N/A</v>
      </c>
      <c r="CA75" s="123"/>
      <c r="CB75" s="155" t="e">
        <f t="shared" si="57"/>
        <v>#N/A</v>
      </c>
      <c r="CC75" s="127" t="e">
        <v>#N/A</v>
      </c>
      <c r="CD75" s="127" t="e">
        <v>#N/A</v>
      </c>
      <c r="CE75" s="127" t="e">
        <v>#N/A</v>
      </c>
      <c r="CF75" s="127" t="e">
        <v>#N/A</v>
      </c>
      <c r="CG75" s="123"/>
      <c r="CH75" s="155" t="e">
        <f t="shared" si="58"/>
        <v>#N/A</v>
      </c>
      <c r="CI75" s="127" t="e">
        <v>#N/A</v>
      </c>
      <c r="CJ75" s="127" t="e">
        <v>#N/A</v>
      </c>
      <c r="CK75" s="127" t="e">
        <v>#N/A</v>
      </c>
      <c r="CL75" s="127" t="e">
        <v>#N/A</v>
      </c>
      <c r="CM75" s="127"/>
      <c r="CN75" s="155" t="e">
        <f t="shared" si="59"/>
        <v>#N/A</v>
      </c>
      <c r="CO75" s="127" t="e">
        <v>#N/A</v>
      </c>
      <c r="CP75" s="127" t="e">
        <v>#N/A</v>
      </c>
      <c r="CQ75" s="127" t="e">
        <v>#N/A</v>
      </c>
      <c r="CR75" s="127" t="e">
        <v>#N/A</v>
      </c>
      <c r="CS75" s="123" t="e">
        <f t="shared" si="67"/>
        <v>#REF!</v>
      </c>
      <c r="CT75" s="155" t="e">
        <f t="shared" si="60"/>
        <v>#N/A</v>
      </c>
      <c r="CU75" s="127" t="e">
        <v>#N/A</v>
      </c>
      <c r="CV75" s="127" t="e">
        <v>#N/A</v>
      </c>
      <c r="CW75" s="127" t="e">
        <v>#N/A</v>
      </c>
      <c r="CX75" s="127" t="e">
        <v>#N/A</v>
      </c>
      <c r="CY75" s="123"/>
      <c r="CZ75" s="155" t="e">
        <f t="shared" si="61"/>
        <v>#N/A</v>
      </c>
      <c r="DA75" s="127" t="e">
        <v>#N/A</v>
      </c>
      <c r="DB75" s="127" t="e">
        <v>#N/A</v>
      </c>
      <c r="DC75" s="127" t="e">
        <v>#N/A</v>
      </c>
      <c r="DD75" s="127" t="e">
        <v>#N/A</v>
      </c>
      <c r="DE75" s="123"/>
      <c r="DF75" s="155" t="e">
        <f t="shared" si="62"/>
        <v>#N/A</v>
      </c>
      <c r="DG75" s="127" t="e">
        <v>#N/A</v>
      </c>
      <c r="DH75" s="127" t="e">
        <v>#N/A</v>
      </c>
      <c r="DI75" s="127" t="e">
        <v>#N/A</v>
      </c>
      <c r="DJ75" s="127" t="e">
        <v>#N/A</v>
      </c>
      <c r="DK75" s="127"/>
      <c r="DL75" s="155" t="e">
        <f t="shared" si="63"/>
        <v>#N/A</v>
      </c>
      <c r="DM75" s="127" t="e">
        <v>#N/A</v>
      </c>
      <c r="DN75" s="127" t="e">
        <v>#N/A</v>
      </c>
      <c r="DO75" s="127" t="e">
        <v>#N/A</v>
      </c>
      <c r="DP75" s="127" t="e">
        <v>#N/A</v>
      </c>
    </row>
    <row r="76" spans="1:120" x14ac:dyDescent="0.2">
      <c r="B76" s="155"/>
      <c r="G76" s="123"/>
      <c r="H76" s="155"/>
      <c r="M76" s="123"/>
      <c r="N76" s="155"/>
      <c r="T76" s="155"/>
      <c r="Z76" s="155"/>
      <c r="AE76" s="123"/>
      <c r="AF76" s="155"/>
      <c r="AK76" s="123"/>
      <c r="AL76" s="155"/>
      <c r="AR76" s="155"/>
      <c r="AX76" s="155"/>
      <c r="BC76" s="123"/>
      <c r="BD76" s="155"/>
      <c r="BI76" s="123"/>
      <c r="BJ76" s="155"/>
      <c r="BP76" s="155"/>
      <c r="BV76" s="155"/>
      <c r="CA76" s="123"/>
      <c r="CB76" s="155"/>
      <c r="CG76" s="123"/>
      <c r="CH76" s="155"/>
      <c r="CN76" s="155"/>
      <c r="CT76" s="155"/>
      <c r="CY76" s="123"/>
      <c r="CZ76" s="155"/>
      <c r="DE76" s="123"/>
      <c r="DF76" s="155"/>
      <c r="DL76" s="155"/>
    </row>
    <row r="77" spans="1:120" x14ac:dyDescent="0.2">
      <c r="A77" s="124" t="e">
        <f>name!#REF!</f>
        <v>#REF!</v>
      </c>
      <c r="B77" s="156">
        <f t="shared" si="44"/>
        <v>2.7912372459239387</v>
      </c>
      <c r="C77" s="125">
        <f>C50</f>
        <v>4561.2992279926211</v>
      </c>
      <c r="D77" s="125">
        <f>D50</f>
        <v>431.97496524334053</v>
      </c>
      <c r="E77" s="125">
        <f>E50</f>
        <v>1445.5882710202891</v>
      </c>
      <c r="F77" s="125">
        <f>F50</f>
        <v>1877.5632362636297</v>
      </c>
      <c r="G77" s="124"/>
      <c r="H77" s="156">
        <f t="shared" si="45"/>
        <v>2.6517730789267446</v>
      </c>
      <c r="I77" s="125">
        <f>I50</f>
        <v>774.77767553257945</v>
      </c>
      <c r="J77" s="125">
        <f>J50</f>
        <v>-90.9176985646708</v>
      </c>
      <c r="K77" s="125">
        <f>K50</f>
        <v>231.78692033646578</v>
      </c>
      <c r="L77" s="125">
        <f>L50</f>
        <v>140.86922177179497</v>
      </c>
      <c r="M77" s="124"/>
      <c r="N77" s="156">
        <f t="shared" si="46"/>
        <v>2.6893242464146816</v>
      </c>
      <c r="O77" s="125">
        <f>O50</f>
        <v>1810.6123702397726</v>
      </c>
      <c r="P77" s="125">
        <f>P50</f>
        <v>208.84741372398935</v>
      </c>
      <c r="Q77" s="125">
        <f>Q50</f>
        <v>550.29225403969679</v>
      </c>
      <c r="R77" s="125">
        <f>R50</f>
        <v>759.13966776368613</v>
      </c>
      <c r="S77" s="125"/>
      <c r="T77" s="156">
        <f t="shared" si="47"/>
        <v>2.9376202991175049</v>
      </c>
      <c r="U77" s="125">
        <f>U50</f>
        <v>1975.9091822202711</v>
      </c>
      <c r="V77" s="125">
        <f>V50</f>
        <v>314.04525008402186</v>
      </c>
      <c r="W77" s="125">
        <f>W50</f>
        <v>663.50909664412427</v>
      </c>
      <c r="X77" s="125">
        <f>X50</f>
        <v>977.55434672814613</v>
      </c>
      <c r="Y77" s="146" t="e">
        <f>A77</f>
        <v>#REF!</v>
      </c>
      <c r="Z77" s="156">
        <f>IF(AA77&gt;0,((1+(AC77/AA77))^(1/($A$101-$A$100))-1)*100,0)</f>
        <v>2.9771972098236787</v>
      </c>
      <c r="AA77" s="125">
        <f>AA50</f>
        <v>2141.7348734083043</v>
      </c>
      <c r="AB77" s="125">
        <f>AB50</f>
        <v>328.18012130131888</v>
      </c>
      <c r="AC77" s="125">
        <f>AC50</f>
        <v>730.21185757939747</v>
      </c>
      <c r="AD77" s="125">
        <f>AD50</f>
        <v>1058.3919788807164</v>
      </c>
      <c r="AE77" s="124"/>
      <c r="AF77" s="156">
        <f>IF(AG77&gt;0,((1+(AI77/AG77))^(1/($A$101-$A$100))-1)*100,0)</f>
        <v>3.0280155732974823</v>
      </c>
      <c r="AG77" s="125">
        <f>AG50</f>
        <v>114.36183531349347</v>
      </c>
      <c r="AH77" s="125">
        <f>AH50</f>
        <v>10.806009020856356</v>
      </c>
      <c r="AI77" s="125">
        <f>AI50</f>
        <v>39.749458273691218</v>
      </c>
      <c r="AJ77" s="125">
        <f>AJ50</f>
        <v>50.555467294547576</v>
      </c>
      <c r="AK77" s="124"/>
      <c r="AL77" s="156">
        <f>IF(AM77&gt;0,((1+(AO77/AM77))^(1/($A$101-$A$100))-1)*100,0)</f>
        <v>2.9663353480916088</v>
      </c>
      <c r="AM77" s="125">
        <f>AM50</f>
        <v>484.03376220781502</v>
      </c>
      <c r="AN77" s="125">
        <f>AN50</f>
        <v>80.752171418150368</v>
      </c>
      <c r="AO77" s="125">
        <f>AO50</f>
        <v>164.34415782441963</v>
      </c>
      <c r="AP77" s="125">
        <f>AP50</f>
        <v>245.09632924256999</v>
      </c>
      <c r="AQ77" s="125"/>
      <c r="AR77" s="156">
        <f>IF(AS77&gt;0,((1+(AU77/AS77))^(1/($A$101-$A$100))-1)*100,0)</f>
        <v>2.9768281396108875</v>
      </c>
      <c r="AS77" s="125">
        <f>AS50</f>
        <v>1543.3392758869961</v>
      </c>
      <c r="AT77" s="125">
        <f>AT50</f>
        <v>236.62194086231219</v>
      </c>
      <c r="AU77" s="125">
        <f>AU50</f>
        <v>526.11824148128676</v>
      </c>
      <c r="AV77" s="125">
        <f>AV50</f>
        <v>762.74018234359892</v>
      </c>
      <c r="AW77" s="146" t="e">
        <f>Y77</f>
        <v>#REF!</v>
      </c>
      <c r="AX77" s="156">
        <f>IF(AY77&gt;0,((1+(BA77/AY77))^(1/($A$101-$A$100))-1)*100,0)</f>
        <v>2.5960689907792656</v>
      </c>
      <c r="AY77" s="125">
        <f>AY50</f>
        <v>1169.4910110900296</v>
      </c>
      <c r="AZ77" s="125">
        <f>AZ50</f>
        <v>61.012733866251224</v>
      </c>
      <c r="BA77" s="125">
        <f>BA50</f>
        <v>341.64688672572964</v>
      </c>
      <c r="BB77" s="125">
        <f>BB50</f>
        <v>402.65962059198085</v>
      </c>
      <c r="BC77" s="124"/>
      <c r="BD77" s="156">
        <f>IF(BE77&gt;0,((1+(BG77/BE77))^(1/($A$101-$A$100))-1)*100,0)</f>
        <v>2.5108134589674425</v>
      </c>
      <c r="BE77" s="125">
        <f>BE50</f>
        <v>196.77997170605971</v>
      </c>
      <c r="BF77" s="125">
        <f>BF50</f>
        <v>-19.19988351079143</v>
      </c>
      <c r="BG77" s="125">
        <f>BG50</f>
        <v>55.380896948664599</v>
      </c>
      <c r="BH77" s="125">
        <f>BH50</f>
        <v>36.181013437873169</v>
      </c>
      <c r="BI77" s="124"/>
      <c r="BJ77" s="156">
        <f>IF(BK77&gt;0,((1+(BM77/BK77))^(1/($A$101-$A$100))-1)*100,0)</f>
        <v>2.5531077119064882</v>
      </c>
      <c r="BK77" s="125">
        <f>BK50</f>
        <v>650.12175377402275</v>
      </c>
      <c r="BL77" s="125">
        <f>BL50</f>
        <v>42.192712487148434</v>
      </c>
      <c r="BM77" s="125">
        <f>BM50</f>
        <v>186.41100647521165</v>
      </c>
      <c r="BN77" s="125">
        <f>BN50</f>
        <v>228.60371896236009</v>
      </c>
      <c r="BO77" s="125"/>
      <c r="BP77" s="156">
        <f>IF(BQ77&gt;0,((1+(BS77/BQ77))^(1/($A$101-$A$100))-1)*100,0)</f>
        <v>2.7334678665663192</v>
      </c>
      <c r="BQ77" s="125">
        <f>BQ50</f>
        <v>322.58928560994713</v>
      </c>
      <c r="BR77" s="125">
        <f>BR50</f>
        <v>38.019904889894228</v>
      </c>
      <c r="BS77" s="125">
        <f>BS50</f>
        <v>99.854983301853494</v>
      </c>
      <c r="BT77" s="125">
        <f>BT50</f>
        <v>137.87488819174771</v>
      </c>
      <c r="BU77" s="146" t="e">
        <f>AW77</f>
        <v>#REF!</v>
      </c>
      <c r="BV77" s="156">
        <f>IF(BW77&gt;0,((1+(BY77/BW77))^(1/($A$101-$A$100))-1)*100,0)</f>
        <v>2.5889208699682698</v>
      </c>
      <c r="BW77" s="125">
        <f>BW50</f>
        <v>786.26148565798121</v>
      </c>
      <c r="BX77" s="125">
        <f>BX50</f>
        <v>-16.768227409449015</v>
      </c>
      <c r="BY77" s="125">
        <f>BY50</f>
        <v>228.98528730973825</v>
      </c>
      <c r="BZ77" s="125">
        <f>BZ50</f>
        <v>212.21705990028923</v>
      </c>
      <c r="CA77" s="124"/>
      <c r="CB77" s="156">
        <f>IF(CC77&gt;0,((1+(CE77/CC77))^(1/($A$101-$A$100))-1)*100,0)</f>
        <v>2.5278948366694864</v>
      </c>
      <c r="CC77" s="125">
        <f>CC50</f>
        <v>257.91842111045776</v>
      </c>
      <c r="CD77" s="125">
        <f>CD50</f>
        <v>-52.179148361626908</v>
      </c>
      <c r="CE77" s="125">
        <f>CE50</f>
        <v>73.138570554183204</v>
      </c>
      <c r="CF77" s="125">
        <f>CF50</f>
        <v>20.959422192556296</v>
      </c>
      <c r="CG77" s="124"/>
      <c r="CH77" s="156">
        <f>IF(CI77&gt;0,((1+(CK77/CI77))^(1/($A$101-$A$100))-1)*100,0)</f>
        <v>2.5655949055339189</v>
      </c>
      <c r="CI77" s="125">
        <f>CI50</f>
        <v>462.50112579230256</v>
      </c>
      <c r="CJ77" s="125">
        <f>CJ50</f>
        <v>18.263082416840735</v>
      </c>
      <c r="CK77" s="125">
        <f>CK50</f>
        <v>133.33911166207648</v>
      </c>
      <c r="CL77" s="125">
        <f>CL50</f>
        <v>151.60219407891722</v>
      </c>
      <c r="CM77" s="125"/>
      <c r="CN77" s="156">
        <f>IF(CO77&gt;0,((1+(CQ77/CO77))^(1/($A$101-$A$100))-1)*100,0)</f>
        <v>2.9840981402702971</v>
      </c>
      <c r="CO77" s="125">
        <f>CO50</f>
        <v>65.841938755220539</v>
      </c>
      <c r="CP77" s="125">
        <f>CP50</f>
        <v>17.147838535337179</v>
      </c>
      <c r="CQ77" s="125">
        <f>CQ50</f>
        <v>22.507605093478684</v>
      </c>
      <c r="CR77" s="125">
        <f>CR50</f>
        <v>39.65544362881586</v>
      </c>
      <c r="CS77" s="146" t="e">
        <f>BU77</f>
        <v>#REF!</v>
      </c>
      <c r="CT77" s="156">
        <f>IF(CU77&gt;0,((1+(CW77/CU77))^(1/($A$101-$A$100))-1)*100,0)</f>
        <v>2.7533233225370157</v>
      </c>
      <c r="CU77" s="125">
        <f>CU50</f>
        <v>463.81185783630696</v>
      </c>
      <c r="CV77" s="125">
        <f>CV50</f>
        <v>59.550337485219423</v>
      </c>
      <c r="CW77" s="125">
        <f>CW50</f>
        <v>144.74423940542175</v>
      </c>
      <c r="CX77" s="125">
        <f>CX50</f>
        <v>204.29457689064117</v>
      </c>
      <c r="CY77" s="124"/>
      <c r="CZ77" s="156">
        <f>IF(DA77&gt;0,((1+(DC77/DA77))^(1/($A$101-$A$100))-1)*100,0)</f>
        <v>2.7273559755584653</v>
      </c>
      <c r="DA77" s="125">
        <f>DA50</f>
        <v>205.71744740256855</v>
      </c>
      <c r="DB77" s="125">
        <f>DB50</f>
        <v>-30.344675713108767</v>
      </c>
      <c r="DC77" s="125">
        <f>DC50</f>
        <v>63.517994559926827</v>
      </c>
      <c r="DD77" s="125">
        <f>DD50</f>
        <v>33.173318846818063</v>
      </c>
      <c r="DE77" s="124"/>
      <c r="DF77" s="156">
        <f>IF(DG77&gt;0,((1+(DI77/DG77))^(1/($A$101-$A$100))-1)*100,0)</f>
        <v>2.7323553670193235</v>
      </c>
      <c r="DG77" s="125">
        <f>DG50</f>
        <v>213.95572846563186</v>
      </c>
      <c r="DH77" s="125">
        <f>DH50</f>
        <v>67.639447401849822</v>
      </c>
      <c r="DI77" s="125">
        <f>DI50</f>
        <v>66.197978077989319</v>
      </c>
      <c r="DJ77" s="125">
        <f>DJ50</f>
        <v>133.83742547983914</v>
      </c>
      <c r="DK77" s="125"/>
      <c r="DL77" s="156">
        <f>IF(DM77&gt;0,((1+(DO77/DM77))^(1/($A$101-$A$100))-1)*100,0)</f>
        <v>2.9736201868302725</v>
      </c>
      <c r="DM77" s="125">
        <f>DM50</f>
        <v>44.13868196810671</v>
      </c>
      <c r="DN77" s="125">
        <f>DN50</f>
        <v>22.25556579647839</v>
      </c>
      <c r="DO77" s="125">
        <f>DO50</f>
        <v>15.028266767505601</v>
      </c>
      <c r="DP77" s="125">
        <f>DP50</f>
        <v>37.283832563983992</v>
      </c>
    </row>
    <row r="79" spans="1:120" x14ac:dyDescent="0.2">
      <c r="A79" s="123" t="str">
        <f ca="1">CELL("filename")</f>
        <v>S:\Gateway Web Design\12.LMI\2020.07.29 Gateway LMI\[WA_MainTables.Main.xlsx]Warning</v>
      </c>
      <c r="Y79" s="123" t="str">
        <f ca="1">CELL("filename")</f>
        <v>S:\Gateway Web Design\12.LMI\2020.07.29 Gateway LMI\[WA_MainTables.Main.xlsx]Warning</v>
      </c>
      <c r="AW79" s="123" t="str">
        <f ca="1">CELL("filename")</f>
        <v>S:\Gateway Web Design\12.LMI\2020.07.29 Gateway LMI\[WA_MainTables.Main.xlsx]Warning</v>
      </c>
      <c r="BU79" s="123" t="str">
        <f ca="1">CELL("filename")</f>
        <v>S:\Gateway Web Design\12.LMI\2020.07.29 Gateway LMI\[WA_MainTables.Main.xlsx]Warning</v>
      </c>
      <c r="CS79" s="123" t="str">
        <f ca="1">CELL("filename")</f>
        <v>S:\Gateway Web Design\12.LMI\2020.07.29 Gateway LMI\[WA_MainTables.Main.xlsx]Warning</v>
      </c>
    </row>
    <row r="80" spans="1:120" ht="15.75" x14ac:dyDescent="0.25">
      <c r="A80" s="23" t="str">
        <f>CONCATENATE("Basic Table 5  Replacement Demand, ",A100,"-",A101,", by Industry Sector and Qualification for ",name!$H$3)</f>
        <v>Basic Table 5  Replacement Demand, 2015-2025, by Industry Sector and Qualification for M</v>
      </c>
      <c r="G80" s="123"/>
      <c r="M80" s="123"/>
      <c r="N80" s="123"/>
      <c r="Y80" s="23" t="str">
        <f>CONCATENATE("Basic Table 5  Replacement Demand, ",A100,"-",A101,", by Industry Sector and Qualification for ",name!$H$4)</f>
        <v>Basic Table 5  Replacement Demand, 2015-2025, by Industry Sector and Qualification for F</v>
      </c>
      <c r="AE80" s="123"/>
      <c r="AK80" s="123"/>
      <c r="AL80" s="123"/>
      <c r="AW80" s="23" t="str">
        <f>CONCATENATE("Basic Table 5  Replacement Demand, ",A100,"-",A101,", by Industry Sector and Qualification for ",name!$H$5)</f>
        <v xml:space="preserve">Basic Table 5  Replacement Demand, 2015-2025, by Industry Sector and Qualification for </v>
      </c>
      <c r="BC80" s="123"/>
      <c r="BI80" s="123"/>
      <c r="BJ80" s="123"/>
      <c r="BU80" s="23" t="str">
        <f>CONCATENATE("Basic Table 5  Replacement Demand, ",A100,"-",A101,", by Industry Sector and Qualification for ",name!$H$6)</f>
        <v xml:space="preserve">Basic Table 5  Replacement Demand, 2015-2025, by Industry Sector and Qualification for </v>
      </c>
      <c r="CA80" s="123"/>
      <c r="CG80" s="123"/>
      <c r="CH80" s="123"/>
      <c r="CS80" s="23" t="str">
        <f>CONCATENATE("Basic Table 5  Replacement Demand, ",A100,"-",A101,", by Industry Sector and Qualification for ",name!$H$7)</f>
        <v xml:space="preserve">Basic Table 5  Replacement Demand, 2015-2025, by Industry Sector and Qualification for </v>
      </c>
      <c r="CY80" s="123"/>
      <c r="DE80" s="123"/>
      <c r="DF80" s="123"/>
    </row>
    <row r="81" spans="1:120" x14ac:dyDescent="0.2">
      <c r="A81" s="129"/>
      <c r="B81" s="129"/>
      <c r="C81" s="129"/>
      <c r="D81" s="129"/>
      <c r="E81" s="129"/>
      <c r="F81" s="129"/>
      <c r="H81" s="129"/>
      <c r="I81" s="129"/>
      <c r="J81" s="129"/>
      <c r="K81" s="129"/>
      <c r="L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F81" s="129"/>
      <c r="AG81" s="129"/>
      <c r="AH81" s="129"/>
      <c r="AI81" s="129"/>
      <c r="AJ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D81" s="129"/>
      <c r="BE81" s="129"/>
      <c r="BF81" s="129"/>
      <c r="BG81" s="129"/>
      <c r="BH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B81" s="129"/>
      <c r="CC81" s="129"/>
      <c r="CD81" s="129"/>
      <c r="CE81" s="129"/>
      <c r="CF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Z81" s="129"/>
      <c r="DA81" s="129"/>
      <c r="DB81" s="129"/>
      <c r="DC81" s="129"/>
      <c r="DD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</row>
    <row r="82" spans="1:120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57" t="str">
        <f>$X$3</f>
        <v>thousands</v>
      </c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57" t="str">
        <f>$X$3</f>
        <v>thousands</v>
      </c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57" t="str">
        <f>$X$3</f>
        <v>thousands</v>
      </c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57" t="str">
        <f>$X$3</f>
        <v>thousands</v>
      </c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57" t="str">
        <f>$X$3</f>
        <v>thousands</v>
      </c>
    </row>
    <row r="83" spans="1:120" x14ac:dyDescent="0.2">
      <c r="A83" s="129"/>
      <c r="B83" s="529" t="str">
        <f>B4</f>
        <v>All qualifications</v>
      </c>
      <c r="C83" s="529"/>
      <c r="D83" s="529"/>
      <c r="E83" s="529"/>
      <c r="F83" s="529"/>
      <c r="G83" s="153"/>
      <c r="H83" s="529" t="str">
        <f>H4</f>
        <v>RQF8 Doctorate</v>
      </c>
      <c r="I83" s="529"/>
      <c r="J83" s="529"/>
      <c r="K83" s="529"/>
      <c r="L83" s="529"/>
      <c r="M83" s="153"/>
      <c r="N83" s="530" t="str">
        <f>N4</f>
        <v>RQF7 Other higher degree</v>
      </c>
      <c r="O83" s="530"/>
      <c r="P83" s="530"/>
      <c r="Q83" s="530"/>
      <c r="R83" s="530"/>
      <c r="S83" s="150"/>
      <c r="T83" s="530" t="str">
        <f>T4</f>
        <v>RQF6 First degree</v>
      </c>
      <c r="U83" s="530"/>
      <c r="V83" s="530"/>
      <c r="W83" s="530"/>
      <c r="X83" s="530"/>
      <c r="Y83" s="129"/>
      <c r="Z83" s="529" t="str">
        <f>Z4</f>
        <v>All qualifications</v>
      </c>
      <c r="AA83" s="529"/>
      <c r="AB83" s="529"/>
      <c r="AC83" s="529"/>
      <c r="AD83" s="529"/>
      <c r="AE83" s="153"/>
      <c r="AF83" s="529" t="str">
        <f>AF4</f>
        <v>RQF8 Doctorate</v>
      </c>
      <c r="AG83" s="529"/>
      <c r="AH83" s="529"/>
      <c r="AI83" s="529"/>
      <c r="AJ83" s="529"/>
      <c r="AK83" s="153"/>
      <c r="AL83" s="530" t="str">
        <f>AL4</f>
        <v>RQF7 Other higher degree</v>
      </c>
      <c r="AM83" s="530"/>
      <c r="AN83" s="530"/>
      <c r="AO83" s="530"/>
      <c r="AP83" s="530"/>
      <c r="AQ83" s="150"/>
      <c r="AR83" s="530" t="str">
        <f>AR4</f>
        <v>RQF6 First degree</v>
      </c>
      <c r="AS83" s="530"/>
      <c r="AT83" s="530"/>
      <c r="AU83" s="530"/>
      <c r="AV83" s="530"/>
      <c r="AW83" s="129"/>
      <c r="AX83" s="529" t="str">
        <f>AX4</f>
        <v>All qualifications</v>
      </c>
      <c r="AY83" s="529"/>
      <c r="AZ83" s="529"/>
      <c r="BA83" s="529"/>
      <c r="BB83" s="529"/>
      <c r="BC83" s="153"/>
      <c r="BD83" s="529" t="str">
        <f>BD4</f>
        <v>RQF8 Doctorate</v>
      </c>
      <c r="BE83" s="529"/>
      <c r="BF83" s="529"/>
      <c r="BG83" s="529"/>
      <c r="BH83" s="529"/>
      <c r="BI83" s="153"/>
      <c r="BJ83" s="530" t="str">
        <f>BJ4</f>
        <v>RQF7 Other higher degree</v>
      </c>
      <c r="BK83" s="530"/>
      <c r="BL83" s="530"/>
      <c r="BM83" s="530"/>
      <c r="BN83" s="530"/>
      <c r="BO83" s="150"/>
      <c r="BP83" s="530" t="str">
        <f>BP4</f>
        <v>RQF6 First degree</v>
      </c>
      <c r="BQ83" s="530"/>
      <c r="BR83" s="530"/>
      <c r="BS83" s="530"/>
      <c r="BT83" s="530"/>
      <c r="BU83" s="129"/>
      <c r="BV83" s="529" t="str">
        <f>BV4</f>
        <v>All qualifications</v>
      </c>
      <c r="BW83" s="529"/>
      <c r="BX83" s="529"/>
      <c r="BY83" s="529"/>
      <c r="BZ83" s="529"/>
      <c r="CA83" s="153"/>
      <c r="CB83" s="529" t="str">
        <f>CB4</f>
        <v>RQF8 Doctorate</v>
      </c>
      <c r="CC83" s="529"/>
      <c r="CD83" s="529"/>
      <c r="CE83" s="529"/>
      <c r="CF83" s="529"/>
      <c r="CG83" s="153"/>
      <c r="CH83" s="530" t="str">
        <f>CH4</f>
        <v>RQF7 Other higher degree</v>
      </c>
      <c r="CI83" s="530"/>
      <c r="CJ83" s="530"/>
      <c r="CK83" s="530"/>
      <c r="CL83" s="530"/>
      <c r="CM83" s="150"/>
      <c r="CN83" s="530" t="str">
        <f>CN4</f>
        <v>RQF6 First degree</v>
      </c>
      <c r="CO83" s="530"/>
      <c r="CP83" s="530"/>
      <c r="CQ83" s="530"/>
      <c r="CR83" s="530"/>
      <c r="CS83" s="129"/>
      <c r="CT83" s="529" t="str">
        <f>CT4</f>
        <v>All qualifications</v>
      </c>
      <c r="CU83" s="529"/>
      <c r="CV83" s="529"/>
      <c r="CW83" s="529"/>
      <c r="CX83" s="529"/>
      <c r="CY83" s="153"/>
      <c r="CZ83" s="529" t="str">
        <f>CZ4</f>
        <v>RQF8 Doctorate</v>
      </c>
      <c r="DA83" s="529"/>
      <c r="DB83" s="529"/>
      <c r="DC83" s="529"/>
      <c r="DD83" s="529"/>
      <c r="DE83" s="153"/>
      <c r="DF83" s="530" t="str">
        <f>DF4</f>
        <v>RQF7 Other higher degree</v>
      </c>
      <c r="DG83" s="530"/>
      <c r="DH83" s="530"/>
      <c r="DI83" s="530"/>
      <c r="DJ83" s="530"/>
      <c r="DK83" s="150"/>
      <c r="DL83" s="530" t="str">
        <f>DL4</f>
        <v>RQF6 First degree</v>
      </c>
      <c r="DM83" s="530"/>
      <c r="DN83" s="530"/>
      <c r="DO83" s="530"/>
      <c r="DP83" s="530"/>
    </row>
    <row r="84" spans="1:120" x14ac:dyDescent="0.2">
      <c r="A84" s="129"/>
      <c r="B84" s="129"/>
      <c r="C84" s="129"/>
      <c r="D84" s="129"/>
      <c r="E84" s="129"/>
      <c r="F84" s="129"/>
      <c r="H84" s="129"/>
      <c r="I84" s="129"/>
      <c r="J84" s="129"/>
      <c r="Y84" s="129"/>
      <c r="Z84" s="129"/>
      <c r="AA84" s="129"/>
      <c r="AB84" s="129"/>
      <c r="AC84" s="129"/>
      <c r="AD84" s="129"/>
      <c r="AF84" s="129"/>
      <c r="AG84" s="129"/>
      <c r="AH84" s="129"/>
      <c r="AW84" s="129"/>
      <c r="AX84" s="129"/>
      <c r="AY84" s="129"/>
      <c r="AZ84" s="129"/>
      <c r="BA84" s="129"/>
      <c r="BB84" s="129"/>
      <c r="BD84" s="129"/>
      <c r="BE84" s="129"/>
      <c r="BF84" s="129"/>
      <c r="BU84" s="129"/>
      <c r="BV84" s="129"/>
      <c r="BW84" s="129"/>
      <c r="BX84" s="129"/>
      <c r="BY84" s="129"/>
      <c r="BZ84" s="129"/>
      <c r="CB84" s="129"/>
      <c r="CC84" s="129"/>
      <c r="CD84" s="129"/>
      <c r="CS84" s="129"/>
      <c r="CT84" s="129"/>
      <c r="CU84" s="129"/>
      <c r="CV84" s="129"/>
      <c r="CW84" s="129"/>
      <c r="CX84" s="129"/>
      <c r="CZ84" s="129"/>
      <c r="DA84" s="129"/>
      <c r="DB84" s="129"/>
    </row>
    <row r="85" spans="1:120" ht="38.25" x14ac:dyDescent="0.2">
      <c r="A85" s="152"/>
      <c r="B85" s="149" t="str">
        <f>B6</f>
        <v>RD p.a%</v>
      </c>
      <c r="C85" s="149" t="str">
        <f>C6</f>
        <v>2015 Level</v>
      </c>
      <c r="D85" s="149" t="str">
        <f>D6</f>
        <v>Net Change</v>
      </c>
      <c r="E85" s="149" t="str">
        <f>E6</f>
        <v>Replace-ment Demand</v>
      </c>
      <c r="F85" s="149" t="str">
        <f>F6</f>
        <v>Total Require-ment</v>
      </c>
      <c r="G85" s="148"/>
      <c r="H85" s="143" t="str">
        <f>B85</f>
        <v>RD p.a%</v>
      </c>
      <c r="I85" s="143" t="str">
        <f>C85</f>
        <v>2015 Level</v>
      </c>
      <c r="J85" s="143" t="str">
        <f>D85</f>
        <v>Net Change</v>
      </c>
      <c r="K85" s="143" t="str">
        <f>E85</f>
        <v>Replace-ment Demand</v>
      </c>
      <c r="L85" s="143" t="str">
        <f>F85</f>
        <v>Total Require-ment</v>
      </c>
      <c r="M85" s="142"/>
      <c r="N85" s="144" t="str">
        <f>H85</f>
        <v>RD p.a%</v>
      </c>
      <c r="O85" s="144" t="str">
        <f>I85</f>
        <v>2015 Level</v>
      </c>
      <c r="P85" s="144" t="str">
        <f>J85</f>
        <v>Net Change</v>
      </c>
      <c r="Q85" s="144" t="str">
        <f>K85</f>
        <v>Replace-ment Demand</v>
      </c>
      <c r="R85" s="144" t="str">
        <f>L85</f>
        <v>Total Require-ment</v>
      </c>
      <c r="S85" s="142"/>
      <c r="T85" s="144" t="str">
        <f>N85</f>
        <v>RD p.a%</v>
      </c>
      <c r="U85" s="144" t="str">
        <f>O85</f>
        <v>2015 Level</v>
      </c>
      <c r="V85" s="144" t="str">
        <f>P85</f>
        <v>Net Change</v>
      </c>
      <c r="W85" s="144" t="str">
        <f>Q85</f>
        <v>Replace-ment Demand</v>
      </c>
      <c r="X85" s="144" t="str">
        <f>R85</f>
        <v>Total Require-ment</v>
      </c>
      <c r="Y85" s="152"/>
      <c r="Z85" s="149" t="str">
        <f>Z6</f>
        <v>RD p.a%</v>
      </c>
      <c r="AA85" s="149" t="str">
        <f>AA6</f>
        <v>2015 Level</v>
      </c>
      <c r="AB85" s="149" t="str">
        <f>AB6</f>
        <v>Net Change</v>
      </c>
      <c r="AC85" s="149" t="str">
        <f>AC6</f>
        <v>Replace-ment Demand</v>
      </c>
      <c r="AD85" s="149" t="str">
        <f>AD6</f>
        <v>Total Require-ment</v>
      </c>
      <c r="AE85" s="148"/>
      <c r="AF85" s="143" t="str">
        <f>Z85</f>
        <v>RD p.a%</v>
      </c>
      <c r="AG85" s="143" t="str">
        <f>AA85</f>
        <v>2015 Level</v>
      </c>
      <c r="AH85" s="143" t="str">
        <f>AB85</f>
        <v>Net Change</v>
      </c>
      <c r="AI85" s="143" t="str">
        <f>AC85</f>
        <v>Replace-ment Demand</v>
      </c>
      <c r="AJ85" s="143" t="str">
        <f>AD85</f>
        <v>Total Require-ment</v>
      </c>
      <c r="AK85" s="142"/>
      <c r="AL85" s="144" t="str">
        <f>AF85</f>
        <v>RD p.a%</v>
      </c>
      <c r="AM85" s="144" t="str">
        <f>AG85</f>
        <v>2015 Level</v>
      </c>
      <c r="AN85" s="144" t="str">
        <f>AH85</f>
        <v>Net Change</v>
      </c>
      <c r="AO85" s="144" t="str">
        <f>AI85</f>
        <v>Replace-ment Demand</v>
      </c>
      <c r="AP85" s="144" t="str">
        <f>AJ85</f>
        <v>Total Require-ment</v>
      </c>
      <c r="AQ85" s="142"/>
      <c r="AR85" s="144" t="str">
        <f>AL85</f>
        <v>RD p.a%</v>
      </c>
      <c r="AS85" s="144" t="str">
        <f>AM85</f>
        <v>2015 Level</v>
      </c>
      <c r="AT85" s="144" t="str">
        <f>AN85</f>
        <v>Net Change</v>
      </c>
      <c r="AU85" s="144" t="str">
        <f>AO85</f>
        <v>Replace-ment Demand</v>
      </c>
      <c r="AV85" s="144" t="str">
        <f>AP85</f>
        <v>Total Require-ment</v>
      </c>
      <c r="AW85" s="152"/>
      <c r="AX85" s="149" t="str">
        <f>AX6</f>
        <v>RD p.a%</v>
      </c>
      <c r="AY85" s="149" t="str">
        <f>AY6</f>
        <v>2015 Level</v>
      </c>
      <c r="AZ85" s="149" t="str">
        <f>AZ6</f>
        <v>Net Change</v>
      </c>
      <c r="BA85" s="149" t="str">
        <f>BA6</f>
        <v>Replace-ment Demand</v>
      </c>
      <c r="BB85" s="149" t="str">
        <f>BB6</f>
        <v>Total Require-ment</v>
      </c>
      <c r="BC85" s="148"/>
      <c r="BD85" s="143" t="str">
        <f>AX85</f>
        <v>RD p.a%</v>
      </c>
      <c r="BE85" s="143" t="str">
        <f>AY85</f>
        <v>2015 Level</v>
      </c>
      <c r="BF85" s="143" t="str">
        <f>AZ85</f>
        <v>Net Change</v>
      </c>
      <c r="BG85" s="143" t="str">
        <f>BA85</f>
        <v>Replace-ment Demand</v>
      </c>
      <c r="BH85" s="143" t="str">
        <f>BB85</f>
        <v>Total Require-ment</v>
      </c>
      <c r="BI85" s="142"/>
      <c r="BJ85" s="144" t="str">
        <f>BD85</f>
        <v>RD p.a%</v>
      </c>
      <c r="BK85" s="144" t="str">
        <f>BE85</f>
        <v>2015 Level</v>
      </c>
      <c r="BL85" s="144" t="str">
        <f>BF85</f>
        <v>Net Change</v>
      </c>
      <c r="BM85" s="144" t="str">
        <f>BG85</f>
        <v>Replace-ment Demand</v>
      </c>
      <c r="BN85" s="144" t="str">
        <f>BH85</f>
        <v>Total Require-ment</v>
      </c>
      <c r="BO85" s="142"/>
      <c r="BP85" s="144" t="str">
        <f>BJ85</f>
        <v>RD p.a%</v>
      </c>
      <c r="BQ85" s="144" t="str">
        <f>BK85</f>
        <v>2015 Level</v>
      </c>
      <c r="BR85" s="144" t="str">
        <f>BL85</f>
        <v>Net Change</v>
      </c>
      <c r="BS85" s="144" t="str">
        <f>BM85</f>
        <v>Replace-ment Demand</v>
      </c>
      <c r="BT85" s="144" t="str">
        <f>BN85</f>
        <v>Total Require-ment</v>
      </c>
      <c r="BU85" s="152"/>
      <c r="BV85" s="149" t="str">
        <f>BV6</f>
        <v>RD p.a%</v>
      </c>
      <c r="BW85" s="149" t="str">
        <f>BW6</f>
        <v>2015 Level</v>
      </c>
      <c r="BX85" s="149" t="str">
        <f>BX6</f>
        <v>Net Change</v>
      </c>
      <c r="BY85" s="149" t="str">
        <f>BY6</f>
        <v>Replace-ment Demand</v>
      </c>
      <c r="BZ85" s="149" t="str">
        <f>BZ6</f>
        <v>Total Require-ment</v>
      </c>
      <c r="CA85" s="148"/>
      <c r="CB85" s="143" t="str">
        <f>BV85</f>
        <v>RD p.a%</v>
      </c>
      <c r="CC85" s="143" t="str">
        <f>BW85</f>
        <v>2015 Level</v>
      </c>
      <c r="CD85" s="143" t="str">
        <f>BX85</f>
        <v>Net Change</v>
      </c>
      <c r="CE85" s="143" t="str">
        <f>BY85</f>
        <v>Replace-ment Demand</v>
      </c>
      <c r="CF85" s="143" t="str">
        <f>BZ85</f>
        <v>Total Require-ment</v>
      </c>
      <c r="CG85" s="142"/>
      <c r="CH85" s="144" t="str">
        <f>CB85</f>
        <v>RD p.a%</v>
      </c>
      <c r="CI85" s="144" t="str">
        <f>CC85</f>
        <v>2015 Level</v>
      </c>
      <c r="CJ85" s="144" t="str">
        <f>CD85</f>
        <v>Net Change</v>
      </c>
      <c r="CK85" s="144" t="str">
        <f>CE85</f>
        <v>Replace-ment Demand</v>
      </c>
      <c r="CL85" s="144" t="str">
        <f>CF85</f>
        <v>Total Require-ment</v>
      </c>
      <c r="CM85" s="142"/>
      <c r="CN85" s="144" t="str">
        <f>CH85</f>
        <v>RD p.a%</v>
      </c>
      <c r="CO85" s="144" t="str">
        <f>CI85</f>
        <v>2015 Level</v>
      </c>
      <c r="CP85" s="144" t="str">
        <f>CJ85</f>
        <v>Net Change</v>
      </c>
      <c r="CQ85" s="144" t="str">
        <f>CK85</f>
        <v>Replace-ment Demand</v>
      </c>
      <c r="CR85" s="144" t="str">
        <f>CL85</f>
        <v>Total Require-ment</v>
      </c>
      <c r="CS85" s="152"/>
      <c r="CT85" s="149" t="str">
        <f>CT6</f>
        <v>RD p.a%</v>
      </c>
      <c r="CU85" s="149" t="str">
        <f>CU6</f>
        <v>2015 Level</v>
      </c>
      <c r="CV85" s="149" t="str">
        <f>CV6</f>
        <v>Net Change</v>
      </c>
      <c r="CW85" s="149" t="str">
        <f>CW6</f>
        <v>Replace-ment Demand</v>
      </c>
      <c r="CX85" s="149" t="str">
        <f>CX6</f>
        <v>Total Require-ment</v>
      </c>
      <c r="CY85" s="148"/>
      <c r="CZ85" s="143" t="str">
        <f>CT85</f>
        <v>RD p.a%</v>
      </c>
      <c r="DA85" s="143" t="str">
        <f>CU85</f>
        <v>2015 Level</v>
      </c>
      <c r="DB85" s="143" t="str">
        <f>CV85</f>
        <v>Net Change</v>
      </c>
      <c r="DC85" s="143" t="str">
        <f>CW85</f>
        <v>Replace-ment Demand</v>
      </c>
      <c r="DD85" s="143" t="str">
        <f>CX85</f>
        <v>Total Require-ment</v>
      </c>
      <c r="DE85" s="142"/>
      <c r="DF85" s="144" t="str">
        <f>CZ85</f>
        <v>RD p.a%</v>
      </c>
      <c r="DG85" s="144" t="str">
        <f>DA85</f>
        <v>2015 Level</v>
      </c>
      <c r="DH85" s="144" t="str">
        <f>DB85</f>
        <v>Net Change</v>
      </c>
      <c r="DI85" s="144" t="str">
        <f>DC85</f>
        <v>Replace-ment Demand</v>
      </c>
      <c r="DJ85" s="144" t="str">
        <f>DD85</f>
        <v>Total Require-ment</v>
      </c>
      <c r="DK85" s="142"/>
      <c r="DL85" s="144" t="str">
        <f>DF85</f>
        <v>RD p.a%</v>
      </c>
      <c r="DM85" s="144" t="str">
        <f>DG85</f>
        <v>2015 Level</v>
      </c>
      <c r="DN85" s="144" t="str">
        <f>DH85</f>
        <v>Net Change</v>
      </c>
      <c r="DO85" s="144" t="str">
        <f>DI85</f>
        <v>Replace-ment Demand</v>
      </c>
      <c r="DP85" s="144" t="str">
        <f>DJ85</f>
        <v>Total Require-ment</v>
      </c>
    </row>
    <row r="86" spans="1:120" x14ac:dyDescent="0.2">
      <c r="G86" s="123"/>
      <c r="M86" s="123"/>
      <c r="N86" s="123"/>
      <c r="AE86" s="123"/>
      <c r="AK86" s="123"/>
      <c r="AL86" s="123"/>
      <c r="BC86" s="123"/>
      <c r="BI86" s="123"/>
      <c r="BJ86" s="123"/>
      <c r="CA86" s="123"/>
      <c r="CG86" s="123"/>
      <c r="CH86" s="123"/>
      <c r="CY86" s="123"/>
      <c r="DE86" s="123"/>
      <c r="DF86" s="123"/>
    </row>
    <row r="87" spans="1:120" x14ac:dyDescent="0.2">
      <c r="A87" s="123" t="str">
        <f>name!C4</f>
        <v>Primary sector and utilities</v>
      </c>
      <c r="B87" s="155" t="e">
        <f t="shared" ref="B87:B94" si="68">IF(C87&gt;0,((1+(E87/C87))^(1/($A$101-$A$100))-1)*100,0)</f>
        <v>#REF!</v>
      </c>
      <c r="C87" s="127" t="e">
        <f t="array" ref="C87:C92">MMULT(aggregation!#REF!,BasicTable5!C8:C48)</f>
        <v>#REF!</v>
      </c>
      <c r="D87" s="127" t="e">
        <f t="array" ref="D87:D92">MMULT(aggregation!#REF!,BasicTable5!D8:D48)</f>
        <v>#REF!</v>
      </c>
      <c r="E87" s="127" t="e">
        <f t="array" ref="E87:E92">MMULT(aggregation!#REF!,BasicTable5!E8:E48)</f>
        <v>#REF!</v>
      </c>
      <c r="F87" s="127" t="e">
        <f t="array" ref="F87:F92">MMULT(aggregation!#REF!,BasicTable5!F8:F48)</f>
        <v>#REF!</v>
      </c>
      <c r="G87" s="123"/>
      <c r="H87" s="155" t="e">
        <f t="shared" ref="H87:H94" si="69">IF(I87&gt;0,((1+(K87/I87))^(1/($A$101-$A$100))-1)*100,0)</f>
        <v>#REF!</v>
      </c>
      <c r="I87" s="127" t="e">
        <f t="array" ref="I87:I92">MMULT(aggregation!#REF!,BasicTable5!I8:I48)</f>
        <v>#REF!</v>
      </c>
      <c r="J87" s="127" t="e">
        <f t="array" ref="J87:J92">MMULT(aggregation!#REF!,BasicTable5!J8:J48)</f>
        <v>#REF!</v>
      </c>
      <c r="K87" s="127" t="e">
        <f t="array" ref="K87:K92">MMULT(aggregation!#REF!,BasicTable5!K8:K48)</f>
        <v>#REF!</v>
      </c>
      <c r="L87" s="127" t="e">
        <f t="array" ref="L87:L92">MMULT(aggregation!#REF!,BasicTable5!L8:L48)</f>
        <v>#REF!</v>
      </c>
      <c r="M87" s="123"/>
      <c r="N87" s="155" t="e">
        <f t="shared" ref="N87:N94" si="70">IF(O87&gt;0,((1+(Q87/O87))^(1/($A$101-$A$100))-1)*100,0)</f>
        <v>#REF!</v>
      </c>
      <c r="O87" s="127" t="e">
        <f t="array" ref="O87:O92">MMULT(aggregation!#REF!,BasicTable5!O8:O48)</f>
        <v>#REF!</v>
      </c>
      <c r="P87" s="127" t="e">
        <f t="array" ref="P87:P92">MMULT(aggregation!#REF!,BasicTable5!P8:P48)</f>
        <v>#REF!</v>
      </c>
      <c r="Q87" s="127" t="e">
        <f t="array" ref="Q87:Q92">MMULT(aggregation!#REF!,BasicTable5!Q8:Q48)</f>
        <v>#REF!</v>
      </c>
      <c r="R87" s="127" t="e">
        <f t="array" ref="R87:R92">MMULT(aggregation!#REF!,BasicTable5!R8:R48)</f>
        <v>#REF!</v>
      </c>
      <c r="S87" s="127"/>
      <c r="T87" s="155" t="e">
        <f t="shared" ref="T87:T94" si="71">IF(U87&gt;0,((1+(W87/U87))^(1/($A$101-$A$100))-1)*100,0)</f>
        <v>#REF!</v>
      </c>
      <c r="U87" s="127" t="e">
        <f t="array" ref="U87:U92">MMULT(aggregation!#REF!,BasicTable5!U8:U48)</f>
        <v>#REF!</v>
      </c>
      <c r="V87" s="127" t="e">
        <f t="array" ref="V87:V92">MMULT(aggregation!#REF!,BasicTable5!V8:V48)</f>
        <v>#REF!</v>
      </c>
      <c r="W87" s="127" t="e">
        <f t="array" ref="W87:W92">MMULT(aggregation!#REF!,BasicTable5!W8:W48)</f>
        <v>#REF!</v>
      </c>
      <c r="X87" s="127" t="e">
        <f t="array" ref="X87:X92">MMULT(aggregation!#REF!,BasicTable5!X8:X48)</f>
        <v>#REF!</v>
      </c>
      <c r="Y87" s="123" t="str">
        <f t="shared" ref="Y87:Y92" si="72">A87</f>
        <v>Primary sector and utilities</v>
      </c>
      <c r="Z87" s="155" t="e">
        <f t="shared" ref="Z87:Z92" si="73">IF(AA87&gt;0,((1+(AC87/AA87))^(1/($A$101-$A$100))-1)*100,0)</f>
        <v>#REF!</v>
      </c>
      <c r="AA87" s="127" t="e">
        <f t="array" ref="AA87:AA92">MMULT(aggregation!#REF!,BasicTable5!AA8:AA48)</f>
        <v>#REF!</v>
      </c>
      <c r="AB87" s="127" t="e">
        <f t="array" ref="AB87:AB92">MMULT(aggregation!#REF!,BasicTable5!AB8:AB48)</f>
        <v>#REF!</v>
      </c>
      <c r="AC87" s="127" t="e">
        <f t="array" ref="AC87:AC92">MMULT(aggregation!#REF!,BasicTable5!AC8:AC48)</f>
        <v>#REF!</v>
      </c>
      <c r="AD87" s="127" t="e">
        <f t="array" ref="AD87:AD92">MMULT(aggregation!#REF!,BasicTable5!AD8:AD48)</f>
        <v>#REF!</v>
      </c>
      <c r="AE87" s="123"/>
      <c r="AF87" s="155" t="e">
        <f t="shared" ref="AF87:AF92" si="74">IF(AG87&gt;0,((1+(AI87/AG87))^(1/($A$101-$A$100))-1)*100,0)</f>
        <v>#REF!</v>
      </c>
      <c r="AG87" s="127" t="e">
        <f t="array" ref="AG87:AG92">MMULT(aggregation!#REF!,BasicTable5!AG8:AG48)</f>
        <v>#REF!</v>
      </c>
      <c r="AH87" s="127" t="e">
        <f t="array" ref="AH87:AH92">MMULT(aggregation!#REF!,BasicTable5!AH8:AH48)</f>
        <v>#REF!</v>
      </c>
      <c r="AI87" s="127" t="e">
        <f t="array" ref="AI87:AI92">MMULT(aggregation!#REF!,BasicTable5!AI8:AI48)</f>
        <v>#REF!</v>
      </c>
      <c r="AJ87" s="127" t="e">
        <f t="array" ref="AJ87:AJ92">MMULT(aggregation!#REF!,BasicTable5!AJ8:AJ48)</f>
        <v>#REF!</v>
      </c>
      <c r="AK87" s="123"/>
      <c r="AL87" s="155" t="e">
        <f t="shared" ref="AL87:AL92" si="75">IF(AM87&gt;0,((1+(AO87/AM87))^(1/($A$101-$A$100))-1)*100,0)</f>
        <v>#REF!</v>
      </c>
      <c r="AM87" s="127" t="e">
        <f t="array" ref="AM87:AM92">MMULT(aggregation!#REF!,BasicTable5!AM8:AM48)</f>
        <v>#REF!</v>
      </c>
      <c r="AN87" s="127" t="e">
        <f t="array" ref="AN87:AN92">MMULT(aggregation!#REF!,BasicTable5!AN8:AN48)</f>
        <v>#REF!</v>
      </c>
      <c r="AO87" s="127" t="e">
        <f t="array" ref="AO87:AO92">MMULT(aggregation!#REF!,BasicTable5!AO8:AO48)</f>
        <v>#REF!</v>
      </c>
      <c r="AP87" s="127" t="e">
        <f t="array" ref="AP87:AP92">MMULT(aggregation!#REF!,BasicTable5!AP8:AP48)</f>
        <v>#REF!</v>
      </c>
      <c r="AQ87" s="127"/>
      <c r="AR87" s="155" t="e">
        <f t="shared" ref="AR87:AR92" si="76">IF(AS87&gt;0,((1+(AU87/AS87))^(1/($A$101-$A$100))-1)*100,0)</f>
        <v>#REF!</v>
      </c>
      <c r="AS87" s="127" t="e">
        <f t="array" ref="AS87:AS92">MMULT(aggregation!#REF!,BasicTable5!AS8:AS48)</f>
        <v>#REF!</v>
      </c>
      <c r="AT87" s="127" t="e">
        <f t="array" ref="AT87:AT92">MMULT(aggregation!#REF!,BasicTable5!AT8:AT48)</f>
        <v>#REF!</v>
      </c>
      <c r="AU87" s="127" t="e">
        <f t="array" ref="AU87:AU92">MMULT(aggregation!#REF!,BasicTable5!AU8:AU48)</f>
        <v>#REF!</v>
      </c>
      <c r="AV87" s="127" t="e">
        <f t="array" ref="AV87:AV92">MMULT(aggregation!#REF!,BasicTable5!AV8:AV48)</f>
        <v>#REF!</v>
      </c>
      <c r="AW87" s="123" t="str">
        <f t="shared" ref="AW87:AW92" si="77">Y87</f>
        <v>Primary sector and utilities</v>
      </c>
      <c r="AX87" s="155" t="e">
        <f t="shared" ref="AX87:AX92" si="78">IF(AY87&gt;0,((1+(BA87/AY87))^(1/($A$101-$A$100))-1)*100,0)</f>
        <v>#REF!</v>
      </c>
      <c r="AY87" s="127" t="e">
        <f t="array" ref="AY87:AY92">MMULT(aggregation!#REF!,BasicTable5!AY8:AY48)</f>
        <v>#REF!</v>
      </c>
      <c r="AZ87" s="127" t="e">
        <f t="array" ref="AZ87:AZ92">MMULT(aggregation!#REF!,BasicTable5!AZ8:AZ48)</f>
        <v>#REF!</v>
      </c>
      <c r="BA87" s="127" t="e">
        <f t="array" ref="BA87:BA92">MMULT(aggregation!#REF!,BasicTable5!BA8:BA48)</f>
        <v>#REF!</v>
      </c>
      <c r="BB87" s="127" t="e">
        <f t="array" ref="BB87:BB92">MMULT(aggregation!#REF!,BasicTable5!BB8:BB48)</f>
        <v>#REF!</v>
      </c>
      <c r="BC87" s="123"/>
      <c r="BD87" s="155" t="e">
        <f t="shared" ref="BD87:BD92" si="79">IF(BE87&gt;0,((1+(BG87/BE87))^(1/($A$101-$A$100))-1)*100,0)</f>
        <v>#REF!</v>
      </c>
      <c r="BE87" s="127" t="e">
        <f t="array" ref="BE87:BE92">MMULT(aggregation!#REF!,BasicTable5!BE8:BE48)</f>
        <v>#REF!</v>
      </c>
      <c r="BF87" s="127" t="e">
        <f t="array" ref="BF87:BF92">MMULT(aggregation!#REF!,BasicTable5!BF8:BF48)</f>
        <v>#REF!</v>
      </c>
      <c r="BG87" s="127" t="e">
        <f t="array" ref="BG87:BG92">MMULT(aggregation!#REF!,BasicTable5!BG8:BG48)</f>
        <v>#REF!</v>
      </c>
      <c r="BH87" s="127" t="e">
        <f t="array" ref="BH87:BH92">MMULT(aggregation!#REF!,BasicTable5!BH8:BH48)</f>
        <v>#REF!</v>
      </c>
      <c r="BI87" s="123"/>
      <c r="BJ87" s="155" t="e">
        <f t="shared" ref="BJ87:BJ92" si="80">IF(BK87&gt;0,((1+(BM87/BK87))^(1/($A$101-$A$100))-1)*100,0)</f>
        <v>#REF!</v>
      </c>
      <c r="BK87" s="127" t="e">
        <f t="array" ref="BK87:BK92">MMULT(aggregation!#REF!,BasicTable5!BK8:BK48)</f>
        <v>#REF!</v>
      </c>
      <c r="BL87" s="127" t="e">
        <f t="array" ref="BL87:BL92">MMULT(aggregation!#REF!,BasicTable5!BL8:BL48)</f>
        <v>#REF!</v>
      </c>
      <c r="BM87" s="127" t="e">
        <f t="array" ref="BM87:BM92">MMULT(aggregation!#REF!,BasicTable5!BM8:BM48)</f>
        <v>#REF!</v>
      </c>
      <c r="BN87" s="127" t="e">
        <f t="array" ref="BN87:BN92">MMULT(aggregation!#REF!,BasicTable5!BN8:BN48)</f>
        <v>#REF!</v>
      </c>
      <c r="BO87" s="127"/>
      <c r="BP87" s="155" t="e">
        <f t="shared" ref="BP87:BP92" si="81">IF(BQ87&gt;0,((1+(BS87/BQ87))^(1/($A$101-$A$100))-1)*100,0)</f>
        <v>#REF!</v>
      </c>
      <c r="BQ87" s="127" t="e">
        <f t="array" ref="BQ87:BQ92">MMULT(aggregation!#REF!,BasicTable5!BQ8:BQ48)</f>
        <v>#REF!</v>
      </c>
      <c r="BR87" s="127" t="e">
        <f t="array" ref="BR87:BR92">MMULT(aggregation!#REF!,BasicTable5!BR8:BR48)</f>
        <v>#REF!</v>
      </c>
      <c r="BS87" s="127" t="e">
        <f t="array" ref="BS87:BS92">MMULT(aggregation!#REF!,BasicTable5!BS8:BS48)</f>
        <v>#REF!</v>
      </c>
      <c r="BT87" s="127" t="e">
        <f t="array" ref="BT87:BT92">MMULT(aggregation!#REF!,BasicTable5!BT8:BT48)</f>
        <v>#REF!</v>
      </c>
      <c r="BU87" s="123" t="str">
        <f t="shared" ref="BU87:BU92" si="82">AW87</f>
        <v>Primary sector and utilities</v>
      </c>
      <c r="BV87" s="155" t="e">
        <f t="shared" ref="BV87:BV92" si="83">IF(BW87&gt;0,((1+(BY87/BW87))^(1/($A$101-$A$100))-1)*100,0)</f>
        <v>#REF!</v>
      </c>
      <c r="BW87" s="127" t="e">
        <f t="array" ref="BW87:BW92">MMULT(aggregation!#REF!,BasicTable5!BW8:BW48)</f>
        <v>#REF!</v>
      </c>
      <c r="BX87" s="127" t="e">
        <f t="array" ref="BX87:BX92">MMULT(aggregation!#REF!,BasicTable5!BX8:BX48)</f>
        <v>#REF!</v>
      </c>
      <c r="BY87" s="127" t="e">
        <f t="array" ref="BY87:BY92">MMULT(aggregation!#REF!,BasicTable5!BY8:BY48)</f>
        <v>#REF!</v>
      </c>
      <c r="BZ87" s="127" t="e">
        <f t="array" ref="BZ87:BZ92">MMULT(aggregation!#REF!,BasicTable5!BZ8:BZ48)</f>
        <v>#REF!</v>
      </c>
      <c r="CA87" s="123"/>
      <c r="CB87" s="155" t="e">
        <f t="shared" ref="CB87:CB92" si="84">IF(CC87&gt;0,((1+(CE87/CC87))^(1/($A$101-$A$100))-1)*100,0)</f>
        <v>#REF!</v>
      </c>
      <c r="CC87" s="127" t="e">
        <f t="array" ref="CC87:CC92">MMULT(aggregation!#REF!,BasicTable5!CC8:CC48)</f>
        <v>#REF!</v>
      </c>
      <c r="CD87" s="127" t="e">
        <f t="array" ref="CD87:CD92">MMULT(aggregation!#REF!,BasicTable5!CD8:CD48)</f>
        <v>#REF!</v>
      </c>
      <c r="CE87" s="127" t="e">
        <f t="array" ref="CE87:CE92">MMULT(aggregation!#REF!,BasicTable5!CE8:CE48)</f>
        <v>#REF!</v>
      </c>
      <c r="CF87" s="127" t="e">
        <f t="array" ref="CF87:CF92">MMULT(aggregation!#REF!,BasicTable5!CF8:CF48)</f>
        <v>#REF!</v>
      </c>
      <c r="CG87" s="123"/>
      <c r="CH87" s="155" t="e">
        <f t="shared" ref="CH87:CH92" si="85">IF(CI87&gt;0,((1+(CK87/CI87))^(1/($A$101-$A$100))-1)*100,0)</f>
        <v>#REF!</v>
      </c>
      <c r="CI87" s="127" t="e">
        <f t="array" ref="CI87:CI92">MMULT(aggregation!#REF!,BasicTable5!CI8:CI48)</f>
        <v>#REF!</v>
      </c>
      <c r="CJ87" s="127" t="e">
        <f t="array" ref="CJ87:CJ92">MMULT(aggregation!#REF!,BasicTable5!CJ8:CJ48)</f>
        <v>#REF!</v>
      </c>
      <c r="CK87" s="127" t="e">
        <f t="array" ref="CK87:CK92">MMULT(aggregation!#REF!,BasicTable5!CK8:CK48)</f>
        <v>#REF!</v>
      </c>
      <c r="CL87" s="127" t="e">
        <f t="array" ref="CL87:CL92">MMULT(aggregation!#REF!,BasicTable5!CL8:CL48)</f>
        <v>#REF!</v>
      </c>
      <c r="CM87" s="127"/>
      <c r="CN87" s="155" t="e">
        <f t="shared" ref="CN87:CN92" si="86">IF(CO87&gt;0,((1+(CQ87/CO87))^(1/($A$101-$A$100))-1)*100,0)</f>
        <v>#REF!</v>
      </c>
      <c r="CO87" s="127" t="e">
        <f t="array" ref="CO87:CO92">MMULT(aggregation!#REF!,BasicTable5!CO8:CO48)</f>
        <v>#REF!</v>
      </c>
      <c r="CP87" s="127" t="e">
        <f t="array" ref="CP87:CP92">MMULT(aggregation!#REF!,BasicTable5!CP8:CP48)</f>
        <v>#REF!</v>
      </c>
      <c r="CQ87" s="127" t="e">
        <f t="array" ref="CQ87:CQ92">MMULT(aggregation!#REF!,BasicTable5!CQ8:CQ48)</f>
        <v>#REF!</v>
      </c>
      <c r="CR87" s="127" t="e">
        <f t="array" ref="CR87:CR92">MMULT(aggregation!#REF!,BasicTable5!CR8:CR48)</f>
        <v>#REF!</v>
      </c>
      <c r="CS87" s="123" t="str">
        <f t="shared" ref="CS87:CS92" si="87">BU87</f>
        <v>Primary sector and utilities</v>
      </c>
      <c r="CT87" s="155" t="e">
        <f t="shared" ref="CT87:CT92" si="88">IF(CU87&gt;0,((1+(CW87/CU87))^(1/($A$101-$A$100))-1)*100,0)</f>
        <v>#REF!</v>
      </c>
      <c r="CU87" s="127" t="e">
        <f t="array" ref="CU87:CU92">MMULT(aggregation!#REF!,BasicTable5!CU8:CU48)</f>
        <v>#REF!</v>
      </c>
      <c r="CV87" s="127" t="e">
        <f t="array" ref="CV87:CV92">MMULT(aggregation!#REF!,BasicTable5!CV8:CV48)</f>
        <v>#REF!</v>
      </c>
      <c r="CW87" s="127" t="e">
        <f t="array" ref="CW87:CW92">MMULT(aggregation!#REF!,BasicTable5!CW8:CW48)</f>
        <v>#REF!</v>
      </c>
      <c r="CX87" s="127" t="e">
        <f t="array" ref="CX87:CX92">MMULT(aggregation!#REF!,BasicTable5!CX8:CX48)</f>
        <v>#REF!</v>
      </c>
      <c r="CY87" s="123"/>
      <c r="CZ87" s="155" t="e">
        <f t="shared" ref="CZ87:CZ92" si="89">IF(DA87&gt;0,((1+(DC87/DA87))^(1/($A$101-$A$100))-1)*100,0)</f>
        <v>#REF!</v>
      </c>
      <c r="DA87" s="127" t="e">
        <f t="array" ref="DA87:DA92">MMULT(aggregation!#REF!,BasicTable5!DA8:DA48)</f>
        <v>#REF!</v>
      </c>
      <c r="DB87" s="127" t="e">
        <f t="array" ref="DB87:DB92">MMULT(aggregation!#REF!,BasicTable5!DB8:DB48)</f>
        <v>#REF!</v>
      </c>
      <c r="DC87" s="127" t="e">
        <f t="array" ref="DC87:DC92">MMULT(aggregation!#REF!,BasicTable5!DC8:DC48)</f>
        <v>#REF!</v>
      </c>
      <c r="DD87" s="127" t="e">
        <f t="array" ref="DD87:DD92">MMULT(aggregation!#REF!,BasicTable5!DD8:DD48)</f>
        <v>#REF!</v>
      </c>
      <c r="DE87" s="123"/>
      <c r="DF87" s="155" t="e">
        <f t="shared" ref="DF87:DF92" si="90">IF(DG87&gt;0,((1+(DI87/DG87))^(1/($A$101-$A$100))-1)*100,0)</f>
        <v>#REF!</v>
      </c>
      <c r="DG87" s="127" t="e">
        <f t="array" ref="DG87:DG92">MMULT(aggregation!#REF!,BasicTable5!DG8:DG48)</f>
        <v>#REF!</v>
      </c>
      <c r="DH87" s="127" t="e">
        <f t="array" ref="DH87:DH92">MMULT(aggregation!#REF!,BasicTable5!DH8:DH48)</f>
        <v>#REF!</v>
      </c>
      <c r="DI87" s="127" t="e">
        <f t="array" ref="DI87:DI92">MMULT(aggregation!#REF!,BasicTable5!DI8:DI48)</f>
        <v>#REF!</v>
      </c>
      <c r="DJ87" s="127" t="e">
        <f t="array" ref="DJ87:DJ92">MMULT(aggregation!#REF!,BasicTable5!DJ8:DJ48)</f>
        <v>#REF!</v>
      </c>
      <c r="DK87" s="127"/>
      <c r="DL87" s="155" t="e">
        <f t="shared" ref="DL87:DL92" si="91">IF(DM87&gt;0,((1+(DO87/DM87))^(1/($A$101-$A$100))-1)*100,0)</f>
        <v>#REF!</v>
      </c>
      <c r="DM87" s="127" t="e">
        <f t="array" ref="DM87:DM92">MMULT(aggregation!#REF!,BasicTable5!DM8:DM48)</f>
        <v>#REF!</v>
      </c>
      <c r="DN87" s="127" t="e">
        <f t="array" ref="DN87:DN92">MMULT(aggregation!#REF!,BasicTable5!DN8:DN48)</f>
        <v>#REF!</v>
      </c>
      <c r="DO87" s="127" t="e">
        <f t="array" ref="DO87:DO92">MMULT(aggregation!#REF!,BasicTable5!DO8:DO48)</f>
        <v>#REF!</v>
      </c>
      <c r="DP87" s="127" t="e">
        <f t="array" ref="DP87:DP92">MMULT(aggregation!#REF!,BasicTable5!DP8:DP48)</f>
        <v>#REF!</v>
      </c>
    </row>
    <row r="88" spans="1:120" x14ac:dyDescent="0.2">
      <c r="A88" s="123" t="str">
        <f>name!C5</f>
        <v>Manufacturing</v>
      </c>
      <c r="B88" s="155" t="e">
        <f t="shared" si="68"/>
        <v>#REF!</v>
      </c>
      <c r="C88" s="127" t="e">
        <v>#REF!</v>
      </c>
      <c r="D88" s="127" t="e">
        <v>#REF!</v>
      </c>
      <c r="E88" s="127" t="e">
        <v>#REF!</v>
      </c>
      <c r="F88" s="127" t="e">
        <v>#REF!</v>
      </c>
      <c r="G88" s="123"/>
      <c r="H88" s="155" t="e">
        <f t="shared" si="69"/>
        <v>#REF!</v>
      </c>
      <c r="I88" s="127" t="e">
        <v>#REF!</v>
      </c>
      <c r="J88" s="127" t="e">
        <v>#REF!</v>
      </c>
      <c r="K88" s="127" t="e">
        <v>#REF!</v>
      </c>
      <c r="L88" s="127" t="e">
        <v>#REF!</v>
      </c>
      <c r="M88" s="123"/>
      <c r="N88" s="155" t="e">
        <f t="shared" si="70"/>
        <v>#REF!</v>
      </c>
      <c r="O88" s="127" t="e">
        <v>#REF!</v>
      </c>
      <c r="P88" s="127" t="e">
        <v>#REF!</v>
      </c>
      <c r="Q88" s="127" t="e">
        <v>#REF!</v>
      </c>
      <c r="R88" s="127" t="e">
        <v>#REF!</v>
      </c>
      <c r="S88" s="127"/>
      <c r="T88" s="155" t="e">
        <f t="shared" si="71"/>
        <v>#REF!</v>
      </c>
      <c r="U88" s="127" t="e">
        <v>#REF!</v>
      </c>
      <c r="V88" s="127" t="e">
        <v>#REF!</v>
      </c>
      <c r="W88" s="127" t="e">
        <v>#REF!</v>
      </c>
      <c r="X88" s="127" t="e">
        <v>#REF!</v>
      </c>
      <c r="Y88" s="123" t="str">
        <f t="shared" si="72"/>
        <v>Manufacturing</v>
      </c>
      <c r="Z88" s="155" t="e">
        <f t="shared" si="73"/>
        <v>#REF!</v>
      </c>
      <c r="AA88" s="127" t="e">
        <v>#REF!</v>
      </c>
      <c r="AB88" s="127" t="e">
        <v>#REF!</v>
      </c>
      <c r="AC88" s="127" t="e">
        <v>#REF!</v>
      </c>
      <c r="AD88" s="127" t="e">
        <v>#REF!</v>
      </c>
      <c r="AE88" s="123"/>
      <c r="AF88" s="155" t="e">
        <f t="shared" si="74"/>
        <v>#REF!</v>
      </c>
      <c r="AG88" s="127" t="e">
        <v>#REF!</v>
      </c>
      <c r="AH88" s="127" t="e">
        <v>#REF!</v>
      </c>
      <c r="AI88" s="127" t="e">
        <v>#REF!</v>
      </c>
      <c r="AJ88" s="127" t="e">
        <v>#REF!</v>
      </c>
      <c r="AK88" s="123"/>
      <c r="AL88" s="155" t="e">
        <f t="shared" si="75"/>
        <v>#REF!</v>
      </c>
      <c r="AM88" s="127" t="e">
        <v>#REF!</v>
      </c>
      <c r="AN88" s="127" t="e">
        <v>#REF!</v>
      </c>
      <c r="AO88" s="127" t="e">
        <v>#REF!</v>
      </c>
      <c r="AP88" s="127" t="e">
        <v>#REF!</v>
      </c>
      <c r="AQ88" s="127"/>
      <c r="AR88" s="155" t="e">
        <f t="shared" si="76"/>
        <v>#REF!</v>
      </c>
      <c r="AS88" s="127" t="e">
        <v>#REF!</v>
      </c>
      <c r="AT88" s="127" t="e">
        <v>#REF!</v>
      </c>
      <c r="AU88" s="127" t="e">
        <v>#REF!</v>
      </c>
      <c r="AV88" s="127" t="e">
        <v>#REF!</v>
      </c>
      <c r="AW88" s="123" t="str">
        <f t="shared" si="77"/>
        <v>Manufacturing</v>
      </c>
      <c r="AX88" s="155" t="e">
        <f t="shared" si="78"/>
        <v>#REF!</v>
      </c>
      <c r="AY88" s="127" t="e">
        <v>#REF!</v>
      </c>
      <c r="AZ88" s="127" t="e">
        <v>#REF!</v>
      </c>
      <c r="BA88" s="127" t="e">
        <v>#REF!</v>
      </c>
      <c r="BB88" s="127" t="e">
        <v>#REF!</v>
      </c>
      <c r="BC88" s="123"/>
      <c r="BD88" s="155" t="e">
        <f t="shared" si="79"/>
        <v>#REF!</v>
      </c>
      <c r="BE88" s="127" t="e">
        <v>#REF!</v>
      </c>
      <c r="BF88" s="127" t="e">
        <v>#REF!</v>
      </c>
      <c r="BG88" s="127" t="e">
        <v>#REF!</v>
      </c>
      <c r="BH88" s="127" t="e">
        <v>#REF!</v>
      </c>
      <c r="BI88" s="123"/>
      <c r="BJ88" s="155" t="e">
        <f t="shared" si="80"/>
        <v>#REF!</v>
      </c>
      <c r="BK88" s="127" t="e">
        <v>#REF!</v>
      </c>
      <c r="BL88" s="127" t="e">
        <v>#REF!</v>
      </c>
      <c r="BM88" s="127" t="e">
        <v>#REF!</v>
      </c>
      <c r="BN88" s="127" t="e">
        <v>#REF!</v>
      </c>
      <c r="BO88" s="127"/>
      <c r="BP88" s="155" t="e">
        <f t="shared" si="81"/>
        <v>#REF!</v>
      </c>
      <c r="BQ88" s="127" t="e">
        <v>#REF!</v>
      </c>
      <c r="BR88" s="127" t="e">
        <v>#REF!</v>
      </c>
      <c r="BS88" s="127" t="e">
        <v>#REF!</v>
      </c>
      <c r="BT88" s="127" t="e">
        <v>#REF!</v>
      </c>
      <c r="BU88" s="123" t="str">
        <f t="shared" si="82"/>
        <v>Manufacturing</v>
      </c>
      <c r="BV88" s="155" t="e">
        <f t="shared" si="83"/>
        <v>#REF!</v>
      </c>
      <c r="BW88" s="127" t="e">
        <v>#REF!</v>
      </c>
      <c r="BX88" s="127" t="e">
        <v>#REF!</v>
      </c>
      <c r="BY88" s="127" t="e">
        <v>#REF!</v>
      </c>
      <c r="BZ88" s="127" t="e">
        <v>#REF!</v>
      </c>
      <c r="CA88" s="123"/>
      <c r="CB88" s="155" t="e">
        <f t="shared" si="84"/>
        <v>#REF!</v>
      </c>
      <c r="CC88" s="127" t="e">
        <v>#REF!</v>
      </c>
      <c r="CD88" s="127" t="e">
        <v>#REF!</v>
      </c>
      <c r="CE88" s="127" t="e">
        <v>#REF!</v>
      </c>
      <c r="CF88" s="127" t="e">
        <v>#REF!</v>
      </c>
      <c r="CG88" s="123"/>
      <c r="CH88" s="155" t="e">
        <f t="shared" si="85"/>
        <v>#REF!</v>
      </c>
      <c r="CI88" s="127" t="e">
        <v>#REF!</v>
      </c>
      <c r="CJ88" s="127" t="e">
        <v>#REF!</v>
      </c>
      <c r="CK88" s="127" t="e">
        <v>#REF!</v>
      </c>
      <c r="CL88" s="127" t="e">
        <v>#REF!</v>
      </c>
      <c r="CM88" s="127"/>
      <c r="CN88" s="155" t="e">
        <f t="shared" si="86"/>
        <v>#REF!</v>
      </c>
      <c r="CO88" s="127" t="e">
        <v>#REF!</v>
      </c>
      <c r="CP88" s="127" t="e">
        <v>#REF!</v>
      </c>
      <c r="CQ88" s="127" t="e">
        <v>#REF!</v>
      </c>
      <c r="CR88" s="127" t="e">
        <v>#REF!</v>
      </c>
      <c r="CS88" s="123" t="str">
        <f t="shared" si="87"/>
        <v>Manufacturing</v>
      </c>
      <c r="CT88" s="155" t="e">
        <f t="shared" si="88"/>
        <v>#REF!</v>
      </c>
      <c r="CU88" s="127" t="e">
        <v>#REF!</v>
      </c>
      <c r="CV88" s="127" t="e">
        <v>#REF!</v>
      </c>
      <c r="CW88" s="127" t="e">
        <v>#REF!</v>
      </c>
      <c r="CX88" s="127" t="e">
        <v>#REF!</v>
      </c>
      <c r="CY88" s="123"/>
      <c r="CZ88" s="155" t="e">
        <f t="shared" si="89"/>
        <v>#REF!</v>
      </c>
      <c r="DA88" s="127" t="e">
        <v>#REF!</v>
      </c>
      <c r="DB88" s="127" t="e">
        <v>#REF!</v>
      </c>
      <c r="DC88" s="127" t="e">
        <v>#REF!</v>
      </c>
      <c r="DD88" s="127" t="e">
        <v>#REF!</v>
      </c>
      <c r="DE88" s="123"/>
      <c r="DF88" s="155" t="e">
        <f t="shared" si="90"/>
        <v>#REF!</v>
      </c>
      <c r="DG88" s="127" t="e">
        <v>#REF!</v>
      </c>
      <c r="DH88" s="127" t="e">
        <v>#REF!</v>
      </c>
      <c r="DI88" s="127" t="e">
        <v>#REF!</v>
      </c>
      <c r="DJ88" s="127" t="e">
        <v>#REF!</v>
      </c>
      <c r="DK88" s="127"/>
      <c r="DL88" s="155" t="e">
        <f t="shared" si="91"/>
        <v>#REF!</v>
      </c>
      <c r="DM88" s="127" t="e">
        <v>#REF!</v>
      </c>
      <c r="DN88" s="127" t="e">
        <v>#REF!</v>
      </c>
      <c r="DO88" s="127" t="e">
        <v>#REF!</v>
      </c>
      <c r="DP88" s="127" t="e">
        <v>#REF!</v>
      </c>
    </row>
    <row r="89" spans="1:120" x14ac:dyDescent="0.2">
      <c r="A89" s="123" t="str">
        <f>name!C6</f>
        <v>Construction</v>
      </c>
      <c r="B89" s="155" t="e">
        <f t="shared" si="68"/>
        <v>#REF!</v>
      </c>
      <c r="C89" s="127" t="e">
        <v>#REF!</v>
      </c>
      <c r="D89" s="127" t="e">
        <v>#REF!</v>
      </c>
      <c r="E89" s="127" t="e">
        <v>#REF!</v>
      </c>
      <c r="F89" s="127" t="e">
        <v>#REF!</v>
      </c>
      <c r="G89" s="123"/>
      <c r="H89" s="155" t="e">
        <f t="shared" si="69"/>
        <v>#REF!</v>
      </c>
      <c r="I89" s="127" t="e">
        <v>#REF!</v>
      </c>
      <c r="J89" s="127" t="e">
        <v>#REF!</v>
      </c>
      <c r="K89" s="127" t="e">
        <v>#REF!</v>
      </c>
      <c r="L89" s="127" t="e">
        <v>#REF!</v>
      </c>
      <c r="M89" s="123"/>
      <c r="N89" s="155" t="e">
        <f t="shared" si="70"/>
        <v>#REF!</v>
      </c>
      <c r="O89" s="127" t="e">
        <v>#REF!</v>
      </c>
      <c r="P89" s="127" t="e">
        <v>#REF!</v>
      </c>
      <c r="Q89" s="127" t="e">
        <v>#REF!</v>
      </c>
      <c r="R89" s="127" t="e">
        <v>#REF!</v>
      </c>
      <c r="S89" s="127"/>
      <c r="T89" s="155" t="e">
        <f t="shared" si="71"/>
        <v>#REF!</v>
      </c>
      <c r="U89" s="127" t="e">
        <v>#REF!</v>
      </c>
      <c r="V89" s="127" t="e">
        <v>#REF!</v>
      </c>
      <c r="W89" s="127" t="e">
        <v>#REF!</v>
      </c>
      <c r="X89" s="127" t="e">
        <v>#REF!</v>
      </c>
      <c r="Y89" s="123" t="str">
        <f t="shared" si="72"/>
        <v>Construction</v>
      </c>
      <c r="Z89" s="155" t="e">
        <f t="shared" si="73"/>
        <v>#REF!</v>
      </c>
      <c r="AA89" s="127" t="e">
        <v>#REF!</v>
      </c>
      <c r="AB89" s="127" t="e">
        <v>#REF!</v>
      </c>
      <c r="AC89" s="127" t="e">
        <v>#REF!</v>
      </c>
      <c r="AD89" s="127" t="e">
        <v>#REF!</v>
      </c>
      <c r="AE89" s="123"/>
      <c r="AF89" s="155" t="e">
        <f t="shared" si="74"/>
        <v>#REF!</v>
      </c>
      <c r="AG89" s="127" t="e">
        <v>#REF!</v>
      </c>
      <c r="AH89" s="127" t="e">
        <v>#REF!</v>
      </c>
      <c r="AI89" s="127" t="e">
        <v>#REF!</v>
      </c>
      <c r="AJ89" s="127" t="e">
        <v>#REF!</v>
      </c>
      <c r="AK89" s="123"/>
      <c r="AL89" s="155" t="e">
        <f t="shared" si="75"/>
        <v>#REF!</v>
      </c>
      <c r="AM89" s="127" t="e">
        <v>#REF!</v>
      </c>
      <c r="AN89" s="127" t="e">
        <v>#REF!</v>
      </c>
      <c r="AO89" s="127" t="e">
        <v>#REF!</v>
      </c>
      <c r="AP89" s="127" t="e">
        <v>#REF!</v>
      </c>
      <c r="AQ89" s="127"/>
      <c r="AR89" s="155" t="e">
        <f t="shared" si="76"/>
        <v>#REF!</v>
      </c>
      <c r="AS89" s="127" t="e">
        <v>#REF!</v>
      </c>
      <c r="AT89" s="127" t="e">
        <v>#REF!</v>
      </c>
      <c r="AU89" s="127" t="e">
        <v>#REF!</v>
      </c>
      <c r="AV89" s="127" t="e">
        <v>#REF!</v>
      </c>
      <c r="AW89" s="123" t="str">
        <f t="shared" si="77"/>
        <v>Construction</v>
      </c>
      <c r="AX89" s="155" t="e">
        <f t="shared" si="78"/>
        <v>#REF!</v>
      </c>
      <c r="AY89" s="127" t="e">
        <v>#REF!</v>
      </c>
      <c r="AZ89" s="127" t="e">
        <v>#REF!</v>
      </c>
      <c r="BA89" s="127" t="e">
        <v>#REF!</v>
      </c>
      <c r="BB89" s="127" t="e">
        <v>#REF!</v>
      </c>
      <c r="BC89" s="123"/>
      <c r="BD89" s="155" t="e">
        <f t="shared" si="79"/>
        <v>#REF!</v>
      </c>
      <c r="BE89" s="127" t="e">
        <v>#REF!</v>
      </c>
      <c r="BF89" s="127" t="e">
        <v>#REF!</v>
      </c>
      <c r="BG89" s="127" t="e">
        <v>#REF!</v>
      </c>
      <c r="BH89" s="127" t="e">
        <v>#REF!</v>
      </c>
      <c r="BI89" s="123"/>
      <c r="BJ89" s="155" t="e">
        <f t="shared" si="80"/>
        <v>#REF!</v>
      </c>
      <c r="BK89" s="127" t="e">
        <v>#REF!</v>
      </c>
      <c r="BL89" s="127" t="e">
        <v>#REF!</v>
      </c>
      <c r="BM89" s="127" t="e">
        <v>#REF!</v>
      </c>
      <c r="BN89" s="127" t="e">
        <v>#REF!</v>
      </c>
      <c r="BO89" s="127"/>
      <c r="BP89" s="155" t="e">
        <f t="shared" si="81"/>
        <v>#REF!</v>
      </c>
      <c r="BQ89" s="127" t="e">
        <v>#REF!</v>
      </c>
      <c r="BR89" s="127" t="e">
        <v>#REF!</v>
      </c>
      <c r="BS89" s="127" t="e">
        <v>#REF!</v>
      </c>
      <c r="BT89" s="127" t="e">
        <v>#REF!</v>
      </c>
      <c r="BU89" s="123" t="str">
        <f t="shared" si="82"/>
        <v>Construction</v>
      </c>
      <c r="BV89" s="155" t="e">
        <f t="shared" si="83"/>
        <v>#REF!</v>
      </c>
      <c r="BW89" s="127" t="e">
        <v>#REF!</v>
      </c>
      <c r="BX89" s="127" t="e">
        <v>#REF!</v>
      </c>
      <c r="BY89" s="127" t="e">
        <v>#REF!</v>
      </c>
      <c r="BZ89" s="127" t="e">
        <v>#REF!</v>
      </c>
      <c r="CA89" s="123"/>
      <c r="CB89" s="155" t="e">
        <f t="shared" si="84"/>
        <v>#REF!</v>
      </c>
      <c r="CC89" s="127" t="e">
        <v>#REF!</v>
      </c>
      <c r="CD89" s="127" t="e">
        <v>#REF!</v>
      </c>
      <c r="CE89" s="127" t="e">
        <v>#REF!</v>
      </c>
      <c r="CF89" s="127" t="e">
        <v>#REF!</v>
      </c>
      <c r="CG89" s="123"/>
      <c r="CH89" s="155" t="e">
        <f t="shared" si="85"/>
        <v>#REF!</v>
      </c>
      <c r="CI89" s="127" t="e">
        <v>#REF!</v>
      </c>
      <c r="CJ89" s="127" t="e">
        <v>#REF!</v>
      </c>
      <c r="CK89" s="127" t="e">
        <v>#REF!</v>
      </c>
      <c r="CL89" s="127" t="e">
        <v>#REF!</v>
      </c>
      <c r="CM89" s="127"/>
      <c r="CN89" s="155" t="e">
        <f t="shared" si="86"/>
        <v>#REF!</v>
      </c>
      <c r="CO89" s="127" t="e">
        <v>#REF!</v>
      </c>
      <c r="CP89" s="127" t="e">
        <v>#REF!</v>
      </c>
      <c r="CQ89" s="127" t="e">
        <v>#REF!</v>
      </c>
      <c r="CR89" s="127" t="e">
        <v>#REF!</v>
      </c>
      <c r="CS89" s="123" t="str">
        <f t="shared" si="87"/>
        <v>Construction</v>
      </c>
      <c r="CT89" s="155" t="e">
        <f t="shared" si="88"/>
        <v>#REF!</v>
      </c>
      <c r="CU89" s="127" t="e">
        <v>#REF!</v>
      </c>
      <c r="CV89" s="127" t="e">
        <v>#REF!</v>
      </c>
      <c r="CW89" s="127" t="e">
        <v>#REF!</v>
      </c>
      <c r="CX89" s="127" t="e">
        <v>#REF!</v>
      </c>
      <c r="CY89" s="123"/>
      <c r="CZ89" s="155" t="e">
        <f t="shared" si="89"/>
        <v>#REF!</v>
      </c>
      <c r="DA89" s="127" t="e">
        <v>#REF!</v>
      </c>
      <c r="DB89" s="127" t="e">
        <v>#REF!</v>
      </c>
      <c r="DC89" s="127" t="e">
        <v>#REF!</v>
      </c>
      <c r="DD89" s="127" t="e">
        <v>#REF!</v>
      </c>
      <c r="DE89" s="123"/>
      <c r="DF89" s="155" t="e">
        <f t="shared" si="90"/>
        <v>#REF!</v>
      </c>
      <c r="DG89" s="127" t="e">
        <v>#REF!</v>
      </c>
      <c r="DH89" s="127" t="e">
        <v>#REF!</v>
      </c>
      <c r="DI89" s="127" t="e">
        <v>#REF!</v>
      </c>
      <c r="DJ89" s="127" t="e">
        <v>#REF!</v>
      </c>
      <c r="DK89" s="127"/>
      <c r="DL89" s="155" t="e">
        <f t="shared" si="91"/>
        <v>#REF!</v>
      </c>
      <c r="DM89" s="127" t="e">
        <v>#REF!</v>
      </c>
      <c r="DN89" s="127" t="e">
        <v>#REF!</v>
      </c>
      <c r="DO89" s="127" t="e">
        <v>#REF!</v>
      </c>
      <c r="DP89" s="127" t="e">
        <v>#REF!</v>
      </c>
    </row>
    <row r="90" spans="1:120" x14ac:dyDescent="0.2">
      <c r="A90" s="123" t="str">
        <f>name!C7</f>
        <v>Trade, accomod. and transport</v>
      </c>
      <c r="B90" s="155" t="e">
        <f t="shared" si="68"/>
        <v>#REF!</v>
      </c>
      <c r="C90" s="127" t="e">
        <v>#REF!</v>
      </c>
      <c r="D90" s="127" t="e">
        <v>#REF!</v>
      </c>
      <c r="E90" s="127" t="e">
        <v>#REF!</v>
      </c>
      <c r="F90" s="127" t="e">
        <v>#REF!</v>
      </c>
      <c r="G90" s="123"/>
      <c r="H90" s="155" t="e">
        <f t="shared" si="69"/>
        <v>#REF!</v>
      </c>
      <c r="I90" s="127" t="e">
        <v>#REF!</v>
      </c>
      <c r="J90" s="127" t="e">
        <v>#REF!</v>
      </c>
      <c r="K90" s="127" t="e">
        <v>#REF!</v>
      </c>
      <c r="L90" s="127" t="e">
        <v>#REF!</v>
      </c>
      <c r="M90" s="123"/>
      <c r="N90" s="155" t="e">
        <f t="shared" si="70"/>
        <v>#REF!</v>
      </c>
      <c r="O90" s="127" t="e">
        <v>#REF!</v>
      </c>
      <c r="P90" s="127" t="e">
        <v>#REF!</v>
      </c>
      <c r="Q90" s="127" t="e">
        <v>#REF!</v>
      </c>
      <c r="R90" s="127" t="e">
        <v>#REF!</v>
      </c>
      <c r="S90" s="127"/>
      <c r="T90" s="155" t="e">
        <f t="shared" si="71"/>
        <v>#REF!</v>
      </c>
      <c r="U90" s="127" t="e">
        <v>#REF!</v>
      </c>
      <c r="V90" s="127" t="e">
        <v>#REF!</v>
      </c>
      <c r="W90" s="127" t="e">
        <v>#REF!</v>
      </c>
      <c r="X90" s="127" t="e">
        <v>#REF!</v>
      </c>
      <c r="Y90" s="123" t="str">
        <f t="shared" si="72"/>
        <v>Trade, accomod. and transport</v>
      </c>
      <c r="Z90" s="155" t="e">
        <f t="shared" si="73"/>
        <v>#REF!</v>
      </c>
      <c r="AA90" s="127" t="e">
        <v>#REF!</v>
      </c>
      <c r="AB90" s="127" t="e">
        <v>#REF!</v>
      </c>
      <c r="AC90" s="127" t="e">
        <v>#REF!</v>
      </c>
      <c r="AD90" s="127" t="e">
        <v>#REF!</v>
      </c>
      <c r="AE90" s="123"/>
      <c r="AF90" s="155" t="e">
        <f t="shared" si="74"/>
        <v>#REF!</v>
      </c>
      <c r="AG90" s="127" t="e">
        <v>#REF!</v>
      </c>
      <c r="AH90" s="127" t="e">
        <v>#REF!</v>
      </c>
      <c r="AI90" s="127" t="e">
        <v>#REF!</v>
      </c>
      <c r="AJ90" s="127" t="e">
        <v>#REF!</v>
      </c>
      <c r="AK90" s="123"/>
      <c r="AL90" s="155" t="e">
        <f t="shared" si="75"/>
        <v>#REF!</v>
      </c>
      <c r="AM90" s="127" t="e">
        <v>#REF!</v>
      </c>
      <c r="AN90" s="127" t="e">
        <v>#REF!</v>
      </c>
      <c r="AO90" s="127" t="e">
        <v>#REF!</v>
      </c>
      <c r="AP90" s="127" t="e">
        <v>#REF!</v>
      </c>
      <c r="AQ90" s="127"/>
      <c r="AR90" s="155" t="e">
        <f t="shared" si="76"/>
        <v>#REF!</v>
      </c>
      <c r="AS90" s="127" t="e">
        <v>#REF!</v>
      </c>
      <c r="AT90" s="127" t="e">
        <v>#REF!</v>
      </c>
      <c r="AU90" s="127" t="e">
        <v>#REF!</v>
      </c>
      <c r="AV90" s="127" t="e">
        <v>#REF!</v>
      </c>
      <c r="AW90" s="123" t="str">
        <f t="shared" si="77"/>
        <v>Trade, accomod. and transport</v>
      </c>
      <c r="AX90" s="155" t="e">
        <f t="shared" si="78"/>
        <v>#REF!</v>
      </c>
      <c r="AY90" s="127" t="e">
        <v>#REF!</v>
      </c>
      <c r="AZ90" s="127" t="e">
        <v>#REF!</v>
      </c>
      <c r="BA90" s="127" t="e">
        <v>#REF!</v>
      </c>
      <c r="BB90" s="127" t="e">
        <v>#REF!</v>
      </c>
      <c r="BC90" s="123"/>
      <c r="BD90" s="155" t="e">
        <f t="shared" si="79"/>
        <v>#REF!</v>
      </c>
      <c r="BE90" s="127" t="e">
        <v>#REF!</v>
      </c>
      <c r="BF90" s="127" t="e">
        <v>#REF!</v>
      </c>
      <c r="BG90" s="127" t="e">
        <v>#REF!</v>
      </c>
      <c r="BH90" s="127" t="e">
        <v>#REF!</v>
      </c>
      <c r="BI90" s="123"/>
      <c r="BJ90" s="155" t="e">
        <f t="shared" si="80"/>
        <v>#REF!</v>
      </c>
      <c r="BK90" s="127" t="e">
        <v>#REF!</v>
      </c>
      <c r="BL90" s="127" t="e">
        <v>#REF!</v>
      </c>
      <c r="BM90" s="127" t="e">
        <v>#REF!</v>
      </c>
      <c r="BN90" s="127" t="e">
        <v>#REF!</v>
      </c>
      <c r="BO90" s="127"/>
      <c r="BP90" s="155" t="e">
        <f t="shared" si="81"/>
        <v>#REF!</v>
      </c>
      <c r="BQ90" s="127" t="e">
        <v>#REF!</v>
      </c>
      <c r="BR90" s="127" t="e">
        <v>#REF!</v>
      </c>
      <c r="BS90" s="127" t="e">
        <v>#REF!</v>
      </c>
      <c r="BT90" s="127" t="e">
        <v>#REF!</v>
      </c>
      <c r="BU90" s="123" t="str">
        <f t="shared" si="82"/>
        <v>Trade, accomod. and transport</v>
      </c>
      <c r="BV90" s="155" t="e">
        <f t="shared" si="83"/>
        <v>#REF!</v>
      </c>
      <c r="BW90" s="127" t="e">
        <v>#REF!</v>
      </c>
      <c r="BX90" s="127" t="e">
        <v>#REF!</v>
      </c>
      <c r="BY90" s="127" t="e">
        <v>#REF!</v>
      </c>
      <c r="BZ90" s="127" t="e">
        <v>#REF!</v>
      </c>
      <c r="CA90" s="123"/>
      <c r="CB90" s="155" t="e">
        <f t="shared" si="84"/>
        <v>#REF!</v>
      </c>
      <c r="CC90" s="127" t="e">
        <v>#REF!</v>
      </c>
      <c r="CD90" s="127" t="e">
        <v>#REF!</v>
      </c>
      <c r="CE90" s="127" t="e">
        <v>#REF!</v>
      </c>
      <c r="CF90" s="127" t="e">
        <v>#REF!</v>
      </c>
      <c r="CG90" s="123"/>
      <c r="CH90" s="155" t="e">
        <f t="shared" si="85"/>
        <v>#REF!</v>
      </c>
      <c r="CI90" s="127" t="e">
        <v>#REF!</v>
      </c>
      <c r="CJ90" s="127" t="e">
        <v>#REF!</v>
      </c>
      <c r="CK90" s="127" t="e">
        <v>#REF!</v>
      </c>
      <c r="CL90" s="127" t="e">
        <v>#REF!</v>
      </c>
      <c r="CM90" s="127"/>
      <c r="CN90" s="155" t="e">
        <f t="shared" si="86"/>
        <v>#REF!</v>
      </c>
      <c r="CO90" s="127" t="e">
        <v>#REF!</v>
      </c>
      <c r="CP90" s="127" t="e">
        <v>#REF!</v>
      </c>
      <c r="CQ90" s="127" t="e">
        <v>#REF!</v>
      </c>
      <c r="CR90" s="127" t="e">
        <v>#REF!</v>
      </c>
      <c r="CS90" s="123" t="str">
        <f t="shared" si="87"/>
        <v>Trade, accomod. and transport</v>
      </c>
      <c r="CT90" s="155" t="e">
        <f t="shared" si="88"/>
        <v>#REF!</v>
      </c>
      <c r="CU90" s="127" t="e">
        <v>#REF!</v>
      </c>
      <c r="CV90" s="127" t="e">
        <v>#REF!</v>
      </c>
      <c r="CW90" s="127" t="e">
        <v>#REF!</v>
      </c>
      <c r="CX90" s="127" t="e">
        <v>#REF!</v>
      </c>
      <c r="CY90" s="123"/>
      <c r="CZ90" s="155" t="e">
        <f t="shared" si="89"/>
        <v>#REF!</v>
      </c>
      <c r="DA90" s="127" t="e">
        <v>#REF!</v>
      </c>
      <c r="DB90" s="127" t="e">
        <v>#REF!</v>
      </c>
      <c r="DC90" s="127" t="e">
        <v>#REF!</v>
      </c>
      <c r="DD90" s="127" t="e">
        <v>#REF!</v>
      </c>
      <c r="DE90" s="123"/>
      <c r="DF90" s="155" t="e">
        <f t="shared" si="90"/>
        <v>#REF!</v>
      </c>
      <c r="DG90" s="127" t="e">
        <v>#REF!</v>
      </c>
      <c r="DH90" s="127" t="e">
        <v>#REF!</v>
      </c>
      <c r="DI90" s="127" t="e">
        <v>#REF!</v>
      </c>
      <c r="DJ90" s="127" t="e">
        <v>#REF!</v>
      </c>
      <c r="DK90" s="127"/>
      <c r="DL90" s="155" t="e">
        <f t="shared" si="91"/>
        <v>#REF!</v>
      </c>
      <c r="DM90" s="127" t="e">
        <v>#REF!</v>
      </c>
      <c r="DN90" s="127" t="e">
        <v>#REF!</v>
      </c>
      <c r="DO90" s="127" t="e">
        <v>#REF!</v>
      </c>
      <c r="DP90" s="127" t="e">
        <v>#REF!</v>
      </c>
    </row>
    <row r="91" spans="1:120" x14ac:dyDescent="0.2">
      <c r="A91" s="123" t="str">
        <f>name!C8</f>
        <v>Business and other services</v>
      </c>
      <c r="B91" s="155" t="e">
        <f t="shared" si="68"/>
        <v>#REF!</v>
      </c>
      <c r="C91" s="127" t="e">
        <v>#REF!</v>
      </c>
      <c r="D91" s="127" t="e">
        <v>#REF!</v>
      </c>
      <c r="E91" s="127" t="e">
        <v>#REF!</v>
      </c>
      <c r="F91" s="127" t="e">
        <v>#REF!</v>
      </c>
      <c r="G91" s="123"/>
      <c r="H91" s="155" t="e">
        <f t="shared" si="69"/>
        <v>#REF!</v>
      </c>
      <c r="I91" s="127" t="e">
        <v>#REF!</v>
      </c>
      <c r="J91" s="127" t="e">
        <v>#REF!</v>
      </c>
      <c r="K91" s="127" t="e">
        <v>#REF!</v>
      </c>
      <c r="L91" s="127" t="e">
        <v>#REF!</v>
      </c>
      <c r="M91" s="123"/>
      <c r="N91" s="155" t="e">
        <f t="shared" si="70"/>
        <v>#REF!</v>
      </c>
      <c r="O91" s="127" t="e">
        <v>#REF!</v>
      </c>
      <c r="P91" s="127" t="e">
        <v>#REF!</v>
      </c>
      <c r="Q91" s="127" t="e">
        <v>#REF!</v>
      </c>
      <c r="R91" s="127" t="e">
        <v>#REF!</v>
      </c>
      <c r="S91" s="127"/>
      <c r="T91" s="155" t="e">
        <f t="shared" si="71"/>
        <v>#REF!</v>
      </c>
      <c r="U91" s="127" t="e">
        <v>#REF!</v>
      </c>
      <c r="V91" s="127" t="e">
        <v>#REF!</v>
      </c>
      <c r="W91" s="127" t="e">
        <v>#REF!</v>
      </c>
      <c r="X91" s="127" t="e">
        <v>#REF!</v>
      </c>
      <c r="Y91" s="123" t="str">
        <f t="shared" si="72"/>
        <v>Business and other services</v>
      </c>
      <c r="Z91" s="155" t="e">
        <f t="shared" si="73"/>
        <v>#REF!</v>
      </c>
      <c r="AA91" s="127" t="e">
        <v>#REF!</v>
      </c>
      <c r="AB91" s="127" t="e">
        <v>#REF!</v>
      </c>
      <c r="AC91" s="127" t="e">
        <v>#REF!</v>
      </c>
      <c r="AD91" s="127" t="e">
        <v>#REF!</v>
      </c>
      <c r="AE91" s="123"/>
      <c r="AF91" s="155" t="e">
        <f t="shared" si="74"/>
        <v>#REF!</v>
      </c>
      <c r="AG91" s="127" t="e">
        <v>#REF!</v>
      </c>
      <c r="AH91" s="127" t="e">
        <v>#REF!</v>
      </c>
      <c r="AI91" s="127" t="e">
        <v>#REF!</v>
      </c>
      <c r="AJ91" s="127" t="e">
        <v>#REF!</v>
      </c>
      <c r="AK91" s="123"/>
      <c r="AL91" s="155" t="e">
        <f t="shared" si="75"/>
        <v>#REF!</v>
      </c>
      <c r="AM91" s="127" t="e">
        <v>#REF!</v>
      </c>
      <c r="AN91" s="127" t="e">
        <v>#REF!</v>
      </c>
      <c r="AO91" s="127" t="e">
        <v>#REF!</v>
      </c>
      <c r="AP91" s="127" t="e">
        <v>#REF!</v>
      </c>
      <c r="AQ91" s="127"/>
      <c r="AR91" s="155" t="e">
        <f t="shared" si="76"/>
        <v>#REF!</v>
      </c>
      <c r="AS91" s="127" t="e">
        <v>#REF!</v>
      </c>
      <c r="AT91" s="127" t="e">
        <v>#REF!</v>
      </c>
      <c r="AU91" s="127" t="e">
        <v>#REF!</v>
      </c>
      <c r="AV91" s="127" t="e">
        <v>#REF!</v>
      </c>
      <c r="AW91" s="123" t="str">
        <f t="shared" si="77"/>
        <v>Business and other services</v>
      </c>
      <c r="AX91" s="155" t="e">
        <f t="shared" si="78"/>
        <v>#REF!</v>
      </c>
      <c r="AY91" s="127" t="e">
        <v>#REF!</v>
      </c>
      <c r="AZ91" s="127" t="e">
        <v>#REF!</v>
      </c>
      <c r="BA91" s="127" t="e">
        <v>#REF!</v>
      </c>
      <c r="BB91" s="127" t="e">
        <v>#REF!</v>
      </c>
      <c r="BC91" s="123"/>
      <c r="BD91" s="155" t="e">
        <f t="shared" si="79"/>
        <v>#REF!</v>
      </c>
      <c r="BE91" s="127" t="e">
        <v>#REF!</v>
      </c>
      <c r="BF91" s="127" t="e">
        <v>#REF!</v>
      </c>
      <c r="BG91" s="127" t="e">
        <v>#REF!</v>
      </c>
      <c r="BH91" s="127" t="e">
        <v>#REF!</v>
      </c>
      <c r="BI91" s="123"/>
      <c r="BJ91" s="155" t="e">
        <f t="shared" si="80"/>
        <v>#REF!</v>
      </c>
      <c r="BK91" s="127" t="e">
        <v>#REF!</v>
      </c>
      <c r="BL91" s="127" t="e">
        <v>#REF!</v>
      </c>
      <c r="BM91" s="127" t="e">
        <v>#REF!</v>
      </c>
      <c r="BN91" s="127" t="e">
        <v>#REF!</v>
      </c>
      <c r="BO91" s="127"/>
      <c r="BP91" s="155" t="e">
        <f t="shared" si="81"/>
        <v>#REF!</v>
      </c>
      <c r="BQ91" s="127" t="e">
        <v>#REF!</v>
      </c>
      <c r="BR91" s="127" t="e">
        <v>#REF!</v>
      </c>
      <c r="BS91" s="127" t="e">
        <v>#REF!</v>
      </c>
      <c r="BT91" s="127" t="e">
        <v>#REF!</v>
      </c>
      <c r="BU91" s="123" t="str">
        <f t="shared" si="82"/>
        <v>Business and other services</v>
      </c>
      <c r="BV91" s="155" t="e">
        <f t="shared" si="83"/>
        <v>#REF!</v>
      </c>
      <c r="BW91" s="127" t="e">
        <v>#REF!</v>
      </c>
      <c r="BX91" s="127" t="e">
        <v>#REF!</v>
      </c>
      <c r="BY91" s="127" t="e">
        <v>#REF!</v>
      </c>
      <c r="BZ91" s="127" t="e">
        <v>#REF!</v>
      </c>
      <c r="CA91" s="123"/>
      <c r="CB91" s="155" t="e">
        <f t="shared" si="84"/>
        <v>#REF!</v>
      </c>
      <c r="CC91" s="127" t="e">
        <v>#REF!</v>
      </c>
      <c r="CD91" s="127" t="e">
        <v>#REF!</v>
      </c>
      <c r="CE91" s="127" t="e">
        <v>#REF!</v>
      </c>
      <c r="CF91" s="127" t="e">
        <v>#REF!</v>
      </c>
      <c r="CG91" s="123"/>
      <c r="CH91" s="155" t="e">
        <f t="shared" si="85"/>
        <v>#REF!</v>
      </c>
      <c r="CI91" s="127" t="e">
        <v>#REF!</v>
      </c>
      <c r="CJ91" s="127" t="e">
        <v>#REF!</v>
      </c>
      <c r="CK91" s="127" t="e">
        <v>#REF!</v>
      </c>
      <c r="CL91" s="127" t="e">
        <v>#REF!</v>
      </c>
      <c r="CM91" s="127"/>
      <c r="CN91" s="155" t="e">
        <f t="shared" si="86"/>
        <v>#REF!</v>
      </c>
      <c r="CO91" s="127" t="e">
        <v>#REF!</v>
      </c>
      <c r="CP91" s="127" t="e">
        <v>#REF!</v>
      </c>
      <c r="CQ91" s="127" t="e">
        <v>#REF!</v>
      </c>
      <c r="CR91" s="127" t="e">
        <v>#REF!</v>
      </c>
      <c r="CS91" s="123" t="str">
        <f t="shared" si="87"/>
        <v>Business and other services</v>
      </c>
      <c r="CT91" s="155" t="e">
        <f t="shared" si="88"/>
        <v>#REF!</v>
      </c>
      <c r="CU91" s="127" t="e">
        <v>#REF!</v>
      </c>
      <c r="CV91" s="127" t="e">
        <v>#REF!</v>
      </c>
      <c r="CW91" s="127" t="e">
        <v>#REF!</v>
      </c>
      <c r="CX91" s="127" t="e">
        <v>#REF!</v>
      </c>
      <c r="CY91" s="123"/>
      <c r="CZ91" s="155" t="e">
        <f t="shared" si="89"/>
        <v>#REF!</v>
      </c>
      <c r="DA91" s="127" t="e">
        <v>#REF!</v>
      </c>
      <c r="DB91" s="127" t="e">
        <v>#REF!</v>
      </c>
      <c r="DC91" s="127" t="e">
        <v>#REF!</v>
      </c>
      <c r="DD91" s="127" t="e">
        <v>#REF!</v>
      </c>
      <c r="DE91" s="123"/>
      <c r="DF91" s="155" t="e">
        <f t="shared" si="90"/>
        <v>#REF!</v>
      </c>
      <c r="DG91" s="127" t="e">
        <v>#REF!</v>
      </c>
      <c r="DH91" s="127" t="e">
        <v>#REF!</v>
      </c>
      <c r="DI91" s="127" t="e">
        <v>#REF!</v>
      </c>
      <c r="DJ91" s="127" t="e">
        <v>#REF!</v>
      </c>
      <c r="DK91" s="127"/>
      <c r="DL91" s="155" t="e">
        <f t="shared" si="91"/>
        <v>#REF!</v>
      </c>
      <c r="DM91" s="127" t="e">
        <v>#REF!</v>
      </c>
      <c r="DN91" s="127" t="e">
        <v>#REF!</v>
      </c>
      <c r="DO91" s="127" t="e">
        <v>#REF!</v>
      </c>
      <c r="DP91" s="127" t="e">
        <v>#REF!</v>
      </c>
    </row>
    <row r="92" spans="1:120" x14ac:dyDescent="0.2">
      <c r="A92" s="123" t="str">
        <f>name!C9</f>
        <v>Non-marketed services</v>
      </c>
      <c r="B92" s="155" t="e">
        <f t="shared" si="68"/>
        <v>#REF!</v>
      </c>
      <c r="C92" s="127" t="e">
        <v>#REF!</v>
      </c>
      <c r="D92" s="127" t="e">
        <v>#REF!</v>
      </c>
      <c r="E92" s="127" t="e">
        <v>#REF!</v>
      </c>
      <c r="F92" s="127" t="e">
        <v>#REF!</v>
      </c>
      <c r="G92" s="123"/>
      <c r="H92" s="155" t="e">
        <f t="shared" si="69"/>
        <v>#REF!</v>
      </c>
      <c r="I92" s="127" t="e">
        <v>#REF!</v>
      </c>
      <c r="J92" s="127" t="e">
        <v>#REF!</v>
      </c>
      <c r="K92" s="127" t="e">
        <v>#REF!</v>
      </c>
      <c r="L92" s="127" t="e">
        <v>#REF!</v>
      </c>
      <c r="M92" s="123"/>
      <c r="N92" s="155" t="e">
        <f t="shared" si="70"/>
        <v>#REF!</v>
      </c>
      <c r="O92" s="127" t="e">
        <v>#REF!</v>
      </c>
      <c r="P92" s="127" t="e">
        <v>#REF!</v>
      </c>
      <c r="Q92" s="127" t="e">
        <v>#REF!</v>
      </c>
      <c r="R92" s="127" t="e">
        <v>#REF!</v>
      </c>
      <c r="S92" s="127"/>
      <c r="T92" s="155" t="e">
        <f t="shared" si="71"/>
        <v>#REF!</v>
      </c>
      <c r="U92" s="127" t="e">
        <v>#REF!</v>
      </c>
      <c r="V92" s="127" t="e">
        <v>#REF!</v>
      </c>
      <c r="W92" s="127" t="e">
        <v>#REF!</v>
      </c>
      <c r="X92" s="127" t="e">
        <v>#REF!</v>
      </c>
      <c r="Y92" s="123" t="str">
        <f t="shared" si="72"/>
        <v>Non-marketed services</v>
      </c>
      <c r="Z92" s="155" t="e">
        <f t="shared" si="73"/>
        <v>#REF!</v>
      </c>
      <c r="AA92" s="127" t="e">
        <v>#REF!</v>
      </c>
      <c r="AB92" s="127" t="e">
        <v>#REF!</v>
      </c>
      <c r="AC92" s="127" t="e">
        <v>#REF!</v>
      </c>
      <c r="AD92" s="127" t="e">
        <v>#REF!</v>
      </c>
      <c r="AE92" s="123"/>
      <c r="AF92" s="155" t="e">
        <f t="shared" si="74"/>
        <v>#REF!</v>
      </c>
      <c r="AG92" s="127" t="e">
        <v>#REF!</v>
      </c>
      <c r="AH92" s="127" t="e">
        <v>#REF!</v>
      </c>
      <c r="AI92" s="127" t="e">
        <v>#REF!</v>
      </c>
      <c r="AJ92" s="127" t="e">
        <v>#REF!</v>
      </c>
      <c r="AK92" s="123"/>
      <c r="AL92" s="155" t="e">
        <f t="shared" si="75"/>
        <v>#REF!</v>
      </c>
      <c r="AM92" s="127" t="e">
        <v>#REF!</v>
      </c>
      <c r="AN92" s="127" t="e">
        <v>#REF!</v>
      </c>
      <c r="AO92" s="127" t="e">
        <v>#REF!</v>
      </c>
      <c r="AP92" s="127" t="e">
        <v>#REF!</v>
      </c>
      <c r="AQ92" s="127"/>
      <c r="AR92" s="155" t="e">
        <f t="shared" si="76"/>
        <v>#REF!</v>
      </c>
      <c r="AS92" s="127" t="e">
        <v>#REF!</v>
      </c>
      <c r="AT92" s="127" t="e">
        <v>#REF!</v>
      </c>
      <c r="AU92" s="127" t="e">
        <v>#REF!</v>
      </c>
      <c r="AV92" s="127" t="e">
        <v>#REF!</v>
      </c>
      <c r="AW92" s="123" t="str">
        <f t="shared" si="77"/>
        <v>Non-marketed services</v>
      </c>
      <c r="AX92" s="155" t="e">
        <f t="shared" si="78"/>
        <v>#REF!</v>
      </c>
      <c r="AY92" s="127" t="e">
        <v>#REF!</v>
      </c>
      <c r="AZ92" s="127" t="e">
        <v>#REF!</v>
      </c>
      <c r="BA92" s="127" t="e">
        <v>#REF!</v>
      </c>
      <c r="BB92" s="127" t="e">
        <v>#REF!</v>
      </c>
      <c r="BC92" s="123"/>
      <c r="BD92" s="155" t="e">
        <f t="shared" si="79"/>
        <v>#REF!</v>
      </c>
      <c r="BE92" s="127" t="e">
        <v>#REF!</v>
      </c>
      <c r="BF92" s="127" t="e">
        <v>#REF!</v>
      </c>
      <c r="BG92" s="127" t="e">
        <v>#REF!</v>
      </c>
      <c r="BH92" s="127" t="e">
        <v>#REF!</v>
      </c>
      <c r="BI92" s="123"/>
      <c r="BJ92" s="155" t="e">
        <f t="shared" si="80"/>
        <v>#REF!</v>
      </c>
      <c r="BK92" s="127" t="e">
        <v>#REF!</v>
      </c>
      <c r="BL92" s="127" t="e">
        <v>#REF!</v>
      </c>
      <c r="BM92" s="127" t="e">
        <v>#REF!</v>
      </c>
      <c r="BN92" s="127" t="e">
        <v>#REF!</v>
      </c>
      <c r="BO92" s="127"/>
      <c r="BP92" s="155" t="e">
        <f t="shared" si="81"/>
        <v>#REF!</v>
      </c>
      <c r="BQ92" s="127" t="e">
        <v>#REF!</v>
      </c>
      <c r="BR92" s="127" t="e">
        <v>#REF!</v>
      </c>
      <c r="BS92" s="127" t="e">
        <v>#REF!</v>
      </c>
      <c r="BT92" s="127" t="e">
        <v>#REF!</v>
      </c>
      <c r="BU92" s="123" t="str">
        <f t="shared" si="82"/>
        <v>Non-marketed services</v>
      </c>
      <c r="BV92" s="155" t="e">
        <f t="shared" si="83"/>
        <v>#REF!</v>
      </c>
      <c r="BW92" s="127" t="e">
        <v>#REF!</v>
      </c>
      <c r="BX92" s="127" t="e">
        <v>#REF!</v>
      </c>
      <c r="BY92" s="127" t="e">
        <v>#REF!</v>
      </c>
      <c r="BZ92" s="127" t="e">
        <v>#REF!</v>
      </c>
      <c r="CA92" s="123"/>
      <c r="CB92" s="155" t="e">
        <f t="shared" si="84"/>
        <v>#REF!</v>
      </c>
      <c r="CC92" s="127" t="e">
        <v>#REF!</v>
      </c>
      <c r="CD92" s="127" t="e">
        <v>#REF!</v>
      </c>
      <c r="CE92" s="127" t="e">
        <v>#REF!</v>
      </c>
      <c r="CF92" s="127" t="e">
        <v>#REF!</v>
      </c>
      <c r="CG92" s="123"/>
      <c r="CH92" s="155" t="e">
        <f t="shared" si="85"/>
        <v>#REF!</v>
      </c>
      <c r="CI92" s="127" t="e">
        <v>#REF!</v>
      </c>
      <c r="CJ92" s="127" t="e">
        <v>#REF!</v>
      </c>
      <c r="CK92" s="127" t="e">
        <v>#REF!</v>
      </c>
      <c r="CL92" s="127" t="e">
        <v>#REF!</v>
      </c>
      <c r="CM92" s="127"/>
      <c r="CN92" s="155" t="e">
        <f t="shared" si="86"/>
        <v>#REF!</v>
      </c>
      <c r="CO92" s="127" t="e">
        <v>#REF!</v>
      </c>
      <c r="CP92" s="127" t="e">
        <v>#REF!</v>
      </c>
      <c r="CQ92" s="127" t="e">
        <v>#REF!</v>
      </c>
      <c r="CR92" s="127" t="e">
        <v>#REF!</v>
      </c>
      <c r="CS92" s="123" t="str">
        <f t="shared" si="87"/>
        <v>Non-marketed services</v>
      </c>
      <c r="CT92" s="155" t="e">
        <f t="shared" si="88"/>
        <v>#REF!</v>
      </c>
      <c r="CU92" s="127" t="e">
        <v>#REF!</v>
      </c>
      <c r="CV92" s="127" t="e">
        <v>#REF!</v>
      </c>
      <c r="CW92" s="127" t="e">
        <v>#REF!</v>
      </c>
      <c r="CX92" s="127" t="e">
        <v>#REF!</v>
      </c>
      <c r="CY92" s="123"/>
      <c r="CZ92" s="155" t="e">
        <f t="shared" si="89"/>
        <v>#REF!</v>
      </c>
      <c r="DA92" s="127" t="e">
        <v>#REF!</v>
      </c>
      <c r="DB92" s="127" t="e">
        <v>#REF!</v>
      </c>
      <c r="DC92" s="127" t="e">
        <v>#REF!</v>
      </c>
      <c r="DD92" s="127" t="e">
        <v>#REF!</v>
      </c>
      <c r="DE92" s="123"/>
      <c r="DF92" s="155" t="e">
        <f t="shared" si="90"/>
        <v>#REF!</v>
      </c>
      <c r="DG92" s="127" t="e">
        <v>#REF!</v>
      </c>
      <c r="DH92" s="127" t="e">
        <v>#REF!</v>
      </c>
      <c r="DI92" s="127" t="e">
        <v>#REF!</v>
      </c>
      <c r="DJ92" s="127" t="e">
        <v>#REF!</v>
      </c>
      <c r="DK92" s="127"/>
      <c r="DL92" s="155" t="e">
        <f t="shared" si="91"/>
        <v>#REF!</v>
      </c>
      <c r="DM92" s="127" t="e">
        <v>#REF!</v>
      </c>
      <c r="DN92" s="127" t="e">
        <v>#REF!</v>
      </c>
      <c r="DO92" s="127" t="e">
        <v>#REF!</v>
      </c>
      <c r="DP92" s="127" t="e">
        <v>#REF!</v>
      </c>
    </row>
    <row r="93" spans="1:120" x14ac:dyDescent="0.2">
      <c r="B93" s="155"/>
      <c r="C93" s="127"/>
      <c r="D93" s="127"/>
      <c r="E93" s="127"/>
      <c r="F93" s="127"/>
      <c r="G93" s="123"/>
      <c r="H93" s="155"/>
      <c r="I93" s="127"/>
      <c r="J93" s="127"/>
      <c r="K93" s="127"/>
      <c r="L93" s="127"/>
      <c r="M93" s="123"/>
      <c r="N93" s="155"/>
      <c r="O93" s="127"/>
      <c r="P93" s="127"/>
      <c r="Q93" s="127"/>
      <c r="R93" s="127"/>
      <c r="S93" s="127"/>
      <c r="T93" s="155"/>
      <c r="U93" s="127"/>
      <c r="V93" s="127"/>
      <c r="W93" s="127"/>
      <c r="X93" s="127"/>
      <c r="Z93" s="155"/>
      <c r="AA93" s="127"/>
      <c r="AB93" s="127"/>
      <c r="AC93" s="127"/>
      <c r="AD93" s="127"/>
      <c r="AE93" s="123"/>
      <c r="AF93" s="155"/>
      <c r="AG93" s="127"/>
      <c r="AH93" s="127"/>
      <c r="AI93" s="127"/>
      <c r="AJ93" s="127"/>
      <c r="AK93" s="123"/>
      <c r="AL93" s="155"/>
      <c r="AM93" s="127"/>
      <c r="AN93" s="127"/>
      <c r="AO93" s="127"/>
      <c r="AP93" s="127"/>
      <c r="AQ93" s="127"/>
      <c r="AR93" s="155"/>
      <c r="AS93" s="127"/>
      <c r="AT93" s="127"/>
      <c r="AU93" s="127"/>
      <c r="AV93" s="127"/>
      <c r="AX93" s="155"/>
      <c r="AY93" s="127"/>
      <c r="AZ93" s="127"/>
      <c r="BA93" s="127"/>
      <c r="BB93" s="127"/>
      <c r="BC93" s="123"/>
      <c r="BD93" s="155"/>
      <c r="BE93" s="127"/>
      <c r="BF93" s="127"/>
      <c r="BG93" s="127"/>
      <c r="BH93" s="127"/>
      <c r="BI93" s="123"/>
      <c r="BJ93" s="155"/>
      <c r="BK93" s="127"/>
      <c r="BL93" s="127"/>
      <c r="BM93" s="127"/>
      <c r="BN93" s="127"/>
      <c r="BO93" s="127"/>
      <c r="BP93" s="155"/>
      <c r="BQ93" s="127"/>
      <c r="BR93" s="127"/>
      <c r="BS93" s="127"/>
      <c r="BT93" s="127"/>
      <c r="BV93" s="155"/>
      <c r="BW93" s="127"/>
      <c r="BX93" s="127"/>
      <c r="BY93" s="127"/>
      <c r="BZ93" s="127"/>
      <c r="CA93" s="123"/>
      <c r="CB93" s="155"/>
      <c r="CC93" s="127"/>
      <c r="CD93" s="127"/>
      <c r="CE93" s="127"/>
      <c r="CF93" s="127"/>
      <c r="CG93" s="123"/>
      <c r="CH93" s="155"/>
      <c r="CI93" s="127"/>
      <c r="CJ93" s="127"/>
      <c r="CK93" s="127"/>
      <c r="CL93" s="127"/>
      <c r="CM93" s="127"/>
      <c r="CN93" s="155"/>
      <c r="CO93" s="127"/>
      <c r="CP93" s="127"/>
      <c r="CQ93" s="127"/>
      <c r="CR93" s="127"/>
      <c r="CT93" s="155"/>
      <c r="CU93" s="127"/>
      <c r="CV93" s="127"/>
      <c r="CW93" s="127"/>
      <c r="CX93" s="127"/>
      <c r="CY93" s="123"/>
      <c r="CZ93" s="155"/>
      <c r="DA93" s="127"/>
      <c r="DB93" s="127"/>
      <c r="DC93" s="127"/>
      <c r="DD93" s="127"/>
      <c r="DE93" s="123"/>
      <c r="DF93" s="155"/>
      <c r="DG93" s="127"/>
      <c r="DH93" s="127"/>
      <c r="DI93" s="127"/>
      <c r="DJ93" s="127"/>
      <c r="DK93" s="127"/>
      <c r="DL93" s="155"/>
      <c r="DM93" s="127"/>
      <c r="DN93" s="127"/>
      <c r="DO93" s="127"/>
      <c r="DP93" s="127"/>
    </row>
    <row r="94" spans="1:120" x14ac:dyDescent="0.2">
      <c r="A94" s="123" t="str">
        <f>name!C3</f>
        <v>All industries</v>
      </c>
      <c r="B94" s="155">
        <f t="shared" si="68"/>
        <v>2.7912372459239387</v>
      </c>
      <c r="C94" s="127">
        <f>C50</f>
        <v>4561.2992279926211</v>
      </c>
      <c r="D94" s="127">
        <f>D50</f>
        <v>431.97496524334053</v>
      </c>
      <c r="E94" s="127">
        <f>E50</f>
        <v>1445.5882710202891</v>
      </c>
      <c r="F94" s="127">
        <f>F50</f>
        <v>1877.5632362636297</v>
      </c>
      <c r="G94" s="123"/>
      <c r="H94" s="155">
        <f t="shared" si="69"/>
        <v>2.6517730789267446</v>
      </c>
      <c r="I94" s="127">
        <f>I50</f>
        <v>774.77767553257945</v>
      </c>
      <c r="J94" s="127">
        <f>J50</f>
        <v>-90.9176985646708</v>
      </c>
      <c r="K94" s="127">
        <f>K50</f>
        <v>231.78692033646578</v>
      </c>
      <c r="L94" s="127">
        <f>L50</f>
        <v>140.86922177179497</v>
      </c>
      <c r="M94" s="123"/>
      <c r="N94" s="155">
        <f t="shared" si="70"/>
        <v>2.6893242464146816</v>
      </c>
      <c r="O94" s="127">
        <f>O50</f>
        <v>1810.6123702397726</v>
      </c>
      <c r="P94" s="127">
        <f>P50</f>
        <v>208.84741372398935</v>
      </c>
      <c r="Q94" s="127">
        <f>Q50</f>
        <v>550.29225403969679</v>
      </c>
      <c r="R94" s="127">
        <f>R50</f>
        <v>759.13966776368613</v>
      </c>
      <c r="S94" s="127"/>
      <c r="T94" s="155">
        <f t="shared" si="71"/>
        <v>2.9376202991175049</v>
      </c>
      <c r="U94" s="127">
        <f>U50</f>
        <v>1975.9091822202711</v>
      </c>
      <c r="V94" s="127">
        <f>V50</f>
        <v>314.04525008402186</v>
      </c>
      <c r="W94" s="127">
        <f>W50</f>
        <v>663.50909664412427</v>
      </c>
      <c r="X94" s="127">
        <f>X50</f>
        <v>977.55434672814613</v>
      </c>
      <c r="Y94" s="146" t="str">
        <f>A94</f>
        <v>All industries</v>
      </c>
      <c r="Z94" s="155">
        <f>IF(AA94&gt;0,((1+(AC94/AA94))^(1/($A$101-$A$100))-1)*100,0)</f>
        <v>2.9771972098236787</v>
      </c>
      <c r="AA94" s="127">
        <f>AA50</f>
        <v>2141.7348734083043</v>
      </c>
      <c r="AB94" s="127">
        <f>AB50</f>
        <v>328.18012130131888</v>
      </c>
      <c r="AC94" s="127">
        <f>AC50</f>
        <v>730.21185757939747</v>
      </c>
      <c r="AD94" s="127">
        <f>AD50</f>
        <v>1058.3919788807164</v>
      </c>
      <c r="AE94" s="123"/>
      <c r="AF94" s="155">
        <f>IF(AG94&gt;0,((1+(AI94/AG94))^(1/($A$101-$A$100))-1)*100,0)</f>
        <v>3.0280155732974823</v>
      </c>
      <c r="AG94" s="127">
        <f>AG50</f>
        <v>114.36183531349347</v>
      </c>
      <c r="AH94" s="127">
        <f>AH50</f>
        <v>10.806009020856356</v>
      </c>
      <c r="AI94" s="127">
        <f>AI50</f>
        <v>39.749458273691218</v>
      </c>
      <c r="AJ94" s="127">
        <f>AJ50</f>
        <v>50.555467294547576</v>
      </c>
      <c r="AK94" s="123"/>
      <c r="AL94" s="155">
        <f>IF(AM94&gt;0,((1+(AO94/AM94))^(1/($A$101-$A$100))-1)*100,0)</f>
        <v>2.9663353480916088</v>
      </c>
      <c r="AM94" s="127">
        <f>AM50</f>
        <v>484.03376220781502</v>
      </c>
      <c r="AN94" s="127">
        <f>AN50</f>
        <v>80.752171418150368</v>
      </c>
      <c r="AO94" s="127">
        <f>AO50</f>
        <v>164.34415782441963</v>
      </c>
      <c r="AP94" s="127">
        <f>AP50</f>
        <v>245.09632924256999</v>
      </c>
      <c r="AQ94" s="127"/>
      <c r="AR94" s="155">
        <f>IF(AS94&gt;0,((1+(AU94/AS94))^(1/($A$101-$A$100))-1)*100,0)</f>
        <v>2.9768281396108875</v>
      </c>
      <c r="AS94" s="127">
        <f>AS50</f>
        <v>1543.3392758869961</v>
      </c>
      <c r="AT94" s="127">
        <f>AT50</f>
        <v>236.62194086231219</v>
      </c>
      <c r="AU94" s="127">
        <f>AU50</f>
        <v>526.11824148128676</v>
      </c>
      <c r="AV94" s="127">
        <f>AV50</f>
        <v>762.74018234359892</v>
      </c>
      <c r="AW94" s="146" t="str">
        <f>Y94</f>
        <v>All industries</v>
      </c>
      <c r="AX94" s="155">
        <f>IF(AY94&gt;0,((1+(BA94/AY94))^(1/($A$101-$A$100))-1)*100,0)</f>
        <v>2.5960689907792656</v>
      </c>
      <c r="AY94" s="127">
        <f>AY50</f>
        <v>1169.4910110900296</v>
      </c>
      <c r="AZ94" s="127">
        <f>AZ50</f>
        <v>61.012733866251224</v>
      </c>
      <c r="BA94" s="127">
        <f>BA50</f>
        <v>341.64688672572964</v>
      </c>
      <c r="BB94" s="127">
        <f>BB50</f>
        <v>402.65962059198085</v>
      </c>
      <c r="BC94" s="123"/>
      <c r="BD94" s="155">
        <f>IF(BE94&gt;0,((1+(BG94/BE94))^(1/($A$101-$A$100))-1)*100,0)</f>
        <v>2.5108134589674425</v>
      </c>
      <c r="BE94" s="127">
        <f>BE50</f>
        <v>196.77997170605971</v>
      </c>
      <c r="BF94" s="127">
        <f>BF50</f>
        <v>-19.19988351079143</v>
      </c>
      <c r="BG94" s="127">
        <f>BG50</f>
        <v>55.380896948664599</v>
      </c>
      <c r="BH94" s="127">
        <f>BH50</f>
        <v>36.181013437873169</v>
      </c>
      <c r="BI94" s="123"/>
      <c r="BJ94" s="155">
        <f>IF(BK94&gt;0,((1+(BM94/BK94))^(1/($A$101-$A$100))-1)*100,0)</f>
        <v>2.5531077119064882</v>
      </c>
      <c r="BK94" s="127">
        <f>BK50</f>
        <v>650.12175377402275</v>
      </c>
      <c r="BL94" s="127">
        <f>BL50</f>
        <v>42.192712487148434</v>
      </c>
      <c r="BM94" s="127">
        <f>BM50</f>
        <v>186.41100647521165</v>
      </c>
      <c r="BN94" s="127">
        <f>BN50</f>
        <v>228.60371896236009</v>
      </c>
      <c r="BO94" s="127"/>
      <c r="BP94" s="155">
        <f>IF(BQ94&gt;0,((1+(BS94/BQ94))^(1/($A$101-$A$100))-1)*100,0)</f>
        <v>2.7334678665663192</v>
      </c>
      <c r="BQ94" s="127">
        <f>BQ50</f>
        <v>322.58928560994713</v>
      </c>
      <c r="BR94" s="127">
        <f>BR50</f>
        <v>38.019904889894228</v>
      </c>
      <c r="BS94" s="127">
        <f>BS50</f>
        <v>99.854983301853494</v>
      </c>
      <c r="BT94" s="127">
        <f>BT50</f>
        <v>137.87488819174771</v>
      </c>
      <c r="BU94" s="146" t="str">
        <f>AW94</f>
        <v>All industries</v>
      </c>
      <c r="BV94" s="155">
        <f>IF(BW94&gt;0,((1+(BY94/BW94))^(1/($A$101-$A$100))-1)*100,0)</f>
        <v>2.5889208699682698</v>
      </c>
      <c r="BW94" s="127">
        <f>BW50</f>
        <v>786.26148565798121</v>
      </c>
      <c r="BX94" s="127">
        <f>BX50</f>
        <v>-16.768227409449015</v>
      </c>
      <c r="BY94" s="127">
        <f>BY50</f>
        <v>228.98528730973825</v>
      </c>
      <c r="BZ94" s="127">
        <f>BZ50</f>
        <v>212.21705990028923</v>
      </c>
      <c r="CA94" s="123"/>
      <c r="CB94" s="155">
        <f>IF(CC94&gt;0,((1+(CE94/CC94))^(1/($A$101-$A$100))-1)*100,0)</f>
        <v>2.5278948366694864</v>
      </c>
      <c r="CC94" s="127">
        <f>CC50</f>
        <v>257.91842111045776</v>
      </c>
      <c r="CD94" s="127">
        <f>CD50</f>
        <v>-52.179148361626908</v>
      </c>
      <c r="CE94" s="127">
        <f>CE50</f>
        <v>73.138570554183204</v>
      </c>
      <c r="CF94" s="127">
        <f>CF50</f>
        <v>20.959422192556296</v>
      </c>
      <c r="CG94" s="123"/>
      <c r="CH94" s="155">
        <f>IF(CI94&gt;0,((1+(CK94/CI94))^(1/($A$101-$A$100))-1)*100,0)</f>
        <v>2.5655949055339189</v>
      </c>
      <c r="CI94" s="127">
        <f>CI50</f>
        <v>462.50112579230256</v>
      </c>
      <c r="CJ94" s="127">
        <f>CJ50</f>
        <v>18.263082416840735</v>
      </c>
      <c r="CK94" s="127">
        <f>CK50</f>
        <v>133.33911166207648</v>
      </c>
      <c r="CL94" s="127">
        <f>CL50</f>
        <v>151.60219407891722</v>
      </c>
      <c r="CM94" s="127"/>
      <c r="CN94" s="155">
        <f>IF(CO94&gt;0,((1+(CQ94/CO94))^(1/($A$101-$A$100))-1)*100,0)</f>
        <v>2.9840981402702971</v>
      </c>
      <c r="CO94" s="127">
        <f>CO50</f>
        <v>65.841938755220539</v>
      </c>
      <c r="CP94" s="127">
        <f>CP50</f>
        <v>17.147838535337179</v>
      </c>
      <c r="CQ94" s="127">
        <f>CQ50</f>
        <v>22.507605093478684</v>
      </c>
      <c r="CR94" s="127">
        <f>CR50</f>
        <v>39.65544362881586</v>
      </c>
      <c r="CS94" s="146" t="str">
        <f>BU94</f>
        <v>All industries</v>
      </c>
      <c r="CT94" s="155">
        <f>IF(CU94&gt;0,((1+(CW94/CU94))^(1/($A$101-$A$100))-1)*100,0)</f>
        <v>2.7533233225370157</v>
      </c>
      <c r="CU94" s="127">
        <f>CU50</f>
        <v>463.81185783630696</v>
      </c>
      <c r="CV94" s="127">
        <f>CV50</f>
        <v>59.550337485219423</v>
      </c>
      <c r="CW94" s="127">
        <f>CW50</f>
        <v>144.74423940542175</v>
      </c>
      <c r="CX94" s="127">
        <f>CX50</f>
        <v>204.29457689064117</v>
      </c>
      <c r="CY94" s="123"/>
      <c r="CZ94" s="155">
        <f>IF(DA94&gt;0,((1+(DC94/DA94))^(1/($A$101-$A$100))-1)*100,0)</f>
        <v>2.7273559755584653</v>
      </c>
      <c r="DA94" s="127">
        <f>DA50</f>
        <v>205.71744740256855</v>
      </c>
      <c r="DB94" s="127">
        <f>DB50</f>
        <v>-30.344675713108767</v>
      </c>
      <c r="DC94" s="127">
        <f>DC50</f>
        <v>63.517994559926827</v>
      </c>
      <c r="DD94" s="127">
        <f>DD50</f>
        <v>33.173318846818063</v>
      </c>
      <c r="DE94" s="123"/>
      <c r="DF94" s="155">
        <f>IF(DG94&gt;0,((1+(DI94/DG94))^(1/($A$101-$A$100))-1)*100,0)</f>
        <v>2.7323553670193235</v>
      </c>
      <c r="DG94" s="127">
        <f>DG50</f>
        <v>213.95572846563186</v>
      </c>
      <c r="DH94" s="127">
        <f>DH50</f>
        <v>67.639447401849822</v>
      </c>
      <c r="DI94" s="127">
        <f>DI50</f>
        <v>66.197978077989319</v>
      </c>
      <c r="DJ94" s="127">
        <f>DJ50</f>
        <v>133.83742547983914</v>
      </c>
      <c r="DK94" s="127"/>
      <c r="DL94" s="155">
        <f>IF(DM94&gt;0,((1+(DO94/DM94))^(1/($A$101-$A$100))-1)*100,0)</f>
        <v>2.9736201868302725</v>
      </c>
      <c r="DM94" s="127">
        <f>DM50</f>
        <v>44.13868196810671</v>
      </c>
      <c r="DN94" s="127">
        <f>DN50</f>
        <v>22.25556579647839</v>
      </c>
      <c r="DO94" s="127">
        <f>DO50</f>
        <v>15.028266767505601</v>
      </c>
      <c r="DP94" s="127">
        <f>DP50</f>
        <v>37.283832563983992</v>
      </c>
    </row>
    <row r="95" spans="1:120" x14ac:dyDescent="0.2">
      <c r="A95" s="132"/>
      <c r="B95" s="151"/>
      <c r="C95" s="151"/>
      <c r="D95" s="151"/>
      <c r="E95" s="151"/>
      <c r="F95" s="151"/>
      <c r="G95" s="132"/>
      <c r="H95" s="151"/>
      <c r="I95" s="151"/>
      <c r="J95" s="151"/>
      <c r="K95" s="151"/>
      <c r="L95" s="151"/>
      <c r="M95" s="132"/>
      <c r="N95" s="132"/>
      <c r="O95" s="151"/>
      <c r="P95" s="151"/>
      <c r="Q95" s="151"/>
      <c r="R95" s="151"/>
      <c r="S95" s="151"/>
      <c r="T95" s="132"/>
      <c r="U95" s="151"/>
      <c r="V95" s="151"/>
      <c r="W95" s="151"/>
      <c r="X95" s="151"/>
      <c r="Y95" s="132"/>
      <c r="Z95" s="151"/>
      <c r="AA95" s="151"/>
      <c r="AB95" s="151"/>
      <c r="AC95" s="151"/>
      <c r="AD95" s="151"/>
      <c r="AE95" s="132"/>
      <c r="AF95" s="151"/>
      <c r="AG95" s="151"/>
      <c r="AH95" s="151"/>
      <c r="AI95" s="151"/>
      <c r="AJ95" s="151"/>
      <c r="AK95" s="132"/>
      <c r="AL95" s="132"/>
      <c r="AM95" s="151"/>
      <c r="AN95" s="151"/>
      <c r="AO95" s="151"/>
      <c r="AP95" s="151"/>
      <c r="AQ95" s="151"/>
      <c r="AR95" s="132"/>
      <c r="AS95" s="151"/>
      <c r="AT95" s="151"/>
      <c r="AU95" s="151"/>
      <c r="AV95" s="151"/>
      <c r="AW95" s="132"/>
      <c r="AX95" s="151"/>
      <c r="AY95" s="151"/>
      <c r="AZ95" s="151"/>
      <c r="BA95" s="151"/>
      <c r="BB95" s="151"/>
      <c r="BC95" s="132"/>
      <c r="BD95" s="151"/>
      <c r="BE95" s="151"/>
      <c r="BF95" s="151"/>
      <c r="BG95" s="151"/>
      <c r="BH95" s="151"/>
      <c r="BI95" s="132"/>
      <c r="BJ95" s="132"/>
      <c r="BK95" s="151"/>
      <c r="BL95" s="151"/>
      <c r="BM95" s="151"/>
      <c r="BN95" s="151"/>
      <c r="BO95" s="151"/>
      <c r="BP95" s="132"/>
      <c r="BQ95" s="151"/>
      <c r="BR95" s="151"/>
      <c r="BS95" s="151"/>
      <c r="BT95" s="151"/>
      <c r="BU95" s="132"/>
      <c r="BV95" s="151"/>
      <c r="BW95" s="151"/>
      <c r="BX95" s="151"/>
      <c r="BY95" s="151"/>
      <c r="BZ95" s="151"/>
      <c r="CA95" s="132"/>
      <c r="CB95" s="151"/>
      <c r="CC95" s="151"/>
      <c r="CD95" s="151"/>
      <c r="CE95" s="151"/>
      <c r="CF95" s="151"/>
      <c r="CG95" s="132"/>
      <c r="CH95" s="132"/>
      <c r="CI95" s="151"/>
      <c r="CJ95" s="151"/>
      <c r="CK95" s="151"/>
      <c r="CL95" s="151"/>
      <c r="CM95" s="151"/>
      <c r="CN95" s="132"/>
      <c r="CO95" s="151"/>
      <c r="CP95" s="151"/>
      <c r="CQ95" s="151"/>
      <c r="CR95" s="151"/>
      <c r="CS95" s="132"/>
      <c r="CT95" s="151"/>
      <c r="CU95" s="151"/>
      <c r="CV95" s="151"/>
      <c r="CW95" s="151"/>
      <c r="CX95" s="151"/>
      <c r="CY95" s="132"/>
      <c r="CZ95" s="151"/>
      <c r="DA95" s="151"/>
      <c r="DB95" s="151"/>
      <c r="DC95" s="151"/>
      <c r="DD95" s="151"/>
      <c r="DE95" s="132"/>
      <c r="DF95" s="132"/>
      <c r="DG95" s="151"/>
      <c r="DH95" s="151"/>
      <c r="DI95" s="151"/>
      <c r="DJ95" s="151"/>
      <c r="DK95" s="151"/>
      <c r="DL95" s="132"/>
      <c r="DM95" s="151"/>
      <c r="DN95" s="151"/>
      <c r="DO95" s="151"/>
      <c r="DP95" s="151"/>
    </row>
    <row r="96" spans="1:120" x14ac:dyDescent="0.2">
      <c r="A96" s="123" t="str">
        <f ca="1">CELL("filename")</f>
        <v>S:\Gateway Web Design\12.LMI\2020.07.29 Gateway LMI\[WA_MainTables.Main.xlsx]Warning</v>
      </c>
      <c r="Y96" s="123" t="str">
        <f ca="1">CELL("filename")</f>
        <v>S:\Gateway Web Design\12.LMI\2020.07.29 Gateway LMI\[WA_MainTables.Main.xlsx]Warning</v>
      </c>
      <c r="AW96" s="123" t="str">
        <f ca="1">CELL("filename")</f>
        <v>S:\Gateway Web Design\12.LMI\2020.07.29 Gateway LMI\[WA_MainTables.Main.xlsx]Warning</v>
      </c>
      <c r="BU96" s="123" t="str">
        <f ca="1">CELL("filename")</f>
        <v>S:\Gateway Web Design\12.LMI\2020.07.29 Gateway LMI\[WA_MainTables.Main.xlsx]Warning</v>
      </c>
      <c r="CS96" s="123" t="str">
        <f ca="1">CELL("filename")</f>
        <v>S:\Gateway Web Design\12.LMI\2020.07.29 Gateway LMI\[WA_MainTables.Main.xlsx]Warning</v>
      </c>
    </row>
    <row r="99" spans="1:1" x14ac:dyDescent="0.2">
      <c r="A99" s="123" t="s">
        <v>45</v>
      </c>
    </row>
    <row r="100" spans="1:1" x14ac:dyDescent="0.2">
      <c r="A100" s="123">
        <v>2015</v>
      </c>
    </row>
    <row r="101" spans="1:1" x14ac:dyDescent="0.2">
      <c r="A101" s="123">
        <v>2025</v>
      </c>
    </row>
  </sheetData>
  <mergeCells count="60">
    <mergeCell ref="DL83:DP83"/>
    <mergeCell ref="N83:R83"/>
    <mergeCell ref="T83:X83"/>
    <mergeCell ref="N56:R56"/>
    <mergeCell ref="T56:X56"/>
    <mergeCell ref="BP56:BT56"/>
    <mergeCell ref="CH56:CL56"/>
    <mergeCell ref="CN56:CR56"/>
    <mergeCell ref="DF56:DJ56"/>
    <mergeCell ref="DL56:DP56"/>
    <mergeCell ref="BJ83:BN83"/>
    <mergeCell ref="BP83:BT83"/>
    <mergeCell ref="CH83:CL83"/>
    <mergeCell ref="CN83:CR83"/>
    <mergeCell ref="DF83:DJ83"/>
    <mergeCell ref="CT83:CX83"/>
    <mergeCell ref="CZ83:DD83"/>
    <mergeCell ref="N4:R4"/>
    <mergeCell ref="T4:X4"/>
    <mergeCell ref="AL4:AP4"/>
    <mergeCell ref="AR4:AV4"/>
    <mergeCell ref="BJ4:BN4"/>
    <mergeCell ref="BP4:BT4"/>
    <mergeCell ref="CT4:CX4"/>
    <mergeCell ref="CZ4:DD4"/>
    <mergeCell ref="CT56:CX56"/>
    <mergeCell ref="CZ56:DD56"/>
    <mergeCell ref="AL56:AP56"/>
    <mergeCell ref="AR56:AV56"/>
    <mergeCell ref="AL83:AP83"/>
    <mergeCell ref="AR83:AV83"/>
    <mergeCell ref="Z4:AD4"/>
    <mergeCell ref="DF4:DJ4"/>
    <mergeCell ref="DL4:DP4"/>
    <mergeCell ref="AX83:BB83"/>
    <mergeCell ref="BD83:BH83"/>
    <mergeCell ref="CH4:CL4"/>
    <mergeCell ref="CN4:CR4"/>
    <mergeCell ref="CB56:CF56"/>
    <mergeCell ref="BV83:BZ83"/>
    <mergeCell ref="CB83:CF83"/>
    <mergeCell ref="AX4:BB4"/>
    <mergeCell ref="BD4:BH4"/>
    <mergeCell ref="AX56:BB56"/>
    <mergeCell ref="BD56:BH56"/>
    <mergeCell ref="BJ56:BN56"/>
    <mergeCell ref="BV4:BZ4"/>
    <mergeCell ref="CB4:CF4"/>
    <mergeCell ref="BV56:BZ56"/>
    <mergeCell ref="B83:F83"/>
    <mergeCell ref="H83:L83"/>
    <mergeCell ref="B4:F4"/>
    <mergeCell ref="H4:L4"/>
    <mergeCell ref="B56:F56"/>
    <mergeCell ref="H56:L56"/>
    <mergeCell ref="AF4:AJ4"/>
    <mergeCell ref="Z56:AD56"/>
    <mergeCell ref="AF56:AJ56"/>
    <mergeCell ref="Z83:AD83"/>
    <mergeCell ref="AF83:AJ83"/>
  </mergeCells>
  <pageMargins left="0.31496062992125984" right="0.31496062992125984" top="0.74803149606299213" bottom="0.74803149606299213" header="0.31496062992125984" footer="0.31496062992125984"/>
  <pageSetup paperSize="9" scale="65" pageOrder="overThenDown" orientation="landscape" r:id="rId1"/>
  <rowBreaks count="2" manualBreakCount="2">
    <brk id="52" max="16383" man="1"/>
    <brk id="96" max="16383" man="1"/>
  </rowBreaks>
  <colBreaks count="4" manualBreakCount="4">
    <brk id="24" max="1048575" man="1"/>
    <brk id="48" max="1048575" man="1"/>
    <brk id="96" max="1048575" man="1"/>
    <brk id="120" max="1048575" man="1"/>
  </colBreaks>
  <ignoredErrors>
    <ignoredError sqref="F8:F48 L8 L9:L50 F50 R8:R50 X8:X50 AD8:AD50 AJ8:AJ50 AP8:AP50 AV8:AV50 BB8:BB50 BH8:BH50 BN8:BN50 BT8:BT50 BZ8:BZ50 CF8:CF50 CL8:CM50 CR8:CR50 CX8:CX50 DD8:DD50 DJ8:DJ50 DP8:DP50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F81"/>
  <sheetViews>
    <sheetView zoomScale="85" zoomScaleNormal="85" zoomScaleSheetLayoutView="85" workbookViewId="0">
      <selection activeCell="E45" sqref="E45"/>
    </sheetView>
  </sheetViews>
  <sheetFormatPr defaultColWidth="9.140625" defaultRowHeight="12.75" x14ac:dyDescent="0.2"/>
  <cols>
    <col min="1" max="1" width="50.7109375" style="178" customWidth="1"/>
    <col min="2" max="2" width="13" style="178" customWidth="1"/>
    <col min="3" max="3" width="9.7109375" style="178" customWidth="1"/>
    <col min="4" max="4" width="10.140625" style="178" customWidth="1"/>
    <col min="5" max="5" width="13" style="178" customWidth="1"/>
    <col min="6" max="6" width="9.7109375" style="178" customWidth="1"/>
    <col min="7" max="7" width="3.7109375" style="178" customWidth="1"/>
    <col min="8" max="9" width="10.140625" style="178" customWidth="1"/>
    <col min="10" max="10" width="3.7109375" style="178" customWidth="1"/>
    <col min="11" max="12" width="10.140625" style="178" customWidth="1"/>
    <col min="13" max="13" width="3.7109375" style="178" customWidth="1"/>
    <col min="14" max="14" width="11.42578125" style="178" customWidth="1"/>
    <col min="15" max="15" width="10.140625" style="178" customWidth="1"/>
    <col min="16" max="16" width="3.7109375" style="178" customWidth="1"/>
    <col min="17" max="18" width="10.140625" style="178" customWidth="1"/>
    <col min="19" max="19" width="2.42578125" style="178" customWidth="1"/>
    <col min="20" max="21" width="13" style="178" customWidth="1"/>
    <col min="22" max="22" width="13" style="191" customWidth="1"/>
    <col min="23" max="23" width="23.28515625" style="178" customWidth="1"/>
    <col min="24" max="24" width="9.140625" style="178"/>
    <col min="25" max="25" width="12.28515625" style="178" customWidth="1"/>
    <col min="26" max="26" width="10.85546875" style="178" customWidth="1"/>
    <col min="27" max="27" width="8.140625" style="178" customWidth="1"/>
    <col min="28" max="28" width="8" style="178" customWidth="1"/>
    <col min="29" max="16384" width="9.140625" style="178"/>
  </cols>
  <sheetData>
    <row r="1" spans="1:32" ht="12.75" customHeight="1" x14ac:dyDescent="0.2">
      <c r="A1" s="176" t="e">
        <f>CONCATENATE("Table 4.6  Shift-share by industry, ",I3)</f>
        <v>#REF!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</row>
    <row r="2" spans="1:32" ht="12.75" customHeight="1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532" t="s">
        <v>53</v>
      </c>
      <c r="L2" s="532"/>
      <c r="M2" s="532"/>
      <c r="N2" s="532"/>
      <c r="O2" s="532"/>
      <c r="P2" s="532"/>
      <c r="Q2" s="532"/>
      <c r="R2" s="532"/>
      <c r="S2" s="285"/>
      <c r="T2" s="285"/>
      <c r="U2" s="177"/>
    </row>
    <row r="3" spans="1:32" ht="12.75" customHeight="1" x14ac:dyDescent="0.2">
      <c r="A3" s="177"/>
      <c r="B3" s="179" t="s">
        <v>54</v>
      </c>
      <c r="C3" s="180" t="e">
        <f>#REF!</f>
        <v>#REF!</v>
      </c>
      <c r="D3" s="176"/>
      <c r="E3" s="179" t="s">
        <v>55</v>
      </c>
      <c r="F3" s="180" t="e">
        <f>#REF!</f>
        <v>#REF!</v>
      </c>
      <c r="G3" s="176"/>
      <c r="H3" s="179" t="s">
        <v>18</v>
      </c>
      <c r="I3" s="179" t="e">
        <f>CONCATENATE(C3,"-",F3)</f>
        <v>#REF!</v>
      </c>
      <c r="J3" s="181"/>
      <c r="K3" s="533" t="s">
        <v>56</v>
      </c>
      <c r="L3" s="533"/>
      <c r="M3" s="176"/>
      <c r="N3" s="534" t="s">
        <v>69</v>
      </c>
      <c r="O3" s="534"/>
      <c r="P3" s="176"/>
      <c r="Q3" s="534" t="s">
        <v>68</v>
      </c>
      <c r="R3" s="534"/>
      <c r="S3" s="283"/>
      <c r="T3" s="284" t="s">
        <v>72</v>
      </c>
      <c r="U3" s="212" t="s">
        <v>71</v>
      </c>
      <c r="V3" s="236"/>
      <c r="AA3" s="230"/>
      <c r="AD3" s="230"/>
    </row>
    <row r="4" spans="1:32" ht="12.75" customHeight="1" x14ac:dyDescent="0.2">
      <c r="A4" s="182" t="s">
        <v>59</v>
      </c>
      <c r="B4" s="183" t="s">
        <v>60</v>
      </c>
      <c r="C4" s="183" t="s">
        <v>61</v>
      </c>
      <c r="D4" s="181"/>
      <c r="E4" s="183" t="str">
        <f>B4</f>
        <v>000s</v>
      </c>
      <c r="F4" s="183" t="str">
        <f>C4</f>
        <v>% share</v>
      </c>
      <c r="G4" s="181"/>
      <c r="H4" s="183" t="str">
        <f>E4</f>
        <v>000s</v>
      </c>
      <c r="I4" s="183" t="s">
        <v>62</v>
      </c>
      <c r="J4" s="181"/>
      <c r="K4" s="183" t="str">
        <f>H4</f>
        <v>000s</v>
      </c>
      <c r="L4" s="183" t="str">
        <f>I4</f>
        <v xml:space="preserve">%   </v>
      </c>
      <c r="M4" s="181"/>
      <c r="N4" s="183" t="str">
        <f>K4</f>
        <v>000s</v>
      </c>
      <c r="O4" s="183" t="str">
        <f>L4</f>
        <v xml:space="preserve">%   </v>
      </c>
      <c r="P4" s="181"/>
      <c r="Q4" s="183" t="str">
        <f>N4</f>
        <v>000s</v>
      </c>
      <c r="R4" s="183" t="str">
        <f>O4</f>
        <v xml:space="preserve">%   </v>
      </c>
      <c r="S4" s="213"/>
      <c r="T4" s="183"/>
      <c r="U4" s="237"/>
      <c r="V4" s="236"/>
      <c r="W4" s="239"/>
      <c r="Y4" s="231"/>
      <c r="Z4" s="231"/>
      <c r="AA4" s="230"/>
      <c r="AB4" s="231"/>
      <c r="AC4" s="230"/>
    </row>
    <row r="5" spans="1:32" ht="12.75" customHeight="1" x14ac:dyDescent="0.2">
      <c r="A5" s="182"/>
      <c r="B5" s="179"/>
      <c r="C5" s="228"/>
      <c r="D5" s="181" t="s">
        <v>70</v>
      </c>
      <c r="E5" s="179"/>
      <c r="F5" s="228"/>
      <c r="G5" s="181"/>
      <c r="H5" s="179"/>
      <c r="I5" s="179"/>
      <c r="J5" s="181"/>
      <c r="K5" s="179"/>
      <c r="L5" s="179"/>
      <c r="M5" s="181"/>
      <c r="N5" s="179"/>
      <c r="O5" s="179"/>
      <c r="P5" s="181"/>
      <c r="Q5" s="228"/>
      <c r="R5" s="228"/>
      <c r="S5" s="183"/>
      <c r="T5" s="183"/>
      <c r="U5" s="214"/>
      <c r="V5" s="236"/>
      <c r="W5" s="186"/>
    </row>
    <row r="6" spans="1:32" x14ac:dyDescent="0.2">
      <c r="A6" s="41" t="str">
        <f>name!A4</f>
        <v>Agriculture, etc</v>
      </c>
      <c r="B6" s="204">
        <v>290.31999999994002</v>
      </c>
      <c r="C6" s="192">
        <v>0.93859557238401636</v>
      </c>
      <c r="D6" s="234">
        <v>100</v>
      </c>
      <c r="E6" s="208">
        <v>302.0150000000844</v>
      </c>
      <c r="F6" s="192">
        <v>0.90967729595909619</v>
      </c>
      <c r="G6" s="199"/>
      <c r="H6" s="208">
        <v>11.695000000144354</v>
      </c>
      <c r="I6" s="193">
        <v>4.0283135850601992</v>
      </c>
      <c r="J6" s="199"/>
      <c r="K6" s="208">
        <v>21.295935731168065</v>
      </c>
      <c r="L6" s="193">
        <v>7.3353319547990026</v>
      </c>
      <c r="M6" s="199"/>
      <c r="N6" s="208">
        <v>-0.65613111154677028</v>
      </c>
      <c r="O6" s="193">
        <v>-0.22600272511260189</v>
      </c>
      <c r="P6" s="199"/>
      <c r="Q6" s="209">
        <v>-8.9448046194769404</v>
      </c>
      <c r="R6" s="192">
        <v>-3.0810156446262016</v>
      </c>
      <c r="S6" s="192"/>
      <c r="T6" s="232">
        <v>290.31999999994002</v>
      </c>
      <c r="U6" s="233">
        <v>302.0150000000844</v>
      </c>
      <c r="V6" s="240"/>
      <c r="Y6" s="184"/>
      <c r="Z6" s="207"/>
      <c r="AA6" s="207"/>
      <c r="AB6" s="184"/>
      <c r="AC6" s="207"/>
      <c r="AE6" s="184"/>
      <c r="AF6" s="207"/>
    </row>
    <row r="7" spans="1:32" x14ac:dyDescent="0.2">
      <c r="A7" s="2" t="str">
        <f>name!A5</f>
        <v>Coal, oil &amp; gas; Mining &amp; related</v>
      </c>
      <c r="B7" s="205">
        <v>12.074999999997509</v>
      </c>
      <c r="C7" s="192">
        <v>3.9038101186749101E-2</v>
      </c>
      <c r="D7" s="235">
        <v>100</v>
      </c>
      <c r="E7" s="209">
        <v>12.334000000003453</v>
      </c>
      <c r="F7" s="192">
        <v>3.715033944790655E-2</v>
      </c>
      <c r="G7" s="200"/>
      <c r="H7" s="209">
        <v>0.25900000000594448</v>
      </c>
      <c r="I7" s="192">
        <v>2.1449275362815561</v>
      </c>
      <c r="J7" s="200"/>
      <c r="K7" s="209">
        <v>0.88574133354179663</v>
      </c>
      <c r="L7" s="192">
        <v>7.3353319547990017</v>
      </c>
      <c r="M7" s="200"/>
      <c r="N7" s="209">
        <v>-4.283170925688029E-2</v>
      </c>
      <c r="O7" s="192">
        <v>-0.35471394829721842</v>
      </c>
      <c r="P7" s="200"/>
      <c r="Q7" s="209">
        <v>-0.58390962427897186</v>
      </c>
      <c r="R7" s="192">
        <v>-4.8356904702202259</v>
      </c>
      <c r="S7" s="192"/>
      <c r="T7" s="232">
        <v>12.074999999997509</v>
      </c>
      <c r="U7" s="233">
        <v>12.334000000003453</v>
      </c>
      <c r="V7" s="240"/>
      <c r="W7" s="186"/>
      <c r="Y7" s="184"/>
      <c r="Z7" s="207"/>
      <c r="AA7" s="207"/>
      <c r="AB7" s="184"/>
      <c r="AC7" s="207"/>
      <c r="AE7" s="184"/>
      <c r="AF7" s="207"/>
    </row>
    <row r="8" spans="1:32" x14ac:dyDescent="0.2">
      <c r="A8" s="2" t="str">
        <f>name!A6</f>
        <v>Food products</v>
      </c>
      <c r="B8" s="205">
        <v>10.050999999997924</v>
      </c>
      <c r="C8" s="192">
        <v>3.2494571844970191E-2</v>
      </c>
      <c r="D8" s="235">
        <v>100</v>
      </c>
      <c r="E8" s="209">
        <v>9.1810000000025642</v>
      </c>
      <c r="F8" s="192">
        <v>2.7653418718277107E-2</v>
      </c>
      <c r="G8" s="200"/>
      <c r="H8" s="209">
        <v>-0.86999999999535793</v>
      </c>
      <c r="I8" s="192">
        <v>-8.6558551387477642</v>
      </c>
      <c r="J8" s="200"/>
      <c r="K8" s="209">
        <v>0.7372742147766953</v>
      </c>
      <c r="L8" s="192">
        <v>7.3353319547990017</v>
      </c>
      <c r="M8" s="200"/>
      <c r="N8" s="209">
        <v>-0.1098416494645672</v>
      </c>
      <c r="O8" s="192">
        <v>-1.0928429953695145</v>
      </c>
      <c r="P8" s="200"/>
      <c r="Q8" s="209">
        <v>-1.497432565307486</v>
      </c>
      <c r="R8" s="192">
        <v>-14.898344098177249</v>
      </c>
      <c r="S8" s="192"/>
      <c r="T8" s="232">
        <v>10.050999999997924</v>
      </c>
      <c r="U8" s="233">
        <v>9.1810000000025642</v>
      </c>
      <c r="V8" s="240"/>
      <c r="Y8" s="184"/>
      <c r="Z8" s="207"/>
      <c r="AA8" s="207"/>
      <c r="AB8" s="184"/>
      <c r="AC8" s="207"/>
      <c r="AE8" s="184"/>
      <c r="AF8" s="207"/>
    </row>
    <row r="9" spans="1:32" x14ac:dyDescent="0.2">
      <c r="A9" s="2" t="str">
        <f>name!A7</f>
        <v>Beverages and tobacco</v>
      </c>
      <c r="B9" s="205">
        <v>2.1699999999991144</v>
      </c>
      <c r="C9" s="192">
        <v>7.0155428219650902E-3</v>
      </c>
      <c r="D9" s="235">
        <v>100</v>
      </c>
      <c r="E9" s="209">
        <v>1.1269999999995304</v>
      </c>
      <c r="F9" s="192">
        <v>3.3945542855327972E-3</v>
      </c>
      <c r="G9" s="200"/>
      <c r="H9" s="209">
        <v>-1.042999999999584</v>
      </c>
      <c r="I9" s="192">
        <v>-48.064516129032704</v>
      </c>
      <c r="J9" s="200"/>
      <c r="K9" s="209">
        <v>0.15917670341907339</v>
      </c>
      <c r="L9" s="192">
        <v>7.3353319547990026</v>
      </c>
      <c r="M9" s="200"/>
      <c r="N9" s="209">
        <v>-8.2157152051436144E-2</v>
      </c>
      <c r="O9" s="192">
        <v>-3.786043873339616</v>
      </c>
      <c r="P9" s="200"/>
      <c r="Q9" s="209">
        <v>-1.1200195513672213</v>
      </c>
      <c r="R9" s="192">
        <v>-51.613804210492084</v>
      </c>
      <c r="S9" s="192"/>
      <c r="T9" s="232">
        <v>2.1699999999991144</v>
      </c>
      <c r="U9" s="233">
        <v>1.1269999999995304</v>
      </c>
      <c r="V9" s="240"/>
      <c r="W9" s="194"/>
      <c r="Y9" s="184"/>
      <c r="Z9" s="207"/>
      <c r="AA9" s="207"/>
      <c r="AB9" s="184"/>
      <c r="AC9" s="207"/>
      <c r="AE9" s="184"/>
      <c r="AF9" s="207"/>
    </row>
    <row r="10" spans="1:32" x14ac:dyDescent="0.2">
      <c r="A10" s="2" t="str">
        <f>name!A8</f>
        <v>Textiles</v>
      </c>
      <c r="B10" s="205">
        <v>11.083999999995481</v>
      </c>
      <c r="C10" s="192">
        <v>3.5834228865742432E-2</v>
      </c>
      <c r="D10" s="235">
        <v>100</v>
      </c>
      <c r="E10" s="209">
        <v>7.2319999999969857</v>
      </c>
      <c r="F10" s="192">
        <v>2.1782978343365737E-2</v>
      </c>
      <c r="G10" s="200"/>
      <c r="H10" s="209">
        <v>-3.851999999998494</v>
      </c>
      <c r="I10" s="192">
        <v>-34.75279682425176</v>
      </c>
      <c r="J10" s="200"/>
      <c r="K10" s="209">
        <v>0.81304819386958971</v>
      </c>
      <c r="L10" s="192">
        <v>7.3353319547989999</v>
      </c>
      <c r="M10" s="200"/>
      <c r="N10" s="209">
        <v>-0.31881093078995182</v>
      </c>
      <c r="O10" s="192">
        <v>-2.8763165895893343</v>
      </c>
      <c r="P10" s="200"/>
      <c r="Q10" s="209">
        <v>-4.3462372630781321</v>
      </c>
      <c r="R10" s="192">
        <v>-39.211812189461426</v>
      </c>
      <c r="S10" s="192"/>
      <c r="T10" s="232">
        <v>11.083999999995481</v>
      </c>
      <c r="U10" s="233">
        <v>7.2319999999969857</v>
      </c>
      <c r="V10" s="240"/>
      <c r="W10" s="191"/>
      <c r="Y10" s="184"/>
      <c r="Z10" s="207"/>
      <c r="AA10" s="207"/>
      <c r="AB10" s="184"/>
      <c r="AC10" s="207"/>
      <c r="AE10" s="184"/>
      <c r="AF10" s="207"/>
    </row>
    <row r="11" spans="1:32" x14ac:dyDescent="0.2">
      <c r="A11" s="2" t="str">
        <f>name!A9</f>
        <v>Wearing apparel; Leather, etc</v>
      </c>
      <c r="B11" s="205">
        <v>37.589999999984677</v>
      </c>
      <c r="C11" s="192">
        <v>0.12152730630307274</v>
      </c>
      <c r="D11" s="235">
        <v>100</v>
      </c>
      <c r="E11" s="209">
        <v>29.919999999987525</v>
      </c>
      <c r="F11" s="192">
        <v>9.0119844031181243E-2</v>
      </c>
      <c r="G11" s="200"/>
      <c r="H11" s="209">
        <v>-7.6699999999971515</v>
      </c>
      <c r="I11" s="192">
        <v>-20.404362862464161</v>
      </c>
      <c r="J11" s="200"/>
      <c r="K11" s="209">
        <v>2.7573512818078205</v>
      </c>
      <c r="L11" s="192">
        <v>7.3353319547990017</v>
      </c>
      <c r="M11" s="200"/>
      <c r="N11" s="209">
        <v>-0.7126086226066608</v>
      </c>
      <c r="O11" s="192">
        <v>-1.8957398845622542</v>
      </c>
      <c r="P11" s="200"/>
      <c r="Q11" s="209">
        <v>-9.7147426591983113</v>
      </c>
      <c r="R11" s="192">
        <v>-25.843954932700907</v>
      </c>
      <c r="S11" s="192"/>
      <c r="T11" s="232">
        <v>37.589999999984677</v>
      </c>
      <c r="U11" s="233">
        <v>29.919999999987525</v>
      </c>
      <c r="V11" s="240"/>
      <c r="W11" s="194"/>
      <c r="Y11" s="184"/>
      <c r="Z11" s="207"/>
      <c r="AA11" s="207"/>
      <c r="AB11" s="184"/>
      <c r="AC11" s="207"/>
      <c r="AE11" s="184"/>
      <c r="AF11" s="207"/>
    </row>
    <row r="12" spans="1:32" x14ac:dyDescent="0.2">
      <c r="A12" s="2" t="str">
        <f>name!A10</f>
        <v xml:space="preserve">Wood and cork </v>
      </c>
      <c r="B12" s="205">
        <v>395.97300000001809</v>
      </c>
      <c r="C12" s="192">
        <v>1.2801684506190061</v>
      </c>
      <c r="D12" s="235">
        <v>100</v>
      </c>
      <c r="E12" s="209">
        <v>368.47099999980418</v>
      </c>
      <c r="F12" s="192">
        <v>1.1098445538104806</v>
      </c>
      <c r="G12" s="200"/>
      <c r="H12" s="209">
        <v>-27.502000000213915</v>
      </c>
      <c r="I12" s="192">
        <v>-6.945423046574553</v>
      </c>
      <c r="J12" s="200"/>
      <c r="K12" s="209">
        <v>29.045934001377578</v>
      </c>
      <c r="L12" s="192">
        <v>7.3353319547990017</v>
      </c>
      <c r="M12" s="200"/>
      <c r="N12" s="209">
        <v>-3.864504443275159</v>
      </c>
      <c r="O12" s="192">
        <v>-0.97595150257087782</v>
      </c>
      <c r="P12" s="200"/>
      <c r="Q12" s="209">
        <v>-52.683429558316334</v>
      </c>
      <c r="R12" s="192">
        <v>-13.304803498802679</v>
      </c>
      <c r="S12" s="192"/>
      <c r="T12" s="232">
        <v>395.97300000001809</v>
      </c>
      <c r="U12" s="233">
        <v>368.47099999980418</v>
      </c>
      <c r="V12" s="240"/>
      <c r="W12" s="191"/>
      <c r="Y12" s="184"/>
      <c r="Z12" s="207"/>
      <c r="AA12" s="207"/>
      <c r="AB12" s="184"/>
      <c r="AC12" s="207"/>
      <c r="AE12" s="184"/>
      <c r="AF12" s="207"/>
    </row>
    <row r="13" spans="1:32" x14ac:dyDescent="0.2">
      <c r="A13" s="2" t="str">
        <f>name!A11</f>
        <v>Paper, etc</v>
      </c>
      <c r="B13" s="205">
        <v>75.845999999976854</v>
      </c>
      <c r="C13" s="192">
        <v>0.24520776998839583</v>
      </c>
      <c r="D13" s="235">
        <v>100</v>
      </c>
      <c r="E13" s="209">
        <v>49.305999999976621</v>
      </c>
      <c r="F13" s="192">
        <v>0.14851099698533315</v>
      </c>
      <c r="G13" s="200"/>
      <c r="H13" s="209">
        <v>-26.540000000000227</v>
      </c>
      <c r="I13" s="192">
        <v>-34.991957387348478</v>
      </c>
      <c r="J13" s="200"/>
      <c r="K13" s="209">
        <v>5.5635558744351528</v>
      </c>
      <c r="L13" s="192">
        <v>7.3353319547990017</v>
      </c>
      <c r="M13" s="200"/>
      <c r="N13" s="209">
        <v>-2.1939675871835931</v>
      </c>
      <c r="O13" s="192">
        <v>-2.8926609012792532</v>
      </c>
      <c r="P13" s="200"/>
      <c r="Q13" s="209">
        <v>-29.909588287251786</v>
      </c>
      <c r="R13" s="192">
        <v>-39.434628440868224</v>
      </c>
      <c r="S13" s="192"/>
      <c r="T13" s="232">
        <v>75.845999999976854</v>
      </c>
      <c r="U13" s="233">
        <v>49.305999999976621</v>
      </c>
      <c r="V13" s="240"/>
      <c r="W13" s="191"/>
      <c r="Y13" s="184"/>
      <c r="Z13" s="207"/>
      <c r="AA13" s="207"/>
      <c r="AB13" s="184"/>
      <c r="AC13" s="207"/>
      <c r="AE13" s="184"/>
      <c r="AF13" s="207"/>
    </row>
    <row r="14" spans="1:32" x14ac:dyDescent="0.2">
      <c r="A14" s="2" t="str">
        <f>name!A12</f>
        <v>Printing and recording</v>
      </c>
      <c r="B14" s="205">
        <v>73.1450000000373</v>
      </c>
      <c r="C14" s="192">
        <v>0.2364755206051187</v>
      </c>
      <c r="D14" s="235">
        <v>100</v>
      </c>
      <c r="E14" s="209">
        <v>122.94699999997626</v>
      </c>
      <c r="F14" s="192">
        <v>0.37031966791791843</v>
      </c>
      <c r="G14" s="200"/>
      <c r="H14" s="209">
        <v>49.801999999938957</v>
      </c>
      <c r="I14" s="192">
        <v>68.086677148012257</v>
      </c>
      <c r="J14" s="200"/>
      <c r="K14" s="209">
        <v>5.3654285583404651</v>
      </c>
      <c r="L14" s="192">
        <v>7.3353319547989999</v>
      </c>
      <c r="M14" s="200"/>
      <c r="N14" s="209">
        <v>3.0368099350038165</v>
      </c>
      <c r="O14" s="192">
        <v>4.1517669492135729</v>
      </c>
      <c r="P14" s="200"/>
      <c r="Q14" s="209">
        <v>41.399761506594672</v>
      </c>
      <c r="R14" s="192">
        <v>56.599578243999673</v>
      </c>
      <c r="S14" s="192"/>
      <c r="T14" s="232">
        <v>73.1450000000373</v>
      </c>
      <c r="U14" s="233">
        <v>122.94699999997626</v>
      </c>
      <c r="V14" s="240"/>
      <c r="Y14" s="184"/>
      <c r="Z14" s="207"/>
      <c r="AA14" s="207"/>
      <c r="AB14" s="184"/>
      <c r="AC14" s="207"/>
      <c r="AE14" s="184"/>
      <c r="AF14" s="207"/>
    </row>
    <row r="15" spans="1:32" x14ac:dyDescent="0.2">
      <c r="A15" s="2" t="str">
        <f>name!A13</f>
        <v>Coke and petroleum; Chemicals, etc</v>
      </c>
      <c r="B15" s="205">
        <v>80.073000000040807</v>
      </c>
      <c r="C15" s="192">
        <v>0.25887353013074937</v>
      </c>
      <c r="D15" s="235">
        <v>100</v>
      </c>
      <c r="E15" s="209">
        <v>72.98899999998595</v>
      </c>
      <c r="F15" s="192">
        <v>0.2198448294115429</v>
      </c>
      <c r="G15" s="200"/>
      <c r="H15" s="209">
        <v>-7.0840000000548606</v>
      </c>
      <c r="I15" s="192">
        <v>-8.846927179013214</v>
      </c>
      <c r="J15" s="200"/>
      <c r="K15" s="209">
        <v>5.873620356169198</v>
      </c>
      <c r="L15" s="192">
        <v>7.3353319547990017</v>
      </c>
      <c r="M15" s="200"/>
      <c r="N15" s="209">
        <v>-0.88552804492364956</v>
      </c>
      <c r="O15" s="192">
        <v>-1.1059009215630717</v>
      </c>
      <c r="P15" s="200"/>
      <c r="Q15" s="209">
        <v>-12.072092311300409</v>
      </c>
      <c r="R15" s="192">
        <v>-15.076358212249144</v>
      </c>
      <c r="S15" s="192"/>
      <c r="T15" s="232">
        <v>80.073000000040807</v>
      </c>
      <c r="U15" s="233">
        <v>72.98899999998595</v>
      </c>
      <c r="V15" s="240"/>
      <c r="Y15" s="184"/>
      <c r="Z15" s="207"/>
      <c r="AA15" s="207"/>
      <c r="AB15" s="184"/>
      <c r="AC15" s="207"/>
      <c r="AE15" s="184"/>
      <c r="AF15" s="207"/>
    </row>
    <row r="16" spans="1:32" x14ac:dyDescent="0.2">
      <c r="A16" s="2" t="str">
        <f>name!A14</f>
        <v>Pharmaceuticals</v>
      </c>
      <c r="B16" s="205">
        <v>104.71500000005337</v>
      </c>
      <c r="C16" s="192">
        <v>0.33854035327315601</v>
      </c>
      <c r="D16" s="235">
        <v>100</v>
      </c>
      <c r="E16" s="209">
        <v>86.702999999983263</v>
      </c>
      <c r="F16" s="192">
        <v>0.26115176594375861</v>
      </c>
      <c r="G16" s="200"/>
      <c r="H16" s="209">
        <v>-18.012000000070095</v>
      </c>
      <c r="I16" s="192">
        <v>-17.200974072540628</v>
      </c>
      <c r="J16" s="200"/>
      <c r="K16" s="209">
        <v>7.6811928564716885</v>
      </c>
      <c r="L16" s="192">
        <v>7.3353319547990017</v>
      </c>
      <c r="M16" s="200"/>
      <c r="N16" s="209">
        <v>-1.7558812662057193</v>
      </c>
      <c r="O16" s="192">
        <v>-1.6768192390821033</v>
      </c>
      <c r="P16" s="200"/>
      <c r="Q16" s="209">
        <v>-23.937311590336066</v>
      </c>
      <c r="R16" s="192">
        <v>-22.859486788257524</v>
      </c>
      <c r="S16" s="192"/>
      <c r="T16" s="232">
        <v>104.71500000005337</v>
      </c>
      <c r="U16" s="233">
        <v>86.702999999983263</v>
      </c>
      <c r="V16" s="240"/>
      <c r="Y16" s="184"/>
      <c r="Z16" s="207"/>
      <c r="AA16" s="207"/>
      <c r="AB16" s="184"/>
      <c r="AC16" s="207"/>
      <c r="AE16" s="184"/>
      <c r="AF16" s="207"/>
    </row>
    <row r="17" spans="1:32" x14ac:dyDescent="0.2">
      <c r="A17" s="2" t="str">
        <f>name!A15</f>
        <v>Rubber and plastic</v>
      </c>
      <c r="B17" s="205">
        <v>11.055999999985691</v>
      </c>
      <c r="C17" s="192">
        <v>3.5743705732524098E-2</v>
      </c>
      <c r="D17" s="235">
        <v>100</v>
      </c>
      <c r="E17" s="209">
        <v>18.25699999999954</v>
      </c>
      <c r="F17" s="192">
        <v>5.4990574614903753E-2</v>
      </c>
      <c r="G17" s="200"/>
      <c r="H17" s="209">
        <v>7.2010000000138481</v>
      </c>
      <c r="I17" s="192">
        <v>65.132054992973664</v>
      </c>
      <c r="J17" s="200"/>
      <c r="K17" s="209">
        <v>0.81099430092152791</v>
      </c>
      <c r="L17" s="192">
        <v>7.3353319547990017</v>
      </c>
      <c r="M17" s="200"/>
      <c r="N17" s="209">
        <v>0.43669509510288052</v>
      </c>
      <c r="O17" s="192">
        <v>3.9498470975347839</v>
      </c>
      <c r="P17" s="200"/>
      <c r="Q17" s="209">
        <v>5.9533106039894399</v>
      </c>
      <c r="R17" s="192">
        <v>53.846875940639883</v>
      </c>
      <c r="S17" s="192"/>
      <c r="T17" s="232">
        <v>11.055999999985691</v>
      </c>
      <c r="U17" s="233">
        <v>18.25699999999954</v>
      </c>
      <c r="V17" s="240"/>
      <c r="Y17" s="184"/>
      <c r="Z17" s="207"/>
      <c r="AA17" s="207"/>
      <c r="AB17" s="184"/>
      <c r="AC17" s="207"/>
      <c r="AE17" s="184"/>
      <c r="AF17" s="207"/>
    </row>
    <row r="18" spans="1:32" x14ac:dyDescent="0.2">
      <c r="A18" s="2" t="str">
        <f>name!A16</f>
        <v>Other non-metallic</v>
      </c>
      <c r="B18" s="205">
        <v>93.389000000008025</v>
      </c>
      <c r="C18" s="192">
        <v>0.30192374589899607</v>
      </c>
      <c r="D18" s="235">
        <v>100</v>
      </c>
      <c r="E18" s="209">
        <v>88.958999999932729</v>
      </c>
      <c r="F18" s="192">
        <v>0.26794689856842019</v>
      </c>
      <c r="G18" s="200"/>
      <c r="H18" s="209">
        <v>-4.4300000000752915</v>
      </c>
      <c r="I18" s="192">
        <v>-4.7435993533231011</v>
      </c>
      <c r="J18" s="200"/>
      <c r="K18" s="209">
        <v>6.8503931592678278</v>
      </c>
      <c r="L18" s="192">
        <v>7.3353319547990017</v>
      </c>
      <c r="M18" s="200"/>
      <c r="N18" s="209">
        <v>-0.77090578561093448</v>
      </c>
      <c r="O18" s="192">
        <v>-0.82547814583180912</v>
      </c>
      <c r="P18" s="200"/>
      <c r="Q18" s="209">
        <v>-10.509487373732185</v>
      </c>
      <c r="R18" s="192">
        <v>-11.253453162290294</v>
      </c>
      <c r="S18" s="192"/>
      <c r="T18" s="232">
        <v>93.389000000008025</v>
      </c>
      <c r="U18" s="233">
        <v>88.958999999932729</v>
      </c>
      <c r="V18" s="240"/>
      <c r="Y18" s="184"/>
      <c r="Z18" s="207"/>
      <c r="AA18" s="207"/>
      <c r="AB18" s="184"/>
      <c r="AC18" s="207"/>
      <c r="AE18" s="184"/>
      <c r="AF18" s="207"/>
    </row>
    <row r="19" spans="1:32" x14ac:dyDescent="0.2">
      <c r="A19" s="2" t="str">
        <f>name!A17</f>
        <v>Basic metals</v>
      </c>
      <c r="B19" s="205">
        <v>27.854999999989587</v>
      </c>
      <c r="C19" s="192">
        <v>9.0054352675504282E-2</v>
      </c>
      <c r="D19" s="235">
        <v>100</v>
      </c>
      <c r="E19" s="209">
        <v>33.922000000006818</v>
      </c>
      <c r="F19" s="192">
        <v>0.1021739755757894</v>
      </c>
      <c r="G19" s="200"/>
      <c r="H19" s="209">
        <v>6.0670000000172291</v>
      </c>
      <c r="I19" s="192">
        <v>21.78064979364386</v>
      </c>
      <c r="J19" s="200"/>
      <c r="K19" s="209">
        <v>2.0432567160084982</v>
      </c>
      <c r="L19" s="192">
        <v>7.3353319547990017</v>
      </c>
      <c r="M19" s="200"/>
      <c r="N19" s="209">
        <v>0.27498394192814857</v>
      </c>
      <c r="O19" s="192">
        <v>0.98719778111021839</v>
      </c>
      <c r="P19" s="200"/>
      <c r="Q19" s="209">
        <v>3.7487593420805823</v>
      </c>
      <c r="R19" s="192">
        <v>13.458120057734638</v>
      </c>
      <c r="S19" s="192"/>
      <c r="T19" s="232">
        <v>27.854999999989587</v>
      </c>
      <c r="U19" s="233">
        <v>33.922000000006818</v>
      </c>
      <c r="V19" s="240"/>
      <c r="Y19" s="184"/>
      <c r="Z19" s="207"/>
      <c r="AA19" s="207"/>
      <c r="AB19" s="184"/>
      <c r="AC19" s="207"/>
      <c r="AE19" s="184"/>
      <c r="AF19" s="207"/>
    </row>
    <row r="20" spans="1:32" x14ac:dyDescent="0.2">
      <c r="A20" s="2" t="str">
        <f>name!A18</f>
        <v>Metal products</v>
      </c>
      <c r="B20" s="205">
        <v>171.25499999999897</v>
      </c>
      <c r="C20" s="192">
        <v>0.55366211335304816</v>
      </c>
      <c r="D20" s="235">
        <v>100</v>
      </c>
      <c r="E20" s="209">
        <v>174.72100000005108</v>
      </c>
      <c r="F20" s="192">
        <v>0.52626434722537385</v>
      </c>
      <c r="G20" s="200"/>
      <c r="H20" s="209">
        <v>3.4660000000520959</v>
      </c>
      <c r="I20" s="192">
        <v>2.0238825144095745</v>
      </c>
      <c r="J20" s="200"/>
      <c r="K20" s="209">
        <v>12.562122739190956</v>
      </c>
      <c r="L20" s="192">
        <v>7.3353319547990026</v>
      </c>
      <c r="M20" s="200"/>
      <c r="N20" s="209">
        <v>-0.62163202533603767</v>
      </c>
      <c r="O20" s="192">
        <v>-0.36298620497856493</v>
      </c>
      <c r="P20" s="200"/>
      <c r="Q20" s="209">
        <v>-8.4744907138028225</v>
      </c>
      <c r="R20" s="192">
        <v>-4.9484632354108635</v>
      </c>
      <c r="S20" s="192"/>
      <c r="T20" s="232">
        <v>171.25499999999897</v>
      </c>
      <c r="U20" s="233">
        <v>174.72100000005108</v>
      </c>
      <c r="V20" s="240"/>
      <c r="Y20" s="184"/>
      <c r="Z20" s="207"/>
      <c r="AA20" s="207"/>
      <c r="AB20" s="184"/>
      <c r="AC20" s="207"/>
      <c r="AE20" s="184"/>
      <c r="AF20" s="207"/>
    </row>
    <row r="21" spans="1:32" x14ac:dyDescent="0.2">
      <c r="A21" s="2" t="str">
        <f>name!A19</f>
        <v>Computer, etc</v>
      </c>
      <c r="B21" s="205">
        <v>80.063999999999524</v>
      </c>
      <c r="C21" s="192">
        <v>0.25884443340923446</v>
      </c>
      <c r="D21" s="235">
        <v>100</v>
      </c>
      <c r="E21" s="209">
        <v>93.491000000027313</v>
      </c>
      <c r="F21" s="192">
        <v>0.28159740435578678</v>
      </c>
      <c r="G21" s="200"/>
      <c r="H21" s="209">
        <v>13.427000000027794</v>
      </c>
      <c r="I21" s="192">
        <v>16.770333733048403</v>
      </c>
      <c r="J21" s="200"/>
      <c r="K21" s="209">
        <v>5.8729601762902375</v>
      </c>
      <c r="L21" s="192">
        <v>7.3353319547990017</v>
      </c>
      <c r="M21" s="200"/>
      <c r="N21" s="209">
        <v>0.51624557075223443</v>
      </c>
      <c r="O21" s="192">
        <v>0.64479113053586812</v>
      </c>
      <c r="P21" s="200"/>
      <c r="Q21" s="209">
        <v>7.0377942529853215</v>
      </c>
      <c r="R21" s="192">
        <v>8.7902106477135344</v>
      </c>
      <c r="S21" s="192"/>
      <c r="T21" s="232">
        <v>80.063999999999524</v>
      </c>
      <c r="U21" s="233">
        <v>93.491000000027313</v>
      </c>
      <c r="V21" s="240"/>
      <c r="Y21" s="184"/>
      <c r="Z21" s="207"/>
      <c r="AA21" s="207"/>
      <c r="AB21" s="184"/>
      <c r="AC21" s="207"/>
      <c r="AE21" s="184"/>
      <c r="AF21" s="207"/>
    </row>
    <row r="22" spans="1:32" x14ac:dyDescent="0.2">
      <c r="A22" s="2" t="str">
        <f>name!A20</f>
        <v>Electrical equipment</v>
      </c>
      <c r="B22" s="205">
        <v>66.058000000045865</v>
      </c>
      <c r="C22" s="192">
        <v>0.21356346900178841</v>
      </c>
      <c r="D22" s="235">
        <v>100</v>
      </c>
      <c r="E22" s="209">
        <v>69.29699999994429</v>
      </c>
      <c r="F22" s="192">
        <v>0.20872442619740475</v>
      </c>
      <c r="G22" s="200"/>
      <c r="H22" s="209">
        <v>3.2389999998984278</v>
      </c>
      <c r="I22" s="192">
        <v>4.9032668259653311</v>
      </c>
      <c r="J22" s="200"/>
      <c r="K22" s="209">
        <v>4.845573582704489</v>
      </c>
      <c r="L22" s="192">
        <v>7.3353319547990017</v>
      </c>
      <c r="M22" s="200"/>
      <c r="N22" s="209">
        <v>-0.10979376804513397</v>
      </c>
      <c r="O22" s="192">
        <v>-0.16620813231562828</v>
      </c>
      <c r="P22" s="200"/>
      <c r="Q22" s="209">
        <v>-1.4967798147609273</v>
      </c>
      <c r="R22" s="192">
        <v>-2.2658569965180417</v>
      </c>
      <c r="S22" s="192"/>
      <c r="T22" s="232">
        <v>66.058000000045865</v>
      </c>
      <c r="U22" s="233">
        <v>69.29699999994429</v>
      </c>
      <c r="V22" s="240"/>
      <c r="Y22" s="184"/>
      <c r="Z22" s="207"/>
      <c r="AA22" s="207"/>
      <c r="AB22" s="184"/>
      <c r="AC22" s="207"/>
      <c r="AE22" s="184"/>
      <c r="AF22" s="207"/>
    </row>
    <row r="23" spans="1:32" x14ac:dyDescent="0.2">
      <c r="A23" s="2" t="str">
        <f>name!A21</f>
        <v>Machinery n.e.c.</v>
      </c>
      <c r="B23" s="205">
        <v>320.67900000022286</v>
      </c>
      <c r="C23" s="192">
        <v>1.036745279542592</v>
      </c>
      <c r="D23" s="235">
        <v>100</v>
      </c>
      <c r="E23" s="209">
        <v>294.9469999997628</v>
      </c>
      <c r="F23" s="192">
        <v>0.88838829002187569</v>
      </c>
      <c r="G23" s="200"/>
      <c r="H23" s="209">
        <v>-25.732000000460072</v>
      </c>
      <c r="I23" s="192">
        <v>-8.0242236006854792</v>
      </c>
      <c r="J23" s="200"/>
      <c r="K23" s="209">
        <v>23.522869159346239</v>
      </c>
      <c r="L23" s="192">
        <v>7.3353319547990017</v>
      </c>
      <c r="M23" s="200"/>
      <c r="N23" s="209">
        <v>-3.366093988785714</v>
      </c>
      <c r="O23" s="192">
        <v>-1.0496770879238662</v>
      </c>
      <c r="P23" s="200"/>
      <c r="Q23" s="209">
        <v>-45.888775171020598</v>
      </c>
      <c r="R23" s="192">
        <v>-14.309878467560615</v>
      </c>
      <c r="S23" s="192"/>
      <c r="T23" s="232">
        <v>320.67900000022286</v>
      </c>
      <c r="U23" s="233">
        <v>294.9469999997628</v>
      </c>
      <c r="V23" s="240"/>
      <c r="Y23" s="184"/>
      <c r="Z23" s="207"/>
      <c r="AA23" s="207"/>
      <c r="AB23" s="184"/>
      <c r="AC23" s="207"/>
      <c r="AE23" s="184"/>
      <c r="AF23" s="207"/>
    </row>
    <row r="24" spans="1:32" x14ac:dyDescent="0.2">
      <c r="A24" s="2" t="str">
        <f>name!A22</f>
        <v>Motor vehicles, etc</v>
      </c>
      <c r="B24" s="205">
        <v>140.47299999999331</v>
      </c>
      <c r="C24" s="192">
        <v>0.45414486029044115</v>
      </c>
      <c r="D24" s="235">
        <v>100</v>
      </c>
      <c r="E24" s="209">
        <v>162.91900000005276</v>
      </c>
      <c r="F24" s="192">
        <v>0.49071640607375983</v>
      </c>
      <c r="G24" s="200"/>
      <c r="H24" s="209">
        <v>22.44600000005946</v>
      </c>
      <c r="I24" s="192">
        <v>15.97887138457962</v>
      </c>
      <c r="J24" s="200"/>
      <c r="K24" s="209">
        <v>10.304160856864311</v>
      </c>
      <c r="L24" s="192">
        <v>7.3353319547990017</v>
      </c>
      <c r="M24" s="200"/>
      <c r="N24" s="209">
        <v>0.82977728801001405</v>
      </c>
      <c r="O24" s="192">
        <v>0.59070233283980089</v>
      </c>
      <c r="P24" s="200"/>
      <c r="Q24" s="209">
        <v>11.312061855185135</v>
      </c>
      <c r="R24" s="192">
        <v>8.0528370969408165</v>
      </c>
      <c r="S24" s="192"/>
      <c r="T24" s="232">
        <v>140.47299999999331</v>
      </c>
      <c r="U24" s="233">
        <v>162.91900000005276</v>
      </c>
      <c r="V24" s="240"/>
      <c r="Y24" s="184"/>
      <c r="Z24" s="207"/>
      <c r="AA24" s="207"/>
      <c r="AB24" s="184"/>
      <c r="AC24" s="207"/>
      <c r="AE24" s="184"/>
      <c r="AF24" s="207"/>
    </row>
    <row r="25" spans="1:32" x14ac:dyDescent="0.2">
      <c r="A25" s="2" t="str">
        <f>name!A23</f>
        <v>Other transport equipment</v>
      </c>
      <c r="B25" s="205">
        <v>67.744000000034035</v>
      </c>
      <c r="C25" s="192">
        <v>0.21901425480720543</v>
      </c>
      <c r="D25" s="235">
        <v>100</v>
      </c>
      <c r="E25" s="209">
        <v>77.434000000005142</v>
      </c>
      <c r="F25" s="192">
        <v>0.23323328886075737</v>
      </c>
      <c r="G25" s="200"/>
      <c r="H25" s="209">
        <v>9.6899999999711</v>
      </c>
      <c r="I25" s="192">
        <v>14.303849787385202</v>
      </c>
      <c r="J25" s="200"/>
      <c r="K25" s="209">
        <v>4.9692472794615323</v>
      </c>
      <c r="L25" s="192">
        <v>7.3353319547990017</v>
      </c>
      <c r="M25" s="200"/>
      <c r="N25" s="209">
        <v>0.32261779649633304</v>
      </c>
      <c r="O25" s="192">
        <v>0.4762308049364829</v>
      </c>
      <c r="P25" s="200"/>
      <c r="Q25" s="209">
        <v>4.3981349240132346</v>
      </c>
      <c r="R25" s="192">
        <v>6.4922870276497182</v>
      </c>
      <c r="S25" s="192"/>
      <c r="T25" s="232">
        <v>67.744000000034035</v>
      </c>
      <c r="U25" s="233">
        <v>77.434000000005142</v>
      </c>
      <c r="V25" s="240"/>
      <c r="Y25" s="184"/>
      <c r="Z25" s="207"/>
      <c r="AA25" s="207"/>
      <c r="AB25" s="184"/>
      <c r="AC25" s="207"/>
      <c r="AE25" s="184"/>
      <c r="AF25" s="207"/>
    </row>
    <row r="26" spans="1:32" x14ac:dyDescent="0.2">
      <c r="A26" s="2" t="str">
        <f>name!A24</f>
        <v>Furniture</v>
      </c>
      <c r="B26" s="205">
        <v>182.40299999999939</v>
      </c>
      <c r="C26" s="192">
        <v>0.58970325223751896</v>
      </c>
      <c r="D26" s="235">
        <v>100</v>
      </c>
      <c r="E26" s="209">
        <v>185.13999999993501</v>
      </c>
      <c r="F26" s="192">
        <v>0.55764665521169765</v>
      </c>
      <c r="G26" s="200"/>
      <c r="H26" s="209">
        <v>2.7369999999356223</v>
      </c>
      <c r="I26" s="192">
        <v>1.5005235659148322</v>
      </c>
      <c r="J26" s="200"/>
      <c r="K26" s="209">
        <v>13.379865545511977</v>
      </c>
      <c r="L26" s="192">
        <v>7.3353319547990017</v>
      </c>
      <c r="M26" s="200"/>
      <c r="N26" s="209">
        <v>-0.727336938408782</v>
      </c>
      <c r="O26" s="192">
        <v>-0.39875272797529882</v>
      </c>
      <c r="P26" s="200"/>
      <c r="Q26" s="209">
        <v>-9.9155286071675732</v>
      </c>
      <c r="R26" s="192">
        <v>-5.4360556609088704</v>
      </c>
      <c r="S26" s="192"/>
      <c r="T26" s="232">
        <v>182.40299999999939</v>
      </c>
      <c r="U26" s="233">
        <v>185.13999999993501</v>
      </c>
      <c r="V26" s="240"/>
      <c r="Y26" s="184"/>
      <c r="Z26" s="207"/>
      <c r="AA26" s="207"/>
      <c r="AB26" s="184"/>
      <c r="AC26" s="207"/>
      <c r="AE26" s="184"/>
      <c r="AF26" s="207"/>
    </row>
    <row r="27" spans="1:32" x14ac:dyDescent="0.2">
      <c r="A27" s="2" t="str">
        <f>name!A25</f>
        <v>Other manufacturing</v>
      </c>
      <c r="B27" s="205">
        <v>90.135000000064551</v>
      </c>
      <c r="C27" s="192">
        <v>0.29140366463526929</v>
      </c>
      <c r="D27" s="235">
        <v>100</v>
      </c>
      <c r="E27" s="209">
        <v>65.68600000003066</v>
      </c>
      <c r="F27" s="192">
        <v>0.19784799716034099</v>
      </c>
      <c r="G27" s="200"/>
      <c r="H27" s="209">
        <v>-24.449000000033891</v>
      </c>
      <c r="I27" s="192">
        <v>-27.124868253193966</v>
      </c>
      <c r="J27" s="200"/>
      <c r="K27" s="209">
        <v>6.6117014574628152</v>
      </c>
      <c r="L27" s="192">
        <v>7.3353319547990017</v>
      </c>
      <c r="M27" s="200"/>
      <c r="N27" s="209">
        <v>-2.1226985726898846</v>
      </c>
      <c r="O27" s="192">
        <v>-2.3550214374974918</v>
      </c>
      <c r="P27" s="200"/>
      <c r="Q27" s="209">
        <v>-28.938002884806821</v>
      </c>
      <c r="R27" s="192">
        <v>-32.105178770495471</v>
      </c>
      <c r="S27" s="192"/>
      <c r="T27" s="232">
        <v>90.135000000064551</v>
      </c>
      <c r="U27" s="233">
        <v>65.68600000003066</v>
      </c>
      <c r="V27" s="240"/>
      <c r="Y27" s="184"/>
      <c r="Z27" s="207"/>
      <c r="AA27" s="207"/>
      <c r="AB27" s="184"/>
      <c r="AC27" s="207"/>
      <c r="AE27" s="184"/>
      <c r="AF27" s="207"/>
    </row>
    <row r="28" spans="1:32" x14ac:dyDescent="0.2">
      <c r="A28" s="2" t="str">
        <f>name!A26</f>
        <v>Repair and installation</v>
      </c>
      <c r="B28" s="205">
        <v>65.316000000028879</v>
      </c>
      <c r="C28" s="192">
        <v>0.2111646059722864</v>
      </c>
      <c r="D28" s="235">
        <v>100</v>
      </c>
      <c r="E28" s="209">
        <v>58.65599999997378</v>
      </c>
      <c r="F28" s="192">
        <v>0.17667344824508047</v>
      </c>
      <c r="G28" s="200"/>
      <c r="H28" s="209">
        <v>-6.6600000000551081</v>
      </c>
      <c r="I28" s="192">
        <v>-10.196582766936375</v>
      </c>
      <c r="J28" s="200"/>
      <c r="K28" s="209">
        <v>4.7911454195986343</v>
      </c>
      <c r="L28" s="192">
        <v>7.3353319547990017</v>
      </c>
      <c r="M28" s="200"/>
      <c r="N28" s="209">
        <v>-0.78257505134664118</v>
      </c>
      <c r="O28" s="192">
        <v>-1.1981368291786012</v>
      </c>
      <c r="P28" s="200"/>
      <c r="Q28" s="209">
        <v>-10.668570368307101</v>
      </c>
      <c r="R28" s="192">
        <v>-16.333777892556778</v>
      </c>
      <c r="S28" s="192"/>
      <c r="T28" s="232">
        <v>65.316000000028879</v>
      </c>
      <c r="U28" s="233">
        <v>58.65599999997378</v>
      </c>
      <c r="V28" s="240"/>
      <c r="Y28" s="184"/>
      <c r="Z28" s="207"/>
      <c r="AA28" s="207"/>
      <c r="AB28" s="184"/>
      <c r="AC28" s="207"/>
      <c r="AE28" s="184"/>
      <c r="AF28" s="207"/>
    </row>
    <row r="29" spans="1:32" x14ac:dyDescent="0.2">
      <c r="A29" s="2" t="str">
        <f>name!A27</f>
        <v>Electricity, gas, etc</v>
      </c>
      <c r="B29" s="205">
        <v>217.60999999992853</v>
      </c>
      <c r="C29" s="192">
        <v>0.70352639331241695</v>
      </c>
      <c r="D29" s="235">
        <v>100</v>
      </c>
      <c r="E29" s="209">
        <v>203.759000000095</v>
      </c>
      <c r="F29" s="192">
        <v>0.61372758355500256</v>
      </c>
      <c r="G29" s="200"/>
      <c r="H29" s="209">
        <v>-13.850999999833526</v>
      </c>
      <c r="I29" s="192">
        <v>-6.3650567528321655</v>
      </c>
      <c r="J29" s="200"/>
      <c r="K29" s="209">
        <v>15.962415866832863</v>
      </c>
      <c r="L29" s="192">
        <v>7.3353319547990017</v>
      </c>
      <c r="M29" s="200"/>
      <c r="N29" s="209">
        <v>-2.03745866440849</v>
      </c>
      <c r="O29" s="192">
        <v>-0.93628907881492551</v>
      </c>
      <c r="P29" s="200"/>
      <c r="Q29" s="209">
        <v>-27.775957202257899</v>
      </c>
      <c r="R29" s="192">
        <v>-12.764099628816242</v>
      </c>
      <c r="S29" s="192"/>
      <c r="T29" s="232">
        <v>217.60999999992853</v>
      </c>
      <c r="U29" s="233">
        <v>203.759000000095</v>
      </c>
      <c r="V29" s="240"/>
      <c r="W29" s="190"/>
      <c r="Y29" s="184"/>
      <c r="Z29" s="207"/>
      <c r="AA29" s="207"/>
      <c r="AB29" s="184"/>
      <c r="AC29" s="207"/>
      <c r="AE29" s="184"/>
      <c r="AF29" s="207"/>
    </row>
    <row r="30" spans="1:32" x14ac:dyDescent="0.2">
      <c r="A30" s="2" t="str">
        <f>name!A28</f>
        <v>Water</v>
      </c>
      <c r="B30" s="205">
        <v>76.56499999997483</v>
      </c>
      <c r="C30" s="192">
        <v>0.24753227472986161</v>
      </c>
      <c r="D30" s="235">
        <v>100</v>
      </c>
      <c r="E30" s="209">
        <v>91.782000000042814</v>
      </c>
      <c r="F30" s="192">
        <v>0.27644985043038717</v>
      </c>
      <c r="G30" s="200"/>
      <c r="H30" s="209">
        <v>15.217000000067987</v>
      </c>
      <c r="I30" s="192">
        <v>19.874616339153647</v>
      </c>
      <c r="J30" s="200"/>
      <c r="K30" s="209">
        <v>5.616296911190009</v>
      </c>
      <c r="L30" s="192">
        <v>7.3353319547990017</v>
      </c>
      <c r="M30" s="200"/>
      <c r="N30" s="209">
        <v>0.65611521270592732</v>
      </c>
      <c r="O30" s="192">
        <v>0.85693882675653765</v>
      </c>
      <c r="P30" s="200"/>
      <c r="Q30" s="209">
        <v>8.9445878761720508</v>
      </c>
      <c r="R30" s="192">
        <v>11.682345557598108</v>
      </c>
      <c r="S30" s="192"/>
      <c r="T30" s="232">
        <v>76.56499999997483</v>
      </c>
      <c r="U30" s="233">
        <v>91.782000000042814</v>
      </c>
      <c r="V30" s="240"/>
      <c r="Y30" s="184"/>
      <c r="Z30" s="207"/>
      <c r="AA30" s="207"/>
      <c r="AB30" s="184"/>
      <c r="AC30" s="207"/>
      <c r="AE30" s="184"/>
      <c r="AF30" s="207"/>
    </row>
    <row r="31" spans="1:32" x14ac:dyDescent="0.2">
      <c r="A31" s="2" t="str">
        <f>name!A29</f>
        <v>Sewerage</v>
      </c>
      <c r="B31" s="205">
        <v>82.465999999925302</v>
      </c>
      <c r="C31" s="192">
        <v>0.266610025048795</v>
      </c>
      <c r="D31" s="235">
        <v>100</v>
      </c>
      <c r="E31" s="209">
        <v>87.377999999966974</v>
      </c>
      <c r="F31" s="192">
        <v>0.26318488408278279</v>
      </c>
      <c r="G31" s="200"/>
      <c r="H31" s="209">
        <v>4.9120000000416617</v>
      </c>
      <c r="I31" s="192">
        <v>5.9563941503724092</v>
      </c>
      <c r="J31" s="200"/>
      <c r="K31" s="209">
        <v>6.0491548498390655</v>
      </c>
      <c r="L31" s="192">
        <v>7.3353319547990017</v>
      </c>
      <c r="M31" s="200"/>
      <c r="N31" s="209">
        <v>-7.7713537149029399E-2</v>
      </c>
      <c r="O31" s="192">
        <v>-9.4237063940411564E-2</v>
      </c>
      <c r="P31" s="200"/>
      <c r="Q31" s="209">
        <v>-1.0594413126483744</v>
      </c>
      <c r="R31" s="192">
        <v>-1.284700740486181</v>
      </c>
      <c r="S31" s="192"/>
      <c r="T31" s="232">
        <v>82.465999999925302</v>
      </c>
      <c r="U31" s="233">
        <v>87.377999999966974</v>
      </c>
      <c r="V31" s="240"/>
      <c r="Y31" s="184"/>
      <c r="Z31" s="207"/>
      <c r="AA31" s="207"/>
      <c r="AB31" s="184"/>
      <c r="AC31" s="207"/>
      <c r="AE31" s="184"/>
      <c r="AF31" s="207"/>
    </row>
    <row r="32" spans="1:32" x14ac:dyDescent="0.2">
      <c r="A32" s="2" t="str">
        <f>name!A30</f>
        <v>Waste management</v>
      </c>
      <c r="B32" s="205">
        <v>32.932999999964288</v>
      </c>
      <c r="C32" s="192">
        <v>0.10647136947263597</v>
      </c>
      <c r="D32" s="235">
        <v>100</v>
      </c>
      <c r="E32" s="209">
        <v>34.895000000015962</v>
      </c>
      <c r="F32" s="192">
        <v>0.10510467772295519</v>
      </c>
      <c r="G32" s="200"/>
      <c r="H32" s="209">
        <v>1.9620000000516737</v>
      </c>
      <c r="I32" s="192">
        <v>5.957550177796743</v>
      </c>
      <c r="J32" s="200"/>
      <c r="K32" s="209">
        <v>2.4157448726713358</v>
      </c>
      <c r="L32" s="192">
        <v>7.3353319547990017</v>
      </c>
      <c r="M32" s="200"/>
      <c r="N32" s="209">
        <v>-3.1009074112286816E-2</v>
      </c>
      <c r="O32" s="192">
        <v>-9.4158060645311514E-2</v>
      </c>
      <c r="P32" s="200"/>
      <c r="Q32" s="209">
        <v>-0.42273579850737519</v>
      </c>
      <c r="R32" s="192">
        <v>-1.2836237163569477</v>
      </c>
      <c r="S32" s="192"/>
      <c r="T32" s="232">
        <v>32.932999999964288</v>
      </c>
      <c r="U32" s="233">
        <v>34.895000000015962</v>
      </c>
      <c r="V32" s="240"/>
      <c r="Y32" s="184"/>
      <c r="Z32" s="207"/>
      <c r="AA32" s="207"/>
      <c r="AB32" s="184"/>
      <c r="AC32" s="207"/>
      <c r="AE32" s="184"/>
      <c r="AF32" s="207"/>
    </row>
    <row r="33" spans="1:32" x14ac:dyDescent="0.2">
      <c r="A33" s="2" t="str">
        <f>name!A31</f>
        <v>Construction</v>
      </c>
      <c r="B33" s="205">
        <v>35.430000000000284</v>
      </c>
      <c r="C33" s="192">
        <v>0.11454409317157906</v>
      </c>
      <c r="D33" s="235">
        <v>100</v>
      </c>
      <c r="E33" s="209">
        <v>35.217999999995349</v>
      </c>
      <c r="F33" s="192">
        <v>0.10607756240277558</v>
      </c>
      <c r="G33" s="200"/>
      <c r="H33" s="209">
        <v>-0.2120000000049331</v>
      </c>
      <c r="I33" s="192">
        <v>-0.59836296924903021</v>
      </c>
      <c r="J33" s="200"/>
      <c r="K33" s="209">
        <v>2.598908111585307</v>
      </c>
      <c r="L33" s="192">
        <v>7.3353319547990017</v>
      </c>
      <c r="M33" s="200"/>
      <c r="N33" s="209">
        <v>-0.19209838659309805</v>
      </c>
      <c r="O33" s="192">
        <v>-0.54219132541094139</v>
      </c>
      <c r="P33" s="200"/>
      <c r="Q33" s="209">
        <v>-2.618809724997142</v>
      </c>
      <c r="R33" s="192">
        <v>-7.3915035986370903</v>
      </c>
      <c r="S33" s="192"/>
      <c r="T33" s="232">
        <v>35.430000000000284</v>
      </c>
      <c r="U33" s="233">
        <v>35.217999999995349</v>
      </c>
      <c r="V33" s="240"/>
      <c r="Y33" s="184"/>
      <c r="Z33" s="207"/>
      <c r="AA33" s="207"/>
      <c r="AB33" s="184"/>
      <c r="AC33" s="207"/>
      <c r="AE33" s="184"/>
      <c r="AF33" s="207"/>
    </row>
    <row r="34" spans="1:32" x14ac:dyDescent="0.2">
      <c r="A34" s="2" t="str">
        <f>name!A32</f>
        <v>Civil engineering</v>
      </c>
      <c r="B34" s="205">
        <v>145.50300000000124</v>
      </c>
      <c r="C34" s="192">
        <v>0.47040669457364592</v>
      </c>
      <c r="D34" s="235">
        <v>100</v>
      </c>
      <c r="E34" s="209">
        <v>144.62799999998086</v>
      </c>
      <c r="F34" s="192">
        <v>0.43562342254496622</v>
      </c>
      <c r="G34" s="200"/>
      <c r="H34" s="209">
        <v>-0.8750000000203727</v>
      </c>
      <c r="I34" s="192">
        <v>-0.60136217124070657</v>
      </c>
      <c r="J34" s="200"/>
      <c r="K34" s="209">
        <v>10.673128054191281</v>
      </c>
      <c r="L34" s="192">
        <v>7.3353319547990017</v>
      </c>
      <c r="M34" s="200"/>
      <c r="N34" s="209">
        <v>-0.78920287654993049</v>
      </c>
      <c r="O34" s="192">
        <v>-0.54239629186334559</v>
      </c>
      <c r="P34" s="200"/>
      <c r="Q34" s="209">
        <v>-10.758925177661723</v>
      </c>
      <c r="R34" s="192">
        <v>-7.3942978341763625</v>
      </c>
      <c r="S34" s="192"/>
      <c r="T34" s="232">
        <v>145.50300000000124</v>
      </c>
      <c r="U34" s="233">
        <v>144.62799999998086</v>
      </c>
      <c r="V34" s="240"/>
      <c r="Y34" s="184"/>
      <c r="Z34" s="207"/>
      <c r="AA34" s="207"/>
      <c r="AB34" s="184"/>
      <c r="AC34" s="207"/>
      <c r="AE34" s="184"/>
      <c r="AF34" s="207"/>
    </row>
    <row r="35" spans="1:32" x14ac:dyDescent="0.2">
      <c r="A35" s="2" t="str">
        <f>name!A33</f>
        <v>Specialised construction</v>
      </c>
      <c r="B35" s="205">
        <v>1697.6410000011963</v>
      </c>
      <c r="C35" s="192">
        <v>5.4884207980815161</v>
      </c>
      <c r="D35" s="235">
        <v>100</v>
      </c>
      <c r="E35" s="209">
        <v>1865.8430000002486</v>
      </c>
      <c r="F35" s="192">
        <v>5.619969256242106</v>
      </c>
      <c r="G35" s="200"/>
      <c r="H35" s="209">
        <v>168.20199999905239</v>
      </c>
      <c r="I35" s="192">
        <v>9.9079840790210572</v>
      </c>
      <c r="J35" s="200"/>
      <c r="K35" s="209">
        <v>124.52760275085707</v>
      </c>
      <c r="L35" s="192">
        <v>7.3353319547990017</v>
      </c>
      <c r="M35" s="200"/>
      <c r="N35" s="209">
        <v>2.9847226994760661</v>
      </c>
      <c r="O35" s="192">
        <v>0.17581589390654223</v>
      </c>
      <c r="P35" s="200"/>
      <c r="Q35" s="209">
        <v>40.689674548719267</v>
      </c>
      <c r="R35" s="192">
        <v>2.3968362303155142</v>
      </c>
      <c r="S35" s="192"/>
      <c r="T35" s="232">
        <v>1697.6410000011963</v>
      </c>
      <c r="U35" s="233">
        <v>1865.8430000002486</v>
      </c>
      <c r="V35" s="240"/>
      <c r="Y35" s="184"/>
      <c r="Z35" s="207"/>
      <c r="AA35" s="207"/>
      <c r="AB35" s="184"/>
      <c r="AC35" s="207"/>
      <c r="AE35" s="184"/>
      <c r="AF35" s="207"/>
    </row>
    <row r="36" spans="1:32" x14ac:dyDescent="0.2">
      <c r="A36" s="2" t="str">
        <f>name!A34</f>
        <v>Motor vehicle trade</v>
      </c>
      <c r="B36" s="205">
        <v>569.9599999994731</v>
      </c>
      <c r="C36" s="192">
        <v>1.842663035394082</v>
      </c>
      <c r="D36" s="235">
        <v>100</v>
      </c>
      <c r="E36" s="209">
        <v>641.79699999991612</v>
      </c>
      <c r="F36" s="192">
        <v>1.9331098108187363</v>
      </c>
      <c r="G36" s="200"/>
      <c r="H36" s="209">
        <v>71.837000000443084</v>
      </c>
      <c r="I36" s="192">
        <v>12.603866938120129</v>
      </c>
      <c r="J36" s="200"/>
      <c r="K36" s="209">
        <v>41.808458009533737</v>
      </c>
      <c r="L36" s="192">
        <v>7.3353319547990017</v>
      </c>
      <c r="M36" s="200"/>
      <c r="N36" s="209">
        <v>2.0521604546274403</v>
      </c>
      <c r="O36" s="192">
        <v>0.36005341684141651</v>
      </c>
      <c r="P36" s="200"/>
      <c r="Q36" s="209">
        <v>27.976381536281906</v>
      </c>
      <c r="R36" s="192">
        <v>4.9084815664797121</v>
      </c>
      <c r="S36" s="192"/>
      <c r="T36" s="232">
        <v>569.9599999994731</v>
      </c>
      <c r="U36" s="233">
        <v>641.79699999991612</v>
      </c>
      <c r="V36" s="240"/>
      <c r="Y36" s="184"/>
      <c r="Z36" s="207"/>
      <c r="AA36" s="207"/>
      <c r="AB36" s="184"/>
      <c r="AC36" s="207"/>
      <c r="AE36" s="184"/>
      <c r="AF36" s="207"/>
    </row>
    <row r="37" spans="1:32" x14ac:dyDescent="0.2">
      <c r="A37" s="2" t="str">
        <f>name!A35</f>
        <v>Wholesale trade</v>
      </c>
      <c r="B37" s="205">
        <v>1164.0059999989242</v>
      </c>
      <c r="C37" s="192">
        <v>3.7631953631428945</v>
      </c>
      <c r="D37" s="235">
        <v>100</v>
      </c>
      <c r="E37" s="209">
        <v>1232.8599999998389</v>
      </c>
      <c r="F37" s="192">
        <v>3.7134074502778711</v>
      </c>
      <c r="G37" s="200"/>
      <c r="H37" s="209">
        <v>68.854000000914795</v>
      </c>
      <c r="I37" s="192">
        <v>5.9152616052647868</v>
      </c>
      <c r="J37" s="200"/>
      <c r="K37" s="209">
        <v>85.383704073698738</v>
      </c>
      <c r="L37" s="192">
        <v>7.3353319547989999</v>
      </c>
      <c r="M37" s="200"/>
      <c r="N37" s="209">
        <v>-1.1296454231819553</v>
      </c>
      <c r="O37" s="192">
        <v>-9.7048075627015618E-2</v>
      </c>
      <c r="P37" s="200"/>
      <c r="Q37" s="209">
        <v>-15.400058649601988</v>
      </c>
      <c r="R37" s="192">
        <v>-1.3230222739071982</v>
      </c>
      <c r="S37" s="192"/>
      <c r="T37" s="232">
        <v>1164.0059999989242</v>
      </c>
      <c r="U37" s="233">
        <v>1232.8599999998389</v>
      </c>
      <c r="V37" s="240"/>
      <c r="Y37" s="184"/>
      <c r="Z37" s="207"/>
      <c r="AA37" s="207"/>
      <c r="AB37" s="184"/>
      <c r="AC37" s="207"/>
      <c r="AE37" s="184"/>
      <c r="AF37" s="207"/>
    </row>
    <row r="38" spans="1:32" x14ac:dyDescent="0.2">
      <c r="A38" s="2" t="str">
        <f>name!A36</f>
        <v>Retail trade</v>
      </c>
      <c r="B38" s="205">
        <v>3028.8189999972019</v>
      </c>
      <c r="C38" s="192">
        <v>9.7920780619679828</v>
      </c>
      <c r="D38" s="235">
        <v>100</v>
      </c>
      <c r="E38" s="209">
        <v>3261.3079999995739</v>
      </c>
      <c r="F38" s="192">
        <v>9.8231473361540029</v>
      </c>
      <c r="G38" s="200"/>
      <c r="H38" s="209">
        <v>232.48900000237208</v>
      </c>
      <c r="I38" s="192">
        <v>7.675896116690593</v>
      </c>
      <c r="J38" s="200"/>
      <c r="K38" s="209">
        <v>222.17392795981831</v>
      </c>
      <c r="L38" s="192">
        <v>7.3353319547990017</v>
      </c>
      <c r="M38" s="200"/>
      <c r="N38" s="209">
        <v>0.70493542239819362</v>
      </c>
      <c r="O38" s="192">
        <v>2.3274267045962298E-2</v>
      </c>
      <c r="P38" s="200"/>
      <c r="Q38" s="209">
        <v>9.610136620155572</v>
      </c>
      <c r="R38" s="192">
        <v>0.31728989484562958</v>
      </c>
      <c r="S38" s="192"/>
      <c r="T38" s="232">
        <v>3028.8189999972019</v>
      </c>
      <c r="U38" s="233">
        <v>3261.3079999995739</v>
      </c>
      <c r="V38" s="240"/>
      <c r="Y38" s="184"/>
      <c r="Z38" s="207"/>
      <c r="AA38" s="207"/>
      <c r="AB38" s="184"/>
      <c r="AC38" s="207"/>
      <c r="AE38" s="184"/>
      <c r="AF38" s="207"/>
    </row>
    <row r="39" spans="1:32" x14ac:dyDescent="0.2">
      <c r="A39" s="2" t="str">
        <f>name!A37</f>
        <v>Land transport, etc</v>
      </c>
      <c r="B39" s="205">
        <v>716.96500000073365</v>
      </c>
      <c r="C39" s="192">
        <v>2.3179256494734561</v>
      </c>
      <c r="D39" s="235">
        <v>100</v>
      </c>
      <c r="E39" s="209">
        <v>704.04699999997217</v>
      </c>
      <c r="F39" s="192">
        <v>2.1206084836445522</v>
      </c>
      <c r="G39" s="200"/>
      <c r="H39" s="209">
        <v>-12.918000000761472</v>
      </c>
      <c r="I39" s="192">
        <v>-1.8017615923717691</v>
      </c>
      <c r="J39" s="200"/>
      <c r="K39" s="209">
        <v>52.591762749778475</v>
      </c>
      <c r="L39" s="192">
        <v>7.3353319547990017</v>
      </c>
      <c r="M39" s="200"/>
      <c r="N39" s="209">
        <v>-4.476958773069212</v>
      </c>
      <c r="O39" s="192">
        <v>-0.62443198385759846</v>
      </c>
      <c r="P39" s="200"/>
      <c r="Q39" s="209">
        <v>-61.032803977470735</v>
      </c>
      <c r="R39" s="192">
        <v>-8.5126615633131717</v>
      </c>
      <c r="S39" s="192"/>
      <c r="T39" s="232">
        <v>716.96500000073365</v>
      </c>
      <c r="U39" s="233">
        <v>704.04699999997217</v>
      </c>
      <c r="V39" s="240"/>
      <c r="Y39" s="184"/>
      <c r="Z39" s="207"/>
      <c r="AA39" s="207"/>
      <c r="AB39" s="184"/>
      <c r="AC39" s="207"/>
      <c r="AE39" s="184"/>
      <c r="AF39" s="207"/>
    </row>
    <row r="40" spans="1:32" x14ac:dyDescent="0.2">
      <c r="A40" s="2" t="str">
        <f>name!A38</f>
        <v>Water transport</v>
      </c>
      <c r="B40" s="205">
        <v>18.247000000011084</v>
      </c>
      <c r="C40" s="192">
        <v>5.8991986116371888E-2</v>
      </c>
      <c r="D40" s="235">
        <v>100</v>
      </c>
      <c r="E40" s="209">
        <v>17.84799999999214</v>
      </c>
      <c r="F40" s="192">
        <v>5.3758655623946702E-2</v>
      </c>
      <c r="G40" s="200"/>
      <c r="H40" s="209">
        <v>-0.39900000001894298</v>
      </c>
      <c r="I40" s="192">
        <v>-2.1866608210593554</v>
      </c>
      <c r="J40" s="200"/>
      <c r="K40" s="209">
        <v>1.338478021792987</v>
      </c>
      <c r="L40" s="192">
        <v>7.3353319547990026</v>
      </c>
      <c r="M40" s="200"/>
      <c r="N40" s="209">
        <v>-0.11873982054226906</v>
      </c>
      <c r="O40" s="192">
        <v>-0.65073612397762337</v>
      </c>
      <c r="P40" s="200"/>
      <c r="Q40" s="209">
        <v>-1.6187382012696609</v>
      </c>
      <c r="R40" s="192">
        <v>-8.871256651880735</v>
      </c>
      <c r="S40" s="192"/>
      <c r="T40" s="232">
        <v>18.247000000011084</v>
      </c>
      <c r="U40" s="233">
        <v>17.84799999999214</v>
      </c>
      <c r="V40" s="240"/>
      <c r="Y40" s="184"/>
      <c r="Z40" s="207"/>
      <c r="AA40" s="207"/>
      <c r="AB40" s="184"/>
      <c r="AC40" s="207"/>
      <c r="AE40" s="184"/>
      <c r="AF40" s="207"/>
    </row>
    <row r="41" spans="1:32" x14ac:dyDescent="0.2">
      <c r="A41" s="2" t="str">
        <f>name!A39</f>
        <v>Air transport</v>
      </c>
      <c r="B41" s="205">
        <v>83.957000000060233</v>
      </c>
      <c r="C41" s="192">
        <v>0.2714303818914221</v>
      </c>
      <c r="D41" s="235">
        <v>100</v>
      </c>
      <c r="E41" s="209">
        <v>115.2650000001187</v>
      </c>
      <c r="F41" s="192">
        <v>0.34718127748225713</v>
      </c>
      <c r="G41" s="200"/>
      <c r="H41" s="209">
        <v>31.30800000005847</v>
      </c>
      <c r="I41" s="192">
        <v>37.290517765089284</v>
      </c>
      <c r="J41" s="200"/>
      <c r="K41" s="209">
        <v>6.1585246492950159</v>
      </c>
      <c r="L41" s="192">
        <v>7.3353319547990017</v>
      </c>
      <c r="M41" s="200"/>
      <c r="N41" s="209">
        <v>1.7187234326956968</v>
      </c>
      <c r="O41" s="192">
        <v>2.0471472690716244</v>
      </c>
      <c r="P41" s="200"/>
      <c r="Q41" s="209">
        <v>23.430751918067756</v>
      </c>
      <c r="R41" s="192">
        <v>27.908038541218655</v>
      </c>
      <c r="S41" s="192"/>
      <c r="T41" s="232">
        <v>83.957000000060233</v>
      </c>
      <c r="U41" s="233">
        <v>115.2650000001187</v>
      </c>
      <c r="V41" s="240"/>
      <c r="Y41" s="184"/>
      <c r="Z41" s="207"/>
      <c r="AA41" s="207"/>
      <c r="AB41" s="184"/>
      <c r="AC41" s="207"/>
      <c r="AE41" s="184"/>
      <c r="AF41" s="207"/>
    </row>
    <row r="42" spans="1:32" x14ac:dyDescent="0.2">
      <c r="A42" s="2" t="str">
        <f>name!A40</f>
        <v>Warehousing, etc</v>
      </c>
      <c r="B42" s="205">
        <v>340.75900000006266</v>
      </c>
      <c r="C42" s="192">
        <v>1.1016632979130954</v>
      </c>
      <c r="D42" s="235">
        <v>100</v>
      </c>
      <c r="E42" s="209">
        <v>336.28300000019055</v>
      </c>
      <c r="F42" s="192">
        <v>1.0128934328331394</v>
      </c>
      <c r="G42" s="200"/>
      <c r="H42" s="209">
        <v>-4.4759999998720597</v>
      </c>
      <c r="I42" s="192">
        <v>-1.3135383070942328</v>
      </c>
      <c r="J42" s="200"/>
      <c r="K42" s="209">
        <v>24.995803815858125</v>
      </c>
      <c r="L42" s="192">
        <v>7.3353319547990017</v>
      </c>
      <c r="M42" s="200"/>
      <c r="N42" s="209">
        <v>-2.01411278427996</v>
      </c>
      <c r="O42" s="192">
        <v>-0.59106664366299633</v>
      </c>
      <c r="P42" s="200"/>
      <c r="Q42" s="209">
        <v>-27.457691031450224</v>
      </c>
      <c r="R42" s="192">
        <v>-8.0578036182302366</v>
      </c>
      <c r="S42" s="192"/>
      <c r="T42" s="232">
        <v>340.75900000006266</v>
      </c>
      <c r="U42" s="233">
        <v>336.28300000019055</v>
      </c>
      <c r="V42" s="240"/>
      <c r="Y42" s="184"/>
      <c r="Z42" s="207"/>
      <c r="AA42" s="207"/>
      <c r="AB42" s="184"/>
      <c r="AC42" s="207"/>
      <c r="AE42" s="184"/>
      <c r="AF42" s="207"/>
    </row>
    <row r="43" spans="1:32" x14ac:dyDescent="0.2">
      <c r="A43" s="2" t="str">
        <f>name!A41</f>
        <v>Postal and courier</v>
      </c>
      <c r="B43" s="205">
        <v>325.27900000005985</v>
      </c>
      <c r="C43" s="192">
        <v>1.0516169371370201</v>
      </c>
      <c r="D43" s="235">
        <v>100</v>
      </c>
      <c r="E43" s="209">
        <v>535.52800000030322</v>
      </c>
      <c r="F43" s="192">
        <v>1.6130247270848221</v>
      </c>
      <c r="G43" s="200"/>
      <c r="H43" s="209">
        <v>210.24900000024343</v>
      </c>
      <c r="I43" s="192">
        <v>64.63651204049593</v>
      </c>
      <c r="J43" s="200"/>
      <c r="K43" s="209">
        <v>23.860294429255035</v>
      </c>
      <c r="L43" s="192">
        <v>7.3353319547990017</v>
      </c>
      <c r="M43" s="200"/>
      <c r="N43" s="209">
        <v>12.737865557301006</v>
      </c>
      <c r="O43" s="192">
        <v>3.9159815288717268</v>
      </c>
      <c r="P43" s="200"/>
      <c r="Q43" s="209">
        <v>173.6508400136874</v>
      </c>
      <c r="R43" s="192">
        <v>53.385198556825195</v>
      </c>
      <c r="S43" s="192"/>
      <c r="T43" s="232">
        <v>325.27900000005985</v>
      </c>
      <c r="U43" s="233">
        <v>535.52800000030322</v>
      </c>
      <c r="V43" s="240"/>
      <c r="Y43" s="184"/>
      <c r="Z43" s="207"/>
      <c r="AA43" s="207"/>
      <c r="AB43" s="184"/>
      <c r="AC43" s="207"/>
      <c r="AE43" s="184"/>
      <c r="AF43" s="207"/>
    </row>
    <row r="44" spans="1:32" x14ac:dyDescent="0.2">
      <c r="A44" s="2" t="str">
        <f>name!A42</f>
        <v>Accommodation</v>
      </c>
      <c r="B44" s="205">
        <v>2144.1589999988464</v>
      </c>
      <c r="C44" s="192">
        <v>6.9319996689400423</v>
      </c>
      <c r="D44" s="235">
        <v>100</v>
      </c>
      <c r="E44" s="209">
        <v>2258.3650000006869</v>
      </c>
      <c r="F44" s="192">
        <v>6.8022560683698323</v>
      </c>
      <c r="G44" s="200"/>
      <c r="H44" s="209">
        <v>114.20600000184029</v>
      </c>
      <c r="I44" s="192">
        <v>5.3263773816168358</v>
      </c>
      <c r="J44" s="200"/>
      <c r="K44" s="209">
        <v>157.28118028861411</v>
      </c>
      <c r="L44" s="192">
        <v>7.3353319547990017</v>
      </c>
      <c r="M44" s="200"/>
      <c r="N44" s="209">
        <v>-2.9437720148788173</v>
      </c>
      <c r="O44" s="192">
        <v>-0.13729261751952168</v>
      </c>
      <c r="P44" s="200"/>
      <c r="Q44" s="209">
        <v>-40.131408271894998</v>
      </c>
      <c r="R44" s="192">
        <v>-1.8716619556626439</v>
      </c>
      <c r="S44" s="192"/>
      <c r="T44" s="232">
        <v>2144.1589999988464</v>
      </c>
      <c r="U44" s="233">
        <v>2258.3650000006869</v>
      </c>
      <c r="V44" s="240"/>
      <c r="Y44" s="184"/>
      <c r="Z44" s="207"/>
      <c r="AA44" s="207"/>
      <c r="AB44" s="184"/>
      <c r="AC44" s="207"/>
      <c r="AE44" s="184"/>
      <c r="AF44" s="207"/>
    </row>
    <row r="45" spans="1:32" x14ac:dyDescent="0.2">
      <c r="A45" s="2" t="str">
        <f>name!A43</f>
        <v>Food and beverage services</v>
      </c>
      <c r="B45" s="205">
        <v>197.47100000001379</v>
      </c>
      <c r="C45" s="192">
        <v>0.63841762976817074</v>
      </c>
      <c r="D45" s="235">
        <v>100</v>
      </c>
      <c r="E45" s="209">
        <v>286.78200000015835</v>
      </c>
      <c r="F45" s="192">
        <v>0.86379509060746196</v>
      </c>
      <c r="G45" s="200"/>
      <c r="H45" s="209">
        <v>89.311000000144531</v>
      </c>
      <c r="I45" s="192">
        <v>45.227400479127716</v>
      </c>
      <c r="J45" s="200"/>
      <c r="K45" s="209">
        <v>14.485153364462148</v>
      </c>
      <c r="L45" s="192">
        <v>7.3353319547990017</v>
      </c>
      <c r="M45" s="200"/>
      <c r="N45" s="209">
        <v>5.1136230156045031</v>
      </c>
      <c r="O45" s="192">
        <v>2.5895564491009546</v>
      </c>
      <c r="P45" s="200"/>
      <c r="Q45" s="209">
        <v>69.712223620077879</v>
      </c>
      <c r="R45" s="192">
        <v>35.30251207522776</v>
      </c>
      <c r="S45" s="192"/>
      <c r="T45" s="232">
        <v>197.47100000001379</v>
      </c>
      <c r="U45" s="233">
        <v>286.78200000015835</v>
      </c>
      <c r="V45" s="240"/>
      <c r="Y45" s="184"/>
      <c r="Z45" s="211"/>
      <c r="AA45" s="211"/>
      <c r="AB45" s="248"/>
      <c r="AC45" s="211"/>
      <c r="AD45" s="191"/>
      <c r="AE45" s="184"/>
      <c r="AF45" s="207"/>
    </row>
    <row r="46" spans="1:32" x14ac:dyDescent="0.2">
      <c r="A46" s="2" t="str">
        <f>name!A44</f>
        <v>Publishing activities</v>
      </c>
      <c r="B46" s="205">
        <v>187.13600000001301</v>
      </c>
      <c r="C46" s="192">
        <v>0.60500489471515484</v>
      </c>
      <c r="D46" s="235">
        <v>100</v>
      </c>
      <c r="E46" s="209">
        <v>179.50800000009909</v>
      </c>
      <c r="F46" s="192">
        <v>0.54068291986513894</v>
      </c>
      <c r="G46" s="200"/>
      <c r="H46" s="209">
        <v>-7.6279999999139108</v>
      </c>
      <c r="I46" s="192">
        <v>-4.076179890514589</v>
      </c>
      <c r="J46" s="200"/>
      <c r="K46" s="209">
        <v>13.727046806933613</v>
      </c>
      <c r="L46" s="192">
        <v>7.3353319547990017</v>
      </c>
      <c r="M46" s="200"/>
      <c r="N46" s="209">
        <v>-1.4594109356690108</v>
      </c>
      <c r="O46" s="192">
        <v>-0.77986647981623491</v>
      </c>
      <c r="P46" s="200"/>
      <c r="Q46" s="209">
        <v>-19.895635871178513</v>
      </c>
      <c r="R46" s="192">
        <v>-10.631645365497354</v>
      </c>
      <c r="S46" s="192"/>
      <c r="T46" s="232">
        <v>187.13600000001301</v>
      </c>
      <c r="U46" s="232">
        <v>179.50800000009909</v>
      </c>
      <c r="V46" s="240"/>
      <c r="Y46" s="184"/>
      <c r="Z46" s="211"/>
      <c r="AA46" s="211"/>
      <c r="AB46" s="248"/>
      <c r="AC46" s="211"/>
      <c r="AD46" s="191"/>
      <c r="AE46" s="184"/>
      <c r="AF46" s="207"/>
    </row>
    <row r="47" spans="1:32" x14ac:dyDescent="0.2">
      <c r="A47" s="2" t="str">
        <f>name!A45</f>
        <v>Film and music</v>
      </c>
      <c r="B47" s="205">
        <v>199.87700000026544</v>
      </c>
      <c r="C47" s="192">
        <v>0.64619615328495417</v>
      </c>
      <c r="D47" s="235">
        <v>100</v>
      </c>
      <c r="E47" s="209">
        <v>198.79299999997147</v>
      </c>
      <c r="F47" s="192">
        <v>0.59876985810479655</v>
      </c>
      <c r="G47" s="200"/>
      <c r="H47" s="209">
        <v>-1.0840000002939487</v>
      </c>
      <c r="I47" s="192">
        <v>-0.54233353527044592</v>
      </c>
      <c r="J47" s="200"/>
      <c r="K47" s="209">
        <v>14.66164145131307</v>
      </c>
      <c r="L47" s="192">
        <v>7.3353319547990017</v>
      </c>
      <c r="M47" s="200"/>
      <c r="N47" s="209">
        <v>-1.0760623252874428</v>
      </c>
      <c r="O47" s="192">
        <v>-0.53836225543009641</v>
      </c>
      <c r="P47" s="200"/>
      <c r="Q47" s="209">
        <v>-14.669579126319576</v>
      </c>
      <c r="R47" s="192">
        <v>-7.3393032346393507</v>
      </c>
      <c r="S47" s="192"/>
      <c r="T47" s="232">
        <v>199.87700000026544</v>
      </c>
      <c r="U47" s="232">
        <v>198.79299999997147</v>
      </c>
      <c r="V47" s="240"/>
      <c r="Y47" s="184"/>
      <c r="Z47" s="248"/>
      <c r="AA47" s="248"/>
      <c r="AB47" s="248"/>
      <c r="AC47" s="248"/>
      <c r="AD47" s="191"/>
      <c r="AE47" s="184"/>
      <c r="AF47" s="207"/>
    </row>
    <row r="48" spans="1:32" x14ac:dyDescent="0.2">
      <c r="A48" s="2" t="str">
        <f>name!A46</f>
        <v>Broadcasting</v>
      </c>
      <c r="B48" s="205">
        <v>438.62000000015314</v>
      </c>
      <c r="C48" s="192">
        <v>1.4180448813698885</v>
      </c>
      <c r="D48" s="235">
        <v>100</v>
      </c>
      <c r="E48" s="209">
        <v>414.383999999926</v>
      </c>
      <c r="F48" s="192">
        <v>1.2481357436171761</v>
      </c>
      <c r="G48" s="200"/>
      <c r="H48" s="209">
        <v>-24.236000000227126</v>
      </c>
      <c r="I48" s="192">
        <v>-5.525511832615627</v>
      </c>
      <c r="J48" s="200"/>
      <c r="K48" s="209">
        <v>32.174233020150616</v>
      </c>
      <c r="L48" s="192">
        <v>7.3353319547990017</v>
      </c>
      <c r="M48" s="200"/>
      <c r="N48" s="209">
        <v>-3.8550939128439801</v>
      </c>
      <c r="O48" s="192">
        <v>-0.87891430232151613</v>
      </c>
      <c r="P48" s="200"/>
      <c r="Q48" s="209">
        <v>-52.555139107533762</v>
      </c>
      <c r="R48" s="192">
        <v>-11.981929485093113</v>
      </c>
      <c r="S48" s="192"/>
      <c r="T48" s="232">
        <v>438.62000000015314</v>
      </c>
      <c r="U48" s="232">
        <v>414.383999999926</v>
      </c>
      <c r="Y48" s="184"/>
      <c r="Z48" s="248"/>
      <c r="AA48" s="248"/>
      <c r="AB48" s="248"/>
      <c r="AC48" s="248"/>
      <c r="AD48" s="191"/>
      <c r="AE48" s="184"/>
    </row>
    <row r="49" spans="1:30" x14ac:dyDescent="0.2">
      <c r="A49" s="2" t="str">
        <f>name!A47</f>
        <v>Telecommunications</v>
      </c>
      <c r="B49" s="205">
        <v>613.98799999968332</v>
      </c>
      <c r="C49" s="192">
        <v>1.9850041963927363</v>
      </c>
      <c r="D49" s="235">
        <v>100</v>
      </c>
      <c r="E49" s="209">
        <v>538.85800000020777</v>
      </c>
      <c r="F49" s="192">
        <v>1.6230547765706296</v>
      </c>
      <c r="G49" s="200"/>
      <c r="H49" s="209">
        <v>-75.129999999475544</v>
      </c>
      <c r="I49" s="192">
        <v>-12.236395499507205</v>
      </c>
      <c r="J49" s="200"/>
      <c r="K49" s="209">
        <v>45.038057962608065</v>
      </c>
      <c r="L49" s="192">
        <v>7.3353319547990017</v>
      </c>
      <c r="M49" s="200"/>
      <c r="N49" s="209">
        <v>-8.2123246787610498</v>
      </c>
      <c r="O49" s="192">
        <v>-1.3375383034791049</v>
      </c>
      <c r="P49" s="200"/>
      <c r="Q49" s="209">
        <v>-111.95573328332256</v>
      </c>
      <c r="R49" s="192">
        <v>-18.234189150827103</v>
      </c>
      <c r="S49" s="192"/>
      <c r="T49" s="232">
        <v>613.98799999968332</v>
      </c>
      <c r="U49" s="232">
        <v>538.85800000020777</v>
      </c>
      <c r="Z49" s="191"/>
      <c r="AA49" s="191"/>
      <c r="AB49" s="191"/>
      <c r="AC49" s="191"/>
      <c r="AD49" s="191"/>
    </row>
    <row r="50" spans="1:30" x14ac:dyDescent="0.2">
      <c r="A50" s="2" t="str">
        <f>name!A48</f>
        <v>Computing services</v>
      </c>
      <c r="B50" s="205">
        <v>132.72299999993143</v>
      </c>
      <c r="C50" s="192">
        <v>0.42908935021178413</v>
      </c>
      <c r="D50" s="235">
        <v>100</v>
      </c>
      <c r="E50" s="209">
        <v>135.03200000005205</v>
      </c>
      <c r="F50" s="192">
        <v>0.40672001267474028</v>
      </c>
      <c r="G50" s="200"/>
      <c r="H50" s="209">
        <v>2.3090000001206064</v>
      </c>
      <c r="I50" s="192">
        <v>1.7397135388152762</v>
      </c>
      <c r="J50" s="200"/>
      <c r="K50" s="209">
        <v>9.7356726303628491</v>
      </c>
      <c r="L50" s="192">
        <v>7.3353319547990017</v>
      </c>
      <c r="M50" s="200"/>
      <c r="N50" s="209">
        <v>-0.50754125477889156</v>
      </c>
      <c r="O50" s="192">
        <v>-0.38240640640970575</v>
      </c>
      <c r="P50" s="200"/>
      <c r="Q50" s="209">
        <v>-6.9191313754633512</v>
      </c>
      <c r="R50" s="192">
        <v>-5.2132120095740202</v>
      </c>
      <c r="S50" s="192"/>
      <c r="T50" s="232">
        <v>132.72299999993143</v>
      </c>
      <c r="U50" s="232">
        <v>135.03200000005205</v>
      </c>
      <c r="Z50" s="191"/>
      <c r="AA50" s="191"/>
      <c r="AB50" s="191"/>
      <c r="AC50" s="191"/>
      <c r="AD50" s="191"/>
    </row>
    <row r="51" spans="1:30" x14ac:dyDescent="0.2">
      <c r="A51" s="2" t="str">
        <f>name!A49</f>
        <v>Information services</v>
      </c>
      <c r="B51" s="205">
        <v>312.76299999983866</v>
      </c>
      <c r="C51" s="192">
        <v>1.0111530966018576</v>
      </c>
      <c r="D51" s="235">
        <v>100</v>
      </c>
      <c r="E51" s="209">
        <v>502.44200000019339</v>
      </c>
      <c r="F51" s="192">
        <v>1.5133688059743005</v>
      </c>
      <c r="G51" s="200"/>
      <c r="H51" s="209">
        <v>189.6790000003547</v>
      </c>
      <c r="I51" s="192">
        <v>60.646240124456078</v>
      </c>
      <c r="J51" s="200"/>
      <c r="K51" s="209">
        <v>22.942204281776167</v>
      </c>
      <c r="L51" s="192">
        <v>7.3353319547990017</v>
      </c>
      <c r="M51" s="200"/>
      <c r="N51" s="209">
        <v>11.394847562313828</v>
      </c>
      <c r="O51" s="192">
        <v>3.6432850312599978</v>
      </c>
      <c r="P51" s="200"/>
      <c r="Q51" s="209">
        <v>155.34194815626472</v>
      </c>
      <c r="R51" s="192">
        <v>49.667623138397076</v>
      </c>
      <c r="S51" s="192"/>
      <c r="T51" s="232">
        <v>312.76299999983866</v>
      </c>
      <c r="U51" s="232">
        <v>502.44200000019339</v>
      </c>
      <c r="Z51" s="191"/>
      <c r="AA51" s="191"/>
      <c r="AB51" s="191"/>
      <c r="AC51" s="191"/>
      <c r="AD51" s="191"/>
    </row>
    <row r="52" spans="1:30" x14ac:dyDescent="0.2">
      <c r="A52" s="2" t="str">
        <f>name!A50</f>
        <v>Financial services</v>
      </c>
      <c r="B52" s="205">
        <v>548.61799999979723</v>
      </c>
      <c r="C52" s="192">
        <v>1.7736650100926228</v>
      </c>
      <c r="D52" s="235">
        <v>100</v>
      </c>
      <c r="E52" s="209">
        <v>580.38300000007268</v>
      </c>
      <c r="F52" s="192">
        <v>1.7481291924591382</v>
      </c>
      <c r="G52" s="200"/>
      <c r="H52" s="209">
        <v>31.765000000275439</v>
      </c>
      <c r="I52" s="192">
        <v>5.7900032445685667</v>
      </c>
      <c r="J52" s="200"/>
      <c r="K52" s="209">
        <v>40.242951463764314</v>
      </c>
      <c r="L52" s="192">
        <v>7.3353319547990017</v>
      </c>
      <c r="M52" s="200"/>
      <c r="N52" s="209">
        <v>-0.57938599665903823</v>
      </c>
      <c r="O52" s="192">
        <v>-0.10560827327197655</v>
      </c>
      <c r="P52" s="200"/>
      <c r="Q52" s="209">
        <v>-7.8985654668298366</v>
      </c>
      <c r="R52" s="192">
        <v>-1.4397204369584586</v>
      </c>
      <c r="S52" s="192"/>
      <c r="T52" s="232">
        <v>548.61799999979723</v>
      </c>
      <c r="U52" s="232">
        <v>580.38300000007268</v>
      </c>
    </row>
    <row r="53" spans="1:30" x14ac:dyDescent="0.2">
      <c r="A53" s="2" t="str">
        <f>name!A51</f>
        <v>Insurance and pensions</v>
      </c>
      <c r="B53" s="205">
        <v>1501.1650000006377</v>
      </c>
      <c r="C53" s="192">
        <v>4.8532199725087537</v>
      </c>
      <c r="D53" s="235">
        <v>100</v>
      </c>
      <c r="E53" s="209">
        <v>1898.5639999980804</v>
      </c>
      <c r="F53" s="192">
        <v>5.7185257875372297</v>
      </c>
      <c r="G53" s="200"/>
      <c r="H53" s="209">
        <v>397.39899999744262</v>
      </c>
      <c r="I53" s="192">
        <v>26.472706198004467</v>
      </c>
      <c r="J53" s="200"/>
      <c r="K53" s="209">
        <v>110.11543593930521</v>
      </c>
      <c r="L53" s="192">
        <v>7.3353319547990017</v>
      </c>
      <c r="M53" s="200"/>
      <c r="N53" s="209">
        <v>19.633053433064049</v>
      </c>
      <c r="O53" s="192">
        <v>1.3078544619049677</v>
      </c>
      <c r="P53" s="200"/>
      <c r="Q53" s="209">
        <v>267.65051062507337</v>
      </c>
      <c r="R53" s="192">
        <v>17.829519781300501</v>
      </c>
      <c r="S53" s="192"/>
      <c r="T53" s="232">
        <v>1501.1650000006377</v>
      </c>
      <c r="U53" s="232">
        <v>1898.5639999980804</v>
      </c>
    </row>
    <row r="54" spans="1:30" x14ac:dyDescent="0.2">
      <c r="A54" s="2" t="str">
        <f>name!A52</f>
        <v>Auxiliary financial services</v>
      </c>
      <c r="B54" s="205">
        <v>471.13500000027409</v>
      </c>
      <c r="C54" s="192">
        <v>1.5231648697833153</v>
      </c>
      <c r="D54" s="235">
        <v>100</v>
      </c>
      <c r="E54" s="209">
        <v>502.06400000003481</v>
      </c>
      <c r="F54" s="192">
        <v>1.5122302598159418</v>
      </c>
      <c r="G54" s="200"/>
      <c r="H54" s="209">
        <v>30.928999999760709</v>
      </c>
      <c r="I54" s="192">
        <v>6.5647850403265977</v>
      </c>
      <c r="J54" s="200"/>
      <c r="K54" s="209">
        <v>34.559316205262384</v>
      </c>
      <c r="L54" s="192">
        <v>7.3353319547990017</v>
      </c>
      <c r="M54" s="200"/>
      <c r="N54" s="209">
        <v>-0.24809700574137494</v>
      </c>
      <c r="O54" s="192">
        <v>-5.2659430044728284E-2</v>
      </c>
      <c r="P54" s="200"/>
      <c r="Q54" s="209">
        <v>-3.3822191997602999</v>
      </c>
      <c r="R54" s="192">
        <v>-0.71788748442767625</v>
      </c>
      <c r="S54" s="192"/>
      <c r="T54" s="232">
        <v>471.13500000027409</v>
      </c>
      <c r="U54" s="232">
        <v>502.06400000003481</v>
      </c>
    </row>
    <row r="55" spans="1:30" x14ac:dyDescent="0.2">
      <c r="A55" s="2" t="str">
        <f>name!A53</f>
        <v>Real estate</v>
      </c>
      <c r="B55" s="205">
        <v>106.49900000005229</v>
      </c>
      <c r="C55" s="192">
        <v>0.34430797004476121</v>
      </c>
      <c r="D55" s="235">
        <v>100</v>
      </c>
      <c r="E55" s="209">
        <v>125.1209999999075</v>
      </c>
      <c r="F55" s="192">
        <v>0.37686781433896366</v>
      </c>
      <c r="G55" s="200"/>
      <c r="H55" s="209">
        <v>18.621999999855209</v>
      </c>
      <c r="I55" s="192">
        <v>17.485610193378402</v>
      </c>
      <c r="J55" s="200"/>
      <c r="K55" s="209">
        <v>7.8120551785452239</v>
      </c>
      <c r="L55" s="192">
        <v>7.3353319547990017</v>
      </c>
      <c r="M55" s="200"/>
      <c r="N55" s="209">
        <v>0.73875519116819888</v>
      </c>
      <c r="O55" s="192">
        <v>0.6936733595318606</v>
      </c>
      <c r="P55" s="200"/>
      <c r="Q55" s="209">
        <v>10.071189630141788</v>
      </c>
      <c r="R55" s="192">
        <v>9.4566048790475428</v>
      </c>
      <c r="S55" s="192"/>
      <c r="T55" s="232">
        <v>106.49900000005229</v>
      </c>
      <c r="U55" s="232">
        <v>125.1209999999075</v>
      </c>
    </row>
    <row r="56" spans="1:30" x14ac:dyDescent="0.2">
      <c r="A56" s="2" t="str">
        <f>name!A54</f>
        <v>Legal and accounting</v>
      </c>
      <c r="B56" s="205">
        <v>216.71200000001988</v>
      </c>
      <c r="C56" s="192">
        <v>0.7006231871126537</v>
      </c>
      <c r="D56" s="235">
        <v>100</v>
      </c>
      <c r="E56" s="209">
        <v>307.62700000008448</v>
      </c>
      <c r="F56" s="192">
        <v>0.92658079076869526</v>
      </c>
      <c r="G56" s="200"/>
      <c r="H56" s="209">
        <v>90.91500000006458</v>
      </c>
      <c r="I56" s="192">
        <v>41.951991583325444</v>
      </c>
      <c r="J56" s="200"/>
      <c r="K56" s="209">
        <v>15.89654458588547</v>
      </c>
      <c r="L56" s="192">
        <v>7.3353319547990017</v>
      </c>
      <c r="M56" s="200"/>
      <c r="N56" s="209">
        <v>5.1267859629951857</v>
      </c>
      <c r="O56" s="192">
        <v>2.3657139258530746</v>
      </c>
      <c r="P56" s="200"/>
      <c r="Q56" s="209">
        <v>69.89166945118393</v>
      </c>
      <c r="R56" s="192">
        <v>32.25094570267337</v>
      </c>
      <c r="S56" s="192"/>
      <c r="T56" s="232">
        <v>216.71200000001988</v>
      </c>
      <c r="U56" s="232">
        <v>307.62700000008448</v>
      </c>
    </row>
    <row r="57" spans="1:30" ht="12.75" customHeight="1" x14ac:dyDescent="0.2">
      <c r="A57" s="2" t="str">
        <f>name!A55</f>
        <v>Head offices, etc</v>
      </c>
      <c r="B57" s="205">
        <v>488.51200000004457</v>
      </c>
      <c r="C57" s="192">
        <v>1.5793441728320374</v>
      </c>
      <c r="D57" s="235">
        <v>100</v>
      </c>
      <c r="E57" s="209">
        <v>554.93600000015249</v>
      </c>
      <c r="F57" s="192">
        <v>1.6714821446297523</v>
      </c>
      <c r="G57" s="200"/>
      <c r="H57" s="209">
        <v>66.424000000107924</v>
      </c>
      <c r="I57" s="192">
        <v>13.597209485151206</v>
      </c>
      <c r="J57" s="200"/>
      <c r="K57" s="209">
        <v>35.833976839030967</v>
      </c>
      <c r="L57" s="192">
        <v>7.3353319547990017</v>
      </c>
      <c r="M57" s="200"/>
      <c r="N57" s="209">
        <v>2.0905322628152163</v>
      </c>
      <c r="O57" s="192">
        <v>0.42793877383053552</v>
      </c>
      <c r="P57" s="200"/>
      <c r="Q57" s="209">
        <v>28.49949089826174</v>
      </c>
      <c r="R57" s="192">
        <v>5.83393875652167</v>
      </c>
      <c r="S57" s="192"/>
      <c r="T57" s="232">
        <v>488.51200000004457</v>
      </c>
      <c r="U57" s="232">
        <v>554.93600000015249</v>
      </c>
    </row>
    <row r="58" spans="1:30" x14ac:dyDescent="0.2">
      <c r="A58" s="2" t="str">
        <f>name!A56</f>
        <v>Architectural and related</v>
      </c>
      <c r="B58" s="205">
        <v>154.33900000012474</v>
      </c>
      <c r="C58" s="192">
        <v>0.49897320903252856</v>
      </c>
      <c r="D58" s="235">
        <v>100</v>
      </c>
      <c r="E58" s="209">
        <v>141.48199999997618</v>
      </c>
      <c r="F58" s="192">
        <v>0.42614758600343433</v>
      </c>
      <c r="G58" s="200"/>
      <c r="H58" s="209">
        <v>-12.857000000148545</v>
      </c>
      <c r="I58" s="192">
        <v>-8.3303636800407901</v>
      </c>
      <c r="J58" s="200"/>
      <c r="K58" s="209">
        <v>11.321277985726381</v>
      </c>
      <c r="L58" s="192">
        <v>7.3353319547990017</v>
      </c>
      <c r="M58" s="200"/>
      <c r="N58" s="209">
        <v>-1.6523514847514473</v>
      </c>
      <c r="O58" s="192">
        <v>-1.0705988018259234</v>
      </c>
      <c r="P58" s="200"/>
      <c r="Q58" s="209">
        <v>-22.525926501123479</v>
      </c>
      <c r="R58" s="192">
        <v>-14.595096833013868</v>
      </c>
      <c r="S58" s="192"/>
      <c r="T58" s="232">
        <v>154.33900000012474</v>
      </c>
      <c r="U58" s="232">
        <v>141.48199999997618</v>
      </c>
    </row>
    <row r="59" spans="1:30" x14ac:dyDescent="0.2">
      <c r="A59" s="2" t="str">
        <f>name!A57</f>
        <v>Scientific research and development</v>
      </c>
      <c r="B59" s="205">
        <v>945.30400000076372</v>
      </c>
      <c r="C59" s="192">
        <v>3.0561385676419133</v>
      </c>
      <c r="D59" s="235">
        <v>100</v>
      </c>
      <c r="E59" s="209">
        <v>1147.9249999998067</v>
      </c>
      <c r="F59" s="192">
        <v>3.4575809478449013</v>
      </c>
      <c r="G59" s="200"/>
      <c r="H59" s="209">
        <v>202.62099999904308</v>
      </c>
      <c r="I59" s="192">
        <v>21.434480336365802</v>
      </c>
      <c r="J59" s="200"/>
      <c r="K59" s="209">
        <v>69.341186382049173</v>
      </c>
      <c r="L59" s="192">
        <v>7.3353319547990017</v>
      </c>
      <c r="M59" s="200"/>
      <c r="N59" s="209">
        <v>9.1083863807875787</v>
      </c>
      <c r="O59" s="192">
        <v>0.96354044633051583</v>
      </c>
      <c r="P59" s="200"/>
      <c r="Q59" s="209">
        <v>124.17142723620634</v>
      </c>
      <c r="R59" s="192">
        <v>13.135607935236285</v>
      </c>
      <c r="S59" s="192"/>
      <c r="T59" s="232">
        <v>945.30400000076372</v>
      </c>
      <c r="U59" s="232">
        <v>1147.9249999998067</v>
      </c>
    </row>
    <row r="60" spans="1:30" x14ac:dyDescent="0.2">
      <c r="A60" s="2" t="str">
        <f>name!A58</f>
        <v>Advertising, etc</v>
      </c>
      <c r="B60" s="205">
        <v>116.95000000009452</v>
      </c>
      <c r="C60" s="192">
        <v>0.37809572950682724</v>
      </c>
      <c r="D60" s="235">
        <v>100</v>
      </c>
      <c r="E60" s="209">
        <v>118.9089999999799</v>
      </c>
      <c r="F60" s="192">
        <v>0.35815710340596213</v>
      </c>
      <c r="G60" s="200"/>
      <c r="H60" s="209">
        <v>1.9589999998853891</v>
      </c>
      <c r="I60" s="192">
        <v>1.6750748181990645</v>
      </c>
      <c r="J60" s="200"/>
      <c r="K60" s="209">
        <v>8.5786707211443645</v>
      </c>
      <c r="L60" s="192">
        <v>7.3353319547989999</v>
      </c>
      <c r="M60" s="200"/>
      <c r="N60" s="209">
        <v>-0.45239047839668522</v>
      </c>
      <c r="O60" s="192">
        <v>-0.38682383787628871</v>
      </c>
      <c r="P60" s="200"/>
      <c r="Q60" s="209">
        <v>-6.1672802428622902</v>
      </c>
      <c r="R60" s="192">
        <v>-5.2734332987236474</v>
      </c>
      <c r="S60" s="192"/>
      <c r="T60" s="232">
        <v>116.95000000009452</v>
      </c>
      <c r="U60" s="232">
        <v>118.9089999999799</v>
      </c>
    </row>
    <row r="61" spans="1:30" ht="12.75" customHeight="1" x14ac:dyDescent="0.2">
      <c r="A61" s="2" t="str">
        <f>name!A59</f>
        <v>Other professional</v>
      </c>
      <c r="B61" s="205">
        <v>1329.574000001074</v>
      </c>
      <c r="C61" s="192">
        <v>4.2984715815588732</v>
      </c>
      <c r="D61" s="235">
        <v>100</v>
      </c>
      <c r="E61" s="209">
        <v>1355.4139999997719</v>
      </c>
      <c r="F61" s="192">
        <v>4.0825433916346876</v>
      </c>
      <c r="G61" s="200"/>
      <c r="H61" s="209">
        <v>25.839999998697778</v>
      </c>
      <c r="I61" s="192">
        <v>1.9434796407478565</v>
      </c>
      <c r="J61" s="200"/>
      <c r="K61" s="209">
        <v>97.528666484778057</v>
      </c>
      <c r="L61" s="192">
        <v>7.3353319547990017</v>
      </c>
      <c r="M61" s="200"/>
      <c r="N61" s="209">
        <v>-4.899227090420851</v>
      </c>
      <c r="O61" s="192">
        <v>-0.36848096385886708</v>
      </c>
      <c r="P61" s="200"/>
      <c r="Q61" s="209">
        <v>-66.789439395659429</v>
      </c>
      <c r="R61" s="192">
        <v>-5.0233713501922779</v>
      </c>
      <c r="S61" s="192"/>
      <c r="T61" s="232">
        <v>1329.574000001074</v>
      </c>
      <c r="U61" s="232">
        <v>1355.4139999997719</v>
      </c>
    </row>
    <row r="62" spans="1:30" ht="12.75" customHeight="1" x14ac:dyDescent="0.2">
      <c r="A62" s="2" t="str">
        <f>name!A60</f>
        <v>Veterinary</v>
      </c>
      <c r="B62" s="205">
        <v>1373.6089999998901</v>
      </c>
      <c r="C62" s="192">
        <v>4.4408353733363164</v>
      </c>
      <c r="D62" s="235">
        <v>100</v>
      </c>
      <c r="E62" s="209">
        <v>1410.480000000412</v>
      </c>
      <c r="F62" s="192">
        <v>4.2484036634087783</v>
      </c>
      <c r="G62" s="200"/>
      <c r="H62" s="209">
        <v>36.87100000052201</v>
      </c>
      <c r="I62" s="192">
        <v>2.6842427503405233</v>
      </c>
      <c r="J62" s="200"/>
      <c r="K62" s="209">
        <v>100.75877991098696</v>
      </c>
      <c r="L62" s="192">
        <v>7.3353319547990017</v>
      </c>
      <c r="M62" s="200"/>
      <c r="N62" s="209">
        <v>-4.366111931304566</v>
      </c>
      <c r="O62" s="192">
        <v>-0.31785696885393994</v>
      </c>
      <c r="P62" s="200"/>
      <c r="Q62" s="209">
        <v>-59.521667979160384</v>
      </c>
      <c r="R62" s="192">
        <v>-4.3332322356045383</v>
      </c>
      <c r="S62" s="192"/>
      <c r="T62" s="232">
        <v>1373.6089999998901</v>
      </c>
      <c r="U62" s="232">
        <v>1410.480000000412</v>
      </c>
    </row>
    <row r="63" spans="1:30" x14ac:dyDescent="0.2">
      <c r="A63" s="2" t="str">
        <f>name!A61</f>
        <v>Rental and leasing</v>
      </c>
      <c r="B63" s="205">
        <v>2644.983000000736</v>
      </c>
      <c r="C63" s="192">
        <v>8.5511481566278444</v>
      </c>
      <c r="D63" s="235">
        <v>100</v>
      </c>
      <c r="E63" s="209">
        <v>2641.450000001309</v>
      </c>
      <c r="F63" s="192">
        <v>7.9561183829004314</v>
      </c>
      <c r="G63" s="200"/>
      <c r="H63" s="209">
        <v>-3.5329999994267709</v>
      </c>
      <c r="I63" s="192">
        <v>-0.13357363731357774</v>
      </c>
      <c r="J63" s="200"/>
      <c r="K63" s="209">
        <v>194.01828319805523</v>
      </c>
      <c r="L63" s="192">
        <v>7.3353319547989999</v>
      </c>
      <c r="M63" s="200"/>
      <c r="N63" s="209">
        <v>-13.500719790574287</v>
      </c>
      <c r="O63" s="192">
        <v>-0.51042746930965266</v>
      </c>
      <c r="P63" s="200"/>
      <c r="Q63" s="209">
        <v>-184.05056340690771</v>
      </c>
      <c r="R63" s="192">
        <v>-6.9584781228029264</v>
      </c>
      <c r="S63" s="192"/>
      <c r="T63" s="232">
        <v>2644.983000000736</v>
      </c>
      <c r="U63" s="232">
        <v>2641.450000001309</v>
      </c>
    </row>
    <row r="64" spans="1:30" x14ac:dyDescent="0.2">
      <c r="A64" s="2" t="str">
        <f>name!A62</f>
        <v>Employment activities</v>
      </c>
      <c r="B64" s="205">
        <v>2374.4340000002467</v>
      </c>
      <c r="C64" s="192">
        <v>7.6764716151789791</v>
      </c>
      <c r="D64" s="235">
        <v>100</v>
      </c>
      <c r="E64" s="209">
        <v>2612.1830000006412</v>
      </c>
      <c r="F64" s="192">
        <v>7.8679653924150754</v>
      </c>
      <c r="G64" s="200"/>
      <c r="H64" s="209">
        <v>237.7490000003944</v>
      </c>
      <c r="I64" s="192">
        <v>10.012870435664656</v>
      </c>
      <c r="J64" s="200"/>
      <c r="K64" s="209">
        <v>174.17261594763022</v>
      </c>
      <c r="L64" s="192">
        <v>7.3353319547990017</v>
      </c>
      <c r="M64" s="200"/>
      <c r="N64" s="209">
        <v>4.3448310357788387</v>
      </c>
      <c r="O64" s="192">
        <v>0.18298386208159026</v>
      </c>
      <c r="P64" s="200"/>
      <c r="Q64" s="209">
        <v>59.231553016985345</v>
      </c>
      <c r="R64" s="192">
        <v>2.4945546187840635</v>
      </c>
      <c r="S64" s="192"/>
      <c r="T64" s="232">
        <v>2374.4340000002467</v>
      </c>
      <c r="U64" s="232">
        <v>2612.1830000006412</v>
      </c>
    </row>
    <row r="65" spans="1:21" x14ac:dyDescent="0.2">
      <c r="A65" s="2" t="str">
        <f>name!A63</f>
        <v>Travel, etc</v>
      </c>
      <c r="B65" s="205">
        <v>1674.2150000001743</v>
      </c>
      <c r="C65" s="192">
        <v>5.4126852652913824</v>
      </c>
      <c r="D65" s="235">
        <v>100</v>
      </c>
      <c r="E65" s="209">
        <v>1674.3130000004107</v>
      </c>
      <c r="F65" s="192">
        <v>5.0430757493141405</v>
      </c>
      <c r="G65" s="200"/>
      <c r="H65" s="209">
        <v>9.8000000236323159E-2</v>
      </c>
      <c r="I65" s="192">
        <v>5.8534895599617097E-3</v>
      </c>
      <c r="J65" s="200"/>
      <c r="K65" s="209">
        <v>122.80922788705089</v>
      </c>
      <c r="L65" s="192">
        <v>7.3353319547990017</v>
      </c>
      <c r="M65" s="200"/>
      <c r="N65" s="209">
        <v>-8.3861257494394739</v>
      </c>
      <c r="O65" s="192">
        <v>-0.50089897351526547</v>
      </c>
      <c r="P65" s="200"/>
      <c r="Q65" s="209">
        <v>-114.3251021373751</v>
      </c>
      <c r="R65" s="192">
        <v>-6.8285794917237741</v>
      </c>
      <c r="S65" s="192"/>
      <c r="T65" s="232">
        <v>1674.2150000001743</v>
      </c>
      <c r="U65" s="232">
        <v>1674.3130000004107</v>
      </c>
    </row>
    <row r="66" spans="1:21" x14ac:dyDescent="0.2">
      <c r="A66" s="2" t="str">
        <f>name!A64</f>
        <v>Security, etc</v>
      </c>
      <c r="B66" s="205">
        <v>413.60599999980559</v>
      </c>
      <c r="C66" s="192">
        <v>1.3371753937426327</v>
      </c>
      <c r="D66" s="235">
        <v>100</v>
      </c>
      <c r="E66" s="209">
        <v>428.36800000013642</v>
      </c>
      <c r="F66" s="192">
        <v>1.2902559274056631</v>
      </c>
      <c r="G66" s="200"/>
      <c r="H66" s="209">
        <v>14.762000000330852</v>
      </c>
      <c r="I66" s="192">
        <v>3.5690971601808945</v>
      </c>
      <c r="J66" s="200"/>
      <c r="K66" s="209">
        <v>30.339373084951696</v>
      </c>
      <c r="L66" s="192">
        <v>7.3353319547990017</v>
      </c>
      <c r="M66" s="200"/>
      <c r="N66" s="209">
        <v>-1.064562809640007</v>
      </c>
      <c r="O66" s="192">
        <v>-0.25738572690930678</v>
      </c>
      <c r="P66" s="200"/>
      <c r="Q66" s="209">
        <v>-14.512810274980836</v>
      </c>
      <c r="R66" s="192">
        <v>-3.5088490677087996</v>
      </c>
      <c r="S66" s="192"/>
      <c r="T66" s="232">
        <v>413.60599999980559</v>
      </c>
      <c r="U66" s="232">
        <v>428.36800000013642</v>
      </c>
    </row>
    <row r="67" spans="1:21" x14ac:dyDescent="0.2">
      <c r="A67" s="2" t="str">
        <f>name!A65</f>
        <v>Services to buildings</v>
      </c>
      <c r="B67" s="205">
        <v>435.47399999979547</v>
      </c>
      <c r="C67" s="192">
        <v>1.4078739607613997</v>
      </c>
      <c r="D67" s="235">
        <v>100</v>
      </c>
      <c r="E67" s="209">
        <v>454.83400000014473</v>
      </c>
      <c r="F67" s="192">
        <v>1.3699722306185969</v>
      </c>
      <c r="G67" s="200"/>
      <c r="H67" s="209">
        <v>19.360000000349245</v>
      </c>
      <c r="I67" s="192">
        <v>4.4457303996009729</v>
      </c>
      <c r="J67" s="200"/>
      <c r="K67" s="209">
        <v>31.943463476826398</v>
      </c>
      <c r="L67" s="192">
        <v>7.3353319547990017</v>
      </c>
      <c r="M67" s="200"/>
      <c r="N67" s="209">
        <v>-0.85995804046995161</v>
      </c>
      <c r="O67" s="192">
        <v>-0.19747632246020552</v>
      </c>
      <c r="P67" s="200"/>
      <c r="Q67" s="209">
        <v>-11.723505436007201</v>
      </c>
      <c r="R67" s="192">
        <v>-2.6921252327378231</v>
      </c>
      <c r="S67" s="192"/>
      <c r="T67" s="232">
        <v>435.47399999979547</v>
      </c>
      <c r="U67" s="232">
        <v>454.83400000014473</v>
      </c>
    </row>
    <row r="68" spans="1:21" x14ac:dyDescent="0.2">
      <c r="A68" s="2" t="str">
        <f>name!A66</f>
        <v>Office administrative</v>
      </c>
      <c r="B68" s="205">
        <v>242.30100000016066</v>
      </c>
      <c r="C68" s="192">
        <v>0.78335163193861013</v>
      </c>
      <c r="D68" s="235">
        <v>100</v>
      </c>
      <c r="E68" s="209">
        <v>263.26700000002035</v>
      </c>
      <c r="F68" s="192">
        <v>0.79296727869547856</v>
      </c>
      <c r="G68" s="200"/>
      <c r="H68" s="209">
        <v>20.965999999859719</v>
      </c>
      <c r="I68" s="192">
        <v>8.6528739047077057</v>
      </c>
      <c r="J68" s="200"/>
      <c r="K68" s="209">
        <v>17.773582679809312</v>
      </c>
      <c r="L68" s="192">
        <v>7.3353319547990017</v>
      </c>
      <c r="M68" s="200"/>
      <c r="N68" s="209">
        <v>0.2181708516137455</v>
      </c>
      <c r="O68" s="192">
        <v>9.0041251011593354E-2</v>
      </c>
      <c r="P68" s="200"/>
      <c r="Q68" s="209">
        <v>2.974246468436661</v>
      </c>
      <c r="R68" s="192">
        <v>1.2275006988971109</v>
      </c>
      <c r="S68" s="192"/>
      <c r="T68" s="232">
        <v>242.30100000016066</v>
      </c>
      <c r="U68" s="232">
        <v>263.26700000002035</v>
      </c>
    </row>
    <row r="69" spans="1:21" x14ac:dyDescent="0.2">
      <c r="A69" s="2" t="str">
        <f>name!A67</f>
        <v>Public administration and defence</v>
      </c>
      <c r="B69" s="205">
        <v>90.647000000060117</v>
      </c>
      <c r="C69" s="192">
        <v>0.29305894478495426</v>
      </c>
      <c r="D69" s="235">
        <v>100</v>
      </c>
      <c r="E69" s="209">
        <v>97.768000000007532</v>
      </c>
      <c r="F69" s="192">
        <v>0.29447984329027005</v>
      </c>
      <c r="G69" s="200"/>
      <c r="H69" s="209">
        <v>7.1209999999474238</v>
      </c>
      <c r="I69" s="192">
        <v>7.8557481217720406</v>
      </c>
      <c r="J69" s="200"/>
      <c r="K69" s="209">
        <v>6.6492583570710604</v>
      </c>
      <c r="L69" s="192">
        <v>7.3353319547990017</v>
      </c>
      <c r="M69" s="200"/>
      <c r="N69" s="209">
        <v>3.2238979321913774E-2</v>
      </c>
      <c r="O69" s="192">
        <v>3.5565412337851661E-2</v>
      </c>
      <c r="P69" s="200"/>
      <c r="Q69" s="209">
        <v>0.43950266355444967</v>
      </c>
      <c r="R69" s="192">
        <v>0.48485075463518729</v>
      </c>
      <c r="S69" s="192"/>
      <c r="T69" s="232">
        <v>90.647000000060117</v>
      </c>
      <c r="U69" s="232">
        <v>97.768000000007532</v>
      </c>
    </row>
    <row r="70" spans="1:21" x14ac:dyDescent="0.2">
      <c r="A70" s="2" t="str">
        <f>name!A68</f>
        <v xml:space="preserve">Education </v>
      </c>
      <c r="B70" s="205">
        <v>541.20600000035859</v>
      </c>
      <c r="C70" s="192">
        <v>1.7497022435523057</v>
      </c>
      <c r="D70" s="235">
        <v>100</v>
      </c>
      <c r="E70" s="209">
        <v>583.72000000004539</v>
      </c>
      <c r="F70" s="192">
        <v>1.75818032613326</v>
      </c>
      <c r="G70" s="200"/>
      <c r="H70" s="209">
        <v>42.513999999686845</v>
      </c>
      <c r="I70" s="192">
        <v>7.8554191933678998</v>
      </c>
      <c r="J70" s="200"/>
      <c r="K70" s="209">
        <v>39.699256659315786</v>
      </c>
      <c r="L70" s="192">
        <v>7.3353319547990017</v>
      </c>
      <c r="M70" s="200"/>
      <c r="N70" s="209">
        <v>0.19236048739177392</v>
      </c>
      <c r="O70" s="192">
        <v>3.5542933262315363E-2</v>
      </c>
      <c r="P70" s="200"/>
      <c r="Q70" s="209">
        <v>2.6223828529792854</v>
      </c>
      <c r="R70" s="192">
        <v>0.48454430530658343</v>
      </c>
      <c r="S70" s="192"/>
      <c r="T70" s="232">
        <v>541.20600000035859</v>
      </c>
      <c r="U70" s="232">
        <v>583.72000000004539</v>
      </c>
    </row>
    <row r="71" spans="1:21" x14ac:dyDescent="0.2">
      <c r="A71" s="2" t="str">
        <f>name!A69</f>
        <v>Health</v>
      </c>
      <c r="B71" s="205">
        <v>89.69100000005939</v>
      </c>
      <c r="C71" s="192">
        <v>0.28996822638043518</v>
      </c>
      <c r="D71" s="235">
        <v>100</v>
      </c>
      <c r="E71" s="209">
        <v>93.170000000007207</v>
      </c>
      <c r="F71" s="192">
        <v>0.28063054372958912</v>
      </c>
      <c r="G71" s="200"/>
      <c r="H71" s="209">
        <v>3.4789999999478169</v>
      </c>
      <c r="I71" s="192">
        <v>3.8788730195287302</v>
      </c>
      <c r="J71" s="200"/>
      <c r="K71" s="209">
        <v>6.5791325835831289</v>
      </c>
      <c r="L71" s="192">
        <v>7.3353319547990017</v>
      </c>
      <c r="M71" s="200"/>
      <c r="N71" s="209">
        <v>-0.21186408231755838</v>
      </c>
      <c r="O71" s="192">
        <v>-0.23621554260451783</v>
      </c>
      <c r="P71" s="200"/>
      <c r="Q71" s="209">
        <v>-2.8882685013177536</v>
      </c>
      <c r="R71" s="192">
        <v>-3.2202433926657537</v>
      </c>
      <c r="S71" s="192"/>
      <c r="T71" s="232">
        <v>89.69100000005939</v>
      </c>
      <c r="U71" s="232">
        <v>93.170000000007207</v>
      </c>
    </row>
    <row r="72" spans="1:21" x14ac:dyDescent="0.2">
      <c r="A72" s="37" t="str">
        <f>name!A3</f>
        <v>All industries</v>
      </c>
      <c r="B72" s="206">
        <v>30931.320000000887</v>
      </c>
      <c r="C72" s="201">
        <v>100</v>
      </c>
      <c r="D72" s="294">
        <v>100</v>
      </c>
      <c r="E72" s="210">
        <v>33200.235000002089</v>
      </c>
      <c r="F72" s="201">
        <v>100</v>
      </c>
      <c r="G72" s="198"/>
      <c r="H72" s="210">
        <v>2268.9150000011996</v>
      </c>
      <c r="I72" s="201">
        <v>7.3353319547990017</v>
      </c>
      <c r="J72" s="198"/>
      <c r="K72" s="210">
        <v>2268.9150000011996</v>
      </c>
      <c r="L72" s="201">
        <v>7.3353319547990017</v>
      </c>
      <c r="M72" s="198"/>
      <c r="N72" s="210">
        <v>-2.5920599000528455E-11</v>
      </c>
      <c r="O72" s="201">
        <v>-8.3800494128694509E-14</v>
      </c>
      <c r="P72" s="198"/>
      <c r="Q72" s="210">
        <v>2.5963231564674061E-11</v>
      </c>
      <c r="R72" s="201">
        <v>2.7161651386449669E-13</v>
      </c>
      <c r="S72" s="201"/>
      <c r="T72" s="238">
        <v>30931.320000000887</v>
      </c>
      <c r="U72" s="238">
        <v>33200.235000002089</v>
      </c>
    </row>
    <row r="75" spans="1:21" x14ac:dyDescent="0.2">
      <c r="A75" s="241" t="s">
        <v>73</v>
      </c>
      <c r="B75" s="242"/>
      <c r="C75" s="242"/>
      <c r="D75" s="242"/>
      <c r="E75" s="242"/>
    </row>
    <row r="76" spans="1:21" x14ac:dyDescent="0.2">
      <c r="A76" s="531" t="s">
        <v>74</v>
      </c>
      <c r="B76" s="531"/>
      <c r="C76" s="531"/>
      <c r="D76" s="531"/>
      <c r="E76" s="531"/>
      <c r="F76" s="531"/>
      <c r="G76" s="531"/>
      <c r="H76" s="531"/>
      <c r="I76" s="531"/>
      <c r="J76" s="531"/>
      <c r="K76" s="531"/>
      <c r="L76" s="531"/>
      <c r="M76" s="531"/>
      <c r="N76" s="531"/>
      <c r="O76" s="531"/>
      <c r="P76" s="531"/>
      <c r="Q76" s="531"/>
      <c r="R76" s="531"/>
    </row>
    <row r="77" spans="1:21" x14ac:dyDescent="0.2">
      <c r="A77" s="531" t="s">
        <v>75</v>
      </c>
      <c r="B77" s="531"/>
      <c r="C77" s="531"/>
      <c r="D77" s="531"/>
      <c r="E77" s="531"/>
      <c r="F77" s="531"/>
      <c r="G77" s="531"/>
      <c r="H77" s="531"/>
      <c r="I77" s="531"/>
      <c r="J77" s="531"/>
      <c r="K77" s="531"/>
      <c r="L77" s="531"/>
      <c r="M77" s="531"/>
      <c r="N77" s="531"/>
      <c r="O77" s="531"/>
      <c r="P77" s="531"/>
      <c r="Q77" s="531"/>
      <c r="R77" s="531"/>
    </row>
    <row r="78" spans="1:21" x14ac:dyDescent="0.2">
      <c r="A78" s="531" t="s">
        <v>76</v>
      </c>
      <c r="B78" s="531"/>
      <c r="C78" s="531"/>
      <c r="D78" s="531"/>
      <c r="E78" s="531"/>
      <c r="F78" s="531"/>
      <c r="G78" s="531"/>
      <c r="H78" s="531"/>
      <c r="I78" s="531"/>
      <c r="J78" s="531"/>
      <c r="K78" s="531"/>
      <c r="L78" s="531"/>
      <c r="M78" s="531"/>
      <c r="N78" s="531"/>
      <c r="O78" s="531"/>
      <c r="P78" s="531"/>
      <c r="Q78" s="531"/>
      <c r="R78" s="531"/>
    </row>
    <row r="79" spans="1:21" x14ac:dyDescent="0.2">
      <c r="A79" s="531" t="s">
        <v>77</v>
      </c>
      <c r="B79" s="531"/>
      <c r="C79" s="531"/>
      <c r="D79" s="531"/>
      <c r="E79" s="531"/>
      <c r="F79" s="531"/>
      <c r="G79" s="531"/>
      <c r="H79" s="531"/>
      <c r="I79" s="531"/>
      <c r="J79" s="531"/>
      <c r="K79" s="531"/>
      <c r="L79" s="531"/>
      <c r="M79" s="531"/>
      <c r="N79" s="531"/>
      <c r="O79" s="531"/>
      <c r="P79" s="531"/>
      <c r="Q79" s="531"/>
      <c r="R79" s="531"/>
    </row>
    <row r="80" spans="1:21" x14ac:dyDescent="0.2">
      <c r="A80" s="531" t="s">
        <v>78</v>
      </c>
      <c r="B80" s="531"/>
      <c r="C80" s="531"/>
      <c r="D80" s="531"/>
      <c r="E80" s="531"/>
      <c r="F80" s="531"/>
      <c r="G80" s="531"/>
      <c r="H80" s="531"/>
      <c r="I80" s="531"/>
      <c r="J80" s="531"/>
      <c r="K80" s="531"/>
      <c r="L80" s="531"/>
      <c r="M80" s="531"/>
      <c r="N80" s="531"/>
      <c r="O80" s="531"/>
      <c r="P80" s="531"/>
      <c r="Q80" s="531"/>
      <c r="R80" s="531"/>
    </row>
    <row r="81" spans="1:18" x14ac:dyDescent="0.2">
      <c r="A81" s="531" t="s">
        <v>79</v>
      </c>
      <c r="B81" s="531"/>
      <c r="C81" s="531"/>
      <c r="D81" s="531"/>
      <c r="E81" s="531"/>
      <c r="F81" s="531"/>
      <c r="G81" s="531"/>
      <c r="H81" s="531"/>
      <c r="I81" s="531"/>
      <c r="J81" s="531"/>
      <c r="K81" s="531"/>
      <c r="L81" s="531"/>
      <c r="M81" s="531"/>
      <c r="N81" s="531"/>
      <c r="O81" s="531"/>
      <c r="P81" s="531"/>
      <c r="Q81" s="531"/>
      <c r="R81" s="531"/>
    </row>
  </sheetData>
  <mergeCells count="10">
    <mergeCell ref="K2:R2"/>
    <mergeCell ref="K3:L3"/>
    <mergeCell ref="N3:O3"/>
    <mergeCell ref="Q3:R3"/>
    <mergeCell ref="A76:R76"/>
    <mergeCell ref="A77:R77"/>
    <mergeCell ref="A78:R78"/>
    <mergeCell ref="A79:R79"/>
    <mergeCell ref="A80:R80"/>
    <mergeCell ref="A81:R81"/>
  </mergeCells>
  <pageMargins left="0.39370078740157483" right="0.39370078740157483" top="0.74803149606299213" bottom="0.74803149606299213" header="0.31496062992125984" footer="0.31496062992125984"/>
  <pageSetup paperSize="9" scale="61" orientation="landscape" r:id="rId1"/>
  <rowBreaks count="1" manualBreakCount="1">
    <brk id="34" max="16383" man="1"/>
  </rowBreaks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BH97"/>
  <sheetViews>
    <sheetView zoomScale="85" zoomScaleNormal="85" workbookViewId="0">
      <selection activeCell="A9" sqref="A9"/>
    </sheetView>
  </sheetViews>
  <sheetFormatPr defaultColWidth="9.140625" defaultRowHeight="12.75" x14ac:dyDescent="0.2"/>
  <cols>
    <col min="1" max="1" width="18.140625" style="123" customWidth="1"/>
    <col min="2" max="6" width="7.7109375" style="123" customWidth="1"/>
    <col min="7" max="7" width="3.5703125" style="123" customWidth="1"/>
    <col min="8" max="12" width="7.7109375" style="123" customWidth="1"/>
    <col min="13" max="13" width="3.5703125" style="123" customWidth="1"/>
    <col min="14" max="18" width="7.7109375" style="123" customWidth="1"/>
    <col min="19" max="19" width="3.5703125" style="123" customWidth="1"/>
    <col min="20" max="24" width="7.7109375" style="123" customWidth="1"/>
    <col min="25" max="16384" width="9.140625" style="123"/>
  </cols>
  <sheetData>
    <row r="1" spans="1:60" s="168" customFormat="1" ht="15.75" x14ac:dyDescent="0.25">
      <c r="A1" s="23" t="str">
        <f>CONCATENATE("Basic Table 2a  Population by Gender, Age Group and ISCED Qualification, ",Info!B8,", ",$B$5,"-",$F$5)</f>
        <v>Basic Table 2a  Population by Gender, Age Group and ISCED Qualification, , 2008-2025</v>
      </c>
      <c r="P1" s="266" t="s">
        <v>105</v>
      </c>
      <c r="Y1" s="23" t="str">
        <f>CONCATENATE("Basic Table 2a  Population by Gender, Age Group and ISCED Qualification, ",Info!B8,", ",$B$5,"-",$F$5," (continued)")</f>
        <v>Basic Table 2a  Population by Gender, Age Group and ISCED Qualification, , 2008-2025 (continued)</v>
      </c>
      <c r="AQ1" s="23" t="str">
        <f>CONCATENATE("Basic Table 2a  Population by Gender, Age Group and ISCED Qualification, ",Info!B8,", ",$B$5,"-",$F$5, " (continued)")</f>
        <v>Basic Table 2a  Population by Gender, Age Group and ISCED Qualification, , 2008-2025 (continued)</v>
      </c>
    </row>
    <row r="2" spans="1:60" s="168" customFormat="1" ht="12.75" customHeight="1" x14ac:dyDescent="0.2">
      <c r="W2" s="536" t="s">
        <v>13</v>
      </c>
      <c r="X2" s="536"/>
      <c r="AP2" s="262" t="s">
        <v>13</v>
      </c>
      <c r="BH2" s="262" t="s">
        <v>13</v>
      </c>
    </row>
    <row r="3" spans="1:60" s="168" customFormat="1" x14ac:dyDescent="0.2">
      <c r="A3" s="160" t="s">
        <v>101</v>
      </c>
      <c r="B3" s="270" t="s">
        <v>118</v>
      </c>
      <c r="C3" s="270"/>
      <c r="D3" s="271"/>
      <c r="E3" s="270"/>
      <c r="F3" s="270"/>
      <c r="G3" s="160"/>
      <c r="H3" s="272" t="s">
        <v>46</v>
      </c>
      <c r="I3" s="272"/>
      <c r="J3" s="272"/>
      <c r="K3" s="270"/>
      <c r="L3" s="270"/>
      <c r="M3" s="160"/>
      <c r="N3" s="272" t="s">
        <v>47</v>
      </c>
      <c r="O3" s="272"/>
      <c r="P3" s="272"/>
      <c r="Q3" s="270"/>
      <c r="R3" s="270"/>
      <c r="S3" s="160"/>
      <c r="T3" s="535" t="s">
        <v>48</v>
      </c>
      <c r="U3" s="535"/>
      <c r="V3" s="535"/>
      <c r="W3" s="535"/>
      <c r="X3" s="535"/>
      <c r="Y3" s="160" t="s">
        <v>101</v>
      </c>
      <c r="Z3" s="537" t="s">
        <v>119</v>
      </c>
      <c r="AA3" s="537"/>
      <c r="AB3" s="537"/>
      <c r="AC3" s="537"/>
      <c r="AD3" s="537"/>
      <c r="AE3" s="160"/>
      <c r="AF3" s="272" t="s">
        <v>49</v>
      </c>
      <c r="AG3" s="272"/>
      <c r="AH3" s="272"/>
      <c r="AI3" s="270"/>
      <c r="AJ3" s="270"/>
      <c r="AK3" s="160"/>
      <c r="AL3" s="535" t="s">
        <v>50</v>
      </c>
      <c r="AM3" s="535"/>
      <c r="AN3" s="535"/>
      <c r="AO3" s="535"/>
      <c r="AP3" s="535"/>
      <c r="AQ3" s="160" t="s">
        <v>101</v>
      </c>
      <c r="AR3" s="537" t="s">
        <v>120</v>
      </c>
      <c r="AS3" s="537"/>
      <c r="AT3" s="537"/>
      <c r="AU3" s="537"/>
      <c r="AV3" s="537"/>
      <c r="AW3" s="160"/>
      <c r="AX3" s="272" t="s">
        <v>51</v>
      </c>
      <c r="AY3" s="272"/>
      <c r="AZ3" s="272"/>
      <c r="BA3" s="270"/>
      <c r="BB3" s="270"/>
      <c r="BC3" s="160"/>
      <c r="BD3" s="535" t="s">
        <v>52</v>
      </c>
      <c r="BE3" s="535"/>
      <c r="BF3" s="535"/>
      <c r="BG3" s="535"/>
      <c r="BH3" s="535"/>
    </row>
    <row r="4" spans="1:60" s="168" customFormat="1" x14ac:dyDescent="0.2">
      <c r="A4" s="264" t="s">
        <v>104</v>
      </c>
      <c r="B4" s="273"/>
      <c r="C4" s="273"/>
      <c r="D4" s="273"/>
      <c r="E4" s="273"/>
      <c r="F4" s="273"/>
      <c r="G4" s="126"/>
      <c r="H4" s="273"/>
      <c r="I4" s="273"/>
      <c r="J4" s="273"/>
      <c r="K4" s="273"/>
      <c r="L4" s="273"/>
      <c r="M4" s="126"/>
      <c r="N4" s="273"/>
      <c r="O4" s="273"/>
      <c r="P4" s="273"/>
      <c r="Q4" s="273"/>
      <c r="R4" s="273"/>
      <c r="S4" s="126"/>
      <c r="T4" s="273"/>
      <c r="U4" s="273"/>
      <c r="V4" s="273"/>
      <c r="W4" s="273"/>
      <c r="X4" s="273"/>
      <c r="Y4" s="264" t="s">
        <v>104</v>
      </c>
      <c r="Z4" s="273"/>
      <c r="AA4" s="273"/>
      <c r="AB4" s="273"/>
      <c r="AC4" s="273"/>
      <c r="AD4" s="273"/>
      <c r="AE4" s="126"/>
      <c r="AF4" s="273"/>
      <c r="AG4" s="273"/>
      <c r="AH4" s="273"/>
      <c r="AI4" s="273"/>
      <c r="AJ4" s="273"/>
      <c r="AK4" s="126"/>
      <c r="AL4" s="273"/>
      <c r="AM4" s="273"/>
      <c r="AN4" s="273"/>
      <c r="AO4" s="273"/>
      <c r="AP4" s="273"/>
      <c r="AQ4" s="264" t="s">
        <v>104</v>
      </c>
      <c r="AR4" s="273"/>
      <c r="AS4" s="273"/>
      <c r="AT4" s="273"/>
      <c r="AU4" s="273"/>
      <c r="AV4" s="273"/>
      <c r="AW4" s="126"/>
      <c r="AX4" s="273"/>
      <c r="AY4" s="273"/>
      <c r="AZ4" s="273"/>
      <c r="BA4" s="273"/>
      <c r="BB4" s="273"/>
      <c r="BC4" s="126"/>
      <c r="BD4" s="273"/>
      <c r="BE4" s="273"/>
      <c r="BF4" s="273"/>
      <c r="BG4" s="273"/>
      <c r="BH4" s="273"/>
    </row>
    <row r="5" spans="1:60" s="168" customFormat="1" x14ac:dyDescent="0.2">
      <c r="A5" s="261"/>
      <c r="B5" s="274">
        <v>2008</v>
      </c>
      <c r="C5" s="274">
        <v>2010</v>
      </c>
      <c r="D5" s="274">
        <v>2015</v>
      </c>
      <c r="E5" s="274">
        <v>2020</v>
      </c>
      <c r="F5" s="162">
        <v>2025</v>
      </c>
      <c r="G5" s="162"/>
      <c r="H5" s="162">
        <f>B5</f>
        <v>2008</v>
      </c>
      <c r="I5" s="162">
        <f>C5</f>
        <v>2010</v>
      </c>
      <c r="J5" s="162">
        <f>D5</f>
        <v>2015</v>
      </c>
      <c r="K5" s="162">
        <f>E5</f>
        <v>2020</v>
      </c>
      <c r="L5" s="162">
        <f>F5</f>
        <v>2025</v>
      </c>
      <c r="M5" s="162"/>
      <c r="N5" s="162">
        <f>B5</f>
        <v>2008</v>
      </c>
      <c r="O5" s="162">
        <f>C5</f>
        <v>2010</v>
      </c>
      <c r="P5" s="162">
        <f>D5</f>
        <v>2015</v>
      </c>
      <c r="Q5" s="162">
        <f>E5</f>
        <v>2020</v>
      </c>
      <c r="R5" s="162">
        <f>F5</f>
        <v>2025</v>
      </c>
      <c r="S5" s="162"/>
      <c r="T5" s="162">
        <f>B5</f>
        <v>2008</v>
      </c>
      <c r="U5" s="162">
        <f>C5</f>
        <v>2010</v>
      </c>
      <c r="V5" s="162">
        <f>D5</f>
        <v>2015</v>
      </c>
      <c r="W5" s="162">
        <f>E5</f>
        <v>2020</v>
      </c>
      <c r="X5" s="162">
        <f>F5</f>
        <v>2025</v>
      </c>
      <c r="Y5" s="261"/>
      <c r="Z5" s="274">
        <v>2008</v>
      </c>
      <c r="AA5" s="274">
        <v>2010</v>
      </c>
      <c r="AB5" s="274">
        <v>2012</v>
      </c>
      <c r="AC5" s="274">
        <v>2015</v>
      </c>
      <c r="AD5" s="264">
        <v>2020</v>
      </c>
      <c r="AE5" s="162"/>
      <c r="AF5" s="162">
        <f>Z5</f>
        <v>2008</v>
      </c>
      <c r="AG5" s="162">
        <f>AA5</f>
        <v>2010</v>
      </c>
      <c r="AH5" s="162">
        <f>AB5</f>
        <v>2012</v>
      </c>
      <c r="AI5" s="162">
        <f>AC5</f>
        <v>2015</v>
      </c>
      <c r="AJ5" s="162">
        <f>AD5</f>
        <v>2020</v>
      </c>
      <c r="AK5" s="162"/>
      <c r="AL5" s="162">
        <f>Z5</f>
        <v>2008</v>
      </c>
      <c r="AM5" s="162">
        <f>AA5</f>
        <v>2010</v>
      </c>
      <c r="AN5" s="162">
        <f>AB5</f>
        <v>2012</v>
      </c>
      <c r="AO5" s="162">
        <f>AC5</f>
        <v>2015</v>
      </c>
      <c r="AP5" s="162">
        <f>AD5</f>
        <v>2020</v>
      </c>
      <c r="AQ5" s="261"/>
      <c r="AR5" s="274">
        <v>2008</v>
      </c>
      <c r="AS5" s="274">
        <v>2010</v>
      </c>
      <c r="AT5" s="274">
        <v>2012</v>
      </c>
      <c r="AU5" s="274">
        <v>2015</v>
      </c>
      <c r="AV5" s="264">
        <v>2020</v>
      </c>
      <c r="AW5" s="162"/>
      <c r="AX5" s="162">
        <f>AR5</f>
        <v>2008</v>
      </c>
      <c r="AY5" s="162">
        <f>AS5</f>
        <v>2010</v>
      </c>
      <c r="AZ5" s="162">
        <f>AT5</f>
        <v>2012</v>
      </c>
      <c r="BA5" s="162">
        <f>AU5</f>
        <v>2015</v>
      </c>
      <c r="BB5" s="162">
        <f>AV5</f>
        <v>2020</v>
      </c>
      <c r="BC5" s="162"/>
      <c r="BD5" s="162">
        <f>AR5</f>
        <v>2008</v>
      </c>
      <c r="BE5" s="162">
        <f>AS5</f>
        <v>2010</v>
      </c>
      <c r="BF5" s="162">
        <f>AT5</f>
        <v>2012</v>
      </c>
      <c r="BG5" s="162">
        <f>AU5</f>
        <v>2015</v>
      </c>
      <c r="BH5" s="162">
        <f>AV5</f>
        <v>2020</v>
      </c>
    </row>
    <row r="6" spans="1:60" s="168" customFormat="1" x14ac:dyDescent="0.2">
      <c r="A6" s="263" t="s">
        <v>100</v>
      </c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Y6" s="263" t="str">
        <f>A6</f>
        <v>Males and females</v>
      </c>
      <c r="AD6" s="275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63" t="str">
        <f>A6</f>
        <v>Males and females</v>
      </c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</row>
    <row r="7" spans="1:60" s="168" customFormat="1" x14ac:dyDescent="0.2">
      <c r="A7" s="276" t="s">
        <v>117</v>
      </c>
      <c r="B7" s="277">
        <f>SUM(B21,B35)</f>
        <v>3459.4640427147242</v>
      </c>
      <c r="C7" s="277">
        <f t="shared" ref="C7:F7" si="0">SUM(C21,C35)</f>
        <v>3400.2899538632541</v>
      </c>
      <c r="D7" s="277">
        <f t="shared" si="0"/>
        <v>3045.4402650537522</v>
      </c>
      <c r="E7" s="277">
        <f t="shared" si="0"/>
        <v>2678.9714989136332</v>
      </c>
      <c r="F7" s="277">
        <f t="shared" si="0"/>
        <v>2317.0105072138758</v>
      </c>
      <c r="G7" s="275"/>
      <c r="H7" s="277">
        <f>SUM(H21,H35)</f>
        <v>1679.4259754428681</v>
      </c>
      <c r="I7" s="277">
        <f t="shared" ref="I7:L7" si="1">SUM(I21,I35)</f>
        <v>1648.317888485841</v>
      </c>
      <c r="J7" s="277">
        <f t="shared" si="1"/>
        <v>1477.7490935463652</v>
      </c>
      <c r="K7" s="277">
        <f t="shared" si="1"/>
        <v>1288.2296891194944</v>
      </c>
      <c r="L7" s="277">
        <f t="shared" si="1"/>
        <v>1088.2685344941576</v>
      </c>
      <c r="M7" s="275"/>
      <c r="N7" s="277">
        <f>SUM(N21,N35)</f>
        <v>1780.0380672718561</v>
      </c>
      <c r="O7" s="277">
        <f t="shared" ref="O7:R7" si="2">SUM(O21,O35)</f>
        <v>1751.9720653774136</v>
      </c>
      <c r="P7" s="277">
        <f t="shared" si="2"/>
        <v>1567.6911715073866</v>
      </c>
      <c r="Q7" s="277">
        <f t="shared" si="2"/>
        <v>1390.7418097941386</v>
      </c>
      <c r="R7" s="277">
        <f t="shared" si="2"/>
        <v>1228.7419727197182</v>
      </c>
      <c r="S7" s="275"/>
      <c r="T7" s="277">
        <f>SUM(T21,T35)</f>
        <v>0</v>
      </c>
      <c r="U7" s="277">
        <f t="shared" ref="U7:X7" si="3">SUM(U21,U35)</f>
        <v>0</v>
      </c>
      <c r="V7" s="277">
        <f t="shared" si="3"/>
        <v>0</v>
      </c>
      <c r="W7" s="277">
        <f t="shared" si="3"/>
        <v>0</v>
      </c>
      <c r="X7" s="277">
        <f t="shared" si="3"/>
        <v>0</v>
      </c>
      <c r="Y7" s="276" t="str">
        <f>A7</f>
        <v>15+</v>
      </c>
      <c r="Z7" s="277">
        <f>SUM(Z21,Z35)</f>
        <v>3091.791884793171</v>
      </c>
      <c r="AA7" s="277">
        <f t="shared" ref="AA7:AD7" si="4">SUM(AA21,AA35)</f>
        <v>3065.8806069644388</v>
      </c>
      <c r="AB7" s="277">
        <f t="shared" si="4"/>
        <v>3409.3013579609269</v>
      </c>
      <c r="AC7" s="277">
        <f t="shared" si="4"/>
        <v>3706.9349474249966</v>
      </c>
      <c r="AD7" s="277">
        <f t="shared" si="4"/>
        <v>4020.4986268054308</v>
      </c>
      <c r="AE7" s="275"/>
      <c r="AF7" s="277">
        <f>SUM(AF21,AF35)</f>
        <v>2927.4264642789112</v>
      </c>
      <c r="AG7" s="277">
        <f t="shared" ref="AG7:AJ7" si="5">SUM(AG21,AG35)</f>
        <v>2904.0501410418874</v>
      </c>
      <c r="AH7" s="277">
        <f t="shared" si="5"/>
        <v>3230.1495942820802</v>
      </c>
      <c r="AI7" s="277">
        <f t="shared" si="5"/>
        <v>3512.6427518955061</v>
      </c>
      <c r="AJ7" s="277">
        <f t="shared" si="5"/>
        <v>3811.1764268486331</v>
      </c>
      <c r="AK7" s="275"/>
      <c r="AL7" s="277">
        <f>SUM(AL21,AL35)</f>
        <v>164.36542051425988</v>
      </c>
      <c r="AM7" s="277">
        <f t="shared" ref="AM7:AP7" si="6">SUM(AM21,AM35)</f>
        <v>161.83046592255167</v>
      </c>
      <c r="AN7" s="277">
        <f t="shared" si="6"/>
        <v>179.15176367884681</v>
      </c>
      <c r="AO7" s="277">
        <f t="shared" si="6"/>
        <v>194.29219552948987</v>
      </c>
      <c r="AP7" s="277">
        <f t="shared" si="6"/>
        <v>209.3221999567977</v>
      </c>
      <c r="AQ7" s="276" t="str">
        <f>A7</f>
        <v>15+</v>
      </c>
      <c r="AR7" s="277">
        <f>SUM(AR21,AR35)</f>
        <v>2315.1550724921058</v>
      </c>
      <c r="AS7" s="277">
        <f t="shared" ref="AS7:AV7" si="7">SUM(AS21,AS35)</f>
        <v>2541.5004391723069</v>
      </c>
      <c r="AT7" s="277">
        <f t="shared" si="7"/>
        <v>2941.8093769853213</v>
      </c>
      <c r="AU7" s="277">
        <f t="shared" si="7"/>
        <v>3371.4645536613707</v>
      </c>
      <c r="AV7" s="277">
        <f t="shared" si="7"/>
        <v>3852.3018659806939</v>
      </c>
      <c r="AW7" s="275"/>
      <c r="AX7" s="277">
        <f>SUM(AX21,AX35)</f>
        <v>2273.2830854649774</v>
      </c>
      <c r="AY7" s="277">
        <f t="shared" ref="AY7:BB7" si="8">SUM(AY21,AY35)</f>
        <v>2495.5789443393905</v>
      </c>
      <c r="AZ7" s="277">
        <f t="shared" si="8"/>
        <v>2888.5095204216923</v>
      </c>
      <c r="BA7" s="277">
        <f t="shared" si="8"/>
        <v>3309.625834412429</v>
      </c>
      <c r="BB7" s="277">
        <f t="shared" si="8"/>
        <v>3780.5650780045271</v>
      </c>
      <c r="BC7" s="275"/>
      <c r="BD7" s="277">
        <f>SUM(BD21,BD35)</f>
        <v>41.87198702712827</v>
      </c>
      <c r="BE7" s="277">
        <f t="shared" ref="BE7:BH7" si="9">SUM(BE21,BE35)</f>
        <v>45.921494832916046</v>
      </c>
      <c r="BF7" s="277">
        <f t="shared" si="9"/>
        <v>53.299856563628751</v>
      </c>
      <c r="BG7" s="277">
        <f t="shared" si="9"/>
        <v>61.838719248942184</v>
      </c>
      <c r="BH7" s="277">
        <f t="shared" si="9"/>
        <v>71.736787976166625</v>
      </c>
    </row>
    <row r="8" spans="1:60" s="168" customFormat="1" x14ac:dyDescent="0.2">
      <c r="A8" s="123" t="s">
        <v>107</v>
      </c>
      <c r="B8" s="277">
        <f t="shared" ref="B8:F18" si="10">SUM(B22,B36)</f>
        <v>501.63108046561928</v>
      </c>
      <c r="C8" s="277">
        <f t="shared" si="10"/>
        <v>493.36896304450306</v>
      </c>
      <c r="D8" s="277">
        <f t="shared" si="10"/>
        <v>467.66784217805935</v>
      </c>
      <c r="E8" s="277">
        <f t="shared" si="10"/>
        <v>467.57168305686275</v>
      </c>
      <c r="F8" s="277">
        <f t="shared" si="10"/>
        <v>503.21354379106839</v>
      </c>
      <c r="G8" s="275"/>
      <c r="H8" s="277">
        <f t="shared" ref="H8:L18" si="11">SUM(H22,H36)</f>
        <v>114.48583632559203</v>
      </c>
      <c r="I8" s="277">
        <f t="shared" si="11"/>
        <v>112.4668251880446</v>
      </c>
      <c r="J8" s="277">
        <f t="shared" si="11"/>
        <v>106.55167737427834</v>
      </c>
      <c r="K8" s="277">
        <f t="shared" si="11"/>
        <v>106.48887604298042</v>
      </c>
      <c r="L8" s="277">
        <f t="shared" si="11"/>
        <v>114.56799971676224</v>
      </c>
      <c r="M8" s="275"/>
      <c r="N8" s="277">
        <f t="shared" ref="N8:R18" si="12">SUM(N22,N36)</f>
        <v>387.14524414002727</v>
      </c>
      <c r="O8" s="277">
        <f t="shared" si="12"/>
        <v>380.90213785645847</v>
      </c>
      <c r="P8" s="277">
        <f t="shared" si="12"/>
        <v>361.11616480378109</v>
      </c>
      <c r="Q8" s="277">
        <f t="shared" si="12"/>
        <v>361.08280701388242</v>
      </c>
      <c r="R8" s="277">
        <f t="shared" si="12"/>
        <v>388.64554407430614</v>
      </c>
      <c r="S8" s="275"/>
      <c r="T8" s="277">
        <f t="shared" ref="T8:X18" si="13">SUM(T22,T36)</f>
        <v>0</v>
      </c>
      <c r="U8" s="277">
        <f t="shared" si="13"/>
        <v>0</v>
      </c>
      <c r="V8" s="277">
        <f t="shared" si="13"/>
        <v>0</v>
      </c>
      <c r="W8" s="277">
        <f t="shared" si="13"/>
        <v>0</v>
      </c>
      <c r="X8" s="277">
        <f t="shared" si="13"/>
        <v>0</v>
      </c>
      <c r="Y8" s="276" t="str">
        <f t="shared" ref="Y8:Y20" si="14">A8</f>
        <v>15-19</v>
      </c>
      <c r="Z8" s="277">
        <f t="shared" ref="Z8:AD18" si="15">SUM(Z22,Z36)</f>
        <v>150.08101199827104</v>
      </c>
      <c r="AA8" s="277">
        <f t="shared" si="15"/>
        <v>155.93795619324226</v>
      </c>
      <c r="AB8" s="277">
        <f t="shared" si="15"/>
        <v>164.99720704459003</v>
      </c>
      <c r="AC8" s="277">
        <f t="shared" si="15"/>
        <v>178.36278144057661</v>
      </c>
      <c r="AD8" s="277">
        <f t="shared" si="15"/>
        <v>207.50995998860915</v>
      </c>
      <c r="AE8" s="275"/>
      <c r="AF8" s="277">
        <f t="shared" ref="AF8:AJ18" si="16">SUM(AF22,AF36)</f>
        <v>147.86996763731275</v>
      </c>
      <c r="AG8" s="277">
        <f t="shared" si="16"/>
        <v>153.62639813852158</v>
      </c>
      <c r="AH8" s="277">
        <f t="shared" si="16"/>
        <v>162.54197557268748</v>
      </c>
      <c r="AI8" s="277">
        <f t="shared" si="16"/>
        <v>175.70743183187028</v>
      </c>
      <c r="AJ8" s="277">
        <f t="shared" si="16"/>
        <v>204.41892397369543</v>
      </c>
      <c r="AK8" s="275"/>
      <c r="AL8" s="277">
        <f t="shared" ref="AL8:AP18" si="17">SUM(AL22,AL36)</f>
        <v>2.2110443609582711</v>
      </c>
      <c r="AM8" s="277">
        <f t="shared" si="17"/>
        <v>2.3115580547206553</v>
      </c>
      <c r="AN8" s="277">
        <f t="shared" si="17"/>
        <v>2.4552314719025436</v>
      </c>
      <c r="AO8" s="277">
        <f t="shared" si="17"/>
        <v>2.6553496087063317</v>
      </c>
      <c r="AP8" s="277">
        <f t="shared" si="17"/>
        <v>3.0910360149137395</v>
      </c>
      <c r="AQ8" s="276" t="str">
        <f t="shared" ref="AQ8:AQ18" si="18">A8</f>
        <v>15-19</v>
      </c>
      <c r="AR8" s="277">
        <f t="shared" ref="AR8:AV18" si="19">SUM(AR22,AR36)</f>
        <v>0.60290753610971359</v>
      </c>
      <c r="AS8" s="277">
        <f t="shared" si="19"/>
        <v>1.3250807622546965</v>
      </c>
      <c r="AT8" s="277">
        <f t="shared" si="19"/>
        <v>1.9219507773505975</v>
      </c>
      <c r="AU8" s="277">
        <f t="shared" si="19"/>
        <v>1.9655355025605465</v>
      </c>
      <c r="AV8" s="277">
        <f t="shared" si="19"/>
        <v>2.1654962203224546</v>
      </c>
      <c r="AW8" s="275"/>
      <c r="AX8" s="277">
        <f t="shared" ref="AX8:BB18" si="20">SUM(AX22,AX36)</f>
        <v>0.54737466781637356</v>
      </c>
      <c r="AY8" s="277">
        <f t="shared" si="20"/>
        <v>1.2407671949430608</v>
      </c>
      <c r="AZ8" s="277">
        <f t="shared" si="20"/>
        <v>1.8657913659809988</v>
      </c>
      <c r="BA8" s="277">
        <f t="shared" si="20"/>
        <v>1.9082644770900146</v>
      </c>
      <c r="BB8" s="277">
        <f t="shared" si="20"/>
        <v>2.1026008851094398</v>
      </c>
      <c r="BC8" s="275"/>
      <c r="BD8" s="277">
        <f t="shared" ref="BD8:BH18" si="21">SUM(BD22,BD36)</f>
        <v>5.5532868293339949E-2</v>
      </c>
      <c r="BE8" s="277">
        <f t="shared" si="21"/>
        <v>8.4313567311635793E-2</v>
      </c>
      <c r="BF8" s="277">
        <f t="shared" si="21"/>
        <v>5.6159411369598657E-2</v>
      </c>
      <c r="BG8" s="277">
        <f t="shared" si="21"/>
        <v>5.7271025470531763E-2</v>
      </c>
      <c r="BH8" s="277">
        <f t="shared" si="21"/>
        <v>6.2895335213014894E-2</v>
      </c>
    </row>
    <row r="9" spans="1:60" s="168" customFormat="1" x14ac:dyDescent="0.2">
      <c r="A9" s="123" t="s">
        <v>108</v>
      </c>
      <c r="B9" s="277">
        <f t="shared" si="10"/>
        <v>113.85056817629103</v>
      </c>
      <c r="C9" s="277">
        <f t="shared" si="10"/>
        <v>115.65112792404403</v>
      </c>
      <c r="D9" s="277">
        <f t="shared" si="10"/>
        <v>108.64656736044506</v>
      </c>
      <c r="E9" s="277">
        <f t="shared" si="10"/>
        <v>95.846387380896019</v>
      </c>
      <c r="F9" s="277">
        <f t="shared" si="10"/>
        <v>87.521667739268693</v>
      </c>
      <c r="G9" s="275"/>
      <c r="H9" s="277">
        <f t="shared" si="11"/>
        <v>36.71242366227203</v>
      </c>
      <c r="I9" s="277">
        <f t="shared" si="11"/>
        <v>37.140869961294854</v>
      </c>
      <c r="J9" s="277">
        <f t="shared" si="11"/>
        <v>34.405280511674597</v>
      </c>
      <c r="K9" s="277">
        <f t="shared" si="11"/>
        <v>30.323294922669287</v>
      </c>
      <c r="L9" s="277">
        <f t="shared" si="11"/>
        <v>27.681805786841899</v>
      </c>
      <c r="M9" s="275"/>
      <c r="N9" s="277">
        <f t="shared" si="12"/>
        <v>77.13814451401899</v>
      </c>
      <c r="O9" s="277">
        <f t="shared" si="12"/>
        <v>78.510257962749179</v>
      </c>
      <c r="P9" s="277">
        <f t="shared" si="12"/>
        <v>74.241286848770471</v>
      </c>
      <c r="Q9" s="277">
        <f t="shared" si="12"/>
        <v>65.523092458226728</v>
      </c>
      <c r="R9" s="277">
        <f t="shared" si="12"/>
        <v>59.839861952426787</v>
      </c>
      <c r="S9" s="275"/>
      <c r="T9" s="277">
        <f t="shared" si="13"/>
        <v>0</v>
      </c>
      <c r="U9" s="277">
        <f t="shared" si="13"/>
        <v>0</v>
      </c>
      <c r="V9" s="277">
        <f t="shared" si="13"/>
        <v>0</v>
      </c>
      <c r="W9" s="277">
        <f t="shared" si="13"/>
        <v>0</v>
      </c>
      <c r="X9" s="277">
        <f t="shared" si="13"/>
        <v>0</v>
      </c>
      <c r="Y9" s="276" t="str">
        <f t="shared" si="14"/>
        <v>20-24</v>
      </c>
      <c r="Z9" s="277">
        <f t="shared" si="15"/>
        <v>382.98069564153434</v>
      </c>
      <c r="AA9" s="277">
        <f t="shared" si="15"/>
        <v>394.35590193118628</v>
      </c>
      <c r="AB9" s="277">
        <f t="shared" si="15"/>
        <v>412.87076891444883</v>
      </c>
      <c r="AC9" s="277">
        <f t="shared" si="15"/>
        <v>399.37934349064994</v>
      </c>
      <c r="AD9" s="277">
        <f t="shared" si="15"/>
        <v>400.88677473503026</v>
      </c>
      <c r="AE9" s="275"/>
      <c r="AF9" s="277">
        <f t="shared" si="16"/>
        <v>363.98477719851724</v>
      </c>
      <c r="AG9" s="277">
        <f t="shared" si="16"/>
        <v>374.77312480698299</v>
      </c>
      <c r="AH9" s="277">
        <f t="shared" si="16"/>
        <v>392.37404871527087</v>
      </c>
      <c r="AI9" s="277">
        <f t="shared" si="16"/>
        <v>379.57670333802525</v>
      </c>
      <c r="AJ9" s="277">
        <f t="shared" si="16"/>
        <v>381.02605803364366</v>
      </c>
      <c r="AK9" s="275"/>
      <c r="AL9" s="277">
        <f t="shared" si="17"/>
        <v>18.995918443017182</v>
      </c>
      <c r="AM9" s="277">
        <f t="shared" si="17"/>
        <v>19.582777124203318</v>
      </c>
      <c r="AN9" s="277">
        <f t="shared" si="17"/>
        <v>20.49672019917795</v>
      </c>
      <c r="AO9" s="277">
        <f t="shared" si="17"/>
        <v>19.802640152624711</v>
      </c>
      <c r="AP9" s="277">
        <f t="shared" si="17"/>
        <v>19.860716701386607</v>
      </c>
      <c r="AQ9" s="276" t="str">
        <f t="shared" si="18"/>
        <v>20-24</v>
      </c>
      <c r="AR9" s="277">
        <f t="shared" si="19"/>
        <v>143.68473618217462</v>
      </c>
      <c r="AS9" s="277">
        <f t="shared" si="19"/>
        <v>150.71097014476959</v>
      </c>
      <c r="AT9" s="277">
        <f t="shared" si="19"/>
        <v>186.98366372510611</v>
      </c>
      <c r="AU9" s="277">
        <f t="shared" si="19"/>
        <v>201.56226912845403</v>
      </c>
      <c r="AV9" s="277">
        <f t="shared" si="19"/>
        <v>224.84155752570109</v>
      </c>
      <c r="AW9" s="275"/>
      <c r="AX9" s="277">
        <f t="shared" si="20"/>
        <v>143.33653114819879</v>
      </c>
      <c r="AY9" s="277">
        <f t="shared" si="20"/>
        <v>150.34362309651959</v>
      </c>
      <c r="AZ9" s="277">
        <f t="shared" si="20"/>
        <v>186.52415613000247</v>
      </c>
      <c r="BA9" s="277">
        <f t="shared" si="20"/>
        <v>201.06633972833936</v>
      </c>
      <c r="BB9" s="277">
        <f t="shared" si="20"/>
        <v>224.28837377749321</v>
      </c>
      <c r="BC9" s="275"/>
      <c r="BD9" s="277">
        <f t="shared" si="21"/>
        <v>0.34820503397584823</v>
      </c>
      <c r="BE9" s="277">
        <f t="shared" si="21"/>
        <v>0.36734704825001729</v>
      </c>
      <c r="BF9" s="277">
        <f t="shared" si="21"/>
        <v>0.4595075951036377</v>
      </c>
      <c r="BG9" s="277">
        <f t="shared" si="21"/>
        <v>0.49592940011468256</v>
      </c>
      <c r="BH9" s="277">
        <f t="shared" si="21"/>
        <v>0.55318374820788452</v>
      </c>
    </row>
    <row r="10" spans="1:60" s="168" customFormat="1" x14ac:dyDescent="0.2">
      <c r="A10" s="123" t="s">
        <v>109</v>
      </c>
      <c r="B10" s="277">
        <f t="shared" si="10"/>
        <v>115.37907358541085</v>
      </c>
      <c r="C10" s="277">
        <f t="shared" si="10"/>
        <v>127.07460532220105</v>
      </c>
      <c r="D10" s="277">
        <f t="shared" si="10"/>
        <v>118.40314244947737</v>
      </c>
      <c r="E10" s="277">
        <f t="shared" si="10"/>
        <v>117.74066640587412</v>
      </c>
      <c r="F10" s="277">
        <f t="shared" si="10"/>
        <v>104.64926095222505</v>
      </c>
      <c r="G10" s="275"/>
      <c r="H10" s="277">
        <f t="shared" si="11"/>
        <v>40.798223765839786</v>
      </c>
      <c r="I10" s="277">
        <f t="shared" si="11"/>
        <v>45.065990030629422</v>
      </c>
      <c r="J10" s="277">
        <f t="shared" si="11"/>
        <v>41.916443930124132</v>
      </c>
      <c r="K10" s="277">
        <f t="shared" si="11"/>
        <v>41.603247748686108</v>
      </c>
      <c r="L10" s="277">
        <f t="shared" si="11"/>
        <v>36.975172705743539</v>
      </c>
      <c r="M10" s="275"/>
      <c r="N10" s="277">
        <f t="shared" si="12"/>
        <v>74.580849819571057</v>
      </c>
      <c r="O10" s="277">
        <f t="shared" si="12"/>
        <v>82.008615291571644</v>
      </c>
      <c r="P10" s="277">
        <f t="shared" si="12"/>
        <v>76.48669851935324</v>
      </c>
      <c r="Q10" s="277">
        <f t="shared" si="12"/>
        <v>76.137418657188022</v>
      </c>
      <c r="R10" s="277">
        <f t="shared" si="12"/>
        <v>67.674088246481503</v>
      </c>
      <c r="S10" s="275"/>
      <c r="T10" s="277">
        <f t="shared" si="13"/>
        <v>0</v>
      </c>
      <c r="U10" s="277">
        <f t="shared" si="13"/>
        <v>0</v>
      </c>
      <c r="V10" s="277">
        <f t="shared" si="13"/>
        <v>0</v>
      </c>
      <c r="W10" s="277">
        <f t="shared" si="13"/>
        <v>0</v>
      </c>
      <c r="X10" s="277">
        <f t="shared" si="13"/>
        <v>0</v>
      </c>
      <c r="Y10" s="276" t="str">
        <f t="shared" si="14"/>
        <v>25-29</v>
      </c>
      <c r="Z10" s="277">
        <f t="shared" si="15"/>
        <v>285.32401508902581</v>
      </c>
      <c r="AA10" s="277">
        <f t="shared" si="15"/>
        <v>266.19879984541552</v>
      </c>
      <c r="AB10" s="277">
        <f t="shared" si="15"/>
        <v>280.11568976670378</v>
      </c>
      <c r="AC10" s="277">
        <f t="shared" si="15"/>
        <v>295.3482302777582</v>
      </c>
      <c r="AD10" s="277">
        <f t="shared" si="15"/>
        <v>289.74487116781143</v>
      </c>
      <c r="AE10" s="275"/>
      <c r="AF10" s="277">
        <f t="shared" si="16"/>
        <v>264.71283723333693</v>
      </c>
      <c r="AG10" s="277">
        <f t="shared" si="16"/>
        <v>246.96600220301298</v>
      </c>
      <c r="AH10" s="277">
        <f t="shared" si="16"/>
        <v>260.0379790136522</v>
      </c>
      <c r="AI10" s="277">
        <f t="shared" si="16"/>
        <v>274.30243506375962</v>
      </c>
      <c r="AJ10" s="277">
        <f t="shared" si="16"/>
        <v>269.19630907068336</v>
      </c>
      <c r="AK10" s="275"/>
      <c r="AL10" s="277">
        <f t="shared" si="17"/>
        <v>20.611177855688922</v>
      </c>
      <c r="AM10" s="277">
        <f t="shared" si="17"/>
        <v>19.232797642402538</v>
      </c>
      <c r="AN10" s="277">
        <f t="shared" si="17"/>
        <v>20.077710753051615</v>
      </c>
      <c r="AO10" s="277">
        <f t="shared" si="17"/>
        <v>21.04579521399852</v>
      </c>
      <c r="AP10" s="277">
        <f t="shared" si="17"/>
        <v>20.548562097128041</v>
      </c>
      <c r="AQ10" s="276" t="str">
        <f t="shared" si="18"/>
        <v>25-29</v>
      </c>
      <c r="AR10" s="277">
        <f t="shared" si="19"/>
        <v>285.48891132556332</v>
      </c>
      <c r="AS10" s="277">
        <f t="shared" si="19"/>
        <v>298.43559483238334</v>
      </c>
      <c r="AT10" s="277">
        <f t="shared" si="19"/>
        <v>329.80716778381884</v>
      </c>
      <c r="AU10" s="277">
        <f t="shared" si="19"/>
        <v>365.58310331636773</v>
      </c>
      <c r="AV10" s="277">
        <f t="shared" si="19"/>
        <v>376.96286787996354</v>
      </c>
      <c r="AW10" s="275"/>
      <c r="AX10" s="277">
        <f t="shared" si="20"/>
        <v>282.70510559860855</v>
      </c>
      <c r="AY10" s="277">
        <f t="shared" si="20"/>
        <v>295.51880182634955</v>
      </c>
      <c r="AZ10" s="277">
        <f t="shared" si="20"/>
        <v>326.59395287550331</v>
      </c>
      <c r="BA10" s="277">
        <f t="shared" si="20"/>
        <v>362.02223728946319</v>
      </c>
      <c r="BB10" s="277">
        <f t="shared" si="20"/>
        <v>373.29368404794025</v>
      </c>
      <c r="BC10" s="275"/>
      <c r="BD10" s="277">
        <f t="shared" si="21"/>
        <v>2.7838057269548049</v>
      </c>
      <c r="BE10" s="277">
        <f t="shared" si="21"/>
        <v>2.916793006033831</v>
      </c>
      <c r="BF10" s="277">
        <f t="shared" si="21"/>
        <v>3.2132149083155843</v>
      </c>
      <c r="BG10" s="277">
        <f t="shared" si="21"/>
        <v>3.5608660269045256</v>
      </c>
      <c r="BH10" s="277">
        <f t="shared" si="21"/>
        <v>3.669183832023271</v>
      </c>
    </row>
    <row r="11" spans="1:60" s="168" customFormat="1" x14ac:dyDescent="0.2">
      <c r="A11" s="123" t="s">
        <v>110</v>
      </c>
      <c r="B11" s="277">
        <f t="shared" si="10"/>
        <v>116.6348130799831</v>
      </c>
      <c r="C11" s="277">
        <f t="shared" si="10"/>
        <v>121.76030756867036</v>
      </c>
      <c r="D11" s="277">
        <f t="shared" si="10"/>
        <v>118.18823108583572</v>
      </c>
      <c r="E11" s="277">
        <f t="shared" si="10"/>
        <v>109.913241263863</v>
      </c>
      <c r="F11" s="277">
        <f t="shared" si="10"/>
        <v>93.676057480419587</v>
      </c>
      <c r="G11" s="275"/>
      <c r="H11" s="277">
        <f t="shared" si="11"/>
        <v>44.791528463722429</v>
      </c>
      <c r="I11" s="277">
        <f t="shared" si="11"/>
        <v>47.017124581566897</v>
      </c>
      <c r="J11" s="277">
        <f t="shared" si="11"/>
        <v>45.575297988406476</v>
      </c>
      <c r="K11" s="277">
        <f t="shared" si="11"/>
        <v>42.364426936905772</v>
      </c>
      <c r="L11" s="277">
        <f t="shared" si="11"/>
        <v>36.057194740501721</v>
      </c>
      <c r="M11" s="275"/>
      <c r="N11" s="277">
        <f t="shared" si="12"/>
        <v>71.843284616260675</v>
      </c>
      <c r="O11" s="277">
        <f t="shared" si="12"/>
        <v>74.743182987103467</v>
      </c>
      <c r="P11" s="277">
        <f t="shared" si="12"/>
        <v>72.612933097429249</v>
      </c>
      <c r="Q11" s="277">
        <f t="shared" si="12"/>
        <v>67.548814326957228</v>
      </c>
      <c r="R11" s="277">
        <f t="shared" si="12"/>
        <v>57.618862739917844</v>
      </c>
      <c r="S11" s="275"/>
      <c r="T11" s="277">
        <f t="shared" si="13"/>
        <v>0</v>
      </c>
      <c r="U11" s="277">
        <f t="shared" si="13"/>
        <v>0</v>
      </c>
      <c r="V11" s="277">
        <f t="shared" si="13"/>
        <v>0</v>
      </c>
      <c r="W11" s="277">
        <f t="shared" si="13"/>
        <v>0</v>
      </c>
      <c r="X11" s="277">
        <f t="shared" si="13"/>
        <v>0</v>
      </c>
      <c r="Y11" s="276" t="str">
        <f t="shared" si="14"/>
        <v>30-34</v>
      </c>
      <c r="Z11" s="277">
        <f t="shared" si="15"/>
        <v>275.1983307590632</v>
      </c>
      <c r="AA11" s="277">
        <f t="shared" si="15"/>
        <v>266.0829768237935</v>
      </c>
      <c r="AB11" s="277">
        <f t="shared" si="15"/>
        <v>285.51361958464611</v>
      </c>
      <c r="AC11" s="277">
        <f t="shared" si="15"/>
        <v>296.32015564557162</v>
      </c>
      <c r="AD11" s="277">
        <f t="shared" si="15"/>
        <v>317.88848271212305</v>
      </c>
      <c r="AE11" s="275"/>
      <c r="AF11" s="277">
        <f t="shared" si="16"/>
        <v>255.48717394280527</v>
      </c>
      <c r="AG11" s="277">
        <f t="shared" si="16"/>
        <v>247.06950912979124</v>
      </c>
      <c r="AH11" s="277">
        <f t="shared" si="16"/>
        <v>265.15360262399543</v>
      </c>
      <c r="AI11" s="277">
        <f t="shared" si="16"/>
        <v>275.24980054915358</v>
      </c>
      <c r="AJ11" s="277">
        <f t="shared" si="16"/>
        <v>295.36996417982152</v>
      </c>
      <c r="AK11" s="275"/>
      <c r="AL11" s="277">
        <f t="shared" si="17"/>
        <v>19.711156816257962</v>
      </c>
      <c r="AM11" s="277">
        <f t="shared" si="17"/>
        <v>19.01346769400228</v>
      </c>
      <c r="AN11" s="277">
        <f t="shared" si="17"/>
        <v>20.360016960650725</v>
      </c>
      <c r="AO11" s="277">
        <f t="shared" si="17"/>
        <v>21.070355096418023</v>
      </c>
      <c r="AP11" s="277">
        <f t="shared" si="17"/>
        <v>22.518518532301513</v>
      </c>
      <c r="AQ11" s="276" t="str">
        <f t="shared" si="18"/>
        <v>30-34</v>
      </c>
      <c r="AR11" s="277">
        <f t="shared" si="19"/>
        <v>294.76785616095367</v>
      </c>
      <c r="AS11" s="277">
        <f t="shared" si="19"/>
        <v>310.21271560753621</v>
      </c>
      <c r="AT11" s="277">
        <f t="shared" si="19"/>
        <v>340.70814932951816</v>
      </c>
      <c r="AU11" s="277">
        <f t="shared" si="19"/>
        <v>369.83560309056543</v>
      </c>
      <c r="AV11" s="277">
        <f t="shared" si="19"/>
        <v>418.22345980745735</v>
      </c>
      <c r="AW11" s="275"/>
      <c r="AX11" s="277">
        <f t="shared" si="20"/>
        <v>289.63080788660079</v>
      </c>
      <c r="AY11" s="277">
        <f t="shared" si="20"/>
        <v>304.79570037586518</v>
      </c>
      <c r="AZ11" s="277">
        <f t="shared" si="20"/>
        <v>334.81192752241731</v>
      </c>
      <c r="BA11" s="277">
        <f t="shared" si="20"/>
        <v>363.47263912244296</v>
      </c>
      <c r="BB11" s="277">
        <f t="shared" si="20"/>
        <v>411.01000020534735</v>
      </c>
      <c r="BC11" s="275"/>
      <c r="BD11" s="277">
        <f t="shared" si="21"/>
        <v>5.1370482743529013</v>
      </c>
      <c r="BE11" s="277">
        <f t="shared" si="21"/>
        <v>5.4170152316709643</v>
      </c>
      <c r="BF11" s="277">
        <f t="shared" si="21"/>
        <v>5.8962218071008108</v>
      </c>
      <c r="BG11" s="277">
        <f t="shared" si="21"/>
        <v>6.3629639681224219</v>
      </c>
      <c r="BH11" s="277">
        <f t="shared" si="21"/>
        <v>7.213459602110035</v>
      </c>
    </row>
    <row r="12" spans="1:60" s="168" customFormat="1" x14ac:dyDescent="0.2">
      <c r="A12" s="123" t="s">
        <v>111</v>
      </c>
      <c r="B12" s="277">
        <f t="shared" si="10"/>
        <v>154.11214519557188</v>
      </c>
      <c r="C12" s="277">
        <f t="shared" si="10"/>
        <v>148.15717385227549</v>
      </c>
      <c r="D12" s="277">
        <f t="shared" si="10"/>
        <v>124.1637405731941</v>
      </c>
      <c r="E12" s="277">
        <f t="shared" si="10"/>
        <v>103.00106387667563</v>
      </c>
      <c r="F12" s="277">
        <f t="shared" si="10"/>
        <v>79.667767346824377</v>
      </c>
      <c r="G12" s="275"/>
      <c r="H12" s="277">
        <f t="shared" si="11"/>
        <v>56.003261702459064</v>
      </c>
      <c r="I12" s="277">
        <f t="shared" si="11"/>
        <v>53.61808406304786</v>
      </c>
      <c r="J12" s="277">
        <f t="shared" si="11"/>
        <v>44.946036484441635</v>
      </c>
      <c r="K12" s="277">
        <f t="shared" si="11"/>
        <v>37.289691972205802</v>
      </c>
      <c r="L12" s="277">
        <f t="shared" si="11"/>
        <v>28.798762169451095</v>
      </c>
      <c r="M12" s="275"/>
      <c r="N12" s="277">
        <f t="shared" si="12"/>
        <v>98.108883493112813</v>
      </c>
      <c r="O12" s="277">
        <f t="shared" si="12"/>
        <v>94.539089789227646</v>
      </c>
      <c r="P12" s="277">
        <f t="shared" si="12"/>
        <v>79.21770408875247</v>
      </c>
      <c r="Q12" s="277">
        <f t="shared" si="12"/>
        <v>65.711371904469829</v>
      </c>
      <c r="R12" s="277">
        <f t="shared" si="12"/>
        <v>50.869005177373282</v>
      </c>
      <c r="S12" s="275"/>
      <c r="T12" s="277">
        <f t="shared" si="13"/>
        <v>0</v>
      </c>
      <c r="U12" s="277">
        <f t="shared" si="13"/>
        <v>0</v>
      </c>
      <c r="V12" s="277">
        <f t="shared" si="13"/>
        <v>0</v>
      </c>
      <c r="W12" s="277">
        <f t="shared" si="13"/>
        <v>0</v>
      </c>
      <c r="X12" s="277">
        <f t="shared" si="13"/>
        <v>0</v>
      </c>
      <c r="Y12" s="276" t="str">
        <f t="shared" si="14"/>
        <v>35-39</v>
      </c>
      <c r="Z12" s="277">
        <f t="shared" si="15"/>
        <v>322.88579844316473</v>
      </c>
      <c r="AA12" s="277">
        <f t="shared" si="15"/>
        <v>287.4998240668773</v>
      </c>
      <c r="AB12" s="277">
        <f t="shared" si="15"/>
        <v>280.92839455401918</v>
      </c>
      <c r="AC12" s="277">
        <f t="shared" si="15"/>
        <v>299.54044624192568</v>
      </c>
      <c r="AD12" s="277">
        <f t="shared" si="15"/>
        <v>317.07239175090058</v>
      </c>
      <c r="AE12" s="275"/>
      <c r="AF12" s="277">
        <f t="shared" si="16"/>
        <v>303.37132132153579</v>
      </c>
      <c r="AG12" s="277">
        <f t="shared" si="16"/>
        <v>270.10893635844064</v>
      </c>
      <c r="AH12" s="277">
        <f t="shared" si="16"/>
        <v>263.99085237827694</v>
      </c>
      <c r="AI12" s="277">
        <f t="shared" si="16"/>
        <v>281.50570542953108</v>
      </c>
      <c r="AJ12" s="277">
        <f t="shared" si="16"/>
        <v>298.00980149252553</v>
      </c>
      <c r="AK12" s="275"/>
      <c r="AL12" s="277">
        <f t="shared" si="17"/>
        <v>19.514477121629021</v>
      </c>
      <c r="AM12" s="277">
        <f t="shared" si="17"/>
        <v>17.390887708436701</v>
      </c>
      <c r="AN12" s="277">
        <f t="shared" si="17"/>
        <v>16.937542175742227</v>
      </c>
      <c r="AO12" s="277">
        <f t="shared" si="17"/>
        <v>18.034740812394613</v>
      </c>
      <c r="AP12" s="277">
        <f t="shared" si="17"/>
        <v>19.062590258375032</v>
      </c>
      <c r="AQ12" s="276" t="str">
        <f t="shared" si="18"/>
        <v>35-39</v>
      </c>
      <c r="AR12" s="277">
        <f t="shared" si="19"/>
        <v>284.91205636126335</v>
      </c>
      <c r="AS12" s="277">
        <f t="shared" si="19"/>
        <v>312.0690020808471</v>
      </c>
      <c r="AT12" s="277">
        <f t="shared" si="19"/>
        <v>329.21186487278669</v>
      </c>
      <c r="AU12" s="277">
        <f t="shared" si="19"/>
        <v>370.51748988139866</v>
      </c>
      <c r="AV12" s="277">
        <f t="shared" si="19"/>
        <v>410.36684090227504</v>
      </c>
      <c r="AW12" s="275"/>
      <c r="AX12" s="277">
        <f t="shared" si="20"/>
        <v>279.90489605154085</v>
      </c>
      <c r="AY12" s="277">
        <f t="shared" si="20"/>
        <v>306.58743388534367</v>
      </c>
      <c r="AZ12" s="277">
        <f t="shared" si="20"/>
        <v>323.49821814056338</v>
      </c>
      <c r="BA12" s="277">
        <f t="shared" si="20"/>
        <v>364.11650308755236</v>
      </c>
      <c r="BB12" s="277">
        <f t="shared" si="20"/>
        <v>403.29145582426617</v>
      </c>
      <c r="BC12" s="275"/>
      <c r="BD12" s="277">
        <f t="shared" si="21"/>
        <v>5.0071603097225514</v>
      </c>
      <c r="BE12" s="277">
        <f t="shared" si="21"/>
        <v>5.4815681955034474</v>
      </c>
      <c r="BF12" s="277">
        <f t="shared" si="21"/>
        <v>5.7136467322232507</v>
      </c>
      <c r="BG12" s="277">
        <f t="shared" si="21"/>
        <v>6.4009867938463287</v>
      </c>
      <c r="BH12" s="277">
        <f t="shared" si="21"/>
        <v>7.0753850780088525</v>
      </c>
    </row>
    <row r="13" spans="1:60" s="168" customFormat="1" x14ac:dyDescent="0.2">
      <c r="A13" s="123" t="s">
        <v>112</v>
      </c>
      <c r="B13" s="277">
        <f t="shared" si="10"/>
        <v>204.95472906429887</v>
      </c>
      <c r="C13" s="277">
        <f t="shared" si="10"/>
        <v>183.2736739920656</v>
      </c>
      <c r="D13" s="277">
        <f t="shared" si="10"/>
        <v>145.6109353666948</v>
      </c>
      <c r="E13" s="277">
        <f t="shared" si="10"/>
        <v>103.89159180775462</v>
      </c>
      <c r="F13" s="277">
        <f t="shared" si="10"/>
        <v>77.263056657170154</v>
      </c>
      <c r="G13" s="275"/>
      <c r="H13" s="277">
        <f t="shared" si="11"/>
        <v>75.043968155480954</v>
      </c>
      <c r="I13" s="277">
        <f t="shared" si="11"/>
        <v>66.962528106248641</v>
      </c>
      <c r="J13" s="277">
        <f t="shared" si="11"/>
        <v>53.205635957380473</v>
      </c>
      <c r="K13" s="277">
        <f t="shared" si="11"/>
        <v>37.898539746132187</v>
      </c>
      <c r="L13" s="277">
        <f t="shared" si="11"/>
        <v>28.104284599359445</v>
      </c>
      <c r="M13" s="275"/>
      <c r="N13" s="277">
        <f t="shared" si="12"/>
        <v>129.91076090881791</v>
      </c>
      <c r="O13" s="277">
        <f t="shared" si="12"/>
        <v>116.31114588581696</v>
      </c>
      <c r="P13" s="277">
        <f t="shared" si="12"/>
        <v>92.405299409314324</v>
      </c>
      <c r="Q13" s="277">
        <f t="shared" si="12"/>
        <v>65.993052061622421</v>
      </c>
      <c r="R13" s="277">
        <f t="shared" si="12"/>
        <v>49.158772057810708</v>
      </c>
      <c r="S13" s="275"/>
      <c r="T13" s="277">
        <f t="shared" si="13"/>
        <v>0</v>
      </c>
      <c r="U13" s="277">
        <f t="shared" si="13"/>
        <v>0</v>
      </c>
      <c r="V13" s="277">
        <f t="shared" si="13"/>
        <v>0</v>
      </c>
      <c r="W13" s="277">
        <f t="shared" si="13"/>
        <v>0</v>
      </c>
      <c r="X13" s="277">
        <f t="shared" si="13"/>
        <v>0</v>
      </c>
      <c r="Y13" s="276" t="str">
        <f t="shared" si="14"/>
        <v>40-44</v>
      </c>
      <c r="Z13" s="277">
        <f t="shared" si="15"/>
        <v>335.88123323100854</v>
      </c>
      <c r="AA13" s="277">
        <f t="shared" si="15"/>
        <v>312.92776503427081</v>
      </c>
      <c r="AB13" s="277">
        <f t="shared" si="15"/>
        <v>302.35363356602068</v>
      </c>
      <c r="AC13" s="277">
        <f t="shared" si="15"/>
        <v>306.64075194256282</v>
      </c>
      <c r="AD13" s="277">
        <f t="shared" si="15"/>
        <v>332.62704072525781</v>
      </c>
      <c r="AE13" s="275"/>
      <c r="AF13" s="277">
        <f t="shared" si="16"/>
        <v>318.57769939988361</v>
      </c>
      <c r="AG13" s="277">
        <f t="shared" si="16"/>
        <v>296.81769048378715</v>
      </c>
      <c r="AH13" s="277">
        <f t="shared" si="16"/>
        <v>286.81359197562756</v>
      </c>
      <c r="AI13" s="277">
        <f t="shared" si="16"/>
        <v>290.88951267461152</v>
      </c>
      <c r="AJ13" s="277">
        <f t="shared" si="16"/>
        <v>315.54744066806541</v>
      </c>
      <c r="AK13" s="275"/>
      <c r="AL13" s="277">
        <f t="shared" si="17"/>
        <v>17.303533831124952</v>
      </c>
      <c r="AM13" s="277">
        <f t="shared" si="17"/>
        <v>16.110074550483667</v>
      </c>
      <c r="AN13" s="277">
        <f t="shared" si="17"/>
        <v>15.540041590393106</v>
      </c>
      <c r="AO13" s="277">
        <f t="shared" si="17"/>
        <v>15.751239267951231</v>
      </c>
      <c r="AP13" s="277">
        <f t="shared" si="17"/>
        <v>17.079600057192419</v>
      </c>
      <c r="AQ13" s="276" t="str">
        <f t="shared" si="18"/>
        <v>40-44</v>
      </c>
      <c r="AR13" s="277">
        <f t="shared" si="19"/>
        <v>270.9300377046925</v>
      </c>
      <c r="AS13" s="277">
        <f t="shared" si="19"/>
        <v>293.55256097366362</v>
      </c>
      <c r="AT13" s="277">
        <f t="shared" si="19"/>
        <v>322.20043106728446</v>
      </c>
      <c r="AU13" s="277">
        <f t="shared" si="19"/>
        <v>339.66265624968264</v>
      </c>
      <c r="AV13" s="277">
        <f t="shared" si="19"/>
        <v>380.66890261757209</v>
      </c>
      <c r="AW13" s="275"/>
      <c r="AX13" s="277">
        <f t="shared" si="20"/>
        <v>266.38705152405146</v>
      </c>
      <c r="AY13" s="277">
        <f t="shared" si="20"/>
        <v>288.66110365884219</v>
      </c>
      <c r="AZ13" s="277">
        <f t="shared" si="20"/>
        <v>316.84860387450232</v>
      </c>
      <c r="BA13" s="277">
        <f t="shared" si="20"/>
        <v>334.03930780465259</v>
      </c>
      <c r="BB13" s="277">
        <f t="shared" si="20"/>
        <v>374.38350092432177</v>
      </c>
      <c r="BC13" s="275"/>
      <c r="BD13" s="277">
        <f t="shared" si="21"/>
        <v>4.5429861806410692</v>
      </c>
      <c r="BE13" s="277">
        <f t="shared" si="21"/>
        <v>4.8914573148213645</v>
      </c>
      <c r="BF13" s="277">
        <f t="shared" si="21"/>
        <v>5.3518271927821548</v>
      </c>
      <c r="BG13" s="277">
        <f t="shared" si="21"/>
        <v>5.6233484450300253</v>
      </c>
      <c r="BH13" s="277">
        <f t="shared" si="21"/>
        <v>6.2854016932503862</v>
      </c>
    </row>
    <row r="14" spans="1:60" s="168" customFormat="1" x14ac:dyDescent="0.2">
      <c r="A14" s="123" t="s">
        <v>113</v>
      </c>
      <c r="B14" s="277">
        <f t="shared" si="10"/>
        <v>254.65884951398874</v>
      </c>
      <c r="C14" s="277">
        <f t="shared" si="10"/>
        <v>249.88437754828158</v>
      </c>
      <c r="D14" s="277">
        <f t="shared" si="10"/>
        <v>178.47858254526204</v>
      </c>
      <c r="E14" s="277">
        <f t="shared" si="10"/>
        <v>132.26113301280915</v>
      </c>
      <c r="F14" s="277">
        <f t="shared" si="10"/>
        <v>96.751846747388981</v>
      </c>
      <c r="G14" s="275"/>
      <c r="H14" s="277">
        <f t="shared" si="11"/>
        <v>97.081589333520498</v>
      </c>
      <c r="I14" s="277">
        <f t="shared" si="11"/>
        <v>95.255541277602333</v>
      </c>
      <c r="J14" s="277">
        <f t="shared" si="11"/>
        <v>67.471423380418784</v>
      </c>
      <c r="K14" s="277">
        <f t="shared" si="11"/>
        <v>49.673795228067675</v>
      </c>
      <c r="L14" s="277">
        <f t="shared" si="11"/>
        <v>36.08222161527133</v>
      </c>
      <c r="M14" s="275"/>
      <c r="N14" s="277">
        <f t="shared" si="12"/>
        <v>157.57726018046827</v>
      </c>
      <c r="O14" s="277">
        <f t="shared" si="12"/>
        <v>154.62883627067924</v>
      </c>
      <c r="P14" s="277">
        <f t="shared" si="12"/>
        <v>111.00715916484326</v>
      </c>
      <c r="Q14" s="277">
        <f t="shared" si="12"/>
        <v>82.587337784741479</v>
      </c>
      <c r="R14" s="277">
        <f t="shared" si="12"/>
        <v>60.669625132117659</v>
      </c>
      <c r="S14" s="275"/>
      <c r="T14" s="277">
        <f t="shared" si="13"/>
        <v>0</v>
      </c>
      <c r="U14" s="277">
        <f t="shared" si="13"/>
        <v>0</v>
      </c>
      <c r="V14" s="277">
        <f t="shared" si="13"/>
        <v>0</v>
      </c>
      <c r="W14" s="277">
        <f t="shared" si="13"/>
        <v>0</v>
      </c>
      <c r="X14" s="277">
        <f t="shared" si="13"/>
        <v>0</v>
      </c>
      <c r="Y14" s="276" t="str">
        <f t="shared" si="14"/>
        <v>45-49</v>
      </c>
      <c r="Z14" s="277">
        <f t="shared" si="15"/>
        <v>296.89078106183149</v>
      </c>
      <c r="AA14" s="277">
        <f t="shared" si="15"/>
        <v>297.81089783713531</v>
      </c>
      <c r="AB14" s="277">
        <f t="shared" si="15"/>
        <v>323.00238790557432</v>
      </c>
      <c r="AC14" s="277">
        <f t="shared" si="15"/>
        <v>331.21130960813161</v>
      </c>
      <c r="AD14" s="277">
        <f t="shared" si="15"/>
        <v>336.85601788588576</v>
      </c>
      <c r="AE14" s="275"/>
      <c r="AF14" s="277">
        <f t="shared" si="16"/>
        <v>283.27902750867406</v>
      </c>
      <c r="AG14" s="277">
        <f t="shared" si="16"/>
        <v>284.17878044572376</v>
      </c>
      <c r="AH14" s="277">
        <f t="shared" si="16"/>
        <v>308.23712222424672</v>
      </c>
      <c r="AI14" s="277">
        <f t="shared" si="16"/>
        <v>316.06982132262846</v>
      </c>
      <c r="AJ14" s="277">
        <f t="shared" si="16"/>
        <v>321.4595503021684</v>
      </c>
      <c r="AK14" s="275"/>
      <c r="AL14" s="277">
        <f t="shared" si="17"/>
        <v>13.611753553157442</v>
      </c>
      <c r="AM14" s="277">
        <f t="shared" si="17"/>
        <v>13.632117391411541</v>
      </c>
      <c r="AN14" s="277">
        <f t="shared" si="17"/>
        <v>14.765265681327598</v>
      </c>
      <c r="AO14" s="277">
        <f t="shared" si="17"/>
        <v>15.141488285503199</v>
      </c>
      <c r="AP14" s="277">
        <f t="shared" si="17"/>
        <v>15.39646758371746</v>
      </c>
      <c r="AQ14" s="276" t="str">
        <f t="shared" si="18"/>
        <v>45-49</v>
      </c>
      <c r="AR14" s="277">
        <f t="shared" si="19"/>
        <v>250.46536942417981</v>
      </c>
      <c r="AS14" s="277">
        <f t="shared" si="19"/>
        <v>272.37172461458317</v>
      </c>
      <c r="AT14" s="277">
        <f t="shared" si="19"/>
        <v>298.56302954916367</v>
      </c>
      <c r="AU14" s="277">
        <f t="shared" si="19"/>
        <v>312.99255737905924</v>
      </c>
      <c r="AV14" s="277">
        <f t="shared" si="19"/>
        <v>324.57513536672525</v>
      </c>
      <c r="AW14" s="275"/>
      <c r="AX14" s="277">
        <f t="shared" si="20"/>
        <v>245.6503099953992</v>
      </c>
      <c r="AY14" s="277">
        <f t="shared" si="20"/>
        <v>267.15960275583393</v>
      </c>
      <c r="AZ14" s="277">
        <f t="shared" si="20"/>
        <v>292.91536308672585</v>
      </c>
      <c r="BA14" s="277">
        <f t="shared" si="20"/>
        <v>307.10108024986414</v>
      </c>
      <c r="BB14" s="277">
        <f t="shared" si="20"/>
        <v>318.48324328013177</v>
      </c>
      <c r="BC14" s="275"/>
      <c r="BD14" s="277">
        <f t="shared" si="21"/>
        <v>4.815059428780601</v>
      </c>
      <c r="BE14" s="277">
        <f t="shared" si="21"/>
        <v>5.2121218587492244</v>
      </c>
      <c r="BF14" s="277">
        <f t="shared" si="21"/>
        <v>5.6476664624378259</v>
      </c>
      <c r="BG14" s="277">
        <f t="shared" si="21"/>
        <v>5.8914771291951418</v>
      </c>
      <c r="BH14" s="277">
        <f t="shared" si="21"/>
        <v>6.0918920865934654</v>
      </c>
    </row>
    <row r="15" spans="1:60" s="168" customFormat="1" x14ac:dyDescent="0.2">
      <c r="A15" s="123" t="s">
        <v>114</v>
      </c>
      <c r="B15" s="277">
        <f t="shared" si="10"/>
        <v>294.38575187935118</v>
      </c>
      <c r="C15" s="277">
        <f t="shared" si="10"/>
        <v>286.9982182545242</v>
      </c>
      <c r="D15" s="277">
        <f t="shared" si="10"/>
        <v>249.82582092451261</v>
      </c>
      <c r="E15" s="277">
        <f t="shared" si="10"/>
        <v>196.7617947968931</v>
      </c>
      <c r="F15" s="277">
        <f t="shared" si="10"/>
        <v>151.97754802573786</v>
      </c>
      <c r="G15" s="275"/>
      <c r="H15" s="277">
        <f t="shared" si="11"/>
        <v>131.00937650791479</v>
      </c>
      <c r="I15" s="277">
        <f t="shared" si="11"/>
        <v>127.36456196076394</v>
      </c>
      <c r="J15" s="277">
        <f t="shared" si="11"/>
        <v>110.61745625735594</v>
      </c>
      <c r="K15" s="277">
        <f t="shared" si="11"/>
        <v>86.72311902225573</v>
      </c>
      <c r="L15" s="277">
        <f t="shared" si="11"/>
        <v>66.672294242780168</v>
      </c>
      <c r="M15" s="275"/>
      <c r="N15" s="277">
        <f t="shared" si="12"/>
        <v>163.37637537143638</v>
      </c>
      <c r="O15" s="277">
        <f t="shared" si="12"/>
        <v>159.63365629376028</v>
      </c>
      <c r="P15" s="277">
        <f t="shared" si="12"/>
        <v>139.20836466715667</v>
      </c>
      <c r="Q15" s="277">
        <f t="shared" si="12"/>
        <v>110.03867577463737</v>
      </c>
      <c r="R15" s="277">
        <f t="shared" si="12"/>
        <v>85.305253782957692</v>
      </c>
      <c r="S15" s="275"/>
      <c r="T15" s="277">
        <f t="shared" si="13"/>
        <v>0</v>
      </c>
      <c r="U15" s="277">
        <f t="shared" si="13"/>
        <v>0</v>
      </c>
      <c r="V15" s="277">
        <f t="shared" si="13"/>
        <v>0</v>
      </c>
      <c r="W15" s="277">
        <f t="shared" si="13"/>
        <v>0</v>
      </c>
      <c r="X15" s="277">
        <f t="shared" si="13"/>
        <v>0</v>
      </c>
      <c r="Y15" s="276" t="str">
        <f t="shared" si="14"/>
        <v>50-54</v>
      </c>
      <c r="Z15" s="277">
        <f t="shared" si="15"/>
        <v>252.37047905418916</v>
      </c>
      <c r="AA15" s="277">
        <f t="shared" si="15"/>
        <v>261.89041594407234</v>
      </c>
      <c r="AB15" s="277">
        <f t="shared" si="15"/>
        <v>299.71030873183417</v>
      </c>
      <c r="AC15" s="277">
        <f t="shared" si="15"/>
        <v>315.46818569365763</v>
      </c>
      <c r="AD15" s="277">
        <f t="shared" si="15"/>
        <v>326.48805608055682</v>
      </c>
      <c r="AE15" s="275"/>
      <c r="AF15" s="277">
        <f t="shared" si="16"/>
        <v>240.43095817773155</v>
      </c>
      <c r="AG15" s="277">
        <f t="shared" si="16"/>
        <v>249.49009896266847</v>
      </c>
      <c r="AH15" s="277">
        <f t="shared" si="16"/>
        <v>285.51870262738919</v>
      </c>
      <c r="AI15" s="277">
        <f t="shared" si="16"/>
        <v>300.52266588791969</v>
      </c>
      <c r="AJ15" s="277">
        <f t="shared" si="16"/>
        <v>311.01138512295665</v>
      </c>
      <c r="AK15" s="275"/>
      <c r="AL15" s="277">
        <f t="shared" si="17"/>
        <v>11.939520876457582</v>
      </c>
      <c r="AM15" s="277">
        <f t="shared" si="17"/>
        <v>12.400316981403893</v>
      </c>
      <c r="AN15" s="277">
        <f t="shared" si="17"/>
        <v>14.191606104444997</v>
      </c>
      <c r="AO15" s="277">
        <f t="shared" si="17"/>
        <v>14.945519805737941</v>
      </c>
      <c r="AP15" s="277">
        <f t="shared" si="17"/>
        <v>15.476670957600156</v>
      </c>
      <c r="AQ15" s="276" t="str">
        <f t="shared" si="18"/>
        <v>50-54</v>
      </c>
      <c r="AR15" s="277">
        <f t="shared" si="19"/>
        <v>192.52176906645971</v>
      </c>
      <c r="AS15" s="277">
        <f t="shared" si="19"/>
        <v>218.63836580140344</v>
      </c>
      <c r="AT15" s="277">
        <f t="shared" si="19"/>
        <v>269.43387034365321</v>
      </c>
      <c r="AU15" s="277">
        <f t="shared" si="19"/>
        <v>285.28301950944933</v>
      </c>
      <c r="AV15" s="277">
        <f t="shared" si="19"/>
        <v>297.31139589370531</v>
      </c>
      <c r="AW15" s="275"/>
      <c r="AX15" s="277">
        <f t="shared" si="20"/>
        <v>188.73862621744155</v>
      </c>
      <c r="AY15" s="277">
        <f t="shared" si="20"/>
        <v>214.45420550224321</v>
      </c>
      <c r="AZ15" s="277">
        <f t="shared" si="20"/>
        <v>264.30480604656157</v>
      </c>
      <c r="BA15" s="277">
        <f t="shared" si="20"/>
        <v>279.90450448189154</v>
      </c>
      <c r="BB15" s="277">
        <f t="shared" si="20"/>
        <v>291.76093520892465</v>
      </c>
      <c r="BC15" s="275"/>
      <c r="BD15" s="277">
        <f t="shared" si="21"/>
        <v>3.7831428490181196</v>
      </c>
      <c r="BE15" s="277">
        <f t="shared" si="21"/>
        <v>4.1841602991602418</v>
      </c>
      <c r="BF15" s="277">
        <f t="shared" si="21"/>
        <v>5.1290642970916389</v>
      </c>
      <c r="BG15" s="277">
        <f t="shared" si="21"/>
        <v>5.3785150275577474</v>
      </c>
      <c r="BH15" s="277">
        <f t="shared" si="21"/>
        <v>5.5504606847806457</v>
      </c>
    </row>
    <row r="16" spans="1:60" s="168" customFormat="1" x14ac:dyDescent="0.2">
      <c r="A16" s="123" t="s">
        <v>115</v>
      </c>
      <c r="B16" s="277">
        <f t="shared" si="10"/>
        <v>306.08926780144049</v>
      </c>
      <c r="C16" s="277">
        <f t="shared" si="10"/>
        <v>294.14842701950209</v>
      </c>
      <c r="D16" s="277">
        <f t="shared" si="10"/>
        <v>278.7696849113002</v>
      </c>
      <c r="E16" s="277">
        <f t="shared" si="10"/>
        <v>248.77345263961809</v>
      </c>
      <c r="F16" s="277">
        <f t="shared" si="10"/>
        <v>193.72538705183911</v>
      </c>
      <c r="G16" s="275"/>
      <c r="H16" s="277">
        <f t="shared" si="11"/>
        <v>148.94385811824938</v>
      </c>
      <c r="I16" s="277">
        <f t="shared" si="11"/>
        <v>142.80048229460601</v>
      </c>
      <c r="J16" s="277">
        <f t="shared" si="11"/>
        <v>135.1816907077864</v>
      </c>
      <c r="K16" s="277">
        <f t="shared" si="11"/>
        <v>120.20919098393057</v>
      </c>
      <c r="L16" s="277">
        <f t="shared" si="11"/>
        <v>93.347075058771225</v>
      </c>
      <c r="M16" s="275"/>
      <c r="N16" s="277">
        <f t="shared" si="12"/>
        <v>157.14540968319108</v>
      </c>
      <c r="O16" s="277">
        <f t="shared" si="12"/>
        <v>151.34794472489608</v>
      </c>
      <c r="P16" s="277">
        <f t="shared" si="12"/>
        <v>143.5879942035138</v>
      </c>
      <c r="Q16" s="277">
        <f t="shared" si="12"/>
        <v>128.56426165568749</v>
      </c>
      <c r="R16" s="277">
        <f t="shared" si="12"/>
        <v>100.37831199306788</v>
      </c>
      <c r="S16" s="275"/>
      <c r="T16" s="277">
        <f t="shared" si="13"/>
        <v>0</v>
      </c>
      <c r="U16" s="277">
        <f t="shared" si="13"/>
        <v>0</v>
      </c>
      <c r="V16" s="277">
        <f t="shared" si="13"/>
        <v>0</v>
      </c>
      <c r="W16" s="277">
        <f t="shared" si="13"/>
        <v>0</v>
      </c>
      <c r="X16" s="277">
        <f t="shared" si="13"/>
        <v>0</v>
      </c>
      <c r="Y16" s="276" t="str">
        <f t="shared" si="14"/>
        <v>55-59</v>
      </c>
      <c r="Z16" s="277">
        <f t="shared" si="15"/>
        <v>212.90735173400915</v>
      </c>
      <c r="AA16" s="277">
        <f t="shared" si="15"/>
        <v>208.34374328055009</v>
      </c>
      <c r="AB16" s="277">
        <f t="shared" si="15"/>
        <v>259.24373379880308</v>
      </c>
      <c r="AC16" s="277">
        <f t="shared" si="15"/>
        <v>305.1432760109069</v>
      </c>
      <c r="AD16" s="277">
        <f t="shared" si="15"/>
        <v>322.49455355236876</v>
      </c>
      <c r="AE16" s="275"/>
      <c r="AF16" s="277">
        <f t="shared" si="16"/>
        <v>201.39475054266842</v>
      </c>
      <c r="AG16" s="277">
        <f t="shared" si="16"/>
        <v>197.03624221177998</v>
      </c>
      <c r="AH16" s="277">
        <f t="shared" si="16"/>
        <v>245.14463767909808</v>
      </c>
      <c r="AI16" s="277">
        <f t="shared" si="16"/>
        <v>288.53398269710931</v>
      </c>
      <c r="AJ16" s="277">
        <f t="shared" si="16"/>
        <v>304.93914690919075</v>
      </c>
      <c r="AK16" s="275"/>
      <c r="AL16" s="277">
        <f t="shared" si="17"/>
        <v>11.512601191340718</v>
      </c>
      <c r="AM16" s="277">
        <f t="shared" si="17"/>
        <v>11.30750106877008</v>
      </c>
      <c r="AN16" s="277">
        <f t="shared" si="17"/>
        <v>14.099096119705006</v>
      </c>
      <c r="AO16" s="277">
        <f t="shared" si="17"/>
        <v>16.609293313797622</v>
      </c>
      <c r="AP16" s="277">
        <f t="shared" si="17"/>
        <v>17.555406643178003</v>
      </c>
      <c r="AQ16" s="276" t="str">
        <f t="shared" si="18"/>
        <v>55-59</v>
      </c>
      <c r="AR16" s="277">
        <f t="shared" si="19"/>
        <v>157.97838046455036</v>
      </c>
      <c r="AS16" s="277">
        <f t="shared" si="19"/>
        <v>186.95882969994784</v>
      </c>
      <c r="AT16" s="277">
        <f t="shared" si="19"/>
        <v>217.65058128989665</v>
      </c>
      <c r="AU16" s="277">
        <f t="shared" si="19"/>
        <v>252.64427134947505</v>
      </c>
      <c r="AV16" s="277">
        <f t="shared" si="19"/>
        <v>271.26605939579213</v>
      </c>
      <c r="AW16" s="275"/>
      <c r="AX16" s="277">
        <f t="shared" si="20"/>
        <v>154.50769225162065</v>
      </c>
      <c r="AY16" s="277">
        <f t="shared" si="20"/>
        <v>182.97075166245719</v>
      </c>
      <c r="AZ16" s="277">
        <f t="shared" si="20"/>
        <v>213.04788309462984</v>
      </c>
      <c r="BA16" s="277">
        <f t="shared" si="20"/>
        <v>247.41376136943245</v>
      </c>
      <c r="BB16" s="277">
        <f t="shared" si="20"/>
        <v>265.66983752581206</v>
      </c>
      <c r="BC16" s="275"/>
      <c r="BD16" s="277">
        <f t="shared" si="21"/>
        <v>3.470688212929685</v>
      </c>
      <c r="BE16" s="277">
        <f t="shared" si="21"/>
        <v>3.9880780374906122</v>
      </c>
      <c r="BF16" s="277">
        <f t="shared" si="21"/>
        <v>4.6026981952668296</v>
      </c>
      <c r="BG16" s="277">
        <f t="shared" si="21"/>
        <v>5.2305099800425978</v>
      </c>
      <c r="BH16" s="277">
        <f t="shared" si="21"/>
        <v>5.5962218699800657</v>
      </c>
    </row>
    <row r="17" spans="1:60" s="168" customFormat="1" x14ac:dyDescent="0.2">
      <c r="A17" s="123" t="s">
        <v>116</v>
      </c>
      <c r="B17" s="277">
        <f t="shared" si="10"/>
        <v>300.27408615273544</v>
      </c>
      <c r="C17" s="277">
        <f t="shared" si="10"/>
        <v>307.02902619700649</v>
      </c>
      <c r="D17" s="277">
        <f t="shared" si="10"/>
        <v>275.57160817400484</v>
      </c>
      <c r="E17" s="277">
        <f t="shared" si="10"/>
        <v>242.50355927772591</v>
      </c>
      <c r="F17" s="277">
        <f t="shared" si="10"/>
        <v>196.62341104090149</v>
      </c>
      <c r="G17" s="275"/>
      <c r="H17" s="277">
        <f t="shared" si="11"/>
        <v>163.84239820508242</v>
      </c>
      <c r="I17" s="277">
        <f t="shared" si="11"/>
        <v>167.48634018543549</v>
      </c>
      <c r="J17" s="277">
        <f t="shared" si="11"/>
        <v>150.0793901711946</v>
      </c>
      <c r="K17" s="277">
        <f t="shared" si="11"/>
        <v>131.95757743155312</v>
      </c>
      <c r="L17" s="277">
        <f t="shared" si="11"/>
        <v>106.85061904727925</v>
      </c>
      <c r="M17" s="275"/>
      <c r="N17" s="277">
        <f t="shared" si="12"/>
        <v>136.43168794765302</v>
      </c>
      <c r="O17" s="277">
        <f t="shared" si="12"/>
        <v>139.54268601157099</v>
      </c>
      <c r="P17" s="277">
        <f t="shared" si="12"/>
        <v>125.49221800281023</v>
      </c>
      <c r="Q17" s="277">
        <f t="shared" si="12"/>
        <v>110.54598184617279</v>
      </c>
      <c r="R17" s="277">
        <f t="shared" si="12"/>
        <v>89.772791993622235</v>
      </c>
      <c r="S17" s="275"/>
      <c r="T17" s="277">
        <f t="shared" si="13"/>
        <v>0</v>
      </c>
      <c r="U17" s="277">
        <f t="shared" si="13"/>
        <v>0</v>
      </c>
      <c r="V17" s="277">
        <f t="shared" si="13"/>
        <v>0</v>
      </c>
      <c r="W17" s="277">
        <f t="shared" si="13"/>
        <v>0</v>
      </c>
      <c r="X17" s="277">
        <f t="shared" si="13"/>
        <v>0</v>
      </c>
      <c r="Y17" s="276" t="str">
        <f t="shared" si="14"/>
        <v>60-64</v>
      </c>
      <c r="Z17" s="277">
        <f t="shared" si="15"/>
        <v>164.67698820651987</v>
      </c>
      <c r="AA17" s="277">
        <f t="shared" si="15"/>
        <v>173.02754429415353</v>
      </c>
      <c r="AB17" s="277">
        <f t="shared" si="15"/>
        <v>211.64420247686218</v>
      </c>
      <c r="AC17" s="277">
        <f t="shared" si="15"/>
        <v>262.32745519640429</v>
      </c>
      <c r="AD17" s="277">
        <f t="shared" si="15"/>
        <v>307.19809774569194</v>
      </c>
      <c r="AE17" s="275"/>
      <c r="AF17" s="277">
        <f t="shared" si="16"/>
        <v>156.364761045058</v>
      </c>
      <c r="AG17" s="277">
        <f t="shared" si="16"/>
        <v>164.2583318854096</v>
      </c>
      <c r="AH17" s="277">
        <f t="shared" si="16"/>
        <v>200.85031018974644</v>
      </c>
      <c r="AI17" s="277">
        <f t="shared" si="16"/>
        <v>248.92153917613587</v>
      </c>
      <c r="AJ17" s="277">
        <f t="shared" si="16"/>
        <v>291.50729249745882</v>
      </c>
      <c r="AK17" s="275"/>
      <c r="AL17" s="277">
        <f t="shared" si="17"/>
        <v>8.3122271614618572</v>
      </c>
      <c r="AM17" s="277">
        <f t="shared" si="17"/>
        <v>8.7692124087439236</v>
      </c>
      <c r="AN17" s="277">
        <f t="shared" si="17"/>
        <v>10.793892287115703</v>
      </c>
      <c r="AO17" s="277">
        <f t="shared" si="17"/>
        <v>13.405916020268418</v>
      </c>
      <c r="AP17" s="277">
        <f t="shared" si="17"/>
        <v>15.690805248233143</v>
      </c>
      <c r="AQ17" s="276" t="str">
        <f t="shared" si="18"/>
        <v>60-64</v>
      </c>
      <c r="AR17" s="277">
        <f t="shared" si="19"/>
        <v>124.1659256407448</v>
      </c>
      <c r="AS17" s="277">
        <f t="shared" si="19"/>
        <v>151.81542950884</v>
      </c>
      <c r="AT17" s="277">
        <f t="shared" si="19"/>
        <v>179.49318934913299</v>
      </c>
      <c r="AU17" s="277">
        <f t="shared" si="19"/>
        <v>229.32198552586985</v>
      </c>
      <c r="AV17" s="277">
        <f t="shared" si="19"/>
        <v>282.2344912134065</v>
      </c>
      <c r="AW17" s="275"/>
      <c r="AX17" s="277">
        <f t="shared" si="20"/>
        <v>120.47353378485059</v>
      </c>
      <c r="AY17" s="277">
        <f t="shared" si="20"/>
        <v>147.28380768694541</v>
      </c>
      <c r="AZ17" s="277">
        <f t="shared" si="20"/>
        <v>174.20095676665699</v>
      </c>
      <c r="BA17" s="277">
        <f t="shared" si="20"/>
        <v>222.61021872219823</v>
      </c>
      <c r="BB17" s="277">
        <f t="shared" si="20"/>
        <v>274.01688935790713</v>
      </c>
      <c r="BC17" s="275"/>
      <c r="BD17" s="277">
        <f t="shared" si="21"/>
        <v>3.6923918558942086</v>
      </c>
      <c r="BE17" s="277">
        <f t="shared" si="21"/>
        <v>4.5316218218945803</v>
      </c>
      <c r="BF17" s="277">
        <f t="shared" si="21"/>
        <v>5.2922325824760046</v>
      </c>
      <c r="BG17" s="277">
        <f t="shared" si="21"/>
        <v>6.7117668036716331</v>
      </c>
      <c r="BH17" s="277">
        <f t="shared" si="21"/>
        <v>8.2176018554993142</v>
      </c>
    </row>
    <row r="18" spans="1:60" s="168" customFormat="1" x14ac:dyDescent="0.2">
      <c r="A18" s="123" t="s">
        <v>103</v>
      </c>
      <c r="B18" s="277">
        <f t="shared" si="10"/>
        <v>1097.4936778000333</v>
      </c>
      <c r="C18" s="277">
        <f t="shared" si="10"/>
        <v>1072.9440531401806</v>
      </c>
      <c r="D18" s="277">
        <f t="shared" si="10"/>
        <v>980.11410948496587</v>
      </c>
      <c r="E18" s="277">
        <f t="shared" si="10"/>
        <v>860.70692539466086</v>
      </c>
      <c r="F18" s="277">
        <f t="shared" si="10"/>
        <v>731.94096038103203</v>
      </c>
      <c r="G18" s="275"/>
      <c r="H18" s="277">
        <f t="shared" si="11"/>
        <v>770.71351120273471</v>
      </c>
      <c r="I18" s="277">
        <f t="shared" si="11"/>
        <v>753.1395408366011</v>
      </c>
      <c r="J18" s="277">
        <f t="shared" si="11"/>
        <v>687.79876078330381</v>
      </c>
      <c r="K18" s="277">
        <f t="shared" si="11"/>
        <v>603.69792908410795</v>
      </c>
      <c r="L18" s="277">
        <f t="shared" si="11"/>
        <v>513.13110481139574</v>
      </c>
      <c r="M18" s="275"/>
      <c r="N18" s="277">
        <f t="shared" si="12"/>
        <v>326.78016659729855</v>
      </c>
      <c r="O18" s="277">
        <f t="shared" si="12"/>
        <v>319.80451230357949</v>
      </c>
      <c r="P18" s="277">
        <f t="shared" si="12"/>
        <v>292.31534870166195</v>
      </c>
      <c r="Q18" s="277">
        <f t="shared" si="12"/>
        <v>257.0089963105529</v>
      </c>
      <c r="R18" s="277">
        <f t="shared" si="12"/>
        <v>218.80985556963645</v>
      </c>
      <c r="S18" s="275"/>
      <c r="T18" s="277">
        <f t="shared" si="13"/>
        <v>0</v>
      </c>
      <c r="U18" s="277">
        <f t="shared" si="13"/>
        <v>0</v>
      </c>
      <c r="V18" s="277">
        <f t="shared" si="13"/>
        <v>0</v>
      </c>
      <c r="W18" s="277">
        <f t="shared" si="13"/>
        <v>0</v>
      </c>
      <c r="X18" s="277">
        <f t="shared" si="13"/>
        <v>0</v>
      </c>
      <c r="Y18" s="276" t="str">
        <f t="shared" si="14"/>
        <v>65+</v>
      </c>
      <c r="Z18" s="277">
        <f t="shared" si="15"/>
        <v>412.59519957455325</v>
      </c>
      <c r="AA18" s="277">
        <f t="shared" si="15"/>
        <v>441.80478171374187</v>
      </c>
      <c r="AB18" s="277">
        <f t="shared" si="15"/>
        <v>588.92141161742438</v>
      </c>
      <c r="AC18" s="277">
        <f t="shared" si="15"/>
        <v>717.19301187685096</v>
      </c>
      <c r="AD18" s="277">
        <f t="shared" si="15"/>
        <v>861.73238046119513</v>
      </c>
      <c r="AE18" s="275"/>
      <c r="AF18" s="277">
        <f t="shared" si="16"/>
        <v>391.95319027138726</v>
      </c>
      <c r="AG18" s="277">
        <f t="shared" si="16"/>
        <v>419.72502641576881</v>
      </c>
      <c r="AH18" s="277">
        <f t="shared" si="16"/>
        <v>559.48677128208897</v>
      </c>
      <c r="AI18" s="277">
        <f t="shared" si="16"/>
        <v>681.36315392476172</v>
      </c>
      <c r="AJ18" s="277">
        <f t="shared" si="16"/>
        <v>818.69055459842366</v>
      </c>
      <c r="AK18" s="275"/>
      <c r="AL18" s="277">
        <f t="shared" si="17"/>
        <v>20.642009303165985</v>
      </c>
      <c r="AM18" s="277">
        <f t="shared" si="17"/>
        <v>22.079755297973087</v>
      </c>
      <c r="AN18" s="277">
        <f t="shared" si="17"/>
        <v>29.434640335335327</v>
      </c>
      <c r="AO18" s="277">
        <f t="shared" si="17"/>
        <v>35.82985795208927</v>
      </c>
      <c r="AP18" s="277">
        <f t="shared" si="17"/>
        <v>43.041825862771589</v>
      </c>
      <c r="AQ18" s="276" t="str">
        <f t="shared" si="18"/>
        <v>65+</v>
      </c>
      <c r="AR18" s="277">
        <f t="shared" si="19"/>
        <v>309.63712262541355</v>
      </c>
      <c r="AS18" s="277">
        <f t="shared" si="19"/>
        <v>345.41016514607776</v>
      </c>
      <c r="AT18" s="277">
        <f t="shared" si="19"/>
        <v>465.83547889760985</v>
      </c>
      <c r="AU18" s="277">
        <f t="shared" si="19"/>
        <v>642.09606272848828</v>
      </c>
      <c r="AV18" s="277">
        <f t="shared" si="19"/>
        <v>863.68565915777276</v>
      </c>
      <c r="AW18" s="275"/>
      <c r="AX18" s="277">
        <f t="shared" si="20"/>
        <v>301.40115633884841</v>
      </c>
      <c r="AY18" s="277">
        <f t="shared" si="20"/>
        <v>336.56314669404765</v>
      </c>
      <c r="AZ18" s="277">
        <f t="shared" si="20"/>
        <v>453.89786151814837</v>
      </c>
      <c r="BA18" s="277">
        <f t="shared" si="20"/>
        <v>625.97097807950172</v>
      </c>
      <c r="BB18" s="277">
        <f t="shared" si="20"/>
        <v>842.26455696727317</v>
      </c>
      <c r="BC18" s="275"/>
      <c r="BD18" s="277">
        <f t="shared" si="21"/>
        <v>8.2359662865651462</v>
      </c>
      <c r="BE18" s="277">
        <f t="shared" si="21"/>
        <v>8.847018452030122</v>
      </c>
      <c r="BF18" s="277">
        <f t="shared" si="21"/>
        <v>11.937617379461411</v>
      </c>
      <c r="BG18" s="277">
        <f t="shared" si="21"/>
        <v>16.125084648986547</v>
      </c>
      <c r="BH18" s="277">
        <f t="shared" si="21"/>
        <v>21.421102190499685</v>
      </c>
    </row>
    <row r="19" spans="1:60" s="168" customFormat="1" x14ac:dyDescent="0.2">
      <c r="B19" s="277"/>
      <c r="C19" s="277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169"/>
      <c r="U19" s="169"/>
      <c r="V19" s="169"/>
      <c r="W19" s="169"/>
      <c r="X19" s="169"/>
      <c r="Z19" s="277"/>
      <c r="AA19" s="277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R19" s="277"/>
      <c r="AS19" s="277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</row>
    <row r="20" spans="1:60" s="168" customFormat="1" x14ac:dyDescent="0.2">
      <c r="A20" s="263" t="s">
        <v>98</v>
      </c>
      <c r="B20" s="278"/>
      <c r="C20" s="278"/>
      <c r="D20" s="278"/>
      <c r="E20" s="278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8"/>
      <c r="U20" s="278"/>
      <c r="V20" s="169"/>
      <c r="W20" s="169"/>
      <c r="X20" s="169"/>
      <c r="Y20" s="282" t="str">
        <f t="shared" si="14"/>
        <v>Males</v>
      </c>
      <c r="Z20" s="278"/>
      <c r="AA20" s="278"/>
      <c r="AB20" s="278"/>
      <c r="AC20" s="278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82" t="str">
        <f>A20</f>
        <v>Males</v>
      </c>
      <c r="AR20" s="278"/>
      <c r="AS20" s="278"/>
      <c r="AT20" s="278"/>
      <c r="AU20" s="278"/>
      <c r="AV20" s="277"/>
      <c r="AW20" s="277"/>
      <c r="AX20" s="277"/>
      <c r="AY20" s="277"/>
      <c r="AZ20" s="277"/>
      <c r="BA20" s="277"/>
      <c r="BB20" s="277"/>
      <c r="BC20" s="277"/>
      <c r="BD20" s="277"/>
      <c r="BE20" s="277"/>
      <c r="BF20" s="277"/>
      <c r="BG20" s="277"/>
      <c r="BH20" s="277"/>
    </row>
    <row r="21" spans="1:60" s="168" customFormat="1" x14ac:dyDescent="0.2">
      <c r="A21" s="269" t="str">
        <f>$A$7</f>
        <v>15+</v>
      </c>
      <c r="B21" s="277">
        <f>SUM(B22:B32)</f>
        <v>1620.2473852146525</v>
      </c>
      <c r="C21" s="277">
        <f t="shared" ref="C21:F21" si="22">SUM(C22:C32)</f>
        <v>1614.229579565203</v>
      </c>
      <c r="D21" s="277">
        <f t="shared" si="22"/>
        <v>1473.336267790763</v>
      </c>
      <c r="E21" s="277">
        <f t="shared" si="22"/>
        <v>1328.0088879474006</v>
      </c>
      <c r="F21" s="277">
        <f t="shared" si="22"/>
        <v>1173.6897154992268</v>
      </c>
      <c r="G21" s="277"/>
      <c r="H21" s="277">
        <f>SUM(H22:H32)</f>
        <v>716.1464894810149</v>
      </c>
      <c r="I21" s="277">
        <f t="shared" ref="I21:L21" si="23">SUM(I22:I32)</f>
        <v>715.64405967986499</v>
      </c>
      <c r="J21" s="277">
        <f t="shared" si="23"/>
        <v>655.33170359679184</v>
      </c>
      <c r="K21" s="277">
        <f t="shared" si="23"/>
        <v>588.71852138985469</v>
      </c>
      <c r="L21" s="277">
        <f t="shared" si="23"/>
        <v>511.80228655523888</v>
      </c>
      <c r="M21" s="277"/>
      <c r="N21" s="277">
        <f>SUM(N22:N32)</f>
        <v>904.1008957336378</v>
      </c>
      <c r="O21" s="277">
        <f t="shared" ref="O21:R21" si="24">SUM(O22:O32)</f>
        <v>898.5855198853385</v>
      </c>
      <c r="P21" s="277">
        <f t="shared" si="24"/>
        <v>818.00456419397131</v>
      </c>
      <c r="Q21" s="277">
        <f t="shared" si="24"/>
        <v>739.29036655754555</v>
      </c>
      <c r="R21" s="277">
        <f t="shared" si="24"/>
        <v>661.88742894398808</v>
      </c>
      <c r="S21" s="277"/>
      <c r="T21" s="277">
        <f>SUM(T22:T32)</f>
        <v>0</v>
      </c>
      <c r="U21" s="277">
        <f t="shared" ref="U21:X21" si="25">SUM(U22:U32)</f>
        <v>0</v>
      </c>
      <c r="V21" s="277">
        <f t="shared" si="25"/>
        <v>0</v>
      </c>
      <c r="W21" s="277">
        <f t="shared" si="25"/>
        <v>0</v>
      </c>
      <c r="X21" s="277">
        <f t="shared" si="25"/>
        <v>0</v>
      </c>
      <c r="Y21" s="269" t="str">
        <f>$A$7</f>
        <v>15+</v>
      </c>
      <c r="Z21" s="277">
        <f>SUM(Z22:Z32)</f>
        <v>1577.3024491368396</v>
      </c>
      <c r="AA21" s="277">
        <f t="shared" ref="AA21:AD21" si="26">SUM(AA22:AA32)</f>
        <v>1562.2040994555152</v>
      </c>
      <c r="AB21" s="277">
        <f t="shared" si="26"/>
        <v>1749.398715210659</v>
      </c>
      <c r="AC21" s="277">
        <f t="shared" si="26"/>
        <v>1909.488504579884</v>
      </c>
      <c r="AD21" s="277">
        <f t="shared" si="26"/>
        <v>2081.0684990931632</v>
      </c>
      <c r="AE21" s="277"/>
      <c r="AF21" s="277">
        <f>SUM(AF22:AF32)</f>
        <v>1499.7774540648427</v>
      </c>
      <c r="AG21" s="277">
        <f t="shared" ref="AG21:AJ21" si="27">SUM(AG22:AG32)</f>
        <v>1486.1007164675289</v>
      </c>
      <c r="AH21" s="277">
        <f t="shared" si="27"/>
        <v>1664.4597911861424</v>
      </c>
      <c r="AI21" s="277">
        <f t="shared" si="27"/>
        <v>1816.8390130222895</v>
      </c>
      <c r="AJ21" s="277">
        <f t="shared" si="27"/>
        <v>1980.4678395589967</v>
      </c>
      <c r="AK21" s="277"/>
      <c r="AL21" s="277">
        <f>SUM(AL22:AL32)</f>
        <v>77.524995071996941</v>
      </c>
      <c r="AM21" s="277">
        <f t="shared" ref="AM21:AP21" si="28">SUM(AM22:AM32)</f>
        <v>76.103382987986208</v>
      </c>
      <c r="AN21" s="277">
        <f t="shared" si="28"/>
        <v>84.938924024516524</v>
      </c>
      <c r="AO21" s="277">
        <f t="shared" si="28"/>
        <v>92.649491557594388</v>
      </c>
      <c r="AP21" s="277">
        <f t="shared" si="28"/>
        <v>100.60065953416633</v>
      </c>
      <c r="AQ21" s="269" t="str">
        <f>A21</f>
        <v>15+</v>
      </c>
      <c r="AR21" s="277">
        <f>SUM(AR22:AR32)</f>
        <v>1106.6731656485081</v>
      </c>
      <c r="AS21" s="277">
        <f t="shared" ref="AS21:AV21" si="29">SUM(AS22:AS32)</f>
        <v>1199.3363209792817</v>
      </c>
      <c r="AT21" s="277">
        <f t="shared" si="29"/>
        <v>1365.5690169985778</v>
      </c>
      <c r="AU21" s="277">
        <f t="shared" si="29"/>
        <v>1541.874607472716</v>
      </c>
      <c r="AV21" s="277">
        <f t="shared" si="29"/>
        <v>1748.1917854076103</v>
      </c>
      <c r="AW21" s="277"/>
      <c r="AX21" s="277">
        <f>SUM(AX22:AX32)</f>
        <v>1077.4599726477079</v>
      </c>
      <c r="AY21" s="277">
        <f t="shared" ref="AY21:BB21" si="30">SUM(AY22:AY32)</f>
        <v>1167.5793096493508</v>
      </c>
      <c r="AZ21" s="277">
        <f t="shared" si="30"/>
        <v>1328.8583394486275</v>
      </c>
      <c r="BA21" s="277">
        <f t="shared" si="30"/>
        <v>1499.4805167904162</v>
      </c>
      <c r="BB21" s="277">
        <f t="shared" si="30"/>
        <v>1698.9799024688193</v>
      </c>
      <c r="BC21" s="277"/>
      <c r="BD21" s="277">
        <f>SUM(BD22:BD32)</f>
        <v>29.213193000800217</v>
      </c>
      <c r="BE21" s="277">
        <f t="shared" ref="BE21:BH21" si="31">SUM(BE22:BE32)</f>
        <v>31.757011329930545</v>
      </c>
      <c r="BF21" s="277">
        <f t="shared" si="31"/>
        <v>36.710677549950461</v>
      </c>
      <c r="BG21" s="277">
        <f t="shared" si="31"/>
        <v>42.394090682299776</v>
      </c>
      <c r="BH21" s="277">
        <f t="shared" si="31"/>
        <v>49.211882938790794</v>
      </c>
    </row>
    <row r="22" spans="1:60" s="168" customFormat="1" x14ac:dyDescent="0.2">
      <c r="A22" s="269" t="str">
        <f>$A$8</f>
        <v>15-19</v>
      </c>
      <c r="B22" s="277">
        <v>265.87910321369338</v>
      </c>
      <c r="C22" s="277">
        <v>258.0443726840308</v>
      </c>
      <c r="D22" s="277">
        <v>243.141770298518</v>
      </c>
      <c r="E22" s="277">
        <v>242.0329033496289</v>
      </c>
      <c r="F22" s="275">
        <v>259.48953414978911</v>
      </c>
      <c r="G22" s="277"/>
      <c r="H22" s="277">
        <v>65.502301380201217</v>
      </c>
      <c r="I22" s="277">
        <v>63.57213501074979</v>
      </c>
      <c r="J22" s="277">
        <v>59.900673398189532</v>
      </c>
      <c r="K22" s="277">
        <v>59.627470660231161</v>
      </c>
      <c r="L22" s="275">
        <v>63.928125917066254</v>
      </c>
      <c r="M22" s="277"/>
      <c r="N22" s="277">
        <v>200.37680183349218</v>
      </c>
      <c r="O22" s="277">
        <v>194.47223767328106</v>
      </c>
      <c r="P22" s="277">
        <v>183.2410969003285</v>
      </c>
      <c r="Q22" s="277">
        <v>182.40543268939777</v>
      </c>
      <c r="R22" s="275">
        <v>195.56140823272287</v>
      </c>
      <c r="S22" s="277"/>
      <c r="T22" s="277">
        <v>0</v>
      </c>
      <c r="U22" s="277">
        <v>0</v>
      </c>
      <c r="V22" s="277">
        <v>0</v>
      </c>
      <c r="W22" s="277">
        <v>0</v>
      </c>
      <c r="X22" s="275">
        <v>0</v>
      </c>
      <c r="Y22" s="269" t="str">
        <f>$A$8</f>
        <v>15-19</v>
      </c>
      <c r="Z22" s="277">
        <v>66.511132470586716</v>
      </c>
      <c r="AA22" s="277">
        <v>73.411299772273082</v>
      </c>
      <c r="AB22" s="277">
        <v>80.502722532222251</v>
      </c>
      <c r="AC22" s="277">
        <v>87.416701640226961</v>
      </c>
      <c r="AD22" s="275">
        <v>102.22230692001014</v>
      </c>
      <c r="AE22" s="277"/>
      <c r="AF22" s="277">
        <v>65.408785510809949</v>
      </c>
      <c r="AG22" s="277">
        <v>72.194629595921498</v>
      </c>
      <c r="AH22" s="277">
        <v>79.16853183013346</v>
      </c>
      <c r="AI22" s="277">
        <v>85.967955058277127</v>
      </c>
      <c r="AJ22" s="275">
        <v>100.52812602924274</v>
      </c>
      <c r="AK22" s="277"/>
      <c r="AL22" s="277">
        <v>1.1023469597767663</v>
      </c>
      <c r="AM22" s="277">
        <v>1.2166701763515873</v>
      </c>
      <c r="AN22" s="277">
        <v>1.3341907020887731</v>
      </c>
      <c r="AO22" s="277">
        <v>1.4487465819498317</v>
      </c>
      <c r="AP22" s="275">
        <v>1.6941808907673945</v>
      </c>
      <c r="AQ22" s="269" t="str">
        <f t="shared" ref="AQ22:AQ32" si="32">A22</f>
        <v>15-19</v>
      </c>
      <c r="AR22" s="277">
        <v>0.47976431571996198</v>
      </c>
      <c r="AS22" s="277">
        <v>0.72732754369609554</v>
      </c>
      <c r="AT22" s="277">
        <v>0.48550716925975612</v>
      </c>
      <c r="AU22" s="277">
        <v>0.49439501014410386</v>
      </c>
      <c r="AV22" s="275">
        <v>0.54315893020071748</v>
      </c>
      <c r="AW22" s="277"/>
      <c r="AX22" s="277">
        <v>0.424231447426622</v>
      </c>
      <c r="AY22" s="277">
        <v>0.64301397638445978</v>
      </c>
      <c r="AZ22" s="277">
        <v>0.4293477578901575</v>
      </c>
      <c r="BA22" s="277">
        <v>0.43712398467357205</v>
      </c>
      <c r="BB22" s="275">
        <v>0.4802635949877026</v>
      </c>
      <c r="BC22" s="277"/>
      <c r="BD22" s="277">
        <v>5.5532868293339949E-2</v>
      </c>
      <c r="BE22" s="277">
        <v>8.4313567311635793E-2</v>
      </c>
      <c r="BF22" s="277">
        <v>5.6159411369598657E-2</v>
      </c>
      <c r="BG22" s="277">
        <v>5.7271025470531763E-2</v>
      </c>
      <c r="BH22" s="275">
        <v>6.2895335213014894E-2</v>
      </c>
    </row>
    <row r="23" spans="1:60" s="168" customFormat="1" x14ac:dyDescent="0.2">
      <c r="A23" s="269" t="str">
        <f>$A$9</f>
        <v>20-24</v>
      </c>
      <c r="B23" s="277">
        <v>62.563891293376557</v>
      </c>
      <c r="C23" s="277">
        <v>65.325512781581011</v>
      </c>
      <c r="D23" s="277">
        <v>67.029010553797633</v>
      </c>
      <c r="E23" s="277">
        <v>59.464637575430878</v>
      </c>
      <c r="F23" s="275">
        <v>54.38972351131563</v>
      </c>
      <c r="G23" s="277"/>
      <c r="H23" s="277">
        <v>17.754171051225015</v>
      </c>
      <c r="I23" s="277">
        <v>18.537831805843624</v>
      </c>
      <c r="J23" s="277">
        <v>19.021243659623707</v>
      </c>
      <c r="K23" s="277">
        <v>16.874679665555647</v>
      </c>
      <c r="L23" s="275">
        <v>15.434495406960504</v>
      </c>
      <c r="M23" s="277"/>
      <c r="N23" s="277">
        <v>44.809720242151542</v>
      </c>
      <c r="O23" s="277">
        <v>46.787680975737388</v>
      </c>
      <c r="P23" s="277">
        <v>48.00776689417394</v>
      </c>
      <c r="Q23" s="277">
        <v>42.589957909875231</v>
      </c>
      <c r="R23" s="275">
        <v>38.955228104355122</v>
      </c>
      <c r="S23" s="277"/>
      <c r="T23" s="277">
        <v>0</v>
      </c>
      <c r="U23" s="277">
        <v>0</v>
      </c>
      <c r="V23" s="277">
        <v>0</v>
      </c>
      <c r="W23" s="277">
        <v>0</v>
      </c>
      <c r="X23" s="275">
        <v>0</v>
      </c>
      <c r="Y23" s="269" t="str">
        <f>$A$9</f>
        <v>20-24</v>
      </c>
      <c r="Z23" s="277">
        <v>203.50469894139783</v>
      </c>
      <c r="AA23" s="277">
        <v>206.78831948241526</v>
      </c>
      <c r="AB23" s="277">
        <v>217.16688614689699</v>
      </c>
      <c r="AC23" s="277">
        <v>213.03529301815917</v>
      </c>
      <c r="AD23" s="275">
        <v>215.87448968593148</v>
      </c>
      <c r="AE23" s="277"/>
      <c r="AF23" s="277">
        <v>194.19340573185747</v>
      </c>
      <c r="AG23" s="277">
        <v>197.32683079971491</v>
      </c>
      <c r="AH23" s="277">
        <v>207.23048265883725</v>
      </c>
      <c r="AI23" s="277">
        <v>203.2879208070558</v>
      </c>
      <c r="AJ23" s="275">
        <v>205.99720170925298</v>
      </c>
      <c r="AK23" s="277"/>
      <c r="AL23" s="277">
        <v>9.3112932095403682</v>
      </c>
      <c r="AM23" s="277">
        <v>9.4614886827003613</v>
      </c>
      <c r="AN23" s="277">
        <v>9.936403488059721</v>
      </c>
      <c r="AO23" s="277">
        <v>9.7473722111033432</v>
      </c>
      <c r="AP23" s="275">
        <v>9.8772879766784918</v>
      </c>
      <c r="AQ23" s="269" t="str">
        <f t="shared" si="32"/>
        <v>20-24</v>
      </c>
      <c r="AR23" s="277">
        <v>55.35540976522563</v>
      </c>
      <c r="AS23" s="277">
        <v>59.428167736003701</v>
      </c>
      <c r="AT23" s="277">
        <v>76.351103299305365</v>
      </c>
      <c r="AU23" s="277">
        <v>82.69706940640998</v>
      </c>
      <c r="AV23" s="275">
        <v>92.251786802752903</v>
      </c>
      <c r="AW23" s="277"/>
      <c r="AX23" s="277">
        <v>55.171502233744391</v>
      </c>
      <c r="AY23" s="277">
        <v>59.230692610728923</v>
      </c>
      <c r="AZ23" s="277">
        <v>76.097464300047577</v>
      </c>
      <c r="BA23" s="277">
        <v>82.422307619001344</v>
      </c>
      <c r="BB23" s="275">
        <v>91.945269557157303</v>
      </c>
      <c r="BC23" s="277"/>
      <c r="BD23" s="277">
        <v>0.18390753148124411</v>
      </c>
      <c r="BE23" s="277">
        <v>0.19747512527477654</v>
      </c>
      <c r="BF23" s="277">
        <v>0.2536389992577906</v>
      </c>
      <c r="BG23" s="277">
        <v>0.27476178740863866</v>
      </c>
      <c r="BH23" s="275">
        <v>0.30651724559561289</v>
      </c>
    </row>
    <row r="24" spans="1:60" s="168" customFormat="1" x14ac:dyDescent="0.2">
      <c r="A24" s="269" t="str">
        <f>$A$10</f>
        <v>25-29</v>
      </c>
      <c r="B24" s="277">
        <v>66.398736675349255</v>
      </c>
      <c r="C24" s="277">
        <v>69.045212178063281</v>
      </c>
      <c r="D24" s="277">
        <v>66.627042081793974</v>
      </c>
      <c r="E24" s="277">
        <v>68.686692459413791</v>
      </c>
      <c r="F24" s="275">
        <v>61.118016987628771</v>
      </c>
      <c r="G24" s="277"/>
      <c r="H24" s="277">
        <v>22.566174767142297</v>
      </c>
      <c r="I24" s="277">
        <v>23.465649013403809</v>
      </c>
      <c r="J24" s="277">
        <v>22.643783635613381</v>
      </c>
      <c r="K24" s="277">
        <v>23.343782133688464</v>
      </c>
      <c r="L24" s="275">
        <v>20.771486527956</v>
      </c>
      <c r="M24" s="277"/>
      <c r="N24" s="277">
        <v>43.832561908206955</v>
      </c>
      <c r="O24" s="277">
        <v>45.579563164659476</v>
      </c>
      <c r="P24" s="277">
        <v>43.983258446180592</v>
      </c>
      <c r="Q24" s="277">
        <v>45.342910325725327</v>
      </c>
      <c r="R24" s="275">
        <v>40.346530459672763</v>
      </c>
      <c r="S24" s="277"/>
      <c r="T24" s="277">
        <v>0</v>
      </c>
      <c r="U24" s="277">
        <v>0</v>
      </c>
      <c r="V24" s="277">
        <v>0</v>
      </c>
      <c r="W24" s="277">
        <v>0</v>
      </c>
      <c r="X24" s="275">
        <v>0</v>
      </c>
      <c r="Y24" s="269" t="str">
        <f>$A$10</f>
        <v>25-29</v>
      </c>
      <c r="Z24" s="277">
        <v>157.53682636123301</v>
      </c>
      <c r="AA24" s="277">
        <v>146.82469164415315</v>
      </c>
      <c r="AB24" s="277">
        <v>162.09459077138558</v>
      </c>
      <c r="AC24" s="277">
        <v>176.76412293200428</v>
      </c>
      <c r="AD24" s="275">
        <v>178.0449747242445</v>
      </c>
      <c r="AE24" s="277"/>
      <c r="AF24" s="277">
        <v>147.64849438417414</v>
      </c>
      <c r="AG24" s="277">
        <v>137.60882551682283</v>
      </c>
      <c r="AH24" s="277">
        <v>151.92024178805138</v>
      </c>
      <c r="AI24" s="277">
        <v>165.66900835507411</v>
      </c>
      <c r="AJ24" s="275">
        <v>166.86940114891388</v>
      </c>
      <c r="AK24" s="277"/>
      <c r="AL24" s="277">
        <v>9.8883319770588862</v>
      </c>
      <c r="AM24" s="277">
        <v>9.21586612733031</v>
      </c>
      <c r="AN24" s="277">
        <v>10.174348983334211</v>
      </c>
      <c r="AO24" s="277">
        <v>11.095114576930154</v>
      </c>
      <c r="AP24" s="275">
        <v>11.175573575330596</v>
      </c>
      <c r="AQ24" s="269" t="str">
        <f t="shared" si="32"/>
        <v>25-29</v>
      </c>
      <c r="AR24" s="277">
        <v>119.99943696341774</v>
      </c>
      <c r="AS24" s="277">
        <v>129.39109617778351</v>
      </c>
      <c r="AT24" s="277">
        <v>137.02936714682045</v>
      </c>
      <c r="AU24" s="277">
        <v>151.42218460858194</v>
      </c>
      <c r="AV24" s="275">
        <v>154.61300828812676</v>
      </c>
      <c r="AW24" s="277"/>
      <c r="AX24" s="277">
        <v>118.70993980899782</v>
      </c>
      <c r="AY24" s="277">
        <v>128.00063464065943</v>
      </c>
      <c r="AZ24" s="277">
        <v>135.5567932955843</v>
      </c>
      <c r="BA24" s="277">
        <v>149.7950052068511</v>
      </c>
      <c r="BB24" s="275">
        <v>152.9514745672883</v>
      </c>
      <c r="BC24" s="277"/>
      <c r="BD24" s="277">
        <v>1.2894971544199207</v>
      </c>
      <c r="BE24" s="277">
        <v>1.3904615371240769</v>
      </c>
      <c r="BF24" s="277">
        <v>1.4725738512361566</v>
      </c>
      <c r="BG24" s="277">
        <v>1.6271794017308401</v>
      </c>
      <c r="BH24" s="275">
        <v>1.6615337208384582</v>
      </c>
    </row>
    <row r="25" spans="1:60" s="168" customFormat="1" x14ac:dyDescent="0.2">
      <c r="A25" s="269" t="str">
        <f>$A$11</f>
        <v>30-34</v>
      </c>
      <c r="B25" s="277">
        <v>68.283196879250426</v>
      </c>
      <c r="C25" s="277">
        <v>66.945802724107253</v>
      </c>
      <c r="D25" s="277">
        <v>66.03723253213704</v>
      </c>
      <c r="E25" s="277">
        <v>61.74876482433028</v>
      </c>
      <c r="F25" s="275">
        <v>53.450029841365982</v>
      </c>
      <c r="G25" s="277"/>
      <c r="H25" s="277">
        <v>24.544039774496266</v>
      </c>
      <c r="I25" s="277">
        <v>24.063322041545216</v>
      </c>
      <c r="J25" s="277">
        <v>23.736795331659089</v>
      </c>
      <c r="K25" s="277">
        <v>22.195343632842444</v>
      </c>
      <c r="L25" s="275">
        <v>19.212368288465317</v>
      </c>
      <c r="M25" s="277"/>
      <c r="N25" s="277">
        <v>43.739157104754149</v>
      </c>
      <c r="O25" s="277">
        <v>42.88248068256204</v>
      </c>
      <c r="P25" s="277">
        <v>42.300437200477958</v>
      </c>
      <c r="Q25" s="277">
        <v>39.553421191487843</v>
      </c>
      <c r="R25" s="275">
        <v>34.237661552900661</v>
      </c>
      <c r="S25" s="277"/>
      <c r="T25" s="277">
        <v>0</v>
      </c>
      <c r="U25" s="277">
        <v>0</v>
      </c>
      <c r="V25" s="277">
        <v>0</v>
      </c>
      <c r="W25" s="277">
        <v>0</v>
      </c>
      <c r="X25" s="275">
        <v>0</v>
      </c>
      <c r="Y25" s="269" t="str">
        <f>$A$11</f>
        <v>30-34</v>
      </c>
      <c r="Z25" s="277">
        <v>148.60780472425301</v>
      </c>
      <c r="AA25" s="277">
        <v>147.31893427815288</v>
      </c>
      <c r="AB25" s="277">
        <v>161.47366094590328</v>
      </c>
      <c r="AC25" s="277">
        <v>172.47340823028688</v>
      </c>
      <c r="AD25" s="275">
        <v>191.95713844294832</v>
      </c>
      <c r="AE25" s="277"/>
      <c r="AF25" s="277">
        <v>138.80683308840062</v>
      </c>
      <c r="AG25" s="277">
        <v>137.60298665378525</v>
      </c>
      <c r="AH25" s="277">
        <v>150.82413863510811</v>
      </c>
      <c r="AI25" s="277">
        <v>161.09845641798645</v>
      </c>
      <c r="AJ25" s="275">
        <v>179.29720884021523</v>
      </c>
      <c r="AK25" s="277"/>
      <c r="AL25" s="277">
        <v>9.8009716358523953</v>
      </c>
      <c r="AM25" s="277">
        <v>9.7159476243676277</v>
      </c>
      <c r="AN25" s="277">
        <v>10.649522310795193</v>
      </c>
      <c r="AO25" s="277">
        <v>11.374951812300438</v>
      </c>
      <c r="AP25" s="275">
        <v>12.659929602733092</v>
      </c>
      <c r="AQ25" s="269" t="str">
        <f t="shared" si="32"/>
        <v>30-34</v>
      </c>
      <c r="AR25" s="277">
        <v>129.43499839649661</v>
      </c>
      <c r="AS25" s="277">
        <v>136.9352629977399</v>
      </c>
      <c r="AT25" s="277">
        <v>146.86710652195967</v>
      </c>
      <c r="AU25" s="277">
        <v>156.94682694538284</v>
      </c>
      <c r="AV25" s="275">
        <v>178.67283171568567</v>
      </c>
      <c r="AW25" s="277"/>
      <c r="AX25" s="277">
        <v>126.08382142150504</v>
      </c>
      <c r="AY25" s="277">
        <v>133.38988826824271</v>
      </c>
      <c r="AZ25" s="277">
        <v>143.06466319041809</v>
      </c>
      <c r="BA25" s="277">
        <v>152.88342672901697</v>
      </c>
      <c r="BB25" s="275">
        <v>174.04687249714561</v>
      </c>
      <c r="BC25" s="277"/>
      <c r="BD25" s="277">
        <v>3.3511769749915721</v>
      </c>
      <c r="BE25" s="277">
        <v>3.5453747294971758</v>
      </c>
      <c r="BF25" s="277">
        <v>3.8024433315415691</v>
      </c>
      <c r="BG25" s="277">
        <v>4.0634002163658671</v>
      </c>
      <c r="BH25" s="275">
        <v>4.625959218540066</v>
      </c>
    </row>
    <row r="26" spans="1:60" s="168" customFormat="1" x14ac:dyDescent="0.2">
      <c r="A26" s="269" t="str">
        <f>$A$12</f>
        <v>35-39</v>
      </c>
      <c r="B26" s="277">
        <v>81.570107580789099</v>
      </c>
      <c r="C26" s="277">
        <v>83.089506586868126</v>
      </c>
      <c r="D26" s="277">
        <v>69.396955766521813</v>
      </c>
      <c r="E26" s="277">
        <v>57.477476782623199</v>
      </c>
      <c r="F26" s="275">
        <v>45.376437261099497</v>
      </c>
      <c r="G26" s="277"/>
      <c r="H26" s="277">
        <v>27.823839481647656</v>
      </c>
      <c r="I26" s="277">
        <v>28.342149363665129</v>
      </c>
      <c r="J26" s="277">
        <v>23.671532314933994</v>
      </c>
      <c r="K26" s="277">
        <v>19.605797942974593</v>
      </c>
      <c r="L26" s="275">
        <v>15.478099602590135</v>
      </c>
      <c r="M26" s="277"/>
      <c r="N26" s="277">
        <v>53.746268099141446</v>
      </c>
      <c r="O26" s="277">
        <v>54.747357223203004</v>
      </c>
      <c r="P26" s="277">
        <v>45.725423451587815</v>
      </c>
      <c r="Q26" s="277">
        <v>37.871678839648609</v>
      </c>
      <c r="R26" s="275">
        <v>29.898337658509362</v>
      </c>
      <c r="S26" s="277"/>
      <c r="T26" s="277">
        <v>0</v>
      </c>
      <c r="U26" s="277">
        <v>0</v>
      </c>
      <c r="V26" s="277">
        <v>0</v>
      </c>
      <c r="W26" s="277">
        <v>0</v>
      </c>
      <c r="X26" s="275">
        <v>0</v>
      </c>
      <c r="Y26" s="269" t="str">
        <f>$A$12</f>
        <v>35-39</v>
      </c>
      <c r="Z26" s="277">
        <v>172.87314170144836</v>
      </c>
      <c r="AA26" s="277">
        <v>151.81746175182639</v>
      </c>
      <c r="AB26" s="277">
        <v>156.19921187888309</v>
      </c>
      <c r="AC26" s="277">
        <v>170.06847351368867</v>
      </c>
      <c r="AD26" s="275">
        <v>183.91916269923121</v>
      </c>
      <c r="AE26" s="277"/>
      <c r="AF26" s="277">
        <v>162.99555148006215</v>
      </c>
      <c r="AG26" s="277">
        <v>143.14291162441359</v>
      </c>
      <c r="AH26" s="277">
        <v>147.27436031165053</v>
      </c>
      <c r="AI26" s="277">
        <v>160.35109660117249</v>
      </c>
      <c r="AJ26" s="275">
        <v>173.41038032330772</v>
      </c>
      <c r="AK26" s="277"/>
      <c r="AL26" s="277">
        <v>9.8775902213862175</v>
      </c>
      <c r="AM26" s="277">
        <v>8.6745501274128145</v>
      </c>
      <c r="AN26" s="277">
        <v>8.9248515672325688</v>
      </c>
      <c r="AO26" s="277">
        <v>9.7173769125161513</v>
      </c>
      <c r="AP26" s="275">
        <v>10.508782375923495</v>
      </c>
      <c r="AQ26" s="269" t="str">
        <f t="shared" si="32"/>
        <v>35-39</v>
      </c>
      <c r="AR26" s="277">
        <v>130.84375071776253</v>
      </c>
      <c r="AS26" s="277">
        <v>143.10303166130547</v>
      </c>
      <c r="AT26" s="277">
        <v>145.7508323545951</v>
      </c>
      <c r="AU26" s="277">
        <v>161.80904970368815</v>
      </c>
      <c r="AV26" s="275">
        <v>178.15540003966933</v>
      </c>
      <c r="AW26" s="277"/>
      <c r="AX26" s="277">
        <v>127.60652595957404</v>
      </c>
      <c r="AY26" s="277">
        <v>139.56251449676819</v>
      </c>
      <c r="AZ26" s="277">
        <v>142.14475173688641</v>
      </c>
      <c r="BA26" s="277">
        <v>157.80566912987618</v>
      </c>
      <c r="BB26" s="275">
        <v>173.74761952873018</v>
      </c>
      <c r="BC26" s="277"/>
      <c r="BD26" s="277">
        <v>3.237224758188491</v>
      </c>
      <c r="BE26" s="277">
        <v>3.5405171645372788</v>
      </c>
      <c r="BF26" s="277">
        <v>3.6060806177086793</v>
      </c>
      <c r="BG26" s="277">
        <v>4.003380573811949</v>
      </c>
      <c r="BH26" s="275">
        <v>4.4077805109391317</v>
      </c>
    </row>
    <row r="27" spans="1:60" s="168" customFormat="1" x14ac:dyDescent="0.2">
      <c r="A27" s="269" t="str">
        <f>$A$13</f>
        <v>40-44</v>
      </c>
      <c r="B27" s="277">
        <v>109.36258023994721</v>
      </c>
      <c r="C27" s="277">
        <v>100.65735353635027</v>
      </c>
      <c r="D27" s="277">
        <v>79.894996074335893</v>
      </c>
      <c r="E27" s="277">
        <v>58.266248681924139</v>
      </c>
      <c r="F27" s="275">
        <v>44.943691641188508</v>
      </c>
      <c r="G27" s="277"/>
      <c r="H27" s="277">
        <v>37.497201603751407</v>
      </c>
      <c r="I27" s="277">
        <v>34.512468517177361</v>
      </c>
      <c r="J27" s="277">
        <v>27.393678246007219</v>
      </c>
      <c r="K27" s="277">
        <v>19.977808097422283</v>
      </c>
      <c r="L27" s="275">
        <v>15.409876741628949</v>
      </c>
      <c r="M27" s="277"/>
      <c r="N27" s="277">
        <v>71.8653786361958</v>
      </c>
      <c r="O27" s="277">
        <v>66.144885019172918</v>
      </c>
      <c r="P27" s="277">
        <v>52.501317828328666</v>
      </c>
      <c r="Q27" s="277">
        <v>38.288440584501856</v>
      </c>
      <c r="R27" s="275">
        <v>29.533814899559559</v>
      </c>
      <c r="S27" s="277"/>
      <c r="T27" s="277">
        <v>0</v>
      </c>
      <c r="U27" s="277">
        <v>0</v>
      </c>
      <c r="V27" s="277">
        <v>0</v>
      </c>
      <c r="W27" s="277">
        <v>0</v>
      </c>
      <c r="X27" s="275">
        <v>0</v>
      </c>
      <c r="Y27" s="269" t="str">
        <f>$A$13</f>
        <v>40-44</v>
      </c>
      <c r="Z27" s="277">
        <v>173.78731454334542</v>
      </c>
      <c r="AA27" s="277">
        <v>163.77527356450886</v>
      </c>
      <c r="AB27" s="277">
        <v>162.60647900072252</v>
      </c>
      <c r="AC27" s="277">
        <v>166.47427183086532</v>
      </c>
      <c r="AD27" s="275">
        <v>181.69643068872716</v>
      </c>
      <c r="AE27" s="277"/>
      <c r="AF27" s="277">
        <v>165.32689297611799</v>
      </c>
      <c r="AG27" s="277">
        <v>155.80222756557217</v>
      </c>
      <c r="AH27" s="277">
        <v>154.69035923872957</v>
      </c>
      <c r="AI27" s="277">
        <v>158.36986274844344</v>
      </c>
      <c r="AJ27" s="275">
        <v>172.85093659793318</v>
      </c>
      <c r="AK27" s="277"/>
      <c r="AL27" s="277">
        <v>8.4604215672274528</v>
      </c>
      <c r="AM27" s="277">
        <v>7.9730459989366764</v>
      </c>
      <c r="AN27" s="277">
        <v>7.9161197619929249</v>
      </c>
      <c r="AO27" s="277">
        <v>8.1044090824218635</v>
      </c>
      <c r="AP27" s="275">
        <v>8.8454940907939719</v>
      </c>
      <c r="AQ27" s="269" t="str">
        <f t="shared" si="32"/>
        <v>40-44</v>
      </c>
      <c r="AR27" s="277">
        <v>128.62610521670734</v>
      </c>
      <c r="AS27" s="277">
        <v>136.39037289914091</v>
      </c>
      <c r="AT27" s="277">
        <v>148.07052492494154</v>
      </c>
      <c r="AU27" s="277">
        <v>154.31647948721056</v>
      </c>
      <c r="AV27" s="275">
        <v>171.30987767008435</v>
      </c>
      <c r="AW27" s="277"/>
      <c r="AX27" s="277">
        <v>125.76772964125814</v>
      </c>
      <c r="AY27" s="277">
        <v>133.35947800784845</v>
      </c>
      <c r="AZ27" s="277">
        <v>144.78005921667193</v>
      </c>
      <c r="BA27" s="277">
        <v>150.88727091047099</v>
      </c>
      <c r="BB27" s="275">
        <v>167.50296624498654</v>
      </c>
      <c r="BC27" s="277"/>
      <c r="BD27" s="277">
        <v>2.8583755754492008</v>
      </c>
      <c r="BE27" s="277">
        <v>3.030894891292423</v>
      </c>
      <c r="BF27" s="277">
        <v>3.2904657082695943</v>
      </c>
      <c r="BG27" s="277">
        <v>3.4292085767395757</v>
      </c>
      <c r="BH27" s="275">
        <v>3.8069114250978413</v>
      </c>
    </row>
    <row r="28" spans="1:60" s="168" customFormat="1" x14ac:dyDescent="0.2">
      <c r="A28" s="269" t="str">
        <f>$A$14</f>
        <v>45-49</v>
      </c>
      <c r="B28" s="277">
        <v>133.05883203982552</v>
      </c>
      <c r="C28" s="277">
        <v>130.62922404585686</v>
      </c>
      <c r="D28" s="277">
        <v>99.593963362259984</v>
      </c>
      <c r="E28" s="277">
        <v>77.436632042573009</v>
      </c>
      <c r="F28" s="275">
        <v>59.492715137111858</v>
      </c>
      <c r="G28" s="277"/>
      <c r="H28" s="277">
        <v>45.027200591392536</v>
      </c>
      <c r="I28" s="277">
        <v>44.204981813015024</v>
      </c>
      <c r="J28" s="277">
        <v>33.702642640591492</v>
      </c>
      <c r="K28" s="277">
        <v>26.204594261379921</v>
      </c>
      <c r="L28" s="275">
        <v>20.132393786098973</v>
      </c>
      <c r="M28" s="277"/>
      <c r="N28" s="277">
        <v>88.031631448432989</v>
      </c>
      <c r="O28" s="277">
        <v>86.424242232841848</v>
      </c>
      <c r="P28" s="277">
        <v>65.891320721668478</v>
      </c>
      <c r="Q28" s="277">
        <v>51.232037781193085</v>
      </c>
      <c r="R28" s="275">
        <v>39.360321351012892</v>
      </c>
      <c r="S28" s="277"/>
      <c r="T28" s="277">
        <v>0</v>
      </c>
      <c r="U28" s="277">
        <v>0</v>
      </c>
      <c r="V28" s="277">
        <v>0</v>
      </c>
      <c r="W28" s="277">
        <v>0</v>
      </c>
      <c r="X28" s="275">
        <v>0</v>
      </c>
      <c r="Y28" s="269" t="str">
        <f>$A$14</f>
        <v>45-49</v>
      </c>
      <c r="Z28" s="277">
        <v>147.70040930140374</v>
      </c>
      <c r="AA28" s="277">
        <v>150.78309476094216</v>
      </c>
      <c r="AB28" s="277">
        <v>165.92406107867228</v>
      </c>
      <c r="AC28" s="277">
        <v>170.02775905499576</v>
      </c>
      <c r="AD28" s="275">
        <v>173.29143493241449</v>
      </c>
      <c r="AE28" s="277"/>
      <c r="AF28" s="277">
        <v>141.54694322175274</v>
      </c>
      <c r="AG28" s="277">
        <v>144.50116492117996</v>
      </c>
      <c r="AH28" s="277">
        <v>159.01136074679223</v>
      </c>
      <c r="AI28" s="277">
        <v>162.94414401206637</v>
      </c>
      <c r="AJ28" s="275">
        <v>166.07180166684751</v>
      </c>
      <c r="AK28" s="277"/>
      <c r="AL28" s="277">
        <v>6.1534660796509844</v>
      </c>
      <c r="AM28" s="277">
        <v>6.2819298397621735</v>
      </c>
      <c r="AN28" s="277">
        <v>6.9127003318800542</v>
      </c>
      <c r="AO28" s="277">
        <v>7.0836150429293721</v>
      </c>
      <c r="AP28" s="275">
        <v>7.2196332655670084</v>
      </c>
      <c r="AQ28" s="269" t="str">
        <f t="shared" si="32"/>
        <v>45-49</v>
      </c>
      <c r="AR28" s="277">
        <v>123.31275865877076</v>
      </c>
      <c r="AS28" s="277">
        <v>132.41368119320103</v>
      </c>
      <c r="AT28" s="277">
        <v>140.53797555906777</v>
      </c>
      <c r="AU28" s="277">
        <v>145.28260890243126</v>
      </c>
      <c r="AV28" s="275">
        <v>149.41884993047367</v>
      </c>
      <c r="AW28" s="277"/>
      <c r="AX28" s="277">
        <v>120.05066515719325</v>
      </c>
      <c r="AY28" s="277">
        <v>128.91090449693274</v>
      </c>
      <c r="AZ28" s="277">
        <v>136.82028565996129</v>
      </c>
      <c r="BA28" s="277">
        <v>141.4394248982336</v>
      </c>
      <c r="BB28" s="275">
        <v>145.46618310656098</v>
      </c>
      <c r="BC28" s="277"/>
      <c r="BD28" s="277">
        <v>3.2620935015775157</v>
      </c>
      <c r="BE28" s="277">
        <v>3.5027766962682798</v>
      </c>
      <c r="BF28" s="277">
        <v>3.7176898991064919</v>
      </c>
      <c r="BG28" s="277">
        <v>3.8431840041976795</v>
      </c>
      <c r="BH28" s="275">
        <v>3.952666823912681</v>
      </c>
    </row>
    <row r="29" spans="1:60" s="168" customFormat="1" x14ac:dyDescent="0.2">
      <c r="A29" s="269" t="str">
        <f>$A$15</f>
        <v>50-54</v>
      </c>
      <c r="B29" s="277">
        <v>142.62528866518252</v>
      </c>
      <c r="C29" s="277">
        <v>144.67879652164194</v>
      </c>
      <c r="D29" s="277">
        <v>129.89288976403338</v>
      </c>
      <c r="E29" s="277">
        <v>108.5906384249285</v>
      </c>
      <c r="F29" s="275">
        <v>88.797023806023716</v>
      </c>
      <c r="G29" s="277"/>
      <c r="H29" s="277">
        <v>58.809677206890292</v>
      </c>
      <c r="I29" s="277">
        <v>59.656444402939428</v>
      </c>
      <c r="J29" s="277">
        <v>53.559622114055813</v>
      </c>
      <c r="K29" s="277">
        <v>44.77589197427843</v>
      </c>
      <c r="L29" s="275">
        <v>36.614290916009523</v>
      </c>
      <c r="M29" s="277"/>
      <c r="N29" s="277">
        <v>83.815611458292224</v>
      </c>
      <c r="O29" s="277">
        <v>85.022352118702528</v>
      </c>
      <c r="P29" s="277">
        <v>76.333267649977572</v>
      </c>
      <c r="Q29" s="277">
        <v>63.814746450650077</v>
      </c>
      <c r="R29" s="275">
        <v>52.182732890014194</v>
      </c>
      <c r="S29" s="277"/>
      <c r="T29" s="277">
        <v>0</v>
      </c>
      <c r="U29" s="277">
        <v>0</v>
      </c>
      <c r="V29" s="277">
        <v>0</v>
      </c>
      <c r="W29" s="277">
        <v>0</v>
      </c>
      <c r="X29" s="275">
        <v>0</v>
      </c>
      <c r="Y29" s="269" t="str">
        <f>$A$15</f>
        <v>50-54</v>
      </c>
      <c r="Z29" s="277">
        <v>128.12433076039389</v>
      </c>
      <c r="AA29" s="277">
        <v>131.63132793945925</v>
      </c>
      <c r="AB29" s="277">
        <v>150.56527705284162</v>
      </c>
      <c r="AC29" s="277">
        <v>157.47681805010433</v>
      </c>
      <c r="AD29" s="275">
        <v>161.81424705237774</v>
      </c>
      <c r="AE29" s="277"/>
      <c r="AF29" s="277">
        <v>122.55278649675924</v>
      </c>
      <c r="AG29" s="277">
        <v>125.90722170135525</v>
      </c>
      <c r="AH29" s="277">
        <v>144.01786562915689</v>
      </c>
      <c r="AI29" s="277">
        <v>150.62881683229153</v>
      </c>
      <c r="AJ29" s="275">
        <v>154.77764225506792</v>
      </c>
      <c r="AK29" s="277"/>
      <c r="AL29" s="277">
        <v>5.5715442636346637</v>
      </c>
      <c r="AM29" s="277">
        <v>5.7241062381040022</v>
      </c>
      <c r="AN29" s="277">
        <v>6.5474114236847223</v>
      </c>
      <c r="AO29" s="277">
        <v>6.848001217812798</v>
      </c>
      <c r="AP29" s="275">
        <v>7.0366047973098143</v>
      </c>
      <c r="AQ29" s="269" t="str">
        <f t="shared" si="32"/>
        <v>50-54</v>
      </c>
      <c r="AR29" s="277">
        <v>99.533380574423589</v>
      </c>
      <c r="AS29" s="277">
        <v>107.85887553889877</v>
      </c>
      <c r="AT29" s="277">
        <v>131.66083318312499</v>
      </c>
      <c r="AU29" s="277">
        <v>136.99154352496717</v>
      </c>
      <c r="AV29" s="275">
        <v>140.23672914159854</v>
      </c>
      <c r="AW29" s="277"/>
      <c r="AX29" s="277">
        <v>96.536032850777929</v>
      </c>
      <c r="AY29" s="277">
        <v>104.61089167560138</v>
      </c>
      <c r="AZ29" s="277">
        <v>127.6960784524572</v>
      </c>
      <c r="BA29" s="277">
        <v>132.86627000855998</v>
      </c>
      <c r="BB29" s="275">
        <v>136.01369492085831</v>
      </c>
      <c r="BC29" s="277"/>
      <c r="BD29" s="277">
        <v>2.9973477236456505</v>
      </c>
      <c r="BE29" s="277">
        <v>3.2479838632974087</v>
      </c>
      <c r="BF29" s="277">
        <v>3.9647547306677895</v>
      </c>
      <c r="BG29" s="277">
        <v>4.1252735164071801</v>
      </c>
      <c r="BH29" s="275">
        <v>4.2230342207402218</v>
      </c>
    </row>
    <row r="30" spans="1:60" s="168" customFormat="1" x14ac:dyDescent="0.2">
      <c r="A30" s="269" t="str">
        <f>$A$16</f>
        <v>55-59</v>
      </c>
      <c r="B30" s="277">
        <v>142.02345355885194</v>
      </c>
      <c r="C30" s="277">
        <v>143.44952230302076</v>
      </c>
      <c r="D30" s="277">
        <v>139.14959212331905</v>
      </c>
      <c r="E30" s="277">
        <v>133.10606492478584</v>
      </c>
      <c r="F30" s="275">
        <v>109.14650779855604</v>
      </c>
      <c r="G30" s="277"/>
      <c r="H30" s="277">
        <v>65.471577847382605</v>
      </c>
      <c r="I30" s="277">
        <v>66.128938994656224</v>
      </c>
      <c r="J30" s="277">
        <v>64.146760401718026</v>
      </c>
      <c r="K30" s="277">
        <v>61.360743377948751</v>
      </c>
      <c r="L30" s="275">
        <v>50.315564885494574</v>
      </c>
      <c r="M30" s="277"/>
      <c r="N30" s="277">
        <v>76.551875711469307</v>
      </c>
      <c r="O30" s="277">
        <v>77.320583308364533</v>
      </c>
      <c r="P30" s="277">
        <v>75.002831721601012</v>
      </c>
      <c r="Q30" s="277">
        <v>71.74532154683709</v>
      </c>
      <c r="R30" s="275">
        <v>58.830942913061456</v>
      </c>
      <c r="S30" s="277"/>
      <c r="T30" s="277">
        <v>0</v>
      </c>
      <c r="U30" s="277">
        <v>0</v>
      </c>
      <c r="V30" s="277">
        <v>0</v>
      </c>
      <c r="W30" s="277">
        <v>0</v>
      </c>
      <c r="X30" s="275">
        <v>0</v>
      </c>
      <c r="Y30" s="269" t="str">
        <f>$A$16</f>
        <v>55-59</v>
      </c>
      <c r="Z30" s="277">
        <v>109.05588764571488</v>
      </c>
      <c r="AA30" s="277">
        <v>103.02668159053177</v>
      </c>
      <c r="AB30" s="277">
        <v>125.61808852626254</v>
      </c>
      <c r="AC30" s="277">
        <v>146.63086089061352</v>
      </c>
      <c r="AD30" s="275">
        <v>154.81770782548793</v>
      </c>
      <c r="AE30" s="277"/>
      <c r="AF30" s="277">
        <v>103.75944425598405</v>
      </c>
      <c r="AG30" s="277">
        <v>98.023014500202649</v>
      </c>
      <c r="AH30" s="277">
        <v>119.51727296970975</v>
      </c>
      <c r="AI30" s="277">
        <v>139.509472215926</v>
      </c>
      <c r="AJ30" s="275">
        <v>147.29874653579841</v>
      </c>
      <c r="AK30" s="277"/>
      <c r="AL30" s="277">
        <v>5.296443389730813</v>
      </c>
      <c r="AM30" s="277">
        <v>5.0036670903291043</v>
      </c>
      <c r="AN30" s="277">
        <v>6.1008155565527895</v>
      </c>
      <c r="AO30" s="277">
        <v>7.1213886746875295</v>
      </c>
      <c r="AP30" s="275">
        <v>7.5189612896894937</v>
      </c>
      <c r="AQ30" s="269" t="str">
        <f t="shared" si="32"/>
        <v>55-59</v>
      </c>
      <c r="AR30" s="277">
        <v>86.859658795433134</v>
      </c>
      <c r="AS30" s="277">
        <v>96.998796106447443</v>
      </c>
      <c r="AT30" s="277">
        <v>110.9803193504184</v>
      </c>
      <c r="AU30" s="277">
        <v>123.37107418460066</v>
      </c>
      <c r="AV30" s="275">
        <v>131.50178437595608</v>
      </c>
      <c r="AW30" s="277"/>
      <c r="AX30" s="277">
        <v>84.146035314499002</v>
      </c>
      <c r="AY30" s="277">
        <v>93.968368312463639</v>
      </c>
      <c r="AZ30" s="277">
        <v>107.5131451192468</v>
      </c>
      <c r="BA30" s="277">
        <v>119.51673817354288</v>
      </c>
      <c r="BB30" s="275">
        <v>127.3934508351265</v>
      </c>
      <c r="BC30" s="277"/>
      <c r="BD30" s="277">
        <v>2.7136234809341366</v>
      </c>
      <c r="BE30" s="277">
        <v>3.030427793983804</v>
      </c>
      <c r="BF30" s="277">
        <v>3.4671742311715938</v>
      </c>
      <c r="BG30" s="277">
        <v>3.8543360110577858</v>
      </c>
      <c r="BH30" s="275">
        <v>4.1083335408295882</v>
      </c>
    </row>
    <row r="31" spans="1:60" s="168" customFormat="1" x14ac:dyDescent="0.2">
      <c r="A31" s="269" t="str">
        <f>$A$17</f>
        <v>60-64</v>
      </c>
      <c r="B31" s="277">
        <v>135.20871159850742</v>
      </c>
      <c r="C31" s="277">
        <v>139.14227803640441</v>
      </c>
      <c r="D31" s="277">
        <v>130.14619876262617</v>
      </c>
      <c r="E31" s="277">
        <v>116.92965912610188</v>
      </c>
      <c r="F31" s="275">
        <v>97.821165625616288</v>
      </c>
      <c r="G31" s="277"/>
      <c r="H31" s="277">
        <v>70.289274754240722</v>
      </c>
      <c r="I31" s="277">
        <v>72.334142210216811</v>
      </c>
      <c r="J31" s="277">
        <v>67.657493952962056</v>
      </c>
      <c r="K31" s="277">
        <v>60.786778379352796</v>
      </c>
      <c r="L31" s="275">
        <v>50.853075153050249</v>
      </c>
      <c r="M31" s="277"/>
      <c r="N31" s="277">
        <v>64.919436844266713</v>
      </c>
      <c r="O31" s="277">
        <v>66.808135826187581</v>
      </c>
      <c r="P31" s="277">
        <v>62.488704809664121</v>
      </c>
      <c r="Q31" s="277">
        <v>56.142880746749078</v>
      </c>
      <c r="R31" s="275">
        <v>46.968090472566033</v>
      </c>
      <c r="S31" s="277"/>
      <c r="T31" s="277">
        <v>0</v>
      </c>
      <c r="U31" s="277">
        <v>0</v>
      </c>
      <c r="V31" s="277">
        <v>0</v>
      </c>
      <c r="W31" s="277">
        <v>0</v>
      </c>
      <c r="X31" s="275">
        <v>0</v>
      </c>
      <c r="Y31" s="269" t="str">
        <f>$A$17</f>
        <v>60-64</v>
      </c>
      <c r="Z31" s="277">
        <v>86.312916170074814</v>
      </c>
      <c r="AA31" s="277">
        <v>87.978682675397692</v>
      </c>
      <c r="AB31" s="277">
        <v>102.45961005200583</v>
      </c>
      <c r="AC31" s="277">
        <v>124.91232684164649</v>
      </c>
      <c r="AD31" s="275">
        <v>146.90533839921289</v>
      </c>
      <c r="AE31" s="277"/>
      <c r="AF31" s="277">
        <v>82.494145323393639</v>
      </c>
      <c r="AG31" s="277">
        <v>84.086253978523061</v>
      </c>
      <c r="AH31" s="277">
        <v>97.926456664959204</v>
      </c>
      <c r="AI31" s="277">
        <v>119.38584315305835</v>
      </c>
      <c r="AJ31" s="275">
        <v>140.40583035374158</v>
      </c>
      <c r="AK31" s="277"/>
      <c r="AL31" s="277">
        <v>3.8187708466811769</v>
      </c>
      <c r="AM31" s="277">
        <v>3.8924286968746324</v>
      </c>
      <c r="AN31" s="277">
        <v>4.533153387046621</v>
      </c>
      <c r="AO31" s="277">
        <v>5.5264836885881472</v>
      </c>
      <c r="AP31" s="275">
        <v>6.4995080454712904</v>
      </c>
      <c r="AQ31" s="269" t="str">
        <f t="shared" si="32"/>
        <v>60-64</v>
      </c>
      <c r="AR31" s="277">
        <v>67.855372231417789</v>
      </c>
      <c r="AS31" s="277">
        <v>83.945039288197918</v>
      </c>
      <c r="AT31" s="277">
        <v>95.468191185367971</v>
      </c>
      <c r="AU31" s="277">
        <v>119.10401403225165</v>
      </c>
      <c r="AV31" s="275">
        <v>144.11749597517081</v>
      </c>
      <c r="AW31" s="277"/>
      <c r="AX31" s="277">
        <v>65.304426563134072</v>
      </c>
      <c r="AY31" s="277">
        <v>80.789147061586561</v>
      </c>
      <c r="AZ31" s="277">
        <v>91.879108865414764</v>
      </c>
      <c r="BA31" s="277">
        <v>114.62635921396409</v>
      </c>
      <c r="BB31" s="275">
        <v>138.69950783520864</v>
      </c>
      <c r="BC31" s="277"/>
      <c r="BD31" s="277">
        <v>2.5509456682837173</v>
      </c>
      <c r="BE31" s="277">
        <v>3.1558922266113782</v>
      </c>
      <c r="BF31" s="277">
        <v>3.5890823199532207</v>
      </c>
      <c r="BG31" s="277">
        <v>4.4776548182875615</v>
      </c>
      <c r="BH31" s="275">
        <v>5.4179881399621461</v>
      </c>
    </row>
    <row r="32" spans="1:60" s="168" customFormat="1" x14ac:dyDescent="0.2">
      <c r="A32" s="269" t="str">
        <f>$A$18</f>
        <v>65+</v>
      </c>
      <c r="B32" s="277">
        <v>413.27348346987924</v>
      </c>
      <c r="C32" s="277">
        <v>413.22199816727857</v>
      </c>
      <c r="D32" s="277">
        <v>382.42661647142006</v>
      </c>
      <c r="E32" s="277">
        <v>344.26916975565996</v>
      </c>
      <c r="F32" s="275">
        <v>299.66486973953153</v>
      </c>
      <c r="G32" s="277"/>
      <c r="H32" s="277">
        <v>280.86103102264485</v>
      </c>
      <c r="I32" s="277">
        <v>280.82599650665259</v>
      </c>
      <c r="J32" s="277">
        <v>259.89747790143747</v>
      </c>
      <c r="K32" s="277">
        <v>233.96563126418033</v>
      </c>
      <c r="L32" s="275">
        <v>203.65250932991842</v>
      </c>
      <c r="M32" s="277"/>
      <c r="N32" s="277">
        <v>132.41245244723444</v>
      </c>
      <c r="O32" s="277">
        <v>132.39600166062604</v>
      </c>
      <c r="P32" s="277">
        <v>122.52913856998256</v>
      </c>
      <c r="Q32" s="277">
        <v>110.30353849147959</v>
      </c>
      <c r="R32" s="275">
        <v>96.012360409613152</v>
      </c>
      <c r="S32" s="277"/>
      <c r="T32" s="277">
        <v>0</v>
      </c>
      <c r="U32" s="277">
        <v>0</v>
      </c>
      <c r="V32" s="277">
        <v>0</v>
      </c>
      <c r="W32" s="277">
        <v>0</v>
      </c>
      <c r="X32" s="275">
        <v>0</v>
      </c>
      <c r="Y32" s="269" t="str">
        <f>$A$18</f>
        <v>65+</v>
      </c>
      <c r="Z32" s="277">
        <v>183.28798651698779</v>
      </c>
      <c r="AA32" s="277">
        <v>198.84833199585475</v>
      </c>
      <c r="AB32" s="277">
        <v>264.78812722486305</v>
      </c>
      <c r="AC32" s="277">
        <v>324.20846857729254</v>
      </c>
      <c r="AD32" s="275">
        <v>390.52526772257721</v>
      </c>
      <c r="AE32" s="277"/>
      <c r="AF32" s="277">
        <v>175.04417159553057</v>
      </c>
      <c r="AG32" s="277">
        <v>189.90464961003784</v>
      </c>
      <c r="AH32" s="277">
        <v>252.8787207130141</v>
      </c>
      <c r="AI32" s="277">
        <v>309.62643682093773</v>
      </c>
      <c r="AJ32" s="275">
        <v>372.96056409867555</v>
      </c>
      <c r="AK32" s="277"/>
      <c r="AL32" s="277">
        <v>8.243814921457215</v>
      </c>
      <c r="AM32" s="277">
        <v>8.9436823858169294</v>
      </c>
      <c r="AN32" s="277">
        <v>11.909406511848935</v>
      </c>
      <c r="AO32" s="277">
        <v>14.582031756354773</v>
      </c>
      <c r="AP32" s="275">
        <v>17.564703623901661</v>
      </c>
      <c r="AQ32" s="269" t="str">
        <f t="shared" si="32"/>
        <v>65+</v>
      </c>
      <c r="AR32" s="277">
        <v>164.37253001313297</v>
      </c>
      <c r="AS32" s="277">
        <v>172.14466983686671</v>
      </c>
      <c r="AT32" s="277">
        <v>232.36725630371686</v>
      </c>
      <c r="AU32" s="277">
        <v>309.43936166704759</v>
      </c>
      <c r="AV32" s="275">
        <v>407.37086253789136</v>
      </c>
      <c r="AW32" s="277"/>
      <c r="AX32" s="277">
        <v>157.65906224959758</v>
      </c>
      <c r="AY32" s="277">
        <v>165.11377610213441</v>
      </c>
      <c r="AZ32" s="277">
        <v>222.87664185404887</v>
      </c>
      <c r="BA32" s="277">
        <v>296.80092091622549</v>
      </c>
      <c r="BB32" s="275">
        <v>390.73259978076936</v>
      </c>
      <c r="BC32" s="277"/>
      <c r="BD32" s="277">
        <v>6.7134677635354318</v>
      </c>
      <c r="BE32" s="277">
        <v>7.0308937347323051</v>
      </c>
      <c r="BF32" s="277">
        <v>9.4906144496679747</v>
      </c>
      <c r="BG32" s="277">
        <v>12.63844075082217</v>
      </c>
      <c r="BH32" s="275">
        <v>16.638262757122035</v>
      </c>
    </row>
    <row r="33" spans="1:60" s="168" customFormat="1" x14ac:dyDescent="0.2">
      <c r="B33" s="277"/>
      <c r="C33" s="277"/>
      <c r="D33" s="277"/>
      <c r="E33" s="277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169"/>
      <c r="U33" s="169"/>
      <c r="V33" s="169"/>
      <c r="W33" s="169"/>
      <c r="X33" s="169"/>
      <c r="Z33" s="277"/>
      <c r="AA33" s="277"/>
      <c r="AB33" s="277"/>
      <c r="AC33" s="277"/>
      <c r="AD33" s="275"/>
      <c r="AE33" s="275"/>
      <c r="AF33" s="275"/>
      <c r="AG33" s="275"/>
      <c r="AH33" s="275"/>
      <c r="AI33" s="275"/>
      <c r="AJ33" s="275"/>
      <c r="AK33" s="275"/>
      <c r="AL33" s="275"/>
      <c r="AM33" s="275"/>
      <c r="AN33" s="275"/>
      <c r="AO33" s="275"/>
      <c r="AP33" s="275"/>
      <c r="AR33" s="277"/>
      <c r="AS33" s="277"/>
      <c r="AT33" s="277"/>
      <c r="AU33" s="277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</row>
    <row r="34" spans="1:60" s="168" customFormat="1" x14ac:dyDescent="0.2">
      <c r="A34" s="224" t="s">
        <v>99</v>
      </c>
      <c r="B34" s="277"/>
      <c r="C34" s="277"/>
      <c r="D34" s="277"/>
      <c r="E34" s="277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169"/>
      <c r="U34" s="169"/>
      <c r="V34" s="169"/>
      <c r="W34" s="169"/>
      <c r="X34" s="169"/>
      <c r="Y34" s="224" t="str">
        <f>A34</f>
        <v>Females</v>
      </c>
      <c r="Z34" s="278"/>
      <c r="AA34" s="278"/>
      <c r="AB34" s="278"/>
      <c r="AC34" s="278"/>
      <c r="AD34" s="275"/>
      <c r="AE34" s="275"/>
      <c r="AF34" s="275"/>
      <c r="AG34" s="275"/>
      <c r="AH34" s="275"/>
      <c r="AI34" s="275"/>
      <c r="AJ34" s="275"/>
      <c r="AK34" s="275"/>
      <c r="AL34" s="275"/>
      <c r="AM34" s="275"/>
      <c r="AN34" s="275"/>
      <c r="AO34" s="275"/>
      <c r="AP34" s="275"/>
      <c r="AQ34" s="224" t="str">
        <f>A34</f>
        <v>Females</v>
      </c>
      <c r="AR34" s="278"/>
      <c r="AS34" s="278"/>
      <c r="AT34" s="278"/>
      <c r="AU34" s="278"/>
      <c r="AV34" s="275"/>
      <c r="AW34" s="275"/>
      <c r="AX34" s="275"/>
      <c r="AY34" s="275"/>
      <c r="AZ34" s="275"/>
      <c r="BA34" s="275"/>
      <c r="BB34" s="275"/>
      <c r="BC34" s="275"/>
      <c r="BD34" s="275"/>
      <c r="BE34" s="275"/>
      <c r="BF34" s="275"/>
      <c r="BG34" s="275"/>
      <c r="BH34" s="275"/>
    </row>
    <row r="35" spans="1:60" s="168" customFormat="1" x14ac:dyDescent="0.2">
      <c r="A35" s="269" t="str">
        <f>$A$7</f>
        <v>15+</v>
      </c>
      <c r="B35" s="277">
        <f>SUM(B36:B46)</f>
        <v>1839.2166575000715</v>
      </c>
      <c r="C35" s="277">
        <f t="shared" ref="C35:F35" si="33">SUM(C36:C46)</f>
        <v>1786.0603742980511</v>
      </c>
      <c r="D35" s="277">
        <f t="shared" si="33"/>
        <v>1572.103997262989</v>
      </c>
      <c r="E35" s="277">
        <f t="shared" si="33"/>
        <v>1350.9626109662327</v>
      </c>
      <c r="F35" s="277">
        <f t="shared" si="33"/>
        <v>1143.3207917146487</v>
      </c>
      <c r="G35" s="275"/>
      <c r="H35" s="277">
        <f>SUM(H36:H46)</f>
        <v>963.2794859618532</v>
      </c>
      <c r="I35" s="277">
        <f t="shared" ref="I35:L35" si="34">SUM(I36:I46)</f>
        <v>932.67382880597597</v>
      </c>
      <c r="J35" s="277">
        <f t="shared" si="34"/>
        <v>822.41738994957336</v>
      </c>
      <c r="K35" s="277">
        <f t="shared" si="34"/>
        <v>699.51116772963974</v>
      </c>
      <c r="L35" s="277">
        <f t="shared" si="34"/>
        <v>576.46624793891874</v>
      </c>
      <c r="M35" s="275"/>
      <c r="N35" s="277">
        <f>SUM(N36:N46)</f>
        <v>875.93717153821831</v>
      </c>
      <c r="O35" s="277">
        <f t="shared" ref="O35:R35" si="35">SUM(O36:O46)</f>
        <v>853.38654549207513</v>
      </c>
      <c r="P35" s="277">
        <f t="shared" si="35"/>
        <v>749.68660731341538</v>
      </c>
      <c r="Q35" s="277">
        <f t="shared" si="35"/>
        <v>651.45144323659315</v>
      </c>
      <c r="R35" s="277">
        <f t="shared" si="35"/>
        <v>566.85454377573012</v>
      </c>
      <c r="S35" s="275"/>
      <c r="T35" s="277">
        <f>SUM(T36:T46)</f>
        <v>0</v>
      </c>
      <c r="U35" s="277">
        <f t="shared" ref="U35:X35" si="36">SUM(U36:U46)</f>
        <v>0</v>
      </c>
      <c r="V35" s="277">
        <f t="shared" si="36"/>
        <v>0</v>
      </c>
      <c r="W35" s="277">
        <f t="shared" si="36"/>
        <v>0</v>
      </c>
      <c r="X35" s="277">
        <f t="shared" si="36"/>
        <v>0</v>
      </c>
      <c r="Y35" s="269" t="str">
        <f>$A$7</f>
        <v>15+</v>
      </c>
      <c r="Z35" s="277">
        <f>SUM(Z36:Z46)</f>
        <v>1514.4894356563314</v>
      </c>
      <c r="AA35" s="277">
        <f t="shared" ref="AA35:AD35" si="37">SUM(AA36:AA46)</f>
        <v>1503.6765075089238</v>
      </c>
      <c r="AB35" s="277">
        <f t="shared" si="37"/>
        <v>1659.9026427502681</v>
      </c>
      <c r="AC35" s="277">
        <f t="shared" si="37"/>
        <v>1797.4464428451124</v>
      </c>
      <c r="AD35" s="277">
        <f t="shared" si="37"/>
        <v>1939.4301277122679</v>
      </c>
      <c r="AE35" s="277"/>
      <c r="AF35" s="277">
        <f>SUM(AF36:AF46)</f>
        <v>1427.6490102140683</v>
      </c>
      <c r="AG35" s="277">
        <f t="shared" ref="AG35:AJ35" si="38">SUM(AG36:AG46)</f>
        <v>1417.9494245743583</v>
      </c>
      <c r="AH35" s="277">
        <f t="shared" si="38"/>
        <v>1565.6898030959378</v>
      </c>
      <c r="AI35" s="277">
        <f t="shared" si="38"/>
        <v>1695.8037388732168</v>
      </c>
      <c r="AJ35" s="277">
        <f t="shared" si="38"/>
        <v>1830.7085872896366</v>
      </c>
      <c r="AK35" s="277"/>
      <c r="AL35" s="277">
        <f>SUM(AL36:AL46)</f>
        <v>86.840425442262955</v>
      </c>
      <c r="AM35" s="277">
        <f t="shared" ref="AM35:AP35" si="39">SUM(AM36:AM46)</f>
        <v>85.727082934565459</v>
      </c>
      <c r="AN35" s="277">
        <f t="shared" si="39"/>
        <v>94.212839654330281</v>
      </c>
      <c r="AO35" s="277">
        <f t="shared" si="39"/>
        <v>101.64270397189549</v>
      </c>
      <c r="AP35" s="277">
        <f t="shared" si="39"/>
        <v>108.72154042263139</v>
      </c>
      <c r="AQ35" s="269" t="str">
        <f>$A$7</f>
        <v>15+</v>
      </c>
      <c r="AR35" s="277">
        <f>SUM(AR36:AR46)</f>
        <v>1208.4819068435977</v>
      </c>
      <c r="AS35" s="277">
        <f t="shared" ref="AS35:AV35" si="40">SUM(AS36:AS46)</f>
        <v>1342.1641181930254</v>
      </c>
      <c r="AT35" s="277">
        <f t="shared" si="40"/>
        <v>1576.2403599867432</v>
      </c>
      <c r="AU35" s="277">
        <f t="shared" si="40"/>
        <v>1829.5899461886547</v>
      </c>
      <c r="AV35" s="277">
        <f t="shared" si="40"/>
        <v>2104.1100805730839</v>
      </c>
      <c r="AW35" s="277"/>
      <c r="AX35" s="277">
        <f>SUM(AX36:AX46)</f>
        <v>1195.8231128172695</v>
      </c>
      <c r="AY35" s="277">
        <f t="shared" ref="AY35:BB35" si="41">SUM(AY36:AY46)</f>
        <v>1327.9996346900398</v>
      </c>
      <c r="AZ35" s="277">
        <f t="shared" si="41"/>
        <v>1559.651180973065</v>
      </c>
      <c r="BA35" s="277">
        <f t="shared" si="41"/>
        <v>1810.1453176220125</v>
      </c>
      <c r="BB35" s="277">
        <f t="shared" si="41"/>
        <v>2081.5851755357075</v>
      </c>
      <c r="BC35" s="277"/>
      <c r="BD35" s="277">
        <f>SUM(BD36:BD46)</f>
        <v>12.658794026328057</v>
      </c>
      <c r="BE35" s="277">
        <f t="shared" ref="BE35:BH35" si="42">SUM(BE36:BE46)</f>
        <v>14.164483502985499</v>
      </c>
      <c r="BF35" s="277">
        <f t="shared" si="42"/>
        <v>16.589179013678287</v>
      </c>
      <c r="BG35" s="277">
        <f t="shared" si="42"/>
        <v>19.444628566642407</v>
      </c>
      <c r="BH35" s="277">
        <f t="shared" si="42"/>
        <v>22.524905037375824</v>
      </c>
    </row>
    <row r="36" spans="1:60" s="168" customFormat="1" x14ac:dyDescent="0.2">
      <c r="A36" s="269" t="str">
        <f>$A$8</f>
        <v>15-19</v>
      </c>
      <c r="B36" s="277">
        <v>235.75197725192589</v>
      </c>
      <c r="C36" s="277">
        <v>235.32459036047223</v>
      </c>
      <c r="D36" s="277">
        <v>224.52607187954138</v>
      </c>
      <c r="E36" s="277">
        <v>225.53877970723389</v>
      </c>
      <c r="F36" s="275">
        <v>243.72400964127928</v>
      </c>
      <c r="G36" s="275"/>
      <c r="H36" s="277">
        <v>48.983534945390808</v>
      </c>
      <c r="I36" s="277">
        <v>48.894690177294805</v>
      </c>
      <c r="J36" s="277">
        <v>46.651003976088816</v>
      </c>
      <c r="K36" s="277">
        <v>46.861405382749254</v>
      </c>
      <c r="L36" s="275">
        <v>50.639873799695991</v>
      </c>
      <c r="M36" s="275"/>
      <c r="N36" s="277">
        <v>186.76844230653509</v>
      </c>
      <c r="O36" s="277">
        <v>186.42990018317741</v>
      </c>
      <c r="P36" s="277">
        <v>177.87506790345256</v>
      </c>
      <c r="Q36" s="277">
        <v>178.67737432448465</v>
      </c>
      <c r="R36" s="275">
        <v>193.08413584158328</v>
      </c>
      <c r="S36" s="275"/>
      <c r="T36" s="277">
        <v>0</v>
      </c>
      <c r="U36" s="277">
        <v>0</v>
      </c>
      <c r="V36" s="277">
        <v>0</v>
      </c>
      <c r="W36" s="277">
        <v>0</v>
      </c>
      <c r="X36" s="275">
        <v>0</v>
      </c>
      <c r="Y36" s="269" t="str">
        <f>$A$8</f>
        <v>15-19</v>
      </c>
      <c r="Z36" s="277">
        <v>83.569879527684336</v>
      </c>
      <c r="AA36" s="277">
        <v>82.526656420969161</v>
      </c>
      <c r="AB36" s="277">
        <v>84.494484512367791</v>
      </c>
      <c r="AC36" s="277">
        <v>90.946079800349651</v>
      </c>
      <c r="AD36" s="275">
        <v>105.28765306859901</v>
      </c>
      <c r="AE36" s="275"/>
      <c r="AF36" s="277">
        <v>82.46118212650282</v>
      </c>
      <c r="AG36" s="277">
        <v>81.431768542600082</v>
      </c>
      <c r="AH36" s="277">
        <v>83.373443742554031</v>
      </c>
      <c r="AI36" s="277">
        <v>89.739476773593154</v>
      </c>
      <c r="AJ36" s="275">
        <v>103.89079794445267</v>
      </c>
      <c r="AK36" s="275"/>
      <c r="AL36" s="277">
        <v>1.1086974011815047</v>
      </c>
      <c r="AM36" s="277">
        <v>1.0948878783690683</v>
      </c>
      <c r="AN36" s="277">
        <v>1.1210407698137705</v>
      </c>
      <c r="AO36" s="277">
        <v>1.2066030267565</v>
      </c>
      <c r="AP36" s="275">
        <v>1.3968551241463449</v>
      </c>
      <c r="AQ36" s="269" t="str">
        <f>$A$8</f>
        <v>15-19</v>
      </c>
      <c r="AR36" s="277">
        <v>0.12314322038975159</v>
      </c>
      <c r="AS36" s="277">
        <v>0.59775321855860108</v>
      </c>
      <c r="AT36" s="277">
        <v>1.4364436080908414</v>
      </c>
      <c r="AU36" s="277">
        <v>1.4711404924164426</v>
      </c>
      <c r="AV36" s="275">
        <v>1.6223372901217372</v>
      </c>
      <c r="AW36" s="275"/>
      <c r="AX36" s="277">
        <v>0.12314322038975159</v>
      </c>
      <c r="AY36" s="277">
        <v>0.59775321855860108</v>
      </c>
      <c r="AZ36" s="277">
        <v>1.4364436080908414</v>
      </c>
      <c r="BA36" s="277">
        <v>1.4711404924164426</v>
      </c>
      <c r="BB36" s="275">
        <v>1.6223372901217372</v>
      </c>
      <c r="BC36" s="275"/>
      <c r="BD36" s="277">
        <v>0</v>
      </c>
      <c r="BE36" s="277">
        <v>0</v>
      </c>
      <c r="BF36" s="277">
        <v>0</v>
      </c>
      <c r="BG36" s="277">
        <v>0</v>
      </c>
      <c r="BH36" s="275">
        <v>0</v>
      </c>
    </row>
    <row r="37" spans="1:60" s="168" customFormat="1" x14ac:dyDescent="0.2">
      <c r="A37" s="269" t="str">
        <f>$A$9</f>
        <v>20-24</v>
      </c>
      <c r="B37" s="277">
        <v>51.28667688291447</v>
      </c>
      <c r="C37" s="277">
        <v>50.325615142463022</v>
      </c>
      <c r="D37" s="277">
        <v>41.617556806647421</v>
      </c>
      <c r="E37" s="277">
        <v>36.381749805465141</v>
      </c>
      <c r="F37" s="275">
        <v>33.131944227953063</v>
      </c>
      <c r="G37" s="275"/>
      <c r="H37" s="277">
        <v>18.958252611047016</v>
      </c>
      <c r="I37" s="277">
        <v>18.60303815545123</v>
      </c>
      <c r="J37" s="277">
        <v>15.38403685205089</v>
      </c>
      <c r="K37" s="277">
        <v>13.448615257113641</v>
      </c>
      <c r="L37" s="275">
        <v>12.247310379881396</v>
      </c>
      <c r="M37" s="275"/>
      <c r="N37" s="277">
        <v>32.328424271867455</v>
      </c>
      <c r="O37" s="277">
        <v>31.722576987011788</v>
      </c>
      <c r="P37" s="277">
        <v>26.233519954596538</v>
      </c>
      <c r="Q37" s="277">
        <v>22.9331345483515</v>
      </c>
      <c r="R37" s="275">
        <v>20.884633848071665</v>
      </c>
      <c r="S37" s="275"/>
      <c r="T37" s="277">
        <v>0</v>
      </c>
      <c r="U37" s="277">
        <v>0</v>
      </c>
      <c r="V37" s="277">
        <v>0</v>
      </c>
      <c r="W37" s="277">
        <v>0</v>
      </c>
      <c r="X37" s="275">
        <v>0</v>
      </c>
      <c r="Y37" s="269" t="str">
        <f>$A$9</f>
        <v>20-24</v>
      </c>
      <c r="Z37" s="277">
        <v>179.47599670013653</v>
      </c>
      <c r="AA37" s="277">
        <v>187.56758244877105</v>
      </c>
      <c r="AB37" s="277">
        <v>195.70388276755187</v>
      </c>
      <c r="AC37" s="277">
        <v>186.34405047249078</v>
      </c>
      <c r="AD37" s="275">
        <v>185.01228504909878</v>
      </c>
      <c r="AE37" s="275"/>
      <c r="AF37" s="277">
        <v>169.79137146665974</v>
      </c>
      <c r="AG37" s="277">
        <v>177.44629400726811</v>
      </c>
      <c r="AH37" s="277">
        <v>185.14356605643363</v>
      </c>
      <c r="AI37" s="277">
        <v>176.28878253096943</v>
      </c>
      <c r="AJ37" s="275">
        <v>175.02885632439069</v>
      </c>
      <c r="AK37" s="275"/>
      <c r="AL37" s="277">
        <v>9.6846252334768117</v>
      </c>
      <c r="AM37" s="277">
        <v>10.121288441502955</v>
      </c>
      <c r="AN37" s="277">
        <v>10.560316711118229</v>
      </c>
      <c r="AO37" s="277">
        <v>10.055267941521366</v>
      </c>
      <c r="AP37" s="275">
        <v>9.9834287247081175</v>
      </c>
      <c r="AQ37" s="269" t="str">
        <f>$A$9</f>
        <v>20-24</v>
      </c>
      <c r="AR37" s="277">
        <v>88.329326416949002</v>
      </c>
      <c r="AS37" s="277">
        <v>91.282802408765903</v>
      </c>
      <c r="AT37" s="277">
        <v>110.63256042580073</v>
      </c>
      <c r="AU37" s="277">
        <v>118.86519972204405</v>
      </c>
      <c r="AV37" s="275">
        <v>132.58977072294817</v>
      </c>
      <c r="AW37" s="275"/>
      <c r="AX37" s="277">
        <v>88.165028914454396</v>
      </c>
      <c r="AY37" s="277">
        <v>91.112930485790656</v>
      </c>
      <c r="AZ37" s="277">
        <v>110.42669182995489</v>
      </c>
      <c r="BA37" s="277">
        <v>118.644032109338</v>
      </c>
      <c r="BB37" s="275">
        <v>132.3431042203359</v>
      </c>
      <c r="BC37" s="275"/>
      <c r="BD37" s="277">
        <v>0.16429750249460409</v>
      </c>
      <c r="BE37" s="277">
        <v>0.16987192297524076</v>
      </c>
      <c r="BF37" s="277">
        <v>0.2058685958458471</v>
      </c>
      <c r="BG37" s="277">
        <v>0.2211676127060439</v>
      </c>
      <c r="BH37" s="275">
        <v>0.2466665026122716</v>
      </c>
    </row>
    <row r="38" spans="1:60" s="168" customFormat="1" x14ac:dyDescent="0.2">
      <c r="A38" s="269" t="str">
        <f>$A$10</f>
        <v>25-29</v>
      </c>
      <c r="B38" s="277">
        <v>48.980336910061595</v>
      </c>
      <c r="C38" s="277">
        <v>58.029393144137778</v>
      </c>
      <c r="D38" s="277">
        <v>51.776100367683391</v>
      </c>
      <c r="E38" s="277">
        <v>49.053973946460331</v>
      </c>
      <c r="F38" s="275">
        <v>43.531243964596278</v>
      </c>
      <c r="G38" s="275"/>
      <c r="H38" s="277">
        <v>18.23204899869749</v>
      </c>
      <c r="I38" s="277">
        <v>21.600341017225613</v>
      </c>
      <c r="J38" s="277">
        <v>19.272660294510747</v>
      </c>
      <c r="K38" s="277">
        <v>18.259465614997644</v>
      </c>
      <c r="L38" s="275">
        <v>16.203686177787539</v>
      </c>
      <c r="M38" s="275"/>
      <c r="N38" s="277">
        <v>30.748287911364105</v>
      </c>
      <c r="O38" s="277">
        <v>36.429052126912168</v>
      </c>
      <c r="P38" s="277">
        <v>32.503440073172648</v>
      </c>
      <c r="Q38" s="277">
        <v>30.794508331462694</v>
      </c>
      <c r="R38" s="275">
        <v>27.32755778680874</v>
      </c>
      <c r="S38" s="275"/>
      <c r="T38" s="277">
        <v>0</v>
      </c>
      <c r="U38" s="277">
        <v>0</v>
      </c>
      <c r="V38" s="277">
        <v>0</v>
      </c>
      <c r="W38" s="277">
        <v>0</v>
      </c>
      <c r="X38" s="275">
        <v>0</v>
      </c>
      <c r="Y38" s="269" t="str">
        <f>$A$10</f>
        <v>25-29</v>
      </c>
      <c r="Z38" s="277">
        <v>127.78718872779281</v>
      </c>
      <c r="AA38" s="277">
        <v>119.37410820126239</v>
      </c>
      <c r="AB38" s="277">
        <v>118.02109899531821</v>
      </c>
      <c r="AC38" s="277">
        <v>118.58410734575391</v>
      </c>
      <c r="AD38" s="275">
        <v>111.69989644356696</v>
      </c>
      <c r="AE38" s="275"/>
      <c r="AF38" s="277">
        <v>117.06434284916277</v>
      </c>
      <c r="AG38" s="277">
        <v>109.35717668619014</v>
      </c>
      <c r="AH38" s="277">
        <v>108.11773722560081</v>
      </c>
      <c r="AI38" s="277">
        <v>108.63342670868553</v>
      </c>
      <c r="AJ38" s="275">
        <v>102.3269079217695</v>
      </c>
      <c r="AK38" s="275"/>
      <c r="AL38" s="277">
        <v>10.722845878630038</v>
      </c>
      <c r="AM38" s="277">
        <v>10.01693151507223</v>
      </c>
      <c r="AN38" s="277">
        <v>9.9033617697174048</v>
      </c>
      <c r="AO38" s="277">
        <v>9.9506806370683663</v>
      </c>
      <c r="AP38" s="275">
        <v>9.3729885217974456</v>
      </c>
      <c r="AQ38" s="269" t="str">
        <f>$A$10</f>
        <v>25-29</v>
      </c>
      <c r="AR38" s="277">
        <v>165.48947436214561</v>
      </c>
      <c r="AS38" s="277">
        <v>169.04449865459986</v>
      </c>
      <c r="AT38" s="277">
        <v>192.77780063699839</v>
      </c>
      <c r="AU38" s="277">
        <v>214.16091870778578</v>
      </c>
      <c r="AV38" s="275">
        <v>222.34985959183678</v>
      </c>
      <c r="AW38" s="275"/>
      <c r="AX38" s="277">
        <v>163.99516578961072</v>
      </c>
      <c r="AY38" s="277">
        <v>167.51816718569009</v>
      </c>
      <c r="AZ38" s="277">
        <v>191.03715957991898</v>
      </c>
      <c r="BA38" s="277">
        <v>212.22723208261212</v>
      </c>
      <c r="BB38" s="275">
        <v>220.34220948065195</v>
      </c>
      <c r="BC38" s="275"/>
      <c r="BD38" s="277">
        <v>1.4943085725348841</v>
      </c>
      <c r="BE38" s="277">
        <v>1.526331468909754</v>
      </c>
      <c r="BF38" s="277">
        <v>1.740641057079428</v>
      </c>
      <c r="BG38" s="277">
        <v>1.9336866251736855</v>
      </c>
      <c r="BH38" s="275">
        <v>2.0076501111848128</v>
      </c>
    </row>
    <row r="39" spans="1:60" s="168" customFormat="1" x14ac:dyDescent="0.2">
      <c r="A39" s="269" t="str">
        <f>$A$11</f>
        <v>30-34</v>
      </c>
      <c r="B39" s="277">
        <v>48.351616200732686</v>
      </c>
      <c r="C39" s="277">
        <v>54.81450484456311</v>
      </c>
      <c r="D39" s="277">
        <v>52.150998553698685</v>
      </c>
      <c r="E39" s="277">
        <v>48.164476439532713</v>
      </c>
      <c r="F39" s="275">
        <v>40.226027639053598</v>
      </c>
      <c r="G39" s="275"/>
      <c r="H39" s="277">
        <v>20.247488689226163</v>
      </c>
      <c r="I39" s="277">
        <v>22.95380254002168</v>
      </c>
      <c r="J39" s="277">
        <v>21.838502656747391</v>
      </c>
      <c r="K39" s="277">
        <v>20.169083304063328</v>
      </c>
      <c r="L39" s="275">
        <v>16.844826452036404</v>
      </c>
      <c r="M39" s="275"/>
      <c r="N39" s="277">
        <v>28.104127511506523</v>
      </c>
      <c r="O39" s="277">
        <v>31.86070230454143</v>
      </c>
      <c r="P39" s="277">
        <v>30.312495896951297</v>
      </c>
      <c r="Q39" s="277">
        <v>27.995393135469385</v>
      </c>
      <c r="R39" s="275">
        <v>23.381201187017187</v>
      </c>
      <c r="S39" s="275"/>
      <c r="T39" s="277">
        <v>0</v>
      </c>
      <c r="U39" s="277">
        <v>0</v>
      </c>
      <c r="V39" s="277">
        <v>0</v>
      </c>
      <c r="W39" s="277">
        <v>0</v>
      </c>
      <c r="X39" s="275">
        <v>0</v>
      </c>
      <c r="Y39" s="269" t="str">
        <f>$A$11</f>
        <v>30-34</v>
      </c>
      <c r="Z39" s="277">
        <v>126.59052603481021</v>
      </c>
      <c r="AA39" s="277">
        <v>118.76404254564063</v>
      </c>
      <c r="AB39" s="277">
        <v>124.03995863874285</v>
      </c>
      <c r="AC39" s="277">
        <v>123.84674741528471</v>
      </c>
      <c r="AD39" s="275">
        <v>125.93134426917472</v>
      </c>
      <c r="AE39" s="275"/>
      <c r="AF39" s="277">
        <v>116.68034085440465</v>
      </c>
      <c r="AG39" s="277">
        <v>109.46652247600598</v>
      </c>
      <c r="AH39" s="277">
        <v>114.32946398888731</v>
      </c>
      <c r="AI39" s="277">
        <v>114.15134413116714</v>
      </c>
      <c r="AJ39" s="275">
        <v>116.0727553396063</v>
      </c>
      <c r="AK39" s="275"/>
      <c r="AL39" s="277">
        <v>9.9101851804055663</v>
      </c>
      <c r="AM39" s="277">
        <v>9.2975200696346505</v>
      </c>
      <c r="AN39" s="277">
        <v>9.7104946498555318</v>
      </c>
      <c r="AO39" s="277">
        <v>9.6954032841175852</v>
      </c>
      <c r="AP39" s="275">
        <v>9.8585889295684215</v>
      </c>
      <c r="AQ39" s="269" t="str">
        <f>$A$11</f>
        <v>30-34</v>
      </c>
      <c r="AR39" s="277">
        <v>165.33285776445709</v>
      </c>
      <c r="AS39" s="277">
        <v>173.27745260979628</v>
      </c>
      <c r="AT39" s="277">
        <v>193.84104280755847</v>
      </c>
      <c r="AU39" s="277">
        <v>212.88877614518256</v>
      </c>
      <c r="AV39" s="275">
        <v>239.55062809177167</v>
      </c>
      <c r="AW39" s="275"/>
      <c r="AX39" s="277">
        <v>163.54698646509576</v>
      </c>
      <c r="AY39" s="277">
        <v>171.40581210762247</v>
      </c>
      <c r="AZ39" s="277">
        <v>191.74726433199922</v>
      </c>
      <c r="BA39" s="277">
        <v>210.58921239342598</v>
      </c>
      <c r="BB39" s="275">
        <v>236.96312770820174</v>
      </c>
      <c r="BC39" s="275"/>
      <c r="BD39" s="277">
        <v>1.785871299361329</v>
      </c>
      <c r="BE39" s="277">
        <v>1.8716405021737883</v>
      </c>
      <c r="BF39" s="277">
        <v>2.0937784755592417</v>
      </c>
      <c r="BG39" s="277">
        <v>2.2995637517565553</v>
      </c>
      <c r="BH39" s="275">
        <v>2.587500383569969</v>
      </c>
    </row>
    <row r="40" spans="1:60" s="168" customFormat="1" x14ac:dyDescent="0.2">
      <c r="A40" s="269" t="str">
        <f>$A$12</f>
        <v>35-39</v>
      </c>
      <c r="B40" s="277">
        <v>72.542037614782771</v>
      </c>
      <c r="C40" s="277">
        <v>65.06766726540738</v>
      </c>
      <c r="D40" s="277">
        <v>54.766784806672291</v>
      </c>
      <c r="E40" s="277">
        <v>45.523587094052431</v>
      </c>
      <c r="F40" s="275">
        <v>34.291330085724873</v>
      </c>
      <c r="G40" s="275"/>
      <c r="H40" s="277">
        <v>28.179422220811407</v>
      </c>
      <c r="I40" s="277">
        <v>25.275934699382731</v>
      </c>
      <c r="J40" s="277">
        <v>21.27450416950764</v>
      </c>
      <c r="K40" s="277">
        <v>17.683894029231208</v>
      </c>
      <c r="L40" s="275">
        <v>13.320662566860962</v>
      </c>
      <c r="M40" s="275"/>
      <c r="N40" s="277">
        <v>44.362615393971375</v>
      </c>
      <c r="O40" s="277">
        <v>39.791732566024642</v>
      </c>
      <c r="P40" s="277">
        <v>33.492280637164654</v>
      </c>
      <c r="Q40" s="277">
        <v>27.839693064821223</v>
      </c>
      <c r="R40" s="275">
        <v>20.97066751886392</v>
      </c>
      <c r="S40" s="275"/>
      <c r="T40" s="277">
        <v>0</v>
      </c>
      <c r="U40" s="277">
        <v>0</v>
      </c>
      <c r="V40" s="277">
        <v>0</v>
      </c>
      <c r="W40" s="277">
        <v>0</v>
      </c>
      <c r="X40" s="275">
        <v>0</v>
      </c>
      <c r="Y40" s="269" t="str">
        <f>$A$12</f>
        <v>35-39</v>
      </c>
      <c r="Z40" s="277">
        <v>150.0126567417164</v>
      </c>
      <c r="AA40" s="277">
        <v>135.68236231505094</v>
      </c>
      <c r="AB40" s="277">
        <v>124.7291826751361</v>
      </c>
      <c r="AC40" s="277">
        <v>129.47197272823703</v>
      </c>
      <c r="AD40" s="275">
        <v>133.15322905166937</v>
      </c>
      <c r="AE40" s="275"/>
      <c r="AF40" s="277">
        <v>140.37576984147361</v>
      </c>
      <c r="AG40" s="277">
        <v>126.96602473402704</v>
      </c>
      <c r="AH40" s="277">
        <v>116.71649206662644</v>
      </c>
      <c r="AI40" s="277">
        <v>121.15460882835858</v>
      </c>
      <c r="AJ40" s="275">
        <v>124.59942116921782</v>
      </c>
      <c r="AK40" s="275"/>
      <c r="AL40" s="277">
        <v>9.6368869002428053</v>
      </c>
      <c r="AM40" s="277">
        <v>8.7163375810238843</v>
      </c>
      <c r="AN40" s="277">
        <v>8.0126906085096579</v>
      </c>
      <c r="AO40" s="277">
        <v>8.3173638998784618</v>
      </c>
      <c r="AP40" s="275">
        <v>8.5538078824515384</v>
      </c>
      <c r="AQ40" s="269" t="str">
        <f>$A$12</f>
        <v>35-39</v>
      </c>
      <c r="AR40" s="277">
        <v>154.06830564350082</v>
      </c>
      <c r="AS40" s="277">
        <v>168.96597041954166</v>
      </c>
      <c r="AT40" s="277">
        <v>183.46103251819156</v>
      </c>
      <c r="AU40" s="277">
        <v>208.70844017771051</v>
      </c>
      <c r="AV40" s="275">
        <v>232.21144086260571</v>
      </c>
      <c r="AW40" s="275"/>
      <c r="AX40" s="277">
        <v>152.29837009196677</v>
      </c>
      <c r="AY40" s="277">
        <v>167.02491938857551</v>
      </c>
      <c r="AZ40" s="277">
        <v>181.35346640367695</v>
      </c>
      <c r="BA40" s="277">
        <v>206.31083395767615</v>
      </c>
      <c r="BB40" s="275">
        <v>229.54383629553598</v>
      </c>
      <c r="BC40" s="275"/>
      <c r="BD40" s="277">
        <v>1.7699355515340602</v>
      </c>
      <c r="BE40" s="277">
        <v>1.9410510309661682</v>
      </c>
      <c r="BF40" s="277">
        <v>2.1075661145145714</v>
      </c>
      <c r="BG40" s="277">
        <v>2.3976062200343793</v>
      </c>
      <c r="BH40" s="275">
        <v>2.6676045670697208</v>
      </c>
    </row>
    <row r="41" spans="1:60" s="168" customFormat="1" x14ac:dyDescent="0.2">
      <c r="A41" s="269" t="str">
        <f>$A$13</f>
        <v>40-44</v>
      </c>
      <c r="B41" s="277">
        <v>95.592148824351668</v>
      </c>
      <c r="C41" s="277">
        <v>82.616320455715311</v>
      </c>
      <c r="D41" s="277">
        <v>65.715939292358911</v>
      </c>
      <c r="E41" s="277">
        <v>45.625343125830476</v>
      </c>
      <c r="F41" s="275">
        <v>32.319365015981639</v>
      </c>
      <c r="G41" s="275"/>
      <c r="H41" s="277">
        <v>37.546766551729547</v>
      </c>
      <c r="I41" s="277">
        <v>32.450059589071273</v>
      </c>
      <c r="J41" s="277">
        <v>25.811957711373253</v>
      </c>
      <c r="K41" s="277">
        <v>17.920731648709907</v>
      </c>
      <c r="L41" s="275">
        <v>12.694407857730498</v>
      </c>
      <c r="M41" s="275"/>
      <c r="N41" s="277">
        <v>58.045382272622113</v>
      </c>
      <c r="O41" s="277">
        <v>50.166260866644031</v>
      </c>
      <c r="P41" s="277">
        <v>39.903981580985658</v>
      </c>
      <c r="Q41" s="277">
        <v>27.704611477120565</v>
      </c>
      <c r="R41" s="275">
        <v>19.624957158251146</v>
      </c>
      <c r="S41" s="275"/>
      <c r="T41" s="277">
        <v>0</v>
      </c>
      <c r="U41" s="277">
        <v>0</v>
      </c>
      <c r="V41" s="277">
        <v>0</v>
      </c>
      <c r="W41" s="277">
        <v>0</v>
      </c>
      <c r="X41" s="275">
        <v>0</v>
      </c>
      <c r="Y41" s="269" t="str">
        <f>$A$13</f>
        <v>40-44</v>
      </c>
      <c r="Z41" s="277">
        <v>162.09391868766315</v>
      </c>
      <c r="AA41" s="277">
        <v>149.15249146976197</v>
      </c>
      <c r="AB41" s="277">
        <v>139.74715456529819</v>
      </c>
      <c r="AC41" s="277">
        <v>140.1664801116975</v>
      </c>
      <c r="AD41" s="275">
        <v>150.93061003653065</v>
      </c>
      <c r="AE41" s="275"/>
      <c r="AF41" s="277">
        <v>153.25080642376565</v>
      </c>
      <c r="AG41" s="277">
        <v>141.01546291821501</v>
      </c>
      <c r="AH41" s="277">
        <v>132.12323273689802</v>
      </c>
      <c r="AI41" s="277">
        <v>132.51964992616811</v>
      </c>
      <c r="AJ41" s="275">
        <v>142.69650407013222</v>
      </c>
      <c r="AK41" s="275"/>
      <c r="AL41" s="277">
        <v>8.8431122638974973</v>
      </c>
      <c r="AM41" s="277">
        <v>8.1370285515469902</v>
      </c>
      <c r="AN41" s="277">
        <v>7.6239218284001815</v>
      </c>
      <c r="AO41" s="277">
        <v>7.6468301855293674</v>
      </c>
      <c r="AP41" s="275">
        <v>8.2341059663984471</v>
      </c>
      <c r="AQ41" s="269" t="str">
        <f>$A$13</f>
        <v>40-44</v>
      </c>
      <c r="AR41" s="277">
        <v>142.30393248798518</v>
      </c>
      <c r="AS41" s="277">
        <v>157.16218807452273</v>
      </c>
      <c r="AT41" s="277">
        <v>174.12990614234292</v>
      </c>
      <c r="AU41" s="277">
        <v>185.34617676247206</v>
      </c>
      <c r="AV41" s="275">
        <v>209.35902494748774</v>
      </c>
      <c r="AW41" s="275"/>
      <c r="AX41" s="277">
        <v>140.61932188279332</v>
      </c>
      <c r="AY41" s="277">
        <v>155.30162565099377</v>
      </c>
      <c r="AZ41" s="277">
        <v>172.06854465783039</v>
      </c>
      <c r="BA41" s="277">
        <v>183.15203689418161</v>
      </c>
      <c r="BB41" s="275">
        <v>206.8805346793352</v>
      </c>
      <c r="BC41" s="275"/>
      <c r="BD41" s="277">
        <v>1.6846106051918688</v>
      </c>
      <c r="BE41" s="277">
        <v>1.8605624235289417</v>
      </c>
      <c r="BF41" s="277">
        <v>2.061361484512561</v>
      </c>
      <c r="BG41" s="277">
        <v>2.1941398682904496</v>
      </c>
      <c r="BH41" s="275">
        <v>2.4784902681525449</v>
      </c>
    </row>
    <row r="42" spans="1:60" s="168" customFormat="1" x14ac:dyDescent="0.2">
      <c r="A42" s="269" t="str">
        <f>$A$14</f>
        <v>45-49</v>
      </c>
      <c r="B42" s="277">
        <v>121.60001747416324</v>
      </c>
      <c r="C42" s="277">
        <v>119.25515350242472</v>
      </c>
      <c r="D42" s="277">
        <v>78.884619183002073</v>
      </c>
      <c r="E42" s="277">
        <v>54.824500970236151</v>
      </c>
      <c r="F42" s="275">
        <v>37.259131610277123</v>
      </c>
      <c r="G42" s="275"/>
      <c r="H42" s="277">
        <v>52.054388742127969</v>
      </c>
      <c r="I42" s="277">
        <v>51.050559464587302</v>
      </c>
      <c r="J42" s="277">
        <v>33.768780739827292</v>
      </c>
      <c r="K42" s="277">
        <v>23.469200966687755</v>
      </c>
      <c r="L42" s="275">
        <v>15.949827829172355</v>
      </c>
      <c r="M42" s="275"/>
      <c r="N42" s="277">
        <v>69.545628732035269</v>
      </c>
      <c r="O42" s="277">
        <v>68.20459403783741</v>
      </c>
      <c r="P42" s="277">
        <v>45.115838443174781</v>
      </c>
      <c r="Q42" s="277">
        <v>31.355300003548397</v>
      </c>
      <c r="R42" s="275">
        <v>21.309303781104767</v>
      </c>
      <c r="S42" s="275"/>
      <c r="T42" s="277">
        <v>0</v>
      </c>
      <c r="U42" s="277">
        <v>0</v>
      </c>
      <c r="V42" s="277">
        <v>0</v>
      </c>
      <c r="W42" s="277">
        <v>0</v>
      </c>
      <c r="X42" s="275">
        <v>0</v>
      </c>
      <c r="Y42" s="269" t="str">
        <f>$A$14</f>
        <v>45-49</v>
      </c>
      <c r="Z42" s="277">
        <v>149.19037176042775</v>
      </c>
      <c r="AA42" s="277">
        <v>147.02780307619315</v>
      </c>
      <c r="AB42" s="277">
        <v>157.07832682690201</v>
      </c>
      <c r="AC42" s="277">
        <v>161.18355055313589</v>
      </c>
      <c r="AD42" s="275">
        <v>163.5645829534713</v>
      </c>
      <c r="AE42" s="275"/>
      <c r="AF42" s="277">
        <v>141.73208428692129</v>
      </c>
      <c r="AG42" s="277">
        <v>139.67761552454377</v>
      </c>
      <c r="AH42" s="277">
        <v>149.22576147745451</v>
      </c>
      <c r="AI42" s="277">
        <v>153.12567731056208</v>
      </c>
      <c r="AJ42" s="275">
        <v>155.38774863532086</v>
      </c>
      <c r="AK42" s="275"/>
      <c r="AL42" s="277">
        <v>7.4582874735064566</v>
      </c>
      <c r="AM42" s="277">
        <v>7.350187551649368</v>
      </c>
      <c r="AN42" s="277">
        <v>7.852565349447544</v>
      </c>
      <c r="AO42" s="277">
        <v>8.0578732425738266</v>
      </c>
      <c r="AP42" s="275">
        <v>8.1768343181504513</v>
      </c>
      <c r="AQ42" s="269" t="str">
        <f>$A$14</f>
        <v>45-49</v>
      </c>
      <c r="AR42" s="277">
        <v>127.15261076540904</v>
      </c>
      <c r="AS42" s="277">
        <v>139.95804342138214</v>
      </c>
      <c r="AT42" s="277">
        <v>158.0250539900959</v>
      </c>
      <c r="AU42" s="277">
        <v>167.70994847662797</v>
      </c>
      <c r="AV42" s="275">
        <v>175.15628543625161</v>
      </c>
      <c r="AW42" s="275"/>
      <c r="AX42" s="277">
        <v>125.59964483820595</v>
      </c>
      <c r="AY42" s="277">
        <v>138.24869825890119</v>
      </c>
      <c r="AZ42" s="277">
        <v>156.09507742676459</v>
      </c>
      <c r="BA42" s="277">
        <v>165.66165535163051</v>
      </c>
      <c r="BB42" s="275">
        <v>173.01706017357083</v>
      </c>
      <c r="BC42" s="275"/>
      <c r="BD42" s="277">
        <v>1.5529659272030856</v>
      </c>
      <c r="BE42" s="277">
        <v>1.7093451624809444</v>
      </c>
      <c r="BF42" s="277">
        <v>1.9299765633313342</v>
      </c>
      <c r="BG42" s="277">
        <v>2.0482931249974619</v>
      </c>
      <c r="BH42" s="275">
        <v>2.1392252626807844</v>
      </c>
    </row>
    <row r="43" spans="1:60" s="168" customFormat="1" x14ac:dyDescent="0.2">
      <c r="A43" s="269" t="str">
        <f>$A$15</f>
        <v>50-54</v>
      </c>
      <c r="B43" s="277">
        <v>151.76046321416865</v>
      </c>
      <c r="C43" s="277">
        <v>142.31942173288223</v>
      </c>
      <c r="D43" s="277">
        <v>119.93293116047923</v>
      </c>
      <c r="E43" s="277">
        <v>88.171156371964599</v>
      </c>
      <c r="F43" s="275">
        <v>63.180524219714144</v>
      </c>
      <c r="G43" s="275"/>
      <c r="H43" s="277">
        <v>72.199699301024509</v>
      </c>
      <c r="I43" s="277">
        <v>67.708117557824508</v>
      </c>
      <c r="J43" s="277">
        <v>57.057834143300127</v>
      </c>
      <c r="K43" s="277">
        <v>41.9472270479773</v>
      </c>
      <c r="L43" s="275">
        <v>30.058003326770649</v>
      </c>
      <c r="M43" s="275"/>
      <c r="N43" s="277">
        <v>79.560763913144157</v>
      </c>
      <c r="O43" s="277">
        <v>74.611304175057768</v>
      </c>
      <c r="P43" s="277">
        <v>62.875097017179108</v>
      </c>
      <c r="Q43" s="277">
        <v>46.223929323987292</v>
      </c>
      <c r="R43" s="275">
        <v>33.122520892943498</v>
      </c>
      <c r="S43" s="275"/>
      <c r="T43" s="277">
        <v>0</v>
      </c>
      <c r="U43" s="277">
        <v>0</v>
      </c>
      <c r="V43" s="277">
        <v>0</v>
      </c>
      <c r="W43" s="277">
        <v>0</v>
      </c>
      <c r="X43" s="275">
        <v>0</v>
      </c>
      <c r="Y43" s="269" t="str">
        <f>$A$15</f>
        <v>50-54</v>
      </c>
      <c r="Z43" s="277">
        <v>124.24614829379526</v>
      </c>
      <c r="AA43" s="277">
        <v>130.25908800461309</v>
      </c>
      <c r="AB43" s="277">
        <v>149.14503167899258</v>
      </c>
      <c r="AC43" s="277">
        <v>157.9913676435533</v>
      </c>
      <c r="AD43" s="275">
        <v>164.67380902817911</v>
      </c>
      <c r="AE43" s="275"/>
      <c r="AF43" s="277">
        <v>117.87817168097233</v>
      </c>
      <c r="AG43" s="277">
        <v>123.5828772613132</v>
      </c>
      <c r="AH43" s="277">
        <v>141.50083699823233</v>
      </c>
      <c r="AI43" s="277">
        <v>149.89384905562815</v>
      </c>
      <c r="AJ43" s="275">
        <v>156.23374286788874</v>
      </c>
      <c r="AK43" s="275"/>
      <c r="AL43" s="277">
        <v>6.3679766128229192</v>
      </c>
      <c r="AM43" s="277">
        <v>6.6762107432998921</v>
      </c>
      <c r="AN43" s="277">
        <v>7.6441946807602736</v>
      </c>
      <c r="AO43" s="277">
        <v>8.0975185879251441</v>
      </c>
      <c r="AP43" s="275">
        <v>8.4400661602903408</v>
      </c>
      <c r="AQ43" s="269" t="str">
        <f>$A$15</f>
        <v>50-54</v>
      </c>
      <c r="AR43" s="277">
        <v>92.988388492036123</v>
      </c>
      <c r="AS43" s="277">
        <v>110.77949026250468</v>
      </c>
      <c r="AT43" s="277">
        <v>137.77303716052822</v>
      </c>
      <c r="AU43" s="277">
        <v>148.29147598448213</v>
      </c>
      <c r="AV43" s="275">
        <v>157.07466675210676</v>
      </c>
      <c r="AW43" s="275"/>
      <c r="AX43" s="277">
        <v>92.202593366663635</v>
      </c>
      <c r="AY43" s="277">
        <v>109.84331382664183</v>
      </c>
      <c r="AZ43" s="277">
        <v>136.60872759410435</v>
      </c>
      <c r="BA43" s="277">
        <v>147.03823447333156</v>
      </c>
      <c r="BB43" s="275">
        <v>155.74724028806634</v>
      </c>
      <c r="BC43" s="275"/>
      <c r="BD43" s="277">
        <v>0.78579512537246932</v>
      </c>
      <c r="BE43" s="277">
        <v>0.93617643586283261</v>
      </c>
      <c r="BF43" s="277">
        <v>1.1643095664238496</v>
      </c>
      <c r="BG43" s="277">
        <v>1.2532415111505675</v>
      </c>
      <c r="BH43" s="275">
        <v>1.3274264640404241</v>
      </c>
    </row>
    <row r="44" spans="1:60" s="168" customFormat="1" x14ac:dyDescent="0.2">
      <c r="A44" s="269" t="str">
        <f>$A$16</f>
        <v>55-59</v>
      </c>
      <c r="B44" s="277">
        <v>164.06581424258854</v>
      </c>
      <c r="C44" s="277">
        <v>150.69890471648134</v>
      </c>
      <c r="D44" s="277">
        <v>139.62009278798115</v>
      </c>
      <c r="E44" s="277">
        <v>115.66738771483223</v>
      </c>
      <c r="F44" s="275">
        <v>84.578879253283077</v>
      </c>
      <c r="G44" s="275"/>
      <c r="H44" s="277">
        <v>83.472280270866776</v>
      </c>
      <c r="I44" s="277">
        <v>76.671543299949803</v>
      </c>
      <c r="J44" s="277">
        <v>71.034930306068375</v>
      </c>
      <c r="K44" s="277">
        <v>58.848447605981825</v>
      </c>
      <c r="L44" s="275">
        <v>43.031510173276651</v>
      </c>
      <c r="M44" s="275"/>
      <c r="N44" s="277">
        <v>80.593533971721769</v>
      </c>
      <c r="O44" s="277">
        <v>74.027361416531534</v>
      </c>
      <c r="P44" s="277">
        <v>68.585162481912789</v>
      </c>
      <c r="Q44" s="277">
        <v>56.818940108850398</v>
      </c>
      <c r="R44" s="275">
        <v>41.547369080006419</v>
      </c>
      <c r="S44" s="275"/>
      <c r="T44" s="277">
        <v>0</v>
      </c>
      <c r="U44" s="277">
        <v>0</v>
      </c>
      <c r="V44" s="277">
        <v>0</v>
      </c>
      <c r="W44" s="277">
        <v>0</v>
      </c>
      <c r="X44" s="275">
        <v>0</v>
      </c>
      <c r="Y44" s="269" t="str">
        <f>$A$16</f>
        <v>55-59</v>
      </c>
      <c r="Z44" s="277">
        <v>103.85146408829428</v>
      </c>
      <c r="AA44" s="277">
        <v>105.31706169001831</v>
      </c>
      <c r="AB44" s="277">
        <v>133.62564527254057</v>
      </c>
      <c r="AC44" s="277">
        <v>158.51241512029338</v>
      </c>
      <c r="AD44" s="275">
        <v>167.67684572688086</v>
      </c>
      <c r="AE44" s="275"/>
      <c r="AF44" s="277">
        <v>97.635306286684369</v>
      </c>
      <c r="AG44" s="277">
        <v>99.013227711577329</v>
      </c>
      <c r="AH44" s="277">
        <v>125.62736470938835</v>
      </c>
      <c r="AI44" s="277">
        <v>149.02451048118331</v>
      </c>
      <c r="AJ44" s="275">
        <v>157.64040037339234</v>
      </c>
      <c r="AK44" s="275"/>
      <c r="AL44" s="277">
        <v>6.2161578016099055</v>
      </c>
      <c r="AM44" s="277">
        <v>6.3038339784409745</v>
      </c>
      <c r="AN44" s="277">
        <v>7.9982805631522167</v>
      </c>
      <c r="AO44" s="277">
        <v>9.4879046391100914</v>
      </c>
      <c r="AP44" s="275">
        <v>10.036445353488508</v>
      </c>
      <c r="AQ44" s="269" t="str">
        <f>$A$16</f>
        <v>55-59</v>
      </c>
      <c r="AR44" s="277">
        <v>71.118721669117207</v>
      </c>
      <c r="AS44" s="277">
        <v>89.960033593500384</v>
      </c>
      <c r="AT44" s="277">
        <v>106.67026193947827</v>
      </c>
      <c r="AU44" s="277">
        <v>129.27319716487438</v>
      </c>
      <c r="AV44" s="275">
        <v>139.76427501983605</v>
      </c>
      <c r="AW44" s="275"/>
      <c r="AX44" s="277">
        <v>70.361656937121666</v>
      </c>
      <c r="AY44" s="277">
        <v>89.002383349993565</v>
      </c>
      <c r="AZ44" s="277">
        <v>105.53473797538304</v>
      </c>
      <c r="BA44" s="277">
        <v>127.89702319588957</v>
      </c>
      <c r="BB44" s="275">
        <v>138.27638669068557</v>
      </c>
      <c r="BC44" s="275"/>
      <c r="BD44" s="277">
        <v>0.75706473199554847</v>
      </c>
      <c r="BE44" s="277">
        <v>0.95765024350680805</v>
      </c>
      <c r="BF44" s="277">
        <v>1.1355239640952357</v>
      </c>
      <c r="BG44" s="277">
        <v>1.3761739689848116</v>
      </c>
      <c r="BH44" s="275">
        <v>1.4878883291504774</v>
      </c>
    </row>
    <row r="45" spans="1:60" s="168" customFormat="1" x14ac:dyDescent="0.2">
      <c r="A45" s="269" t="str">
        <f>$A$17</f>
        <v>60-64</v>
      </c>
      <c r="B45" s="277">
        <v>165.06537455422799</v>
      </c>
      <c r="C45" s="277">
        <v>167.88674816060211</v>
      </c>
      <c r="D45" s="277">
        <v>145.42540941137864</v>
      </c>
      <c r="E45" s="277">
        <v>125.57390015162404</v>
      </c>
      <c r="F45" s="275">
        <v>98.802245415285199</v>
      </c>
      <c r="G45" s="275"/>
      <c r="H45" s="277">
        <v>93.553123450841682</v>
      </c>
      <c r="I45" s="277">
        <v>95.15219797521867</v>
      </c>
      <c r="J45" s="277">
        <v>82.421896218232547</v>
      </c>
      <c r="K45" s="277">
        <v>71.170799052200323</v>
      </c>
      <c r="L45" s="275">
        <v>55.997543894228997</v>
      </c>
      <c r="M45" s="275"/>
      <c r="N45" s="277">
        <v>71.512251103386319</v>
      </c>
      <c r="O45" s="277">
        <v>72.734550185383426</v>
      </c>
      <c r="P45" s="277">
        <v>63.003513193146112</v>
      </c>
      <c r="Q45" s="277">
        <v>54.403101099423715</v>
      </c>
      <c r="R45" s="275">
        <v>42.804701521056209</v>
      </c>
      <c r="S45" s="275"/>
      <c r="T45" s="277">
        <v>0</v>
      </c>
      <c r="U45" s="277">
        <v>0</v>
      </c>
      <c r="V45" s="277">
        <v>0</v>
      </c>
      <c r="W45" s="277">
        <v>0</v>
      </c>
      <c r="X45" s="275">
        <v>0</v>
      </c>
      <c r="Y45" s="269" t="str">
        <f>$A$17</f>
        <v>60-64</v>
      </c>
      <c r="Z45" s="277">
        <v>78.364072036445037</v>
      </c>
      <c r="AA45" s="277">
        <v>85.048861618755822</v>
      </c>
      <c r="AB45" s="277">
        <v>109.18459242485633</v>
      </c>
      <c r="AC45" s="277">
        <v>137.4151283547578</v>
      </c>
      <c r="AD45" s="275">
        <v>160.29275934647907</v>
      </c>
      <c r="AE45" s="275"/>
      <c r="AF45" s="277">
        <v>73.870615721664365</v>
      </c>
      <c r="AG45" s="277">
        <v>80.172077906886543</v>
      </c>
      <c r="AH45" s="277">
        <v>102.92385352478725</v>
      </c>
      <c r="AI45" s="277">
        <v>129.53569602307752</v>
      </c>
      <c r="AJ45" s="275">
        <v>151.10146214371721</v>
      </c>
      <c r="AK45" s="275"/>
      <c r="AL45" s="277">
        <v>4.4934563147806799</v>
      </c>
      <c r="AM45" s="277">
        <v>4.8767837118692912</v>
      </c>
      <c r="AN45" s="277">
        <v>6.2607389000690823</v>
      </c>
      <c r="AO45" s="277">
        <v>7.8794323316802695</v>
      </c>
      <c r="AP45" s="275">
        <v>9.191297202761854</v>
      </c>
      <c r="AQ45" s="269" t="str">
        <f>$A$17</f>
        <v>60-64</v>
      </c>
      <c r="AR45" s="277">
        <v>56.310553409327007</v>
      </c>
      <c r="AS45" s="277">
        <v>67.870390220642065</v>
      </c>
      <c r="AT45" s="277">
        <v>84.024998163765019</v>
      </c>
      <c r="AU45" s="277">
        <v>110.21797149361819</v>
      </c>
      <c r="AV45" s="275">
        <v>138.11699523823569</v>
      </c>
      <c r="AW45" s="275"/>
      <c r="AX45" s="277">
        <v>55.169107221716523</v>
      </c>
      <c r="AY45" s="277">
        <v>66.494660625358861</v>
      </c>
      <c r="AZ45" s="277">
        <v>82.321847901242236</v>
      </c>
      <c r="BA45" s="277">
        <v>107.98385950823412</v>
      </c>
      <c r="BB45" s="275">
        <v>135.3173815226985</v>
      </c>
      <c r="BC45" s="275"/>
      <c r="BD45" s="277">
        <v>1.1414461876104915</v>
      </c>
      <c r="BE45" s="277">
        <v>1.375729595283202</v>
      </c>
      <c r="BF45" s="277">
        <v>1.7031502625227839</v>
      </c>
      <c r="BG45" s="277">
        <v>2.2341119853840721</v>
      </c>
      <c r="BH45" s="275">
        <v>2.7996137155371672</v>
      </c>
    </row>
    <row r="46" spans="1:60" s="168" customFormat="1" x14ac:dyDescent="0.2">
      <c r="A46" s="269" t="str">
        <f>$A$18</f>
        <v>65+</v>
      </c>
      <c r="B46" s="277">
        <v>684.22019433015396</v>
      </c>
      <c r="C46" s="277">
        <v>659.7220549729019</v>
      </c>
      <c r="D46" s="277">
        <v>597.6874930135458</v>
      </c>
      <c r="E46" s="277">
        <v>516.4377556390009</v>
      </c>
      <c r="F46" s="275">
        <v>432.27609064150056</v>
      </c>
      <c r="G46" s="279"/>
      <c r="H46" s="277">
        <v>489.85248018008991</v>
      </c>
      <c r="I46" s="277">
        <v>472.31354432994846</v>
      </c>
      <c r="J46" s="277">
        <v>427.90128288186639</v>
      </c>
      <c r="K46" s="277">
        <v>369.73229781992757</v>
      </c>
      <c r="L46" s="275">
        <v>309.47859548147727</v>
      </c>
      <c r="M46" s="279"/>
      <c r="N46" s="277">
        <v>194.3677141500641</v>
      </c>
      <c r="O46" s="277">
        <v>187.40851064295344</v>
      </c>
      <c r="P46" s="277">
        <v>169.78621013167941</v>
      </c>
      <c r="Q46" s="277">
        <v>146.70545781907333</v>
      </c>
      <c r="R46" s="275">
        <v>122.79749516002329</v>
      </c>
      <c r="S46" s="279"/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69" t="str">
        <f>$A$18</f>
        <v>65+</v>
      </c>
      <c r="Z46" s="277">
        <v>229.30721305756543</v>
      </c>
      <c r="AA46" s="277">
        <v>242.95644971788712</v>
      </c>
      <c r="AB46" s="277">
        <v>324.13328439256134</v>
      </c>
      <c r="AC46" s="277">
        <v>392.98454329955848</v>
      </c>
      <c r="AD46" s="275">
        <v>471.20711273861792</v>
      </c>
      <c r="AE46" s="279"/>
      <c r="AF46" s="277">
        <v>216.90901867585666</v>
      </c>
      <c r="AG46" s="277">
        <v>229.82037680573097</v>
      </c>
      <c r="AH46" s="277">
        <v>306.60805056907492</v>
      </c>
      <c r="AI46" s="277">
        <v>371.73671710382393</v>
      </c>
      <c r="AJ46" s="275">
        <v>445.72999049974806</v>
      </c>
      <c r="AK46" s="279"/>
      <c r="AL46" s="277">
        <v>12.398194381708771</v>
      </c>
      <c r="AM46" s="277">
        <v>13.136072912156155</v>
      </c>
      <c r="AN46" s="277">
        <v>17.525233823486392</v>
      </c>
      <c r="AO46" s="277">
        <v>21.247826195734497</v>
      </c>
      <c r="AP46" s="275">
        <v>25.477122238869928</v>
      </c>
      <c r="AQ46" s="269" t="str">
        <f>$A$18</f>
        <v>65+</v>
      </c>
      <c r="AR46" s="277">
        <v>145.26459261228058</v>
      </c>
      <c r="AS46" s="277">
        <v>173.26549530921105</v>
      </c>
      <c r="AT46" s="277">
        <v>233.46822259389299</v>
      </c>
      <c r="AU46" s="277">
        <v>332.65670106144069</v>
      </c>
      <c r="AV46" s="275">
        <v>456.31479661988146</v>
      </c>
      <c r="AW46" s="279"/>
      <c r="AX46" s="277">
        <v>143.74209408925086</v>
      </c>
      <c r="AY46" s="277">
        <v>171.44937059191324</v>
      </c>
      <c r="AZ46" s="277">
        <v>231.02121966409953</v>
      </c>
      <c r="BA46" s="277">
        <v>329.17005716327628</v>
      </c>
      <c r="BB46" s="275">
        <v>451.53195718650386</v>
      </c>
      <c r="BC46" s="279"/>
      <c r="BD46" s="277">
        <v>1.5224985230297139</v>
      </c>
      <c r="BE46" s="277">
        <v>1.8161247172978172</v>
      </c>
      <c r="BF46" s="277">
        <v>2.4470029297934355</v>
      </c>
      <c r="BG46" s="277">
        <v>3.4866438981643779</v>
      </c>
      <c r="BH46" s="275">
        <v>4.7828394333776503</v>
      </c>
    </row>
    <row r="47" spans="1:60" s="168" customFormat="1" x14ac:dyDescent="0.2">
      <c r="A47" s="280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Y47" s="280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0"/>
      <c r="AR47" s="281"/>
      <c r="AS47" s="281"/>
      <c r="AT47" s="281"/>
      <c r="AU47" s="281"/>
      <c r="AV47" s="281"/>
      <c r="AW47" s="281"/>
      <c r="AX47" s="281"/>
      <c r="AY47" s="281"/>
      <c r="AZ47" s="281"/>
      <c r="BA47" s="281"/>
      <c r="BB47" s="281"/>
      <c r="BC47" s="281"/>
      <c r="BD47" s="281"/>
      <c r="BE47" s="281"/>
      <c r="BF47" s="281"/>
      <c r="BG47" s="281"/>
      <c r="BH47" s="281"/>
    </row>
    <row r="48" spans="1:60" s="168" customFormat="1" x14ac:dyDescent="0.2">
      <c r="B48" s="169"/>
      <c r="C48" s="169"/>
      <c r="D48" s="169"/>
      <c r="E48" s="169"/>
      <c r="Z48" s="169"/>
      <c r="AA48" s="169"/>
      <c r="AB48" s="169"/>
      <c r="AC48" s="169"/>
      <c r="AR48" s="169"/>
      <c r="AS48" s="169"/>
      <c r="AT48" s="169"/>
      <c r="AU48" s="169"/>
    </row>
    <row r="49" spans="1:60" s="168" customFormat="1" ht="15.75" x14ac:dyDescent="0.25">
      <c r="A49" s="23" t="str">
        <f>CONCATENATE("Basic Table 2b  Labour Force by Gender, Age Group and ISCED Qualification, ",Info!B8,", ",$B$5,"-",$F$5)</f>
        <v>Basic Table 2b  Labour Force by Gender, Age Group and ISCED Qualification, , 2008-2025</v>
      </c>
      <c r="Y49" s="23" t="str">
        <f>CONCATENATE("Basic Table 2b  Labour Force by Gender, Age Group and ISCED Qualification, ",Info!B8,", ",$B$5,"-",$F$5," (continued)")</f>
        <v>Basic Table 2b  Labour Force by Gender, Age Group and ISCED Qualification, , 2008-2025 (continued)</v>
      </c>
      <c r="AQ49" s="23" t="str">
        <f>CONCATENATE("Basic Table 2b  Labour Force by Gender, Age Group and ISCED Qualification, ",Info!B8,", ",$B$5,"-",$F$5," (continued)")</f>
        <v>Basic Table 2b  Labour Force by Gender, Age Group and ISCED Qualification, , 2008-2025 (continued)</v>
      </c>
    </row>
    <row r="50" spans="1:60" s="168" customFormat="1" ht="12.75" customHeight="1" x14ac:dyDescent="0.2">
      <c r="W50" s="536" t="s">
        <v>13</v>
      </c>
      <c r="X50" s="536"/>
      <c r="AP50" s="268" t="str">
        <f>AP2</f>
        <v>Levels (000s)</v>
      </c>
      <c r="BH50" s="268" t="str">
        <f>BH2</f>
        <v>Levels (000s)</v>
      </c>
    </row>
    <row r="51" spans="1:60" s="168" customFormat="1" x14ac:dyDescent="0.2">
      <c r="A51" s="160" t="s">
        <v>102</v>
      </c>
      <c r="B51" s="270" t="str">
        <f>B3</f>
        <v>All Low qualifications</v>
      </c>
      <c r="C51" s="270"/>
      <c r="D51" s="271"/>
      <c r="E51" s="270"/>
      <c r="F51" s="270"/>
      <c r="G51" s="160"/>
      <c r="H51" s="272" t="str">
        <f>H3</f>
        <v>Pre-primary education</v>
      </c>
      <c r="I51" s="272"/>
      <c r="J51" s="272"/>
      <c r="K51" s="270"/>
      <c r="L51" s="270"/>
      <c r="M51" s="160"/>
      <c r="N51" s="272" t="str">
        <f>N3</f>
        <v>Primary education (1st stage basic)</v>
      </c>
      <c r="O51" s="272"/>
      <c r="P51" s="272"/>
      <c r="Q51" s="270"/>
      <c r="R51" s="270"/>
      <c r="S51" s="160"/>
      <c r="T51" s="535" t="str">
        <f>T3</f>
        <v>Lower secondary education (2nd stage basic)</v>
      </c>
      <c r="U51" s="535"/>
      <c r="V51" s="535"/>
      <c r="W51" s="535"/>
      <c r="X51" s="535"/>
      <c r="Y51" s="160" t="s">
        <v>102</v>
      </c>
      <c r="Z51" s="270" t="str">
        <f>Z3</f>
        <v>All Medium qualifications</v>
      </c>
      <c r="AA51" s="270"/>
      <c r="AB51" s="271"/>
      <c r="AC51" s="270"/>
      <c r="AD51" s="270"/>
      <c r="AE51" s="160"/>
      <c r="AF51" s="272" t="str">
        <f>AF3</f>
        <v>Upper secondary education</v>
      </c>
      <c r="AG51" s="272"/>
      <c r="AH51" s="272"/>
      <c r="AI51" s="270"/>
      <c r="AJ51" s="270"/>
      <c r="AK51" s="160"/>
      <c r="AL51" s="272" t="str">
        <f>AL3</f>
        <v>Post-secondary non-tertiary education</v>
      </c>
      <c r="AM51" s="272"/>
      <c r="AN51" s="272"/>
      <c r="AO51" s="270"/>
      <c r="AP51" s="270"/>
      <c r="AQ51" s="160" t="s">
        <v>102</v>
      </c>
      <c r="AR51" s="270" t="str">
        <f>AR3</f>
        <v>All High qualifications</v>
      </c>
      <c r="AS51" s="270"/>
      <c r="AT51" s="271"/>
      <c r="AU51" s="270"/>
      <c r="AV51" s="270"/>
      <c r="AW51" s="160"/>
      <c r="AX51" s="272" t="str">
        <f>AX3</f>
        <v>First stage of tertiary education</v>
      </c>
      <c r="AY51" s="272"/>
      <c r="AZ51" s="272"/>
      <c r="BA51" s="270"/>
      <c r="BB51" s="270"/>
      <c r="BC51" s="160"/>
      <c r="BD51" s="272" t="str">
        <f>BD3</f>
        <v>Second stage of tertiary education</v>
      </c>
      <c r="BE51" s="272"/>
      <c r="BF51" s="272"/>
      <c r="BG51" s="270"/>
      <c r="BH51" s="270"/>
    </row>
    <row r="52" spans="1:60" s="168" customFormat="1" x14ac:dyDescent="0.2">
      <c r="A52" s="264" t="s">
        <v>104</v>
      </c>
      <c r="B52" s="273"/>
      <c r="C52" s="273"/>
      <c r="D52" s="273"/>
      <c r="E52" s="273"/>
      <c r="F52" s="273"/>
      <c r="G52" s="126"/>
      <c r="H52" s="273"/>
      <c r="I52" s="273"/>
      <c r="J52" s="273"/>
      <c r="K52" s="273"/>
      <c r="L52" s="273"/>
      <c r="M52" s="126"/>
      <c r="N52" s="273"/>
      <c r="O52" s="273"/>
      <c r="P52" s="273"/>
      <c r="Q52" s="273"/>
      <c r="R52" s="273"/>
      <c r="S52" s="126"/>
      <c r="T52" s="273"/>
      <c r="U52" s="273"/>
      <c r="V52" s="273"/>
      <c r="W52" s="273"/>
      <c r="X52" s="273"/>
      <c r="Y52" s="264" t="s">
        <v>104</v>
      </c>
      <c r="Z52" s="273"/>
      <c r="AA52" s="273"/>
      <c r="AB52" s="273"/>
      <c r="AC52" s="273"/>
      <c r="AD52" s="273"/>
      <c r="AE52" s="126"/>
      <c r="AF52" s="273"/>
      <c r="AG52" s="273"/>
      <c r="AH52" s="273"/>
      <c r="AI52" s="273"/>
      <c r="AJ52" s="273"/>
      <c r="AK52" s="126"/>
      <c r="AL52" s="273"/>
      <c r="AM52" s="273"/>
      <c r="AN52" s="273"/>
      <c r="AO52" s="273"/>
      <c r="AP52" s="273"/>
      <c r="AQ52" s="264" t="s">
        <v>104</v>
      </c>
      <c r="AR52" s="273"/>
      <c r="AS52" s="273"/>
      <c r="AT52" s="273"/>
      <c r="AU52" s="273"/>
      <c r="AV52" s="273"/>
      <c r="AW52" s="126"/>
      <c r="AX52" s="273"/>
      <c r="AY52" s="273"/>
      <c r="AZ52" s="273"/>
      <c r="BA52" s="273"/>
      <c r="BB52" s="273"/>
      <c r="BC52" s="126"/>
      <c r="BD52" s="273"/>
      <c r="BE52" s="273"/>
      <c r="BF52" s="273"/>
      <c r="BG52" s="273"/>
      <c r="BH52" s="273"/>
    </row>
    <row r="53" spans="1:60" s="168" customFormat="1" x14ac:dyDescent="0.2">
      <c r="A53" s="261"/>
      <c r="B53" s="274">
        <v>2008</v>
      </c>
      <c r="C53" s="274">
        <v>2010</v>
      </c>
      <c r="D53" s="274">
        <v>2012</v>
      </c>
      <c r="E53" s="274">
        <v>2015</v>
      </c>
      <c r="F53" s="264">
        <v>2020</v>
      </c>
      <c r="G53" s="162"/>
      <c r="H53" s="162">
        <f>B53</f>
        <v>2008</v>
      </c>
      <c r="I53" s="162">
        <f>C53</f>
        <v>2010</v>
      </c>
      <c r="J53" s="162">
        <f>D53</f>
        <v>2012</v>
      </c>
      <c r="K53" s="162">
        <f>E53</f>
        <v>2015</v>
      </c>
      <c r="L53" s="162">
        <f>F53</f>
        <v>2020</v>
      </c>
      <c r="M53" s="162"/>
      <c r="N53" s="162">
        <f>B53</f>
        <v>2008</v>
      </c>
      <c r="O53" s="162">
        <f>C53</f>
        <v>2010</v>
      </c>
      <c r="P53" s="162">
        <f>D53</f>
        <v>2012</v>
      </c>
      <c r="Q53" s="162">
        <f>E53</f>
        <v>2015</v>
      </c>
      <c r="R53" s="162">
        <f>F53</f>
        <v>2020</v>
      </c>
      <c r="S53" s="162"/>
      <c r="T53" s="162">
        <f>B53</f>
        <v>2008</v>
      </c>
      <c r="U53" s="162">
        <f>C53</f>
        <v>2010</v>
      </c>
      <c r="V53" s="162">
        <f>D53</f>
        <v>2012</v>
      </c>
      <c r="W53" s="162">
        <f>E53</f>
        <v>2015</v>
      </c>
      <c r="X53" s="162">
        <f>F53</f>
        <v>2020</v>
      </c>
      <c r="Y53" s="261"/>
      <c r="Z53" s="274">
        <v>2008</v>
      </c>
      <c r="AA53" s="274">
        <v>2010</v>
      </c>
      <c r="AB53" s="274">
        <v>2012</v>
      </c>
      <c r="AC53" s="274">
        <v>2015</v>
      </c>
      <c r="AD53" s="264">
        <v>2020</v>
      </c>
      <c r="AE53" s="162"/>
      <c r="AF53" s="162">
        <f>Z53</f>
        <v>2008</v>
      </c>
      <c r="AG53" s="162">
        <f>AA53</f>
        <v>2010</v>
      </c>
      <c r="AH53" s="162">
        <f>AB53</f>
        <v>2012</v>
      </c>
      <c r="AI53" s="162">
        <f>AC53</f>
        <v>2015</v>
      </c>
      <c r="AJ53" s="162">
        <f>AD53</f>
        <v>2020</v>
      </c>
      <c r="AK53" s="162"/>
      <c r="AL53" s="162">
        <f>Z53</f>
        <v>2008</v>
      </c>
      <c r="AM53" s="162">
        <f>AA53</f>
        <v>2010</v>
      </c>
      <c r="AN53" s="162">
        <f>AB53</f>
        <v>2012</v>
      </c>
      <c r="AO53" s="162">
        <f>AC53</f>
        <v>2015</v>
      </c>
      <c r="AP53" s="162">
        <f>AD53</f>
        <v>2020</v>
      </c>
      <c r="AQ53" s="261"/>
      <c r="AR53" s="274">
        <v>2008</v>
      </c>
      <c r="AS53" s="274">
        <v>2010</v>
      </c>
      <c r="AT53" s="274">
        <v>2012</v>
      </c>
      <c r="AU53" s="274">
        <v>2015</v>
      </c>
      <c r="AV53" s="264">
        <v>2020</v>
      </c>
      <c r="AW53" s="162"/>
      <c r="AX53" s="162">
        <f>AR53</f>
        <v>2008</v>
      </c>
      <c r="AY53" s="162">
        <f>AS53</f>
        <v>2010</v>
      </c>
      <c r="AZ53" s="162">
        <f>AT53</f>
        <v>2012</v>
      </c>
      <c r="BA53" s="162">
        <f>AU53</f>
        <v>2015</v>
      </c>
      <c r="BB53" s="162">
        <f>AV53</f>
        <v>2020</v>
      </c>
      <c r="BC53" s="162"/>
      <c r="BD53" s="162">
        <f>AR53</f>
        <v>2008</v>
      </c>
      <c r="BE53" s="162">
        <f>AS53</f>
        <v>2010</v>
      </c>
      <c r="BF53" s="162">
        <f>AT53</f>
        <v>2012</v>
      </c>
      <c r="BG53" s="162">
        <f>AU53</f>
        <v>2015</v>
      </c>
      <c r="BH53" s="162">
        <f>AV53</f>
        <v>2020</v>
      </c>
    </row>
    <row r="54" spans="1:60" s="168" customFormat="1" x14ac:dyDescent="0.2">
      <c r="A54" s="263" t="str">
        <f>A6</f>
        <v>Males and females</v>
      </c>
      <c r="F54" s="275"/>
      <c r="G54" s="275"/>
      <c r="H54" s="275"/>
      <c r="I54" s="275"/>
      <c r="J54" s="275"/>
      <c r="K54" s="275"/>
      <c r="L54" s="275"/>
      <c r="M54" s="275"/>
      <c r="N54" s="275"/>
      <c r="O54" s="275"/>
      <c r="P54" s="275"/>
      <c r="Q54" s="275"/>
      <c r="R54" s="275"/>
      <c r="S54" s="275"/>
      <c r="Y54" s="263" t="str">
        <f>Y6</f>
        <v>Males and females</v>
      </c>
      <c r="AD54" s="275"/>
      <c r="AE54" s="275"/>
      <c r="AF54" s="275"/>
      <c r="AG54" s="275"/>
      <c r="AH54" s="275"/>
      <c r="AI54" s="275"/>
      <c r="AJ54" s="275"/>
      <c r="AK54" s="275"/>
      <c r="AL54" s="275"/>
      <c r="AM54" s="275"/>
      <c r="AN54" s="275"/>
      <c r="AO54" s="275"/>
      <c r="AP54" s="275"/>
      <c r="AQ54" s="263" t="str">
        <f>AQ6</f>
        <v>Males and females</v>
      </c>
      <c r="AV54" s="275"/>
      <c r="AW54" s="275"/>
      <c r="AX54" s="275"/>
      <c r="AY54" s="275"/>
      <c r="AZ54" s="275"/>
      <c r="BA54" s="275"/>
      <c r="BB54" s="275"/>
      <c r="BC54" s="275"/>
      <c r="BD54" s="275"/>
      <c r="BE54" s="275"/>
      <c r="BF54" s="275"/>
      <c r="BG54" s="275"/>
      <c r="BH54" s="275"/>
    </row>
    <row r="55" spans="1:60" s="168" customFormat="1" x14ac:dyDescent="0.2">
      <c r="A55" s="276" t="str">
        <f>A7</f>
        <v>15+</v>
      </c>
      <c r="B55" s="277">
        <f>SUM(B69,B83)</f>
        <v>1091.4118992738524</v>
      </c>
      <c r="C55" s="277">
        <f t="shared" ref="C55:F55" si="43">SUM(C69,C83)</f>
        <v>1100.0037861102892</v>
      </c>
      <c r="D55" s="277">
        <f t="shared" si="43"/>
        <v>916.42301941602898</v>
      </c>
      <c r="E55" s="277">
        <f t="shared" si="43"/>
        <v>787.47393586094222</v>
      </c>
      <c r="F55" s="277">
        <f t="shared" si="43"/>
        <v>647.93759918436888</v>
      </c>
      <c r="G55" s="275"/>
      <c r="H55" s="277">
        <f>SUM(H69,H83)</f>
        <v>362.47383711398129</v>
      </c>
      <c r="I55" s="277">
        <f t="shared" ref="I55:L55" si="44">SUM(I69,I83)</f>
        <v>367.09230695546</v>
      </c>
      <c r="J55" s="277">
        <f t="shared" si="44"/>
        <v>309.04252665358638</v>
      </c>
      <c r="K55" s="277">
        <f t="shared" si="44"/>
        <v>265.71661758383789</v>
      </c>
      <c r="L55" s="277">
        <f t="shared" si="44"/>
        <v>217.36047114432725</v>
      </c>
      <c r="M55" s="275"/>
      <c r="N55" s="277">
        <f>SUM(N69,N83)</f>
        <v>728.93806215987115</v>
      </c>
      <c r="O55" s="277">
        <f t="shared" ref="O55:R55" si="45">SUM(O69,O83)</f>
        <v>732.91147915482918</v>
      </c>
      <c r="P55" s="277">
        <f t="shared" si="45"/>
        <v>607.3804927624426</v>
      </c>
      <c r="Q55" s="277">
        <f t="shared" si="45"/>
        <v>521.75731827710433</v>
      </c>
      <c r="R55" s="277">
        <f t="shared" si="45"/>
        <v>430.57712804004166</v>
      </c>
      <c r="S55" s="275"/>
      <c r="T55" s="277">
        <f>SUM(T69,T83)</f>
        <v>0</v>
      </c>
      <c r="U55" s="277">
        <f t="shared" ref="U55:X55" si="46">SUM(U69,U83)</f>
        <v>0</v>
      </c>
      <c r="V55" s="277">
        <f t="shared" si="46"/>
        <v>0</v>
      </c>
      <c r="W55" s="277">
        <f t="shared" si="46"/>
        <v>0</v>
      </c>
      <c r="X55" s="277">
        <f t="shared" si="46"/>
        <v>0</v>
      </c>
      <c r="Y55" s="276" t="str">
        <f>Y7</f>
        <v>15+</v>
      </c>
      <c r="Z55" s="277">
        <f>SUM(Z69,Z83)</f>
        <v>1946.6117047650587</v>
      </c>
      <c r="AA55" s="277">
        <f t="shared" ref="AA55:AD55" si="47">SUM(AA69,AA83)</f>
        <v>1898.9657890695435</v>
      </c>
      <c r="AB55" s="277">
        <f t="shared" si="47"/>
        <v>1962.8308563745852</v>
      </c>
      <c r="AC55" s="277">
        <f t="shared" si="47"/>
        <v>2069.7042275623553</v>
      </c>
      <c r="AD55" s="277">
        <f t="shared" si="47"/>
        <v>2170.6375884387007</v>
      </c>
      <c r="AE55" s="275"/>
      <c r="AF55" s="277">
        <f>SUM(AF69,AF83)</f>
        <v>1824.1912882451829</v>
      </c>
      <c r="AG55" s="277">
        <f t="shared" ref="AG55:AJ55" si="48">SUM(AG69,AG83)</f>
        <v>1779.7966268394514</v>
      </c>
      <c r="AH55" s="277">
        <f t="shared" si="48"/>
        <v>1839.9843516955048</v>
      </c>
      <c r="AI55" s="277">
        <f t="shared" si="48"/>
        <v>1940.4817534613794</v>
      </c>
      <c r="AJ55" s="277">
        <f t="shared" si="48"/>
        <v>2035.5057599780253</v>
      </c>
      <c r="AK55" s="275"/>
      <c r="AL55" s="277">
        <f>SUM(AL69,AL83)</f>
        <v>122.42041651987563</v>
      </c>
      <c r="AM55" s="277">
        <f t="shared" ref="AM55:AP55" si="49">SUM(AM69,AM83)</f>
        <v>119.16916223009233</v>
      </c>
      <c r="AN55" s="277">
        <f t="shared" si="49"/>
        <v>122.84650467908108</v>
      </c>
      <c r="AO55" s="277">
        <f t="shared" si="49"/>
        <v>129.22247410097572</v>
      </c>
      <c r="AP55" s="277">
        <f t="shared" si="49"/>
        <v>135.13182846067508</v>
      </c>
      <c r="AQ55" s="276" t="str">
        <f>AQ7</f>
        <v>15+</v>
      </c>
      <c r="AR55" s="277">
        <f>SUM(AR69,AR83)</f>
        <v>1748.2863959610891</v>
      </c>
      <c r="AS55" s="277">
        <f t="shared" ref="AS55:AV55" si="50">SUM(AS69,AS83)</f>
        <v>1906.3674248201669</v>
      </c>
      <c r="AT55" s="277">
        <f t="shared" si="50"/>
        <v>2115.1681242093855</v>
      </c>
      <c r="AU55" s="277">
        <f t="shared" si="50"/>
        <v>2318.0908365767018</v>
      </c>
      <c r="AV55" s="277">
        <f t="shared" si="50"/>
        <v>2521.4978123769306</v>
      </c>
      <c r="AW55" s="275"/>
      <c r="AX55" s="277">
        <f>SUM(AX69,AX83)</f>
        <v>1717.00572023467</v>
      </c>
      <c r="AY55" s="277">
        <f t="shared" ref="AY55:BB55" si="51">SUM(AY69,AY83)</f>
        <v>1871.5654118320501</v>
      </c>
      <c r="AZ55" s="277">
        <f t="shared" si="51"/>
        <v>2075.3669628743173</v>
      </c>
      <c r="BA55" s="277">
        <f t="shared" si="51"/>
        <v>2274.1381911334825</v>
      </c>
      <c r="BB55" s="277">
        <f t="shared" si="51"/>
        <v>2472.9509757013893</v>
      </c>
      <c r="BC55" s="275"/>
      <c r="BD55" s="277">
        <f>SUM(BD69,BD83)</f>
        <v>31.280675726418963</v>
      </c>
      <c r="BE55" s="277">
        <f t="shared" ref="BE55:BH55" si="52">SUM(BE69,BE83)</f>
        <v>34.676945501519299</v>
      </c>
      <c r="BF55" s="277">
        <f t="shared" si="52"/>
        <v>39.483123423895734</v>
      </c>
      <c r="BG55" s="277">
        <f t="shared" si="52"/>
        <v>43.95264544321995</v>
      </c>
      <c r="BH55" s="277">
        <f t="shared" si="52"/>
        <v>48.546836675541741</v>
      </c>
    </row>
    <row r="56" spans="1:60" s="168" customFormat="1" x14ac:dyDescent="0.2">
      <c r="A56" s="276" t="str">
        <f t="shared" ref="A56:A66" si="53">A8</f>
        <v>15-19</v>
      </c>
      <c r="B56" s="277">
        <f t="shared" ref="B56:F66" si="54">SUM(B70,B84)</f>
        <v>33.922484918096792</v>
      </c>
      <c r="C56" s="277">
        <f t="shared" si="54"/>
        <v>33.428963380218356</v>
      </c>
      <c r="D56" s="277">
        <f t="shared" si="54"/>
        <v>25.618579168305843</v>
      </c>
      <c r="E56" s="277">
        <f t="shared" si="54"/>
        <v>27.576564899958772</v>
      </c>
      <c r="F56" s="277">
        <f t="shared" si="54"/>
        <v>31.444379921686618</v>
      </c>
      <c r="G56" s="275"/>
      <c r="H56" s="277">
        <f t="shared" ref="H56:L66" si="55">SUM(H70,H84)</f>
        <v>7.8573198535721822</v>
      </c>
      <c r="I56" s="277">
        <f t="shared" si="55"/>
        <v>7.5672034937247652</v>
      </c>
      <c r="J56" s="277">
        <f t="shared" si="55"/>
        <v>5.7747610908860949</v>
      </c>
      <c r="K56" s="277">
        <f t="shared" si="55"/>
        <v>6.3040880162625772</v>
      </c>
      <c r="L56" s="277">
        <f t="shared" si="55"/>
        <v>7.2506410354839996</v>
      </c>
      <c r="M56" s="275"/>
      <c r="N56" s="277">
        <f t="shared" ref="N56:R66" si="56">SUM(N70,N84)</f>
        <v>26.065165064524606</v>
      </c>
      <c r="O56" s="277">
        <f t="shared" si="56"/>
        <v>25.861759886493594</v>
      </c>
      <c r="P56" s="277">
        <f t="shared" si="56"/>
        <v>19.843818077419751</v>
      </c>
      <c r="Q56" s="277">
        <f t="shared" si="56"/>
        <v>21.272476883696193</v>
      </c>
      <c r="R56" s="277">
        <f t="shared" si="56"/>
        <v>24.193738886202624</v>
      </c>
      <c r="S56" s="275"/>
      <c r="T56" s="277">
        <f t="shared" ref="T56:X66" si="57">SUM(T70,T84)</f>
        <v>0</v>
      </c>
      <c r="U56" s="277">
        <f t="shared" si="57"/>
        <v>0</v>
      </c>
      <c r="V56" s="277">
        <f t="shared" si="57"/>
        <v>0</v>
      </c>
      <c r="W56" s="277">
        <f t="shared" si="57"/>
        <v>0</v>
      </c>
      <c r="X56" s="277">
        <f t="shared" si="57"/>
        <v>0</v>
      </c>
      <c r="Y56" s="276" t="str">
        <f t="shared" ref="Y56:Y66" si="58">Y8</f>
        <v>15-19</v>
      </c>
      <c r="Z56" s="277">
        <f t="shared" ref="Z56:AD66" si="59">SUM(Z70,Z84)</f>
        <v>28.669275921467221</v>
      </c>
      <c r="AA56" s="277">
        <f t="shared" si="59"/>
        <v>24.94017830051537</v>
      </c>
      <c r="AB56" s="277">
        <f t="shared" si="59"/>
        <v>22.096171672766943</v>
      </c>
      <c r="AC56" s="277">
        <f t="shared" si="59"/>
        <v>24.369923731987864</v>
      </c>
      <c r="AD56" s="277">
        <f t="shared" si="59"/>
        <v>28.847750118738247</v>
      </c>
      <c r="AE56" s="275"/>
      <c r="AF56" s="277">
        <f t="shared" ref="AF56:AJ66" si="60">SUM(AF70,AF84)</f>
        <v>27.131107622890386</v>
      </c>
      <c r="AG56" s="277">
        <f t="shared" si="60"/>
        <v>23.604856528669352</v>
      </c>
      <c r="AH56" s="277">
        <f t="shared" si="60"/>
        <v>20.910693259755835</v>
      </c>
      <c r="AI56" s="277">
        <f t="shared" si="60"/>
        <v>23.061501302502187</v>
      </c>
      <c r="AJ56" s="277">
        <f t="shared" si="60"/>
        <v>27.298051224460476</v>
      </c>
      <c r="AK56" s="275"/>
      <c r="AL56" s="277">
        <f t="shared" ref="AL56:AP66" si="61">SUM(AL70,AL84)</f>
        <v>1.538168298576831</v>
      </c>
      <c r="AM56" s="277">
        <f t="shared" si="61"/>
        <v>1.3353217718460186</v>
      </c>
      <c r="AN56" s="277">
        <f t="shared" si="61"/>
        <v>1.185478413011108</v>
      </c>
      <c r="AO56" s="277">
        <f t="shared" si="61"/>
        <v>1.3084224294856792</v>
      </c>
      <c r="AP56" s="277">
        <f t="shared" si="61"/>
        <v>1.5496988942777667</v>
      </c>
      <c r="AQ56" s="276" t="str">
        <f t="shared" ref="AQ56:AQ66" si="62">AQ8</f>
        <v>15-19</v>
      </c>
      <c r="AR56" s="277">
        <f t="shared" ref="AR56:AV66" si="63">SUM(AR70,AR84)</f>
        <v>0.22323916043599393</v>
      </c>
      <c r="AS56" s="277">
        <f t="shared" si="63"/>
        <v>0.23185831926626108</v>
      </c>
      <c r="AT56" s="277">
        <f t="shared" si="63"/>
        <v>0.31924915892721956</v>
      </c>
      <c r="AU56" s="277">
        <f t="shared" si="63"/>
        <v>0.32851136805335357</v>
      </c>
      <c r="AV56" s="277">
        <f t="shared" si="63"/>
        <v>0.36386995957513524</v>
      </c>
      <c r="AW56" s="275"/>
      <c r="AX56" s="277">
        <f t="shared" ref="AX56:BB66" si="64">SUM(AX70,AX84)</f>
        <v>0.18942213461700935</v>
      </c>
      <c r="AY56" s="277">
        <f t="shared" si="64"/>
        <v>7.0679138418197798E-2</v>
      </c>
      <c r="AZ56" s="277">
        <f t="shared" si="64"/>
        <v>8.014133599071727E-4</v>
      </c>
      <c r="BA56" s="277">
        <f t="shared" si="64"/>
        <v>0.32647088949339453</v>
      </c>
      <c r="BB56" s="277">
        <f t="shared" si="64"/>
        <v>0.3602016521563422</v>
      </c>
      <c r="BC56" s="275"/>
      <c r="BD56" s="277">
        <f t="shared" ref="BD56:BH66" si="65">SUM(BD70,BD84)</f>
        <v>3.3817025818984561E-2</v>
      </c>
      <c r="BE56" s="277">
        <f t="shared" si="65"/>
        <v>3.6111694250642229E-2</v>
      </c>
      <c r="BF56" s="277">
        <f t="shared" si="65"/>
        <v>4.0983439475890718E-4</v>
      </c>
      <c r="BG56" s="277">
        <f t="shared" si="65"/>
        <v>2.0404785599590159E-3</v>
      </c>
      <c r="BH56" s="277">
        <f t="shared" si="65"/>
        <v>3.6683074187930289E-3</v>
      </c>
    </row>
    <row r="57" spans="1:60" s="168" customFormat="1" x14ac:dyDescent="0.2">
      <c r="A57" s="276" t="str">
        <f t="shared" si="53"/>
        <v>20-24</v>
      </c>
      <c r="B57" s="277">
        <f t="shared" si="54"/>
        <v>69.997446885450401</v>
      </c>
      <c r="C57" s="277">
        <f t="shared" si="54"/>
        <v>73.885251785075525</v>
      </c>
      <c r="D57" s="277">
        <f t="shared" si="54"/>
        <v>60.82748778551305</v>
      </c>
      <c r="E57" s="277">
        <f t="shared" si="54"/>
        <v>52.336025748722321</v>
      </c>
      <c r="F57" s="277">
        <f t="shared" si="54"/>
        <v>47.838308330484821</v>
      </c>
      <c r="G57" s="275"/>
      <c r="H57" s="277">
        <f t="shared" si="55"/>
        <v>17.50666245872462</v>
      </c>
      <c r="I57" s="277">
        <f t="shared" si="55"/>
        <v>18.316843567871658</v>
      </c>
      <c r="J57" s="277">
        <f t="shared" si="55"/>
        <v>14.976024192054551</v>
      </c>
      <c r="K57" s="277">
        <f t="shared" si="55"/>
        <v>12.905149968073884</v>
      </c>
      <c r="L57" s="277">
        <f t="shared" si="55"/>
        <v>11.781306690276619</v>
      </c>
      <c r="M57" s="275"/>
      <c r="N57" s="277">
        <f t="shared" si="56"/>
        <v>52.490784426725781</v>
      </c>
      <c r="O57" s="277">
        <f t="shared" si="56"/>
        <v>55.568408217203867</v>
      </c>
      <c r="P57" s="277">
        <f t="shared" si="56"/>
        <v>45.851463593458497</v>
      </c>
      <c r="Q57" s="277">
        <f t="shared" si="56"/>
        <v>39.430875780648435</v>
      </c>
      <c r="R57" s="277">
        <f t="shared" si="56"/>
        <v>36.057001640208199</v>
      </c>
      <c r="S57" s="275"/>
      <c r="T57" s="277">
        <f t="shared" si="57"/>
        <v>0</v>
      </c>
      <c r="U57" s="277">
        <f t="shared" si="57"/>
        <v>0</v>
      </c>
      <c r="V57" s="277">
        <f t="shared" si="57"/>
        <v>0</v>
      </c>
      <c r="W57" s="277">
        <f t="shared" si="57"/>
        <v>0</v>
      </c>
      <c r="X57" s="277">
        <f t="shared" si="57"/>
        <v>0</v>
      </c>
      <c r="Y57" s="276" t="str">
        <f t="shared" si="58"/>
        <v>20-24</v>
      </c>
      <c r="Z57" s="277">
        <f t="shared" si="59"/>
        <v>200.63056393547677</v>
      </c>
      <c r="AA57" s="277">
        <f t="shared" si="59"/>
        <v>200.10878986052779</v>
      </c>
      <c r="AB57" s="277">
        <f t="shared" si="59"/>
        <v>192.82988811096317</v>
      </c>
      <c r="AC57" s="277">
        <f t="shared" si="59"/>
        <v>182.24243827723632</v>
      </c>
      <c r="AD57" s="277">
        <f t="shared" si="59"/>
        <v>183.10832552939812</v>
      </c>
      <c r="AE57" s="275"/>
      <c r="AF57" s="277">
        <f t="shared" si="60"/>
        <v>184.4013377657671</v>
      </c>
      <c r="AG57" s="277">
        <f t="shared" si="60"/>
        <v>183.88709709012173</v>
      </c>
      <c r="AH57" s="277">
        <f t="shared" si="60"/>
        <v>177.34938200988924</v>
      </c>
      <c r="AI57" s="277">
        <f t="shared" si="60"/>
        <v>167.58221623961009</v>
      </c>
      <c r="AJ57" s="277">
        <f t="shared" si="60"/>
        <v>168.42784713146324</v>
      </c>
      <c r="AK57" s="275"/>
      <c r="AL57" s="277">
        <f t="shared" si="61"/>
        <v>16.229226169709651</v>
      </c>
      <c r="AM57" s="277">
        <f t="shared" si="61"/>
        <v>16.221692770406051</v>
      </c>
      <c r="AN57" s="277">
        <f t="shared" si="61"/>
        <v>15.480506101073939</v>
      </c>
      <c r="AO57" s="277">
        <f t="shared" si="61"/>
        <v>14.660222037626259</v>
      </c>
      <c r="AP57" s="277">
        <f t="shared" si="61"/>
        <v>14.680478397934866</v>
      </c>
      <c r="AQ57" s="276" t="str">
        <f t="shared" si="62"/>
        <v>20-24</v>
      </c>
      <c r="AR57" s="277">
        <f t="shared" si="63"/>
        <v>100.04998917907284</v>
      </c>
      <c r="AS57" s="277">
        <f t="shared" si="63"/>
        <v>94.987958354396682</v>
      </c>
      <c r="AT57" s="277">
        <f t="shared" si="63"/>
        <v>103.98462410352381</v>
      </c>
      <c r="AU57" s="277">
        <f t="shared" si="63"/>
        <v>110.10453597404138</v>
      </c>
      <c r="AV57" s="277">
        <f t="shared" si="63"/>
        <v>122.21236614011708</v>
      </c>
      <c r="AW57" s="275"/>
      <c r="AX57" s="277">
        <f t="shared" si="64"/>
        <v>99.830703255982527</v>
      </c>
      <c r="AY57" s="277">
        <f t="shared" si="64"/>
        <v>94.78083623451991</v>
      </c>
      <c r="AZ57" s="277">
        <f t="shared" si="64"/>
        <v>103.75807484517797</v>
      </c>
      <c r="BA57" s="277">
        <f t="shared" si="64"/>
        <v>109.86373714713562</v>
      </c>
      <c r="BB57" s="277">
        <f t="shared" si="64"/>
        <v>121.94555113721529</v>
      </c>
      <c r="BC57" s="275"/>
      <c r="BD57" s="277">
        <f t="shared" si="65"/>
        <v>0.21928592309030701</v>
      </c>
      <c r="BE57" s="277">
        <f t="shared" si="65"/>
        <v>0.20712211987677406</v>
      </c>
      <c r="BF57" s="277">
        <f t="shared" si="65"/>
        <v>0.2265492583458453</v>
      </c>
      <c r="BG57" s="277">
        <f t="shared" si="65"/>
        <v>0.24079882690576235</v>
      </c>
      <c r="BH57" s="277">
        <f t="shared" si="65"/>
        <v>0.26681500290179178</v>
      </c>
    </row>
    <row r="58" spans="1:60" s="168" customFormat="1" x14ac:dyDescent="0.2">
      <c r="A58" s="276" t="str">
        <f t="shared" si="53"/>
        <v>25-29</v>
      </c>
      <c r="B58" s="277">
        <f t="shared" si="54"/>
        <v>83.10566032859262</v>
      </c>
      <c r="C58" s="277">
        <f t="shared" si="54"/>
        <v>92.922114197332945</v>
      </c>
      <c r="D58" s="277">
        <f t="shared" si="54"/>
        <v>81.756122550300972</v>
      </c>
      <c r="E58" s="277">
        <f t="shared" si="54"/>
        <v>81.088950586198422</v>
      </c>
      <c r="F58" s="277">
        <f t="shared" si="54"/>
        <v>71.085865926883031</v>
      </c>
      <c r="G58" s="275"/>
      <c r="H58" s="277">
        <f t="shared" si="55"/>
        <v>23.608107087454297</v>
      </c>
      <c r="I58" s="277">
        <f t="shared" si="55"/>
        <v>26.378552793035944</v>
      </c>
      <c r="J58" s="277">
        <f t="shared" si="55"/>
        <v>23.222779194804581</v>
      </c>
      <c r="K58" s="277">
        <f t="shared" si="55"/>
        <v>23.044303745971408</v>
      </c>
      <c r="L58" s="277">
        <f t="shared" si="55"/>
        <v>20.194793417876976</v>
      </c>
      <c r="M58" s="275"/>
      <c r="N58" s="277">
        <f t="shared" si="56"/>
        <v>59.49755324113832</v>
      </c>
      <c r="O58" s="277">
        <f t="shared" si="56"/>
        <v>66.543561404296995</v>
      </c>
      <c r="P58" s="277">
        <f t="shared" si="56"/>
        <v>58.533343355496399</v>
      </c>
      <c r="Q58" s="277">
        <f t="shared" si="56"/>
        <v>58.04464684022701</v>
      </c>
      <c r="R58" s="277">
        <f t="shared" si="56"/>
        <v>50.891072509006051</v>
      </c>
      <c r="S58" s="275"/>
      <c r="T58" s="277">
        <f t="shared" si="57"/>
        <v>0</v>
      </c>
      <c r="U58" s="277">
        <f t="shared" si="57"/>
        <v>0</v>
      </c>
      <c r="V58" s="277">
        <f t="shared" si="57"/>
        <v>0</v>
      </c>
      <c r="W58" s="277">
        <f t="shared" si="57"/>
        <v>0</v>
      </c>
      <c r="X58" s="277">
        <f t="shared" si="57"/>
        <v>0</v>
      </c>
      <c r="Y58" s="276" t="str">
        <f t="shared" si="58"/>
        <v>25-29</v>
      </c>
      <c r="Z58" s="277">
        <f t="shared" si="59"/>
        <v>253.52682972521137</v>
      </c>
      <c r="AA58" s="277">
        <f t="shared" si="59"/>
        <v>234.83645593614608</v>
      </c>
      <c r="AB58" s="277">
        <f t="shared" si="59"/>
        <v>239.38100582652388</v>
      </c>
      <c r="AC58" s="277">
        <f t="shared" si="59"/>
        <v>250.47379611646011</v>
      </c>
      <c r="AD58" s="277">
        <f t="shared" si="59"/>
        <v>242.75774055369266</v>
      </c>
      <c r="AE58" s="275"/>
      <c r="AF58" s="277">
        <f t="shared" si="60"/>
        <v>233.96361796129568</v>
      </c>
      <c r="AG58" s="277">
        <f t="shared" si="60"/>
        <v>216.69951214512702</v>
      </c>
      <c r="AH58" s="277">
        <f t="shared" si="60"/>
        <v>220.99938766367791</v>
      </c>
      <c r="AI58" s="277">
        <f t="shared" si="60"/>
        <v>231.32962388195671</v>
      </c>
      <c r="AJ58" s="277">
        <f t="shared" si="60"/>
        <v>224.27741219211396</v>
      </c>
      <c r="AK58" s="275"/>
      <c r="AL58" s="277">
        <f t="shared" si="61"/>
        <v>19.563211763915717</v>
      </c>
      <c r="AM58" s="277">
        <f t="shared" si="61"/>
        <v>18.13694379101905</v>
      </c>
      <c r="AN58" s="277">
        <f t="shared" si="61"/>
        <v>18.381618162845992</v>
      </c>
      <c r="AO58" s="277">
        <f t="shared" si="61"/>
        <v>19.144172234503415</v>
      </c>
      <c r="AP58" s="277">
        <f t="shared" si="61"/>
        <v>18.480328361578685</v>
      </c>
      <c r="AQ58" s="276" t="str">
        <f t="shared" si="62"/>
        <v>25-29</v>
      </c>
      <c r="AR58" s="277">
        <f t="shared" si="63"/>
        <v>268.657509946196</v>
      </c>
      <c r="AS58" s="277">
        <f t="shared" si="63"/>
        <v>278.23442986652105</v>
      </c>
      <c r="AT58" s="277">
        <f t="shared" si="63"/>
        <v>292.29787162317513</v>
      </c>
      <c r="AU58" s="277">
        <f t="shared" si="63"/>
        <v>322.87025329734149</v>
      </c>
      <c r="AV58" s="277">
        <f t="shared" si="63"/>
        <v>330.34739351942437</v>
      </c>
      <c r="AW58" s="275"/>
      <c r="AX58" s="277">
        <f t="shared" si="64"/>
        <v>266.3288913677211</v>
      </c>
      <c r="AY58" s="277">
        <f t="shared" si="64"/>
        <v>275.82018573820613</v>
      </c>
      <c r="AZ58" s="277">
        <f t="shared" si="64"/>
        <v>289.76922026464791</v>
      </c>
      <c r="BA58" s="277">
        <f t="shared" si="64"/>
        <v>320.08257546262871</v>
      </c>
      <c r="BB58" s="277">
        <f t="shared" si="64"/>
        <v>327.50130630655138</v>
      </c>
      <c r="BC58" s="275"/>
      <c r="BD58" s="277">
        <f t="shared" si="65"/>
        <v>2.3286185784749271</v>
      </c>
      <c r="BE58" s="277">
        <f t="shared" si="65"/>
        <v>2.414244128314877</v>
      </c>
      <c r="BF58" s="277">
        <f t="shared" si="65"/>
        <v>2.5286513585272092</v>
      </c>
      <c r="BG58" s="277">
        <f t="shared" si="65"/>
        <v>2.7876778347128019</v>
      </c>
      <c r="BH58" s="277">
        <f t="shared" si="65"/>
        <v>2.8460872128729875</v>
      </c>
    </row>
    <row r="59" spans="1:60" s="168" customFormat="1" x14ac:dyDescent="0.2">
      <c r="A59" s="276" t="str">
        <f t="shared" si="53"/>
        <v>30-34</v>
      </c>
      <c r="B59" s="277">
        <f t="shared" si="54"/>
        <v>88.294623576316411</v>
      </c>
      <c r="C59" s="277">
        <f t="shared" si="54"/>
        <v>89.184182813705448</v>
      </c>
      <c r="D59" s="277">
        <f t="shared" si="54"/>
        <v>78.82086492460455</v>
      </c>
      <c r="E59" s="277">
        <f t="shared" si="54"/>
        <v>73.409248466261431</v>
      </c>
      <c r="F59" s="277">
        <f t="shared" si="54"/>
        <v>62.433211012240555</v>
      </c>
      <c r="G59" s="275"/>
      <c r="H59" s="277">
        <f t="shared" si="55"/>
        <v>28.30985950772898</v>
      </c>
      <c r="I59" s="277">
        <f t="shared" si="55"/>
        <v>28.523912034677551</v>
      </c>
      <c r="J59" s="277">
        <f t="shared" si="55"/>
        <v>25.261997348079788</v>
      </c>
      <c r="K59" s="277">
        <f t="shared" si="55"/>
        <v>23.527246978251746</v>
      </c>
      <c r="L59" s="277">
        <f t="shared" si="55"/>
        <v>20.017532858379102</v>
      </c>
      <c r="M59" s="275"/>
      <c r="N59" s="277">
        <f t="shared" si="56"/>
        <v>59.984764068587438</v>
      </c>
      <c r="O59" s="277">
        <f t="shared" si="56"/>
        <v>60.660270779027904</v>
      </c>
      <c r="P59" s="277">
        <f t="shared" si="56"/>
        <v>53.558867576524761</v>
      </c>
      <c r="Q59" s="277">
        <f t="shared" si="56"/>
        <v>49.882001488009664</v>
      </c>
      <c r="R59" s="277">
        <f t="shared" si="56"/>
        <v>42.41567815386145</v>
      </c>
      <c r="S59" s="275"/>
      <c r="T59" s="277">
        <f t="shared" si="57"/>
        <v>0</v>
      </c>
      <c r="U59" s="277">
        <f t="shared" si="57"/>
        <v>0</v>
      </c>
      <c r="V59" s="277">
        <f t="shared" si="57"/>
        <v>0</v>
      </c>
      <c r="W59" s="277">
        <f t="shared" si="57"/>
        <v>0</v>
      </c>
      <c r="X59" s="277">
        <f t="shared" si="57"/>
        <v>0</v>
      </c>
      <c r="Y59" s="276" t="str">
        <f t="shared" si="58"/>
        <v>30-34</v>
      </c>
      <c r="Z59" s="277">
        <f t="shared" si="59"/>
        <v>252.02853262692997</v>
      </c>
      <c r="AA59" s="277">
        <f t="shared" si="59"/>
        <v>241.95757229192009</v>
      </c>
      <c r="AB59" s="277">
        <f t="shared" si="59"/>
        <v>250.36416862690376</v>
      </c>
      <c r="AC59" s="277">
        <f t="shared" si="59"/>
        <v>260.01917178438288</v>
      </c>
      <c r="AD59" s="277">
        <f t="shared" si="59"/>
        <v>277.87154542964436</v>
      </c>
      <c r="AE59" s="275"/>
      <c r="AF59" s="277">
        <f t="shared" si="60"/>
        <v>233.37617479742303</v>
      </c>
      <c r="AG59" s="277">
        <f t="shared" si="60"/>
        <v>224.1436906659363</v>
      </c>
      <c r="AH59" s="277">
        <f t="shared" si="60"/>
        <v>231.98013090632361</v>
      </c>
      <c r="AI59" s="277">
        <f t="shared" si="60"/>
        <v>240.99879756210669</v>
      </c>
      <c r="AJ59" s="277">
        <f t="shared" si="60"/>
        <v>257.66322853004982</v>
      </c>
      <c r="AK59" s="275"/>
      <c r="AL59" s="277">
        <f t="shared" si="61"/>
        <v>18.65235782950694</v>
      </c>
      <c r="AM59" s="277">
        <f t="shared" si="61"/>
        <v>17.813881625983782</v>
      </c>
      <c r="AN59" s="277">
        <f t="shared" si="61"/>
        <v>18.384037720580174</v>
      </c>
      <c r="AO59" s="277">
        <f t="shared" si="61"/>
        <v>19.02037422227616</v>
      </c>
      <c r="AP59" s="277">
        <f t="shared" si="61"/>
        <v>20.208316899594564</v>
      </c>
      <c r="AQ59" s="276" t="str">
        <f t="shared" si="62"/>
        <v>30-34</v>
      </c>
      <c r="AR59" s="277">
        <f t="shared" si="63"/>
        <v>280.69384379675364</v>
      </c>
      <c r="AS59" s="277">
        <f t="shared" si="63"/>
        <v>298.74624489437451</v>
      </c>
      <c r="AT59" s="277">
        <f t="shared" si="63"/>
        <v>315.83096644849167</v>
      </c>
      <c r="AU59" s="277">
        <f t="shared" si="63"/>
        <v>342.31857974935576</v>
      </c>
      <c r="AV59" s="277">
        <f t="shared" si="63"/>
        <v>384.08524355811511</v>
      </c>
      <c r="AW59" s="275"/>
      <c r="AX59" s="277">
        <f t="shared" si="64"/>
        <v>275.62991148902091</v>
      </c>
      <c r="AY59" s="277">
        <f t="shared" si="64"/>
        <v>293.35345054546065</v>
      </c>
      <c r="AZ59" s="277">
        <f t="shared" si="64"/>
        <v>310.17909296528001</v>
      </c>
      <c r="BA59" s="277">
        <f t="shared" si="64"/>
        <v>336.2348278556392</v>
      </c>
      <c r="BB59" s="277">
        <f t="shared" si="64"/>
        <v>377.23616137901718</v>
      </c>
      <c r="BC59" s="275"/>
      <c r="BD59" s="277">
        <f t="shared" si="65"/>
        <v>5.063932307732685</v>
      </c>
      <c r="BE59" s="277">
        <f t="shared" si="65"/>
        <v>5.3927943489138421</v>
      </c>
      <c r="BF59" s="277">
        <f t="shared" si="65"/>
        <v>5.6518734832116824</v>
      </c>
      <c r="BG59" s="277">
        <f t="shared" si="65"/>
        <v>6.0837518937165616</v>
      </c>
      <c r="BH59" s="277">
        <f t="shared" si="65"/>
        <v>6.8490821790979144</v>
      </c>
    </row>
    <row r="60" spans="1:60" s="168" customFormat="1" x14ac:dyDescent="0.2">
      <c r="A60" s="276" t="str">
        <f t="shared" si="53"/>
        <v>35-39</v>
      </c>
      <c r="B60" s="277">
        <f t="shared" si="54"/>
        <v>116.40573165092457</v>
      </c>
      <c r="C60" s="277">
        <f t="shared" si="54"/>
        <v>111.62087650319086</v>
      </c>
      <c r="D60" s="277">
        <f t="shared" si="54"/>
        <v>87.010674497835979</v>
      </c>
      <c r="E60" s="277">
        <f t="shared" si="54"/>
        <v>72.169455639072808</v>
      </c>
      <c r="F60" s="277">
        <f t="shared" si="54"/>
        <v>56.078787071994824</v>
      </c>
      <c r="G60" s="275"/>
      <c r="H60" s="277">
        <f t="shared" si="55"/>
        <v>35.263117567908004</v>
      </c>
      <c r="I60" s="277">
        <f t="shared" si="55"/>
        <v>33.826936328651151</v>
      </c>
      <c r="J60" s="277">
        <f t="shared" si="55"/>
        <v>26.372888660399127</v>
      </c>
      <c r="K60" s="277">
        <f t="shared" si="55"/>
        <v>21.873558995262968</v>
      </c>
      <c r="L60" s="277">
        <f t="shared" si="55"/>
        <v>16.999346797068803</v>
      </c>
      <c r="M60" s="275"/>
      <c r="N60" s="277">
        <f t="shared" si="56"/>
        <v>81.142614083016582</v>
      </c>
      <c r="O60" s="277">
        <f t="shared" si="56"/>
        <v>77.793940174539699</v>
      </c>
      <c r="P60" s="277">
        <f t="shared" si="56"/>
        <v>60.637785837436844</v>
      </c>
      <c r="Q60" s="277">
        <f t="shared" si="56"/>
        <v>50.29589664380984</v>
      </c>
      <c r="R60" s="277">
        <f t="shared" si="56"/>
        <v>39.079440274926021</v>
      </c>
      <c r="S60" s="275"/>
      <c r="T60" s="277">
        <f t="shared" si="57"/>
        <v>0</v>
      </c>
      <c r="U60" s="277">
        <f t="shared" si="57"/>
        <v>0</v>
      </c>
      <c r="V60" s="277">
        <f t="shared" si="57"/>
        <v>0</v>
      </c>
      <c r="W60" s="277">
        <f t="shared" si="57"/>
        <v>0</v>
      </c>
      <c r="X60" s="277">
        <f t="shared" si="57"/>
        <v>0</v>
      </c>
      <c r="Y60" s="276" t="str">
        <f t="shared" si="58"/>
        <v>35-39</v>
      </c>
      <c r="Z60" s="277">
        <f t="shared" si="59"/>
        <v>292.69516984616689</v>
      </c>
      <c r="AA60" s="277">
        <f t="shared" si="59"/>
        <v>264.43124011815416</v>
      </c>
      <c r="AB60" s="277">
        <f t="shared" si="59"/>
        <v>249.36383456629306</v>
      </c>
      <c r="AC60" s="277">
        <f t="shared" si="59"/>
        <v>265.62693121403328</v>
      </c>
      <c r="AD60" s="277">
        <f t="shared" si="59"/>
        <v>281.01300955525153</v>
      </c>
      <c r="AE60" s="275"/>
      <c r="AF60" s="277">
        <f t="shared" si="60"/>
        <v>274.90708265744615</v>
      </c>
      <c r="AG60" s="277">
        <f t="shared" si="60"/>
        <v>248.33674178769135</v>
      </c>
      <c r="AH60" s="277">
        <f t="shared" si="60"/>
        <v>234.22524163699583</v>
      </c>
      <c r="AI60" s="277">
        <f t="shared" si="60"/>
        <v>249.52613818829445</v>
      </c>
      <c r="AJ60" s="277">
        <f t="shared" si="60"/>
        <v>264.00561865600736</v>
      </c>
      <c r="AK60" s="275"/>
      <c r="AL60" s="277">
        <f t="shared" si="61"/>
        <v>17.788087188720716</v>
      </c>
      <c r="AM60" s="277">
        <f t="shared" si="61"/>
        <v>16.094498330462777</v>
      </c>
      <c r="AN60" s="277">
        <f t="shared" si="61"/>
        <v>15.138592929297266</v>
      </c>
      <c r="AO60" s="277">
        <f t="shared" si="61"/>
        <v>16.100793025738767</v>
      </c>
      <c r="AP60" s="277">
        <f t="shared" si="61"/>
        <v>17.007390899244211</v>
      </c>
      <c r="AQ60" s="276" t="str">
        <f t="shared" si="62"/>
        <v>35-39</v>
      </c>
      <c r="AR60" s="277">
        <f t="shared" si="63"/>
        <v>271.17009850290862</v>
      </c>
      <c r="AS60" s="277">
        <f t="shared" si="63"/>
        <v>299.350883378655</v>
      </c>
      <c r="AT60" s="277">
        <f t="shared" si="63"/>
        <v>309.54249093587089</v>
      </c>
      <c r="AU60" s="277">
        <f t="shared" si="63"/>
        <v>347.30661314689394</v>
      </c>
      <c r="AV60" s="277">
        <f t="shared" si="63"/>
        <v>383.85620337275361</v>
      </c>
      <c r="AW60" s="275"/>
      <c r="AX60" s="277">
        <f t="shared" si="64"/>
        <v>266.39031937491359</v>
      </c>
      <c r="AY60" s="277">
        <f t="shared" si="64"/>
        <v>294.09970734798696</v>
      </c>
      <c r="AZ60" s="277">
        <f t="shared" si="64"/>
        <v>304.18685308252333</v>
      </c>
      <c r="BA60" s="277">
        <f t="shared" si="64"/>
        <v>341.32613291295013</v>
      </c>
      <c r="BB60" s="277">
        <f t="shared" si="64"/>
        <v>377.26357305597628</v>
      </c>
      <c r="BC60" s="275"/>
      <c r="BD60" s="277">
        <f t="shared" si="65"/>
        <v>4.7797791279950284</v>
      </c>
      <c r="BE60" s="277">
        <f t="shared" si="65"/>
        <v>5.2511760306679776</v>
      </c>
      <c r="BF60" s="277">
        <f t="shared" si="65"/>
        <v>5.3556378533475719</v>
      </c>
      <c r="BG60" s="277">
        <f t="shared" si="65"/>
        <v>5.9804802339438368</v>
      </c>
      <c r="BH60" s="277">
        <f t="shared" si="65"/>
        <v>6.5926303167773872</v>
      </c>
    </row>
    <row r="61" spans="1:60" s="168" customFormat="1" x14ac:dyDescent="0.2">
      <c r="A61" s="276" t="str">
        <f t="shared" si="53"/>
        <v>40-44</v>
      </c>
      <c r="B61" s="277">
        <f t="shared" si="54"/>
        <v>156.26741886428681</v>
      </c>
      <c r="C61" s="277">
        <f t="shared" si="54"/>
        <v>138.06633532257501</v>
      </c>
      <c r="D61" s="277">
        <f t="shared" si="54"/>
        <v>102.04230405027101</v>
      </c>
      <c r="E61" s="277">
        <f t="shared" si="54"/>
        <v>72.607670352464169</v>
      </c>
      <c r="F61" s="277">
        <f t="shared" si="54"/>
        <v>53.870397558877769</v>
      </c>
      <c r="G61" s="275"/>
      <c r="H61" s="277">
        <f t="shared" si="55"/>
        <v>49.7957894254127</v>
      </c>
      <c r="I61" s="277">
        <f t="shared" si="55"/>
        <v>43.898270250594351</v>
      </c>
      <c r="J61" s="277">
        <f t="shared" si="55"/>
        <v>32.409044993954737</v>
      </c>
      <c r="K61" s="277">
        <f t="shared" si="55"/>
        <v>23.036152368803652</v>
      </c>
      <c r="L61" s="277">
        <f t="shared" si="55"/>
        <v>17.053911147098564</v>
      </c>
      <c r="M61" s="275"/>
      <c r="N61" s="277">
        <f t="shared" si="56"/>
        <v>106.47162943887409</v>
      </c>
      <c r="O61" s="277">
        <f t="shared" si="56"/>
        <v>94.168065071980649</v>
      </c>
      <c r="P61" s="277">
        <f t="shared" si="56"/>
        <v>69.633259056316291</v>
      </c>
      <c r="Q61" s="277">
        <f t="shared" si="56"/>
        <v>49.571517983660513</v>
      </c>
      <c r="R61" s="277">
        <f t="shared" si="56"/>
        <v>36.816486411779202</v>
      </c>
      <c r="S61" s="275"/>
      <c r="T61" s="277">
        <f t="shared" si="57"/>
        <v>0</v>
      </c>
      <c r="U61" s="277">
        <f t="shared" si="57"/>
        <v>0</v>
      </c>
      <c r="V61" s="277">
        <f t="shared" si="57"/>
        <v>0</v>
      </c>
      <c r="W61" s="277">
        <f t="shared" si="57"/>
        <v>0</v>
      </c>
      <c r="X61" s="277">
        <f t="shared" si="57"/>
        <v>0</v>
      </c>
      <c r="Y61" s="276" t="str">
        <f t="shared" si="58"/>
        <v>40-44</v>
      </c>
      <c r="Z61" s="277">
        <f t="shared" si="59"/>
        <v>297.53049844792429</v>
      </c>
      <c r="AA61" s="277">
        <f t="shared" si="59"/>
        <v>279.21152782576593</v>
      </c>
      <c r="AB61" s="277">
        <f t="shared" si="59"/>
        <v>264.15997152705989</v>
      </c>
      <c r="AC61" s="277">
        <f t="shared" si="59"/>
        <v>265.769688987834</v>
      </c>
      <c r="AD61" s="277">
        <f t="shared" si="59"/>
        <v>285.38300501207038</v>
      </c>
      <c r="AE61" s="275"/>
      <c r="AF61" s="277">
        <f t="shared" si="60"/>
        <v>281.6051488677208</v>
      </c>
      <c r="AG61" s="277">
        <f t="shared" si="60"/>
        <v>264.27565335337636</v>
      </c>
      <c r="AH61" s="277">
        <f t="shared" si="60"/>
        <v>250.06064702096575</v>
      </c>
      <c r="AI61" s="277">
        <f t="shared" si="60"/>
        <v>251.59948400746447</v>
      </c>
      <c r="AJ61" s="277">
        <f t="shared" si="60"/>
        <v>270.1868670204085</v>
      </c>
      <c r="AK61" s="275"/>
      <c r="AL61" s="277">
        <f t="shared" si="61"/>
        <v>15.925349580203488</v>
      </c>
      <c r="AM61" s="277">
        <f t="shared" si="61"/>
        <v>14.935874472389486</v>
      </c>
      <c r="AN61" s="277">
        <f t="shared" si="61"/>
        <v>14.099324506094138</v>
      </c>
      <c r="AO61" s="277">
        <f t="shared" si="61"/>
        <v>14.170204980369528</v>
      </c>
      <c r="AP61" s="277">
        <f t="shared" si="61"/>
        <v>15.196137991661878</v>
      </c>
      <c r="AQ61" s="276" t="str">
        <f t="shared" si="62"/>
        <v>40-44</v>
      </c>
      <c r="AR61" s="277">
        <f t="shared" si="63"/>
        <v>254.53008268778893</v>
      </c>
      <c r="AS61" s="277">
        <f t="shared" si="63"/>
        <v>277.04113685165908</v>
      </c>
      <c r="AT61" s="277">
        <f t="shared" si="63"/>
        <v>302.03972442266905</v>
      </c>
      <c r="AU61" s="277">
        <f t="shared" si="63"/>
        <v>315.32964065970185</v>
      </c>
      <c r="AV61" s="277">
        <f t="shared" si="63"/>
        <v>349.0545974290518</v>
      </c>
      <c r="AW61" s="275"/>
      <c r="AX61" s="277">
        <f t="shared" si="64"/>
        <v>250.24828407721705</v>
      </c>
      <c r="AY61" s="277">
        <f t="shared" si="64"/>
        <v>272.4224484468516</v>
      </c>
      <c r="AZ61" s="277">
        <f t="shared" si="64"/>
        <v>297.01618494130969</v>
      </c>
      <c r="BA61" s="277">
        <f t="shared" si="64"/>
        <v>310.0976851562209</v>
      </c>
      <c r="BB61" s="277">
        <f t="shared" si="64"/>
        <v>343.26501484324086</v>
      </c>
      <c r="BC61" s="275"/>
      <c r="BD61" s="277">
        <f t="shared" si="65"/>
        <v>4.2817986105719035</v>
      </c>
      <c r="BE61" s="277">
        <f t="shared" si="65"/>
        <v>4.6186884048075676</v>
      </c>
      <c r="BF61" s="277">
        <f t="shared" si="65"/>
        <v>5.0235394813593235</v>
      </c>
      <c r="BG61" s="277">
        <f t="shared" si="65"/>
        <v>5.2319555034809255</v>
      </c>
      <c r="BH61" s="277">
        <f t="shared" si="65"/>
        <v>5.7895825858109662</v>
      </c>
    </row>
    <row r="62" spans="1:60" s="168" customFormat="1" x14ac:dyDescent="0.2">
      <c r="A62" s="276" t="str">
        <f t="shared" si="53"/>
        <v>45-49</v>
      </c>
      <c r="B62" s="277">
        <f t="shared" si="54"/>
        <v>192.10532237663983</v>
      </c>
      <c r="C62" s="277">
        <f t="shared" si="54"/>
        <v>181.7014990686323</v>
      </c>
      <c r="D62" s="277">
        <f t="shared" si="54"/>
        <v>125.84366969436242</v>
      </c>
      <c r="E62" s="277">
        <f t="shared" si="54"/>
        <v>94.413771810554039</v>
      </c>
      <c r="F62" s="277">
        <f t="shared" si="54"/>
        <v>69.482068956144474</v>
      </c>
      <c r="G62" s="275"/>
      <c r="H62" s="277">
        <f t="shared" si="55"/>
        <v>63.114524104301118</v>
      </c>
      <c r="I62" s="277">
        <f t="shared" si="55"/>
        <v>59.680357878773279</v>
      </c>
      <c r="J62" s="277">
        <f t="shared" si="55"/>
        <v>41.135830568231285</v>
      </c>
      <c r="K62" s="277">
        <f t="shared" si="55"/>
        <v>30.734675124538327</v>
      </c>
      <c r="L62" s="277">
        <f t="shared" si="55"/>
        <v>22.525760365918362</v>
      </c>
      <c r="M62" s="275"/>
      <c r="N62" s="277">
        <f t="shared" si="56"/>
        <v>128.99079827233871</v>
      </c>
      <c r="O62" s="277">
        <f t="shared" si="56"/>
        <v>122.02114118985901</v>
      </c>
      <c r="P62" s="277">
        <f t="shared" si="56"/>
        <v>84.707839126131134</v>
      </c>
      <c r="Q62" s="277">
        <f t="shared" si="56"/>
        <v>63.679096686015725</v>
      </c>
      <c r="R62" s="277">
        <f t="shared" si="56"/>
        <v>46.956308590226101</v>
      </c>
      <c r="S62" s="275"/>
      <c r="T62" s="277">
        <f t="shared" si="57"/>
        <v>0</v>
      </c>
      <c r="U62" s="277">
        <f t="shared" si="57"/>
        <v>0</v>
      </c>
      <c r="V62" s="277">
        <f t="shared" si="57"/>
        <v>0</v>
      </c>
      <c r="W62" s="277">
        <f t="shared" si="57"/>
        <v>0</v>
      </c>
      <c r="X62" s="277">
        <f t="shared" si="57"/>
        <v>0</v>
      </c>
      <c r="Y62" s="276" t="str">
        <f t="shared" si="58"/>
        <v>45-49</v>
      </c>
      <c r="Z62" s="277">
        <f t="shared" si="59"/>
        <v>259.3931665564873</v>
      </c>
      <c r="AA62" s="277">
        <f t="shared" si="59"/>
        <v>259.85569110569543</v>
      </c>
      <c r="AB62" s="277">
        <f t="shared" si="59"/>
        <v>276.06033600610709</v>
      </c>
      <c r="AC62" s="277">
        <f t="shared" si="59"/>
        <v>283.54672387522641</v>
      </c>
      <c r="AD62" s="277">
        <f t="shared" si="59"/>
        <v>287.849736988811</v>
      </c>
      <c r="AE62" s="275"/>
      <c r="AF62" s="277">
        <f t="shared" si="60"/>
        <v>247.30603323034916</v>
      </c>
      <c r="AG62" s="277">
        <f t="shared" si="60"/>
        <v>247.7788871489098</v>
      </c>
      <c r="AH62" s="277">
        <f t="shared" si="60"/>
        <v>263.21646229283618</v>
      </c>
      <c r="AI62" s="277">
        <f t="shared" si="60"/>
        <v>270.34872282364341</v>
      </c>
      <c r="AJ62" s="277">
        <f t="shared" si="60"/>
        <v>274.44279780539426</v>
      </c>
      <c r="AK62" s="275"/>
      <c r="AL62" s="277">
        <f t="shared" si="61"/>
        <v>12.087133326138117</v>
      </c>
      <c r="AM62" s="277">
        <f t="shared" si="61"/>
        <v>12.076803956785602</v>
      </c>
      <c r="AN62" s="277">
        <f t="shared" si="61"/>
        <v>12.84387371327092</v>
      </c>
      <c r="AO62" s="277">
        <f t="shared" si="61"/>
        <v>13.198001051582985</v>
      </c>
      <c r="AP62" s="277">
        <f t="shared" si="61"/>
        <v>13.40693918341676</v>
      </c>
      <c r="AQ62" s="276" t="str">
        <f t="shared" si="62"/>
        <v>45-49</v>
      </c>
      <c r="AR62" s="277">
        <f t="shared" si="63"/>
        <v>233.19851106687287</v>
      </c>
      <c r="AS62" s="277">
        <f t="shared" si="63"/>
        <v>255.42780982567223</v>
      </c>
      <c r="AT62" s="277">
        <f t="shared" si="63"/>
        <v>278.84899429953055</v>
      </c>
      <c r="AU62" s="277">
        <f t="shared" si="63"/>
        <v>292.33350431421957</v>
      </c>
      <c r="AV62" s="277">
        <f t="shared" si="63"/>
        <v>302.44819405504461</v>
      </c>
      <c r="AW62" s="275"/>
      <c r="AX62" s="277">
        <f t="shared" si="64"/>
        <v>228.81453920689103</v>
      </c>
      <c r="AY62" s="277">
        <f t="shared" si="64"/>
        <v>250.65558136759938</v>
      </c>
      <c r="AZ62" s="277">
        <f t="shared" si="64"/>
        <v>273.711876568962</v>
      </c>
      <c r="BA62" s="277">
        <f t="shared" si="64"/>
        <v>286.97795838324782</v>
      </c>
      <c r="BB62" s="277">
        <f t="shared" si="64"/>
        <v>296.93591992657696</v>
      </c>
      <c r="BC62" s="275"/>
      <c r="BD62" s="277">
        <f t="shared" si="65"/>
        <v>4.3839718599818829</v>
      </c>
      <c r="BE62" s="277">
        <f t="shared" si="65"/>
        <v>4.7722284580728216</v>
      </c>
      <c r="BF62" s="277">
        <f t="shared" si="65"/>
        <v>5.1371177305685114</v>
      </c>
      <c r="BG62" s="277">
        <f t="shared" si="65"/>
        <v>5.3555459309717897</v>
      </c>
      <c r="BH62" s="277">
        <f t="shared" si="65"/>
        <v>5.5122741284676167</v>
      </c>
    </row>
    <row r="63" spans="1:60" s="168" customFormat="1" x14ac:dyDescent="0.2">
      <c r="A63" s="276" t="str">
        <f t="shared" si="53"/>
        <v>50-54</v>
      </c>
      <c r="B63" s="277">
        <f t="shared" si="54"/>
        <v>185.40604857322711</v>
      </c>
      <c r="C63" s="277">
        <f t="shared" si="54"/>
        <v>192.72292557560411</v>
      </c>
      <c r="D63" s="277">
        <f t="shared" si="54"/>
        <v>162.16719193834749</v>
      </c>
      <c r="E63" s="277">
        <f t="shared" si="54"/>
        <v>133.41410305220273</v>
      </c>
      <c r="F63" s="277">
        <f t="shared" si="54"/>
        <v>106.3528116102037</v>
      </c>
      <c r="G63" s="275"/>
      <c r="H63" s="277">
        <f t="shared" si="55"/>
        <v>66.691082872087563</v>
      </c>
      <c r="I63" s="277">
        <f t="shared" si="55"/>
        <v>69.308339401755902</v>
      </c>
      <c r="J63" s="277">
        <f t="shared" si="55"/>
        <v>58.294203339386414</v>
      </c>
      <c r="K63" s="277">
        <f t="shared" si="55"/>
        <v>47.904759864066669</v>
      </c>
      <c r="L63" s="277">
        <f t="shared" si="55"/>
        <v>38.151642732729172</v>
      </c>
      <c r="M63" s="275"/>
      <c r="N63" s="277">
        <f t="shared" si="56"/>
        <v>118.71496570113956</v>
      </c>
      <c r="O63" s="277">
        <f t="shared" si="56"/>
        <v>123.41458617384822</v>
      </c>
      <c r="P63" s="277">
        <f t="shared" si="56"/>
        <v>103.87298859896106</v>
      </c>
      <c r="Q63" s="277">
        <f t="shared" si="56"/>
        <v>85.509343188136071</v>
      </c>
      <c r="R63" s="277">
        <f t="shared" si="56"/>
        <v>68.201168877474544</v>
      </c>
      <c r="S63" s="275"/>
      <c r="T63" s="277">
        <f t="shared" si="57"/>
        <v>0</v>
      </c>
      <c r="U63" s="277">
        <f t="shared" si="57"/>
        <v>0</v>
      </c>
      <c r="V63" s="277">
        <f t="shared" si="57"/>
        <v>0</v>
      </c>
      <c r="W63" s="277">
        <f t="shared" si="57"/>
        <v>0</v>
      </c>
      <c r="X63" s="277">
        <f t="shared" si="57"/>
        <v>0</v>
      </c>
      <c r="Y63" s="276" t="str">
        <f t="shared" si="58"/>
        <v>50-54</v>
      </c>
      <c r="Z63" s="277">
        <f t="shared" si="59"/>
        <v>200.15705088001573</v>
      </c>
      <c r="AA63" s="277">
        <f t="shared" si="59"/>
        <v>218.54573674510601</v>
      </c>
      <c r="AB63" s="277">
        <f t="shared" si="59"/>
        <v>239.21960647496348</v>
      </c>
      <c r="AC63" s="277">
        <f t="shared" si="59"/>
        <v>257.81605841504751</v>
      </c>
      <c r="AD63" s="277">
        <f t="shared" si="59"/>
        <v>271.65581059286012</v>
      </c>
      <c r="AE63" s="275"/>
      <c r="AF63" s="277">
        <f t="shared" si="60"/>
        <v>190.04078964826027</v>
      </c>
      <c r="AG63" s="277">
        <f t="shared" si="60"/>
        <v>207.46488432579588</v>
      </c>
      <c r="AH63" s="277">
        <f t="shared" si="60"/>
        <v>227.09664617165495</v>
      </c>
      <c r="AI63" s="277">
        <f t="shared" si="60"/>
        <v>244.71475666454</v>
      </c>
      <c r="AJ63" s="277">
        <f t="shared" si="60"/>
        <v>257.79476785525156</v>
      </c>
      <c r="AK63" s="275"/>
      <c r="AL63" s="277">
        <f t="shared" si="61"/>
        <v>10.116261231755457</v>
      </c>
      <c r="AM63" s="277">
        <f t="shared" si="61"/>
        <v>11.080852419310158</v>
      </c>
      <c r="AN63" s="277">
        <f t="shared" si="61"/>
        <v>12.122960303308531</v>
      </c>
      <c r="AO63" s="277">
        <f t="shared" si="61"/>
        <v>13.101301750507519</v>
      </c>
      <c r="AP63" s="277">
        <f t="shared" si="61"/>
        <v>13.861042737608585</v>
      </c>
      <c r="AQ63" s="276" t="str">
        <f t="shared" si="62"/>
        <v>50-54</v>
      </c>
      <c r="AR63" s="277">
        <f t="shared" si="63"/>
        <v>172.51190054675715</v>
      </c>
      <c r="AS63" s="277">
        <f t="shared" si="63"/>
        <v>201.44733767928977</v>
      </c>
      <c r="AT63" s="277">
        <f t="shared" si="63"/>
        <v>243.89220158668905</v>
      </c>
      <c r="AU63" s="277">
        <f t="shared" si="63"/>
        <v>263.09583853274978</v>
      </c>
      <c r="AV63" s="277">
        <f t="shared" si="63"/>
        <v>278.2843777969361</v>
      </c>
      <c r="AW63" s="275"/>
      <c r="AX63" s="277">
        <f t="shared" si="64"/>
        <v>168.88787751101148</v>
      </c>
      <c r="AY63" s="277">
        <f t="shared" si="64"/>
        <v>197.35794837642953</v>
      </c>
      <c r="AZ63" s="277">
        <f t="shared" si="64"/>
        <v>238.9340888070729</v>
      </c>
      <c r="BA63" s="277">
        <f t="shared" si="64"/>
        <v>257.81671276903228</v>
      </c>
      <c r="BB63" s="277">
        <f t="shared" si="64"/>
        <v>272.79729732120262</v>
      </c>
      <c r="BC63" s="275"/>
      <c r="BD63" s="277">
        <f t="shared" si="65"/>
        <v>3.6240230357456578</v>
      </c>
      <c r="BE63" s="277">
        <f t="shared" si="65"/>
        <v>4.0893893028602495</v>
      </c>
      <c r="BF63" s="277">
        <f t="shared" si="65"/>
        <v>4.958112779616183</v>
      </c>
      <c r="BG63" s="277">
        <f t="shared" si="65"/>
        <v>5.2791257637175608</v>
      </c>
      <c r="BH63" s="277">
        <f t="shared" si="65"/>
        <v>5.4870804757334763</v>
      </c>
    </row>
    <row r="64" spans="1:60" s="168" customFormat="1" x14ac:dyDescent="0.2">
      <c r="A64" s="276" t="str">
        <f t="shared" si="53"/>
        <v>55-59</v>
      </c>
      <c r="B64" s="277">
        <f t="shared" si="54"/>
        <v>118.1352024705036</v>
      </c>
      <c r="C64" s="277">
        <f t="shared" si="54"/>
        <v>125.51688761373863</v>
      </c>
      <c r="D64" s="277">
        <f t="shared" si="54"/>
        <v>135.69347634171973</v>
      </c>
      <c r="E64" s="277">
        <f t="shared" si="54"/>
        <v>127.61999627132217</v>
      </c>
      <c r="F64" s="277">
        <f t="shared" si="54"/>
        <v>103.83680807778796</v>
      </c>
      <c r="G64" s="275"/>
      <c r="H64" s="277">
        <f t="shared" si="55"/>
        <v>47.020085047969616</v>
      </c>
      <c r="I64" s="277">
        <f t="shared" si="55"/>
        <v>49.942017947737568</v>
      </c>
      <c r="J64" s="277">
        <f t="shared" si="55"/>
        <v>53.996980542501134</v>
      </c>
      <c r="K64" s="277">
        <f t="shared" si="55"/>
        <v>50.765369807184982</v>
      </c>
      <c r="L64" s="277">
        <f t="shared" si="55"/>
        <v>41.29898124275995</v>
      </c>
      <c r="M64" s="275"/>
      <c r="N64" s="277">
        <f t="shared" si="56"/>
        <v>71.115117422534013</v>
      </c>
      <c r="O64" s="277">
        <f t="shared" si="56"/>
        <v>75.574869666001078</v>
      </c>
      <c r="P64" s="277">
        <f t="shared" si="56"/>
        <v>81.696495799218582</v>
      </c>
      <c r="Q64" s="277">
        <f t="shared" si="56"/>
        <v>76.854626464137169</v>
      </c>
      <c r="R64" s="277">
        <f t="shared" si="56"/>
        <v>62.537826835028014</v>
      </c>
      <c r="S64" s="275"/>
      <c r="T64" s="277">
        <f t="shared" si="57"/>
        <v>0</v>
      </c>
      <c r="U64" s="277">
        <f t="shared" si="57"/>
        <v>0</v>
      </c>
      <c r="V64" s="277">
        <f t="shared" si="57"/>
        <v>0</v>
      </c>
      <c r="W64" s="277">
        <f t="shared" si="57"/>
        <v>0</v>
      </c>
      <c r="X64" s="277">
        <f t="shared" si="57"/>
        <v>0</v>
      </c>
      <c r="Y64" s="276" t="str">
        <f t="shared" si="58"/>
        <v>55-59</v>
      </c>
      <c r="Z64" s="277">
        <f t="shared" si="59"/>
        <v>122.81319674265731</v>
      </c>
      <c r="AA64" s="277">
        <f t="shared" si="59"/>
        <v>127.76576484388534</v>
      </c>
      <c r="AB64" s="277">
        <f t="shared" si="59"/>
        <v>167.56934646025536</v>
      </c>
      <c r="AC64" s="277">
        <f t="shared" si="59"/>
        <v>201.55893986495374</v>
      </c>
      <c r="AD64" s="277">
        <f t="shared" si="59"/>
        <v>218.03560485524812</v>
      </c>
      <c r="AE64" s="275"/>
      <c r="AF64" s="277">
        <f t="shared" si="60"/>
        <v>115.33146461461402</v>
      </c>
      <c r="AG64" s="277">
        <f t="shared" si="60"/>
        <v>119.93869463814224</v>
      </c>
      <c r="AH64" s="277">
        <f t="shared" si="60"/>
        <v>157.20305952301629</v>
      </c>
      <c r="AI64" s="277">
        <f t="shared" si="60"/>
        <v>189.09467188304029</v>
      </c>
      <c r="AJ64" s="277">
        <f t="shared" si="60"/>
        <v>204.52603798057652</v>
      </c>
      <c r="AK64" s="275"/>
      <c r="AL64" s="277">
        <f t="shared" si="61"/>
        <v>7.4817321280432685</v>
      </c>
      <c r="AM64" s="277">
        <f t="shared" si="61"/>
        <v>7.8270702057431016</v>
      </c>
      <c r="AN64" s="277">
        <f t="shared" si="61"/>
        <v>10.366286937239055</v>
      </c>
      <c r="AO64" s="277">
        <f t="shared" si="61"/>
        <v>12.464267981913423</v>
      </c>
      <c r="AP64" s="277">
        <f t="shared" si="61"/>
        <v>13.509566874671609</v>
      </c>
      <c r="AQ64" s="276" t="str">
        <f t="shared" si="62"/>
        <v>55-59</v>
      </c>
      <c r="AR64" s="277">
        <f t="shared" si="63"/>
        <v>115.94160078683907</v>
      </c>
      <c r="AS64" s="277">
        <f t="shared" si="63"/>
        <v>135.51634754237602</v>
      </c>
      <c r="AT64" s="277">
        <f t="shared" si="63"/>
        <v>177.65217719802493</v>
      </c>
      <c r="AU64" s="277">
        <f t="shared" si="63"/>
        <v>208.31606386372408</v>
      </c>
      <c r="AV64" s="277">
        <f t="shared" si="63"/>
        <v>226.8625870669639</v>
      </c>
      <c r="AW64" s="275"/>
      <c r="AX64" s="277">
        <f t="shared" si="64"/>
        <v>112.73432150536409</v>
      </c>
      <c r="AY64" s="277">
        <f t="shared" si="64"/>
        <v>131.84828185573497</v>
      </c>
      <c r="AZ64" s="277">
        <f t="shared" si="64"/>
        <v>173.0031356627903</v>
      </c>
      <c r="BA64" s="277">
        <f t="shared" si="64"/>
        <v>202.93168009516813</v>
      </c>
      <c r="BB64" s="277">
        <f t="shared" si="64"/>
        <v>221.04132666504691</v>
      </c>
      <c r="BC64" s="275"/>
      <c r="BD64" s="277">
        <f t="shared" si="65"/>
        <v>3.2072792814749906</v>
      </c>
      <c r="BE64" s="277">
        <f t="shared" si="65"/>
        <v>3.6680656866410524</v>
      </c>
      <c r="BF64" s="277">
        <f t="shared" si="65"/>
        <v>4.6490415352346357</v>
      </c>
      <c r="BG64" s="277">
        <f t="shared" si="65"/>
        <v>5.3843837685559581</v>
      </c>
      <c r="BH64" s="277">
        <f t="shared" si="65"/>
        <v>5.8212604019169705</v>
      </c>
    </row>
    <row r="65" spans="1:60" s="168" customFormat="1" x14ac:dyDescent="0.2">
      <c r="A65" s="276" t="str">
        <f t="shared" si="53"/>
        <v>60-64</v>
      </c>
      <c r="B65" s="277">
        <f t="shared" si="54"/>
        <v>35.823218463615042</v>
      </c>
      <c r="C65" s="277">
        <f t="shared" si="54"/>
        <v>44.494263253571226</v>
      </c>
      <c r="D65" s="277">
        <f t="shared" si="54"/>
        <v>41.613632960941956</v>
      </c>
      <c r="E65" s="277">
        <f t="shared" si="54"/>
        <v>40.934965671055551</v>
      </c>
      <c r="F65" s="277">
        <f t="shared" si="54"/>
        <v>35.667541570413341</v>
      </c>
      <c r="G65" s="275"/>
      <c r="H65" s="277">
        <f t="shared" si="55"/>
        <v>16.931856207862616</v>
      </c>
      <c r="I65" s="277">
        <f t="shared" si="55"/>
        <v>21.062717164219428</v>
      </c>
      <c r="J65" s="277">
        <f t="shared" si="55"/>
        <v>19.717624343517112</v>
      </c>
      <c r="K65" s="277">
        <f t="shared" si="55"/>
        <v>19.381394399502241</v>
      </c>
      <c r="L65" s="277">
        <f t="shared" si="55"/>
        <v>16.879614538550584</v>
      </c>
      <c r="M65" s="275"/>
      <c r="N65" s="277">
        <f t="shared" si="56"/>
        <v>18.891362255752426</v>
      </c>
      <c r="O65" s="277">
        <f t="shared" si="56"/>
        <v>23.431546089351805</v>
      </c>
      <c r="P65" s="277">
        <f t="shared" si="56"/>
        <v>21.89600861742484</v>
      </c>
      <c r="Q65" s="277">
        <f t="shared" si="56"/>
        <v>21.553571271553317</v>
      </c>
      <c r="R65" s="277">
        <f t="shared" si="56"/>
        <v>18.787927031862754</v>
      </c>
      <c r="S65" s="275"/>
      <c r="T65" s="277">
        <f t="shared" si="57"/>
        <v>0</v>
      </c>
      <c r="U65" s="277">
        <f t="shared" si="57"/>
        <v>0</v>
      </c>
      <c r="V65" s="277">
        <f t="shared" si="57"/>
        <v>0</v>
      </c>
      <c r="W65" s="277">
        <f t="shared" si="57"/>
        <v>0</v>
      </c>
      <c r="X65" s="277">
        <f t="shared" si="57"/>
        <v>0</v>
      </c>
      <c r="Y65" s="276" t="str">
        <f t="shared" si="58"/>
        <v>60-64</v>
      </c>
      <c r="Z65" s="277">
        <f t="shared" si="59"/>
        <v>31.343339667083313</v>
      </c>
      <c r="AA65" s="277">
        <f t="shared" si="59"/>
        <v>37.400907742954743</v>
      </c>
      <c r="AB65" s="277">
        <f t="shared" si="59"/>
        <v>50.777770478130293</v>
      </c>
      <c r="AC65" s="277">
        <f t="shared" si="59"/>
        <v>66.266094080470012</v>
      </c>
      <c r="AD65" s="277">
        <f t="shared" si="59"/>
        <v>80.260766484007178</v>
      </c>
      <c r="AE65" s="275"/>
      <c r="AF65" s="277">
        <f t="shared" si="60"/>
        <v>29.203027553951088</v>
      </c>
      <c r="AG65" s="277">
        <f t="shared" si="60"/>
        <v>34.871395449563813</v>
      </c>
      <c r="AH65" s="277">
        <f t="shared" si="60"/>
        <v>47.209555911882788</v>
      </c>
      <c r="AI65" s="277">
        <f t="shared" si="60"/>
        <v>61.600974211672487</v>
      </c>
      <c r="AJ65" s="277">
        <f t="shared" si="60"/>
        <v>74.607227360463867</v>
      </c>
      <c r="AK65" s="275"/>
      <c r="AL65" s="277">
        <f t="shared" si="61"/>
        <v>2.1403121131322234</v>
      </c>
      <c r="AM65" s="277">
        <f t="shared" si="61"/>
        <v>2.5295122933909324</v>
      </c>
      <c r="AN65" s="277">
        <f t="shared" si="61"/>
        <v>3.5682145662475118</v>
      </c>
      <c r="AO65" s="277">
        <f t="shared" si="61"/>
        <v>4.6651198687975111</v>
      </c>
      <c r="AP65" s="277">
        <f t="shared" si="61"/>
        <v>5.6535391235433075</v>
      </c>
      <c r="AQ65" s="276" t="str">
        <f t="shared" si="62"/>
        <v>60-64</v>
      </c>
      <c r="AR65" s="277">
        <f t="shared" si="63"/>
        <v>38.517441869301649</v>
      </c>
      <c r="AS65" s="277">
        <f t="shared" si="63"/>
        <v>53.191829003474027</v>
      </c>
      <c r="AT65" s="277">
        <f t="shared" si="63"/>
        <v>71.393596560927747</v>
      </c>
      <c r="AU65" s="277">
        <f t="shared" si="63"/>
        <v>92.303940248474447</v>
      </c>
      <c r="AV65" s="277">
        <f t="shared" si="63"/>
        <v>113.97169194557949</v>
      </c>
      <c r="AW65" s="275"/>
      <c r="AX65" s="277">
        <f t="shared" si="64"/>
        <v>35.940957081944205</v>
      </c>
      <c r="AY65" s="277">
        <f t="shared" si="64"/>
        <v>49.626732053099445</v>
      </c>
      <c r="AZ65" s="277">
        <f t="shared" si="64"/>
        <v>66.596362264723197</v>
      </c>
      <c r="BA65" s="277">
        <f t="shared" si="64"/>
        <v>86.098448390329622</v>
      </c>
      <c r="BB65" s="277">
        <f t="shared" si="64"/>
        <v>106.3052407990122</v>
      </c>
      <c r="BC65" s="275"/>
      <c r="BD65" s="277">
        <f t="shared" si="65"/>
        <v>2.5764847873574377</v>
      </c>
      <c r="BE65" s="277">
        <f t="shared" si="65"/>
        <v>3.5650969503745911</v>
      </c>
      <c r="BF65" s="277">
        <f t="shared" si="65"/>
        <v>4.7972342962045555</v>
      </c>
      <c r="BG65" s="277">
        <f t="shared" si="65"/>
        <v>6.2054918581448213</v>
      </c>
      <c r="BH65" s="277">
        <f t="shared" si="65"/>
        <v>7.6664511465673009</v>
      </c>
    </row>
    <row r="66" spans="1:60" s="168" customFormat="1" x14ac:dyDescent="0.2">
      <c r="A66" s="276" t="str">
        <f t="shared" si="53"/>
        <v>65+</v>
      </c>
      <c r="B66" s="277">
        <f t="shared" si="54"/>
        <v>11.948741166199174</v>
      </c>
      <c r="C66" s="277">
        <f t="shared" si="54"/>
        <v>16.460486596644937</v>
      </c>
      <c r="D66" s="277">
        <f t="shared" si="54"/>
        <v>15.029015503825972</v>
      </c>
      <c r="E66" s="277">
        <f t="shared" si="54"/>
        <v>11.903183363129848</v>
      </c>
      <c r="F66" s="277">
        <f t="shared" si="54"/>
        <v>9.8474191476518342</v>
      </c>
      <c r="G66" s="275"/>
      <c r="H66" s="277">
        <f t="shared" si="55"/>
        <v>6.3754329809595625</v>
      </c>
      <c r="I66" s="277">
        <f t="shared" si="55"/>
        <v>8.5871560944185141</v>
      </c>
      <c r="J66" s="277">
        <f t="shared" si="55"/>
        <v>7.8803923797716067</v>
      </c>
      <c r="K66" s="277">
        <f t="shared" si="55"/>
        <v>6.2399183159193861</v>
      </c>
      <c r="L66" s="277">
        <f t="shared" si="55"/>
        <v>5.2069403181851044</v>
      </c>
      <c r="M66" s="275"/>
      <c r="N66" s="277">
        <f t="shared" si="56"/>
        <v>5.5733081852396102</v>
      </c>
      <c r="O66" s="277">
        <f t="shared" si="56"/>
        <v>7.8733305022264224</v>
      </c>
      <c r="P66" s="277">
        <f t="shared" si="56"/>
        <v>7.1486231240543656</v>
      </c>
      <c r="Q66" s="277">
        <f t="shared" si="56"/>
        <v>5.6632650472104613</v>
      </c>
      <c r="R66" s="277">
        <f t="shared" si="56"/>
        <v>4.6404788294667298</v>
      </c>
      <c r="S66" s="275"/>
      <c r="T66" s="277">
        <f t="shared" si="57"/>
        <v>0</v>
      </c>
      <c r="U66" s="277">
        <f t="shared" si="57"/>
        <v>0</v>
      </c>
      <c r="V66" s="277">
        <f t="shared" si="57"/>
        <v>0</v>
      </c>
      <c r="W66" s="277">
        <f t="shared" si="57"/>
        <v>0</v>
      </c>
      <c r="X66" s="277">
        <f t="shared" si="57"/>
        <v>0</v>
      </c>
      <c r="Y66" s="276" t="str">
        <f t="shared" si="58"/>
        <v>65+</v>
      </c>
      <c r="Z66" s="277">
        <f t="shared" si="59"/>
        <v>7.8240804156386137</v>
      </c>
      <c r="AA66" s="277">
        <f t="shared" si="59"/>
        <v>9.9119242988728669</v>
      </c>
      <c r="AB66" s="277">
        <f t="shared" si="59"/>
        <v>11.008756624618567</v>
      </c>
      <c r="AC66" s="277">
        <f t="shared" si="59"/>
        <v>12.01446121472337</v>
      </c>
      <c r="AD66" s="277">
        <f t="shared" si="59"/>
        <v>13.854293318978709</v>
      </c>
      <c r="AE66" s="275"/>
      <c r="AF66" s="277">
        <f t="shared" si="60"/>
        <v>6.9255035254653912</v>
      </c>
      <c r="AG66" s="277">
        <f t="shared" si="60"/>
        <v>8.7952137061175186</v>
      </c>
      <c r="AH66" s="277">
        <f t="shared" si="60"/>
        <v>9.7331452985061144</v>
      </c>
      <c r="AI66" s="277">
        <f t="shared" si="60"/>
        <v>10.624866696548906</v>
      </c>
      <c r="AJ66" s="277">
        <f t="shared" si="60"/>
        <v>12.275904221835862</v>
      </c>
      <c r="AK66" s="275"/>
      <c r="AL66" s="277">
        <f t="shared" si="61"/>
        <v>0.89857689017322329</v>
      </c>
      <c r="AM66" s="277">
        <f t="shared" si="61"/>
        <v>1.1167105927553487</v>
      </c>
      <c r="AN66" s="277">
        <f t="shared" si="61"/>
        <v>1.2756113261124509</v>
      </c>
      <c r="AO66" s="277">
        <f t="shared" si="61"/>
        <v>1.389594518174466</v>
      </c>
      <c r="AP66" s="277">
        <f t="shared" si="61"/>
        <v>1.5783890971428471</v>
      </c>
      <c r="AQ66" s="276" t="str">
        <f t="shared" si="62"/>
        <v>65+</v>
      </c>
      <c r="AR66" s="277">
        <f t="shared" si="63"/>
        <v>12.792178418162218</v>
      </c>
      <c r="AS66" s="277">
        <f t="shared" si="63"/>
        <v>12.19158910448219</v>
      </c>
      <c r="AT66" s="277">
        <f t="shared" si="63"/>
        <v>19.366227871555463</v>
      </c>
      <c r="AU66" s="277">
        <f t="shared" si="63"/>
        <v>23.78335542214678</v>
      </c>
      <c r="AV66" s="277">
        <f t="shared" si="63"/>
        <v>30.011287533369462</v>
      </c>
      <c r="AW66" s="275"/>
      <c r="AX66" s="277">
        <f t="shared" si="64"/>
        <v>12.010493229987055</v>
      </c>
      <c r="AY66" s="277">
        <f t="shared" si="64"/>
        <v>11.529560727743291</v>
      </c>
      <c r="AZ66" s="277">
        <f t="shared" si="64"/>
        <v>18.211272058470012</v>
      </c>
      <c r="BA66" s="277">
        <f t="shared" si="64"/>
        <v>22.381962071636803</v>
      </c>
      <c r="BB66" s="277">
        <f t="shared" si="64"/>
        <v>28.299382615392936</v>
      </c>
      <c r="BC66" s="275"/>
      <c r="BD66" s="277">
        <f t="shared" si="65"/>
        <v>0.78168518817516097</v>
      </c>
      <c r="BE66" s="277">
        <f t="shared" si="65"/>
        <v>0.66202837673890058</v>
      </c>
      <c r="BF66" s="277">
        <f t="shared" si="65"/>
        <v>1.1549558130854503</v>
      </c>
      <c r="BG66" s="277">
        <f t="shared" si="65"/>
        <v>1.4013933505099772</v>
      </c>
      <c r="BH66" s="277">
        <f t="shared" si="65"/>
        <v>1.7119049179765302</v>
      </c>
    </row>
    <row r="67" spans="1:60" s="168" customFormat="1" x14ac:dyDescent="0.2">
      <c r="B67" s="277"/>
      <c r="C67" s="277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75"/>
      <c r="S67" s="275"/>
      <c r="T67" s="169"/>
      <c r="U67" s="169"/>
      <c r="V67" s="169"/>
      <c r="W67" s="169"/>
      <c r="X67" s="169"/>
      <c r="Z67" s="277"/>
      <c r="AA67" s="277"/>
      <c r="AB67" s="275"/>
      <c r="AC67" s="275"/>
      <c r="AD67" s="275"/>
      <c r="AE67" s="275"/>
      <c r="AF67" s="275"/>
      <c r="AG67" s="275"/>
      <c r="AH67" s="275"/>
      <c r="AI67" s="275"/>
      <c r="AJ67" s="275"/>
      <c r="AK67" s="275"/>
      <c r="AL67" s="275"/>
      <c r="AM67" s="275"/>
      <c r="AN67" s="275"/>
      <c r="AO67" s="275"/>
      <c r="AP67" s="275"/>
      <c r="AR67" s="277"/>
      <c r="AS67" s="277"/>
      <c r="AT67" s="275"/>
      <c r="AU67" s="275"/>
      <c r="AV67" s="275"/>
      <c r="AW67" s="275"/>
      <c r="AX67" s="275"/>
      <c r="AY67" s="275"/>
      <c r="AZ67" s="275"/>
      <c r="BA67" s="275"/>
      <c r="BB67" s="275"/>
      <c r="BC67" s="275"/>
      <c r="BD67" s="275"/>
      <c r="BE67" s="275"/>
      <c r="BF67" s="275"/>
      <c r="BG67" s="275"/>
      <c r="BH67" s="275"/>
    </row>
    <row r="68" spans="1:60" s="168" customFormat="1" x14ac:dyDescent="0.2">
      <c r="A68" s="263" t="str">
        <f>A20</f>
        <v>Males</v>
      </c>
      <c r="B68" s="278"/>
      <c r="C68" s="278"/>
      <c r="D68" s="278"/>
      <c r="E68" s="278"/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8"/>
      <c r="U68" s="278"/>
      <c r="V68" s="169"/>
      <c r="W68" s="169"/>
      <c r="X68" s="169"/>
      <c r="Y68" s="263" t="str">
        <f>Y20</f>
        <v>Males</v>
      </c>
      <c r="Z68" s="278"/>
      <c r="AA68" s="278"/>
      <c r="AB68" s="278"/>
      <c r="AC68" s="278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63" t="str">
        <f>AQ20</f>
        <v>Males</v>
      </c>
      <c r="AR68" s="278"/>
      <c r="AS68" s="278"/>
      <c r="AT68" s="278"/>
      <c r="AU68" s="278"/>
      <c r="AV68" s="277"/>
      <c r="AW68" s="277"/>
      <c r="AX68" s="277"/>
      <c r="AY68" s="277"/>
      <c r="AZ68" s="277"/>
      <c r="BA68" s="277"/>
      <c r="BB68" s="277"/>
      <c r="BC68" s="277"/>
      <c r="BD68" s="277"/>
      <c r="BE68" s="277"/>
      <c r="BF68" s="277"/>
      <c r="BG68" s="277"/>
      <c r="BH68" s="277"/>
    </row>
    <row r="69" spans="1:60" s="168" customFormat="1" x14ac:dyDescent="0.2">
      <c r="A69" s="269" t="str">
        <f>A21</f>
        <v>15+</v>
      </c>
      <c r="B69" s="277">
        <f>SUM(B70:B80)</f>
        <v>668.34829787442732</v>
      </c>
      <c r="C69" s="277">
        <f t="shared" ref="C69:F69" si="66">SUM(C70:C80)</f>
        <v>679.97434318708918</v>
      </c>
      <c r="D69" s="277">
        <f t="shared" si="66"/>
        <v>576.0987188576471</v>
      </c>
      <c r="E69" s="277">
        <f t="shared" si="66"/>
        <v>506.60924483387572</v>
      </c>
      <c r="F69" s="277">
        <f t="shared" si="66"/>
        <v>424.17079532170612</v>
      </c>
      <c r="G69" s="277"/>
      <c r="H69" s="277">
        <f>SUM(H70:H80)</f>
        <v>216.57689663424574</v>
      </c>
      <c r="I69" s="277">
        <f t="shared" ref="I69:L69" si="67">SUM(I70:I80)</f>
        <v>222.01749682244036</v>
      </c>
      <c r="J69" s="277">
        <f t="shared" si="67"/>
        <v>189.97263257060061</v>
      </c>
      <c r="K69" s="277">
        <f t="shared" si="67"/>
        <v>168.03119397716577</v>
      </c>
      <c r="L69" s="277">
        <f t="shared" si="67"/>
        <v>140.23377379308036</v>
      </c>
      <c r="M69" s="277"/>
      <c r="N69" s="277">
        <f>SUM(N70:N80)</f>
        <v>451.77140124018155</v>
      </c>
      <c r="O69" s="277">
        <f t="shared" ref="O69:R69" si="68">SUM(O70:O80)</f>
        <v>457.95684636464887</v>
      </c>
      <c r="P69" s="277">
        <f t="shared" si="68"/>
        <v>386.12608628704652</v>
      </c>
      <c r="Q69" s="277">
        <f t="shared" si="68"/>
        <v>338.57805085670992</v>
      </c>
      <c r="R69" s="277">
        <f t="shared" si="68"/>
        <v>283.93702152862579</v>
      </c>
      <c r="S69" s="277"/>
      <c r="T69" s="277">
        <f>SUM(T70:T80)</f>
        <v>0</v>
      </c>
      <c r="U69" s="277">
        <f t="shared" ref="U69:X69" si="69">SUM(U70:U80)</f>
        <v>0</v>
      </c>
      <c r="V69" s="277">
        <f t="shared" si="69"/>
        <v>0</v>
      </c>
      <c r="W69" s="277">
        <f t="shared" si="69"/>
        <v>0</v>
      </c>
      <c r="X69" s="277">
        <f t="shared" si="69"/>
        <v>0</v>
      </c>
      <c r="Y69" s="269" t="str">
        <f>Y21</f>
        <v>15+</v>
      </c>
      <c r="Z69" s="277">
        <f>SUM(Z70:Z80)</f>
        <v>1110.8221091376672</v>
      </c>
      <c r="AA69" s="277">
        <f t="shared" ref="AA69:AD69" si="70">SUM(AA70:AA80)</f>
        <v>1081.2462760791657</v>
      </c>
      <c r="AB69" s="277">
        <f t="shared" si="70"/>
        <v>1129.3696341240161</v>
      </c>
      <c r="AC69" s="277">
        <f t="shared" si="70"/>
        <v>1196.947412591609</v>
      </c>
      <c r="AD69" s="277">
        <f t="shared" si="70"/>
        <v>1263.8735341848089</v>
      </c>
      <c r="AE69" s="277"/>
      <c r="AF69" s="277">
        <f>SUM(AF70:AF80)</f>
        <v>1048.6925402059803</v>
      </c>
      <c r="AG69" s="277">
        <f t="shared" ref="AG69:AJ69" si="71">SUM(AG70:AG80)</f>
        <v>1020.9879008290815</v>
      </c>
      <c r="AH69" s="277">
        <f t="shared" si="71"/>
        <v>1066.4680897558023</v>
      </c>
      <c r="AI69" s="277">
        <f t="shared" si="71"/>
        <v>1130.4132844970143</v>
      </c>
      <c r="AJ69" s="277">
        <f t="shared" si="71"/>
        <v>1193.6123831216405</v>
      </c>
      <c r="AK69" s="277"/>
      <c r="AL69" s="277">
        <f>SUM(AL70:AL80)</f>
        <v>62.12956893168694</v>
      </c>
      <c r="AM69" s="277">
        <f t="shared" ref="AM69:AP69" si="72">SUM(AM70:AM80)</f>
        <v>60.258375250084285</v>
      </c>
      <c r="AN69" s="277">
        <f t="shared" si="72"/>
        <v>62.90154436821414</v>
      </c>
      <c r="AO69" s="277">
        <f t="shared" si="72"/>
        <v>66.534128094594536</v>
      </c>
      <c r="AP69" s="277">
        <f t="shared" si="72"/>
        <v>70.261151063168086</v>
      </c>
      <c r="AQ69" s="269" t="str">
        <f>AQ21</f>
        <v>15+</v>
      </c>
      <c r="AR69" s="277">
        <f>SUM(AR70:AR80)</f>
        <v>858.87759298790547</v>
      </c>
      <c r="AS69" s="277">
        <f t="shared" ref="AS69:AV69" si="73">SUM(AS70:AS80)</f>
        <v>924.03238073374484</v>
      </c>
      <c r="AT69" s="277">
        <f t="shared" si="73"/>
        <v>1006.6636470183364</v>
      </c>
      <c r="AU69" s="277">
        <f t="shared" si="73"/>
        <v>1087.2593425745151</v>
      </c>
      <c r="AV69" s="277">
        <f t="shared" si="73"/>
        <v>1172.5296704934854</v>
      </c>
      <c r="AW69" s="277"/>
      <c r="AX69" s="277">
        <f>SUM(AX70:AX80)</f>
        <v>837.25747303433036</v>
      </c>
      <c r="AY69" s="277">
        <f t="shared" ref="AY69:BB69" si="74">SUM(AY70:AY80)</f>
        <v>900.46119959493876</v>
      </c>
      <c r="AZ69" s="277">
        <f t="shared" si="74"/>
        <v>980.19920817165428</v>
      </c>
      <c r="BA69" s="277">
        <f t="shared" si="74"/>
        <v>1058.1193206787443</v>
      </c>
      <c r="BB69" s="277">
        <f t="shared" si="74"/>
        <v>1140.618907885826</v>
      </c>
      <c r="BC69" s="277"/>
      <c r="BD69" s="277">
        <f>SUM(BD70:BD80)</f>
        <v>21.620119953575205</v>
      </c>
      <c r="BE69" s="277">
        <f t="shared" ref="BE69:BH69" si="75">SUM(BE70:BE80)</f>
        <v>23.571181138806118</v>
      </c>
      <c r="BF69" s="277">
        <f t="shared" si="75"/>
        <v>26.464438846682153</v>
      </c>
      <c r="BG69" s="277">
        <f t="shared" si="75"/>
        <v>29.140021895771127</v>
      </c>
      <c r="BH69" s="277">
        <f t="shared" si="75"/>
        <v>31.910762607659223</v>
      </c>
    </row>
    <row r="70" spans="1:60" s="168" customFormat="1" x14ac:dyDescent="0.2">
      <c r="A70" s="269" t="str">
        <f t="shared" ref="A70:A80" si="76">A22</f>
        <v>15-19</v>
      </c>
      <c r="B70" s="277">
        <v>21.970306906103936</v>
      </c>
      <c r="C70" s="277">
        <v>20.026076119996116</v>
      </c>
      <c r="D70" s="277">
        <v>15.121179094017016</v>
      </c>
      <c r="E70" s="277">
        <v>17.089485140563891</v>
      </c>
      <c r="F70" s="275">
        <v>20.063648634933156</v>
      </c>
      <c r="G70" s="277"/>
      <c r="H70" s="277">
        <v>5.926181505924986</v>
      </c>
      <c r="I70" s="277">
        <v>5.4017609070647374</v>
      </c>
      <c r="J70" s="277">
        <v>4.0787280675207782</v>
      </c>
      <c r="K70" s="277">
        <v>4.6096697076419106</v>
      </c>
      <c r="L70" s="275">
        <v>5.4118921208641293</v>
      </c>
      <c r="M70" s="277"/>
      <c r="N70" s="277">
        <v>16.044125400178949</v>
      </c>
      <c r="O70" s="277">
        <v>14.624315212931378</v>
      </c>
      <c r="P70" s="277">
        <v>11.04245102649624</v>
      </c>
      <c r="Q70" s="277">
        <v>12.479815432921979</v>
      </c>
      <c r="R70" s="275">
        <v>14.651756514069028</v>
      </c>
      <c r="S70" s="277"/>
      <c r="T70" s="277">
        <v>0</v>
      </c>
      <c r="U70" s="277">
        <v>0</v>
      </c>
      <c r="V70" s="277">
        <v>0</v>
      </c>
      <c r="W70" s="277">
        <v>0</v>
      </c>
      <c r="X70" s="275">
        <v>0</v>
      </c>
      <c r="Y70" s="269" t="str">
        <f t="shared" ref="Y70:Y80" si="77">Y22</f>
        <v>15-19</v>
      </c>
      <c r="Z70" s="277">
        <v>17.840683082880268</v>
      </c>
      <c r="AA70" s="277">
        <v>14.680133047335039</v>
      </c>
      <c r="AB70" s="277">
        <v>13.72560965822832</v>
      </c>
      <c r="AC70" s="277">
        <v>15.436484788467865</v>
      </c>
      <c r="AD70" s="275">
        <v>18.541508530812692</v>
      </c>
      <c r="AE70" s="277"/>
      <c r="AF70" s="277">
        <v>16.8611671563519</v>
      </c>
      <c r="AG70" s="277">
        <v>13.874168165612016</v>
      </c>
      <c r="AH70" s="277">
        <v>12.972040867641711</v>
      </c>
      <c r="AI70" s="277">
        <v>14.588974970800006</v>
      </c>
      <c r="AJ70" s="275">
        <v>17.523528875034817</v>
      </c>
      <c r="AK70" s="277"/>
      <c r="AL70" s="277">
        <v>0.9795159265283645</v>
      </c>
      <c r="AM70" s="277">
        <v>0.80596488172302239</v>
      </c>
      <c r="AN70" s="277">
        <v>0.75356879058660964</v>
      </c>
      <c r="AO70" s="277">
        <v>0.84750981766786149</v>
      </c>
      <c r="AP70" s="275">
        <v>1.0179796557778724</v>
      </c>
      <c r="AQ70" s="269" t="str">
        <f t="shared" ref="AQ70:AQ80" si="78">AQ22</f>
        <v>15-19</v>
      </c>
      <c r="AR70" s="277">
        <v>0.10001001101580378</v>
      </c>
      <c r="AS70" s="277">
        <v>0.10679083266884004</v>
      </c>
      <c r="AT70" s="277">
        <v>1.2112477546660798E-3</v>
      </c>
      <c r="AU70" s="277">
        <v>6.0300709682370914E-3</v>
      </c>
      <c r="AV70" s="275">
        <v>1.0842834254153347E-2</v>
      </c>
      <c r="AW70" s="277"/>
      <c r="AX70" s="277">
        <v>6.6192985196819223E-2</v>
      </c>
      <c r="AY70" s="277">
        <v>7.0679138418197798E-2</v>
      </c>
      <c r="AZ70" s="277">
        <v>8.014133599071727E-4</v>
      </c>
      <c r="BA70" s="277">
        <v>3.9895924082780755E-3</v>
      </c>
      <c r="BB70" s="275">
        <v>7.1745268353603188E-3</v>
      </c>
      <c r="BC70" s="277"/>
      <c r="BD70" s="277">
        <v>3.3817025818984561E-2</v>
      </c>
      <c r="BE70" s="277">
        <v>3.6111694250642229E-2</v>
      </c>
      <c r="BF70" s="277">
        <v>4.0983439475890718E-4</v>
      </c>
      <c r="BG70" s="277">
        <v>2.0404785599590159E-3</v>
      </c>
      <c r="BH70" s="275">
        <v>3.6683074187930289E-3</v>
      </c>
    </row>
    <row r="71" spans="1:60" s="168" customFormat="1" x14ac:dyDescent="0.2">
      <c r="A71" s="269" t="str">
        <f t="shared" si="76"/>
        <v>20-24</v>
      </c>
      <c r="B71" s="277">
        <v>42.835372944962316</v>
      </c>
      <c r="C71" s="277">
        <v>48.066292311616593</v>
      </c>
      <c r="D71" s="277">
        <v>41.397068793006476</v>
      </c>
      <c r="E71" s="277">
        <v>35.270255608267561</v>
      </c>
      <c r="F71" s="275">
        <v>32.498817128536295</v>
      </c>
      <c r="G71" s="277"/>
      <c r="H71" s="277">
        <v>9.7684866793085128</v>
      </c>
      <c r="I71" s="277">
        <v>10.961327650529908</v>
      </c>
      <c r="J71" s="277">
        <v>9.4404947503411645</v>
      </c>
      <c r="K71" s="277">
        <v>8.0432844087857056</v>
      </c>
      <c r="L71" s="275">
        <v>7.4112487352797149</v>
      </c>
      <c r="M71" s="277"/>
      <c r="N71" s="277">
        <v>33.0668862656538</v>
      </c>
      <c r="O71" s="277">
        <v>37.104964661086683</v>
      </c>
      <c r="P71" s="277">
        <v>31.956574042665309</v>
      </c>
      <c r="Q71" s="277">
        <v>27.226971199481849</v>
      </c>
      <c r="R71" s="275">
        <v>25.087568393256582</v>
      </c>
      <c r="S71" s="277"/>
      <c r="T71" s="277">
        <v>0</v>
      </c>
      <c r="U71" s="277">
        <v>0</v>
      </c>
      <c r="V71" s="277">
        <v>0</v>
      </c>
      <c r="W71" s="277">
        <v>0</v>
      </c>
      <c r="X71" s="275">
        <v>0</v>
      </c>
      <c r="Y71" s="269" t="str">
        <f t="shared" si="77"/>
        <v>20-24</v>
      </c>
      <c r="Z71" s="277">
        <v>117.60066097337621</v>
      </c>
      <c r="AA71" s="277">
        <v>116.00972577437592</v>
      </c>
      <c r="AB71" s="277">
        <v>117.37387172072432</v>
      </c>
      <c r="AC71" s="277">
        <v>109.8328571099937</v>
      </c>
      <c r="AD71" s="275">
        <v>112.18324785696579</v>
      </c>
      <c r="AE71" s="277"/>
      <c r="AF71" s="277">
        <v>109.40519835653062</v>
      </c>
      <c r="AG71" s="277">
        <v>107.92518380300695</v>
      </c>
      <c r="AH71" s="277">
        <v>109.19423291573709</v>
      </c>
      <c r="AI71" s="277">
        <v>102.17877037651678</v>
      </c>
      <c r="AJ71" s="275">
        <v>104.36530258032673</v>
      </c>
      <c r="AK71" s="277"/>
      <c r="AL71" s="277">
        <v>8.1954626168455889</v>
      </c>
      <c r="AM71" s="277">
        <v>8.0845419713689743</v>
      </c>
      <c r="AN71" s="277">
        <v>8.1796388049872402</v>
      </c>
      <c r="AO71" s="277">
        <v>7.6540867334769196</v>
      </c>
      <c r="AP71" s="275">
        <v>7.8179452766390698</v>
      </c>
      <c r="AQ71" s="269" t="str">
        <f t="shared" si="78"/>
        <v>20-24</v>
      </c>
      <c r="AR71" s="277">
        <v>35.953966081661484</v>
      </c>
      <c r="AS71" s="277">
        <v>35.412981914007489</v>
      </c>
      <c r="AT71" s="277">
        <v>39.05605948626922</v>
      </c>
      <c r="AU71" s="277">
        <v>40.227887281738759</v>
      </c>
      <c r="AV71" s="275">
        <v>45.244935014497926</v>
      </c>
      <c r="AW71" s="277"/>
      <c r="AX71" s="277">
        <v>35.894388197223741</v>
      </c>
      <c r="AY71" s="277">
        <v>35.354282498596831</v>
      </c>
      <c r="AZ71" s="277">
        <v>38.991316542918099</v>
      </c>
      <c r="BA71" s="277">
        <v>40.161217830179162</v>
      </c>
      <c r="BB71" s="275">
        <v>45.169897221289091</v>
      </c>
      <c r="BC71" s="277"/>
      <c r="BD71" s="277">
        <v>5.9577884437741695E-2</v>
      </c>
      <c r="BE71" s="277">
        <v>5.8699415410650713E-2</v>
      </c>
      <c r="BF71" s="277">
        <v>6.4742943351118576E-2</v>
      </c>
      <c r="BG71" s="277">
        <v>6.6669451559595388E-2</v>
      </c>
      <c r="BH71" s="275">
        <v>7.5037793208839618E-2</v>
      </c>
    </row>
    <row r="72" spans="1:60" s="168" customFormat="1" x14ac:dyDescent="0.2">
      <c r="A72" s="269" t="str">
        <f t="shared" si="76"/>
        <v>25-29</v>
      </c>
      <c r="B72" s="277">
        <v>54.132987761997782</v>
      </c>
      <c r="C72" s="277">
        <v>59.30277365778997</v>
      </c>
      <c r="D72" s="277">
        <v>53.119400404129237</v>
      </c>
      <c r="E72" s="277">
        <v>53.434184420591016</v>
      </c>
      <c r="F72" s="275">
        <v>46.384829749714591</v>
      </c>
      <c r="G72" s="277"/>
      <c r="H72" s="277">
        <v>15.657402965414564</v>
      </c>
      <c r="I72" s="277">
        <v>17.15271266465906</v>
      </c>
      <c r="J72" s="277">
        <v>15.364227768456015</v>
      </c>
      <c r="K72" s="277">
        <v>15.455258797856304</v>
      </c>
      <c r="L72" s="275">
        <v>13.416311066916181</v>
      </c>
      <c r="M72" s="277"/>
      <c r="N72" s="277">
        <v>38.47558479658322</v>
      </c>
      <c r="O72" s="277">
        <v>42.150060993130907</v>
      </c>
      <c r="P72" s="277">
        <v>37.755172635673226</v>
      </c>
      <c r="Q72" s="277">
        <v>37.978925622734714</v>
      </c>
      <c r="R72" s="275">
        <v>32.968518682798404</v>
      </c>
      <c r="S72" s="277"/>
      <c r="T72" s="277">
        <v>0</v>
      </c>
      <c r="U72" s="277">
        <v>0</v>
      </c>
      <c r="V72" s="277">
        <v>0</v>
      </c>
      <c r="W72" s="277">
        <v>0</v>
      </c>
      <c r="X72" s="275">
        <v>0</v>
      </c>
      <c r="Y72" s="269" t="str">
        <f t="shared" si="77"/>
        <v>25-29</v>
      </c>
      <c r="Z72" s="277">
        <v>149.16941523155822</v>
      </c>
      <c r="AA72" s="277">
        <v>137.65111832560171</v>
      </c>
      <c r="AB72" s="277">
        <v>143.78119393240843</v>
      </c>
      <c r="AC72" s="277">
        <v>153.35525074005449</v>
      </c>
      <c r="AD72" s="275">
        <v>151.04532202229836</v>
      </c>
      <c r="AE72" s="277"/>
      <c r="AF72" s="277">
        <v>139.54207798178672</v>
      </c>
      <c r="AG72" s="277">
        <v>128.76718250907044</v>
      </c>
      <c r="AH72" s="277">
        <v>134.50166828917818</v>
      </c>
      <c r="AI72" s="277">
        <v>143.4577811169944</v>
      </c>
      <c r="AJ72" s="275">
        <v>141.29698663959073</v>
      </c>
      <c r="AK72" s="277"/>
      <c r="AL72" s="277">
        <v>9.6273372497715179</v>
      </c>
      <c r="AM72" s="277">
        <v>8.8839358165312774</v>
      </c>
      <c r="AN72" s="277">
        <v>9.2795256432302509</v>
      </c>
      <c r="AO72" s="277">
        <v>9.8974696230601076</v>
      </c>
      <c r="AP72" s="275">
        <v>9.7483353827076193</v>
      </c>
      <c r="AQ72" s="269" t="str">
        <f t="shared" si="78"/>
        <v>25-29</v>
      </c>
      <c r="AR72" s="277">
        <v>114.08059700644398</v>
      </c>
      <c r="AS72" s="277">
        <v>119.54710801660832</v>
      </c>
      <c r="AT72" s="277">
        <v>121.54440566346231</v>
      </c>
      <c r="AU72" s="277">
        <v>131.36556483935448</v>
      </c>
      <c r="AV72" s="275">
        <v>131.1628482279871</v>
      </c>
      <c r="AW72" s="277"/>
      <c r="AX72" s="277">
        <v>112.96810261144897</v>
      </c>
      <c r="AY72" s="277">
        <v>118.38128469844733</v>
      </c>
      <c r="AZ72" s="277">
        <v>120.35910614116368</v>
      </c>
      <c r="BA72" s="277">
        <v>130.08456385999412</v>
      </c>
      <c r="BB72" s="275">
        <v>129.88383705598</v>
      </c>
      <c r="BC72" s="277"/>
      <c r="BD72" s="277">
        <v>1.1124943949950061</v>
      </c>
      <c r="BE72" s="277">
        <v>1.1658233181609874</v>
      </c>
      <c r="BF72" s="277">
        <v>1.1852995222986344</v>
      </c>
      <c r="BG72" s="277">
        <v>1.2810009793603585</v>
      </c>
      <c r="BH72" s="275">
        <v>1.2790111720071109</v>
      </c>
    </row>
    <row r="73" spans="1:60" s="168" customFormat="1" x14ac:dyDescent="0.2">
      <c r="A73" s="269" t="str">
        <f t="shared" si="76"/>
        <v>30-34</v>
      </c>
      <c r="B73" s="277">
        <v>59.746194470013975</v>
      </c>
      <c r="C73" s="277">
        <v>55.826048413105191</v>
      </c>
      <c r="D73" s="277">
        <v>52.687517039427384</v>
      </c>
      <c r="E73" s="277">
        <v>49.043992638223799</v>
      </c>
      <c r="F73" s="275">
        <v>42.215560181056873</v>
      </c>
      <c r="G73" s="277"/>
      <c r="H73" s="277">
        <v>19.460449413601172</v>
      </c>
      <c r="I73" s="277">
        <v>18.183578385321248</v>
      </c>
      <c r="J73" s="277">
        <v>17.161250414897957</v>
      </c>
      <c r="K73" s="277">
        <v>15.974514770585094</v>
      </c>
      <c r="L73" s="275">
        <v>13.750439228926275</v>
      </c>
      <c r="M73" s="277"/>
      <c r="N73" s="277">
        <v>40.285745056412807</v>
      </c>
      <c r="O73" s="277">
        <v>37.642470027783951</v>
      </c>
      <c r="P73" s="277">
        <v>35.526266624529427</v>
      </c>
      <c r="Q73" s="277">
        <v>33.069477867638696</v>
      </c>
      <c r="R73" s="275">
        <v>28.465120952130594</v>
      </c>
      <c r="S73" s="277"/>
      <c r="T73" s="277">
        <v>0</v>
      </c>
      <c r="U73" s="277">
        <v>0</v>
      </c>
      <c r="V73" s="277">
        <v>0</v>
      </c>
      <c r="W73" s="277">
        <v>0</v>
      </c>
      <c r="X73" s="275">
        <v>0</v>
      </c>
      <c r="Y73" s="269" t="str">
        <f t="shared" si="77"/>
        <v>30-34</v>
      </c>
      <c r="Z73" s="277">
        <v>143.97550755975615</v>
      </c>
      <c r="AA73" s="277">
        <v>143.04692062923695</v>
      </c>
      <c r="AB73" s="277">
        <v>150.54112992034914</v>
      </c>
      <c r="AC73" s="277">
        <v>160.10889854017847</v>
      </c>
      <c r="AD73" s="275">
        <v>177.21576862141688</v>
      </c>
      <c r="AE73" s="277"/>
      <c r="AF73" s="277">
        <v>134.51151244341474</v>
      </c>
      <c r="AG73" s="277">
        <v>133.6439199496856</v>
      </c>
      <c r="AH73" s="277">
        <v>140.64555798795368</v>
      </c>
      <c r="AI73" s="277">
        <v>149.58441151968711</v>
      </c>
      <c r="AJ73" s="275">
        <v>165.5667550636862</v>
      </c>
      <c r="AK73" s="277"/>
      <c r="AL73" s="277">
        <v>9.4639951163413958</v>
      </c>
      <c r="AM73" s="277">
        <v>9.4030006795513597</v>
      </c>
      <c r="AN73" s="277">
        <v>9.8955719323954607</v>
      </c>
      <c r="AO73" s="277">
        <v>10.524487020491364</v>
      </c>
      <c r="AP73" s="275">
        <v>11.649013557730687</v>
      </c>
      <c r="AQ73" s="269" t="str">
        <f t="shared" si="78"/>
        <v>30-34</v>
      </c>
      <c r="AR73" s="277">
        <v>126.29229797022987</v>
      </c>
      <c r="AS73" s="277">
        <v>134.62703095765789</v>
      </c>
      <c r="AT73" s="277">
        <v>139.10335304022348</v>
      </c>
      <c r="AU73" s="277">
        <v>148.01810882159774</v>
      </c>
      <c r="AV73" s="275">
        <v>167.58267119752625</v>
      </c>
      <c r="AW73" s="277"/>
      <c r="AX73" s="277">
        <v>122.95073277336256</v>
      </c>
      <c r="AY73" s="277">
        <v>131.06497700319039</v>
      </c>
      <c r="AZ73" s="277">
        <v>135.42281890028266</v>
      </c>
      <c r="BA73" s="277">
        <v>144.10171770063747</v>
      </c>
      <c r="BB73" s="275">
        <v>163.14861509949301</v>
      </c>
      <c r="BC73" s="277"/>
      <c r="BD73" s="277">
        <v>3.3415651968673079</v>
      </c>
      <c r="BE73" s="277">
        <v>3.5620539544675016</v>
      </c>
      <c r="BF73" s="277">
        <v>3.6805341399408</v>
      </c>
      <c r="BG73" s="277">
        <v>3.9163911209602649</v>
      </c>
      <c r="BH73" s="275">
        <v>4.434056098033226</v>
      </c>
    </row>
    <row r="74" spans="1:60" s="168" customFormat="1" x14ac:dyDescent="0.2">
      <c r="A74" s="269" t="str">
        <f t="shared" si="76"/>
        <v>35-39</v>
      </c>
      <c r="B74" s="277">
        <v>72.389274390689224</v>
      </c>
      <c r="C74" s="277">
        <v>71.644104598988108</v>
      </c>
      <c r="D74" s="277">
        <v>56.546565915153813</v>
      </c>
      <c r="E74" s="277">
        <v>46.727112769454443</v>
      </c>
      <c r="F74" s="275">
        <v>36.765389039064232</v>
      </c>
      <c r="G74" s="277"/>
      <c r="H74" s="277">
        <v>22.092351099930109</v>
      </c>
      <c r="I74" s="277">
        <v>21.864916566985048</v>
      </c>
      <c r="J74" s="277">
        <v>17.257326348768249</v>
      </c>
      <c r="K74" s="277">
        <v>14.26057413503738</v>
      </c>
      <c r="L74" s="275">
        <v>11.220343143702051</v>
      </c>
      <c r="M74" s="277"/>
      <c r="N74" s="277">
        <v>50.296923290759125</v>
      </c>
      <c r="O74" s="277">
        <v>49.779188032003056</v>
      </c>
      <c r="P74" s="277">
        <v>39.289239566385561</v>
      </c>
      <c r="Q74" s="277">
        <v>32.466538634417063</v>
      </c>
      <c r="R74" s="275">
        <v>25.545045895362183</v>
      </c>
      <c r="S74" s="277"/>
      <c r="T74" s="277">
        <v>0</v>
      </c>
      <c r="U74" s="277">
        <v>0</v>
      </c>
      <c r="V74" s="277">
        <v>0</v>
      </c>
      <c r="W74" s="277">
        <v>0</v>
      </c>
      <c r="X74" s="275">
        <v>0</v>
      </c>
      <c r="Y74" s="269" t="str">
        <f t="shared" si="77"/>
        <v>35-39</v>
      </c>
      <c r="Z74" s="277">
        <v>168.36341500024318</v>
      </c>
      <c r="AA74" s="277">
        <v>149.22804572146893</v>
      </c>
      <c r="AB74" s="277">
        <v>145.3653492467291</v>
      </c>
      <c r="AC74" s="277">
        <v>157.84177384899948</v>
      </c>
      <c r="AD74" s="275">
        <v>170.08164787734725</v>
      </c>
      <c r="AE74" s="277"/>
      <c r="AF74" s="277">
        <v>158.73056855159768</v>
      </c>
      <c r="AG74" s="277">
        <v>140.68998106739087</v>
      </c>
      <c r="AH74" s="277">
        <v>137.0482794654304</v>
      </c>
      <c r="AI74" s="277">
        <v>148.81088905475639</v>
      </c>
      <c r="AJ74" s="275">
        <v>160.35047022072709</v>
      </c>
      <c r="AK74" s="277"/>
      <c r="AL74" s="277">
        <v>9.632846448645493</v>
      </c>
      <c r="AM74" s="277">
        <v>8.53806465407804</v>
      </c>
      <c r="AN74" s="277">
        <v>8.3170697812987289</v>
      </c>
      <c r="AO74" s="277">
        <v>9.0308847942430752</v>
      </c>
      <c r="AP74" s="275">
        <v>9.7311776566201527</v>
      </c>
      <c r="AQ74" s="269" t="str">
        <f t="shared" si="78"/>
        <v>35-39</v>
      </c>
      <c r="AR74" s="277">
        <v>130.00931060906763</v>
      </c>
      <c r="AS74" s="277">
        <v>141.63984967954292</v>
      </c>
      <c r="AT74" s="277">
        <v>140.96708483811705</v>
      </c>
      <c r="AU74" s="277">
        <v>156.05411338154607</v>
      </c>
      <c r="AV74" s="275">
        <v>171.1889630835885</v>
      </c>
      <c r="AW74" s="277"/>
      <c r="AX74" s="277">
        <v>126.80367098267918</v>
      </c>
      <c r="AY74" s="277">
        <v>138.14739398786907</v>
      </c>
      <c r="AZ74" s="277">
        <v>137.49128574990962</v>
      </c>
      <c r="BA74" s="277">
        <v>152.20632202622306</v>
      </c>
      <c r="BB74" s="275">
        <v>166.96792004521947</v>
      </c>
      <c r="BC74" s="277"/>
      <c r="BD74" s="277">
        <v>3.2056396263884279</v>
      </c>
      <c r="BE74" s="277">
        <v>3.4924556916738441</v>
      </c>
      <c r="BF74" s="277">
        <v>3.4757990882074257</v>
      </c>
      <c r="BG74" s="277">
        <v>3.8477913553230336</v>
      </c>
      <c r="BH74" s="275">
        <v>4.2210430383690394</v>
      </c>
    </row>
    <row r="75" spans="1:60" s="168" customFormat="1" x14ac:dyDescent="0.2">
      <c r="A75" s="269" t="str">
        <f t="shared" si="76"/>
        <v>40-44</v>
      </c>
      <c r="B75" s="277">
        <v>93.704921018490225</v>
      </c>
      <c r="C75" s="277">
        <v>86.025081460274208</v>
      </c>
      <c r="D75" s="277">
        <v>64.749495706932109</v>
      </c>
      <c r="E75" s="277">
        <v>46.877352399091471</v>
      </c>
      <c r="F75" s="275">
        <v>36.022235674570041</v>
      </c>
      <c r="G75" s="277"/>
      <c r="H75" s="277">
        <v>28.726825295106707</v>
      </c>
      <c r="I75" s="277">
        <v>26.372500122799597</v>
      </c>
      <c r="J75" s="277">
        <v>19.850090685545279</v>
      </c>
      <c r="K75" s="277">
        <v>14.37105615293013</v>
      </c>
      <c r="L75" s="275">
        <v>11.043233820019529</v>
      </c>
      <c r="M75" s="277"/>
      <c r="N75" s="277">
        <v>64.978095723383518</v>
      </c>
      <c r="O75" s="277">
        <v>59.652581337474615</v>
      </c>
      <c r="P75" s="277">
        <v>44.899405021386841</v>
      </c>
      <c r="Q75" s="277">
        <v>32.506296246161341</v>
      </c>
      <c r="R75" s="275">
        <v>24.979001854550507</v>
      </c>
      <c r="S75" s="277"/>
      <c r="T75" s="277">
        <v>0</v>
      </c>
      <c r="U75" s="277">
        <v>0</v>
      </c>
      <c r="V75" s="277">
        <v>0</v>
      </c>
      <c r="W75" s="277">
        <v>0</v>
      </c>
      <c r="X75" s="275">
        <v>0</v>
      </c>
      <c r="Y75" s="269" t="str">
        <f t="shared" si="77"/>
        <v>40-44</v>
      </c>
      <c r="Z75" s="277">
        <v>164.09838718909504</v>
      </c>
      <c r="AA75" s="277">
        <v>154.9023270474899</v>
      </c>
      <c r="AB75" s="277">
        <v>149.73668224901951</v>
      </c>
      <c r="AC75" s="277">
        <v>152.17875641282711</v>
      </c>
      <c r="AD75" s="275">
        <v>165.42214209784782</v>
      </c>
      <c r="AE75" s="277"/>
      <c r="AF75" s="277">
        <v>156.03959735584664</v>
      </c>
      <c r="AG75" s="277">
        <v>147.29512638226808</v>
      </c>
      <c r="AH75" s="277">
        <v>142.38323098553826</v>
      </c>
      <c r="AI75" s="277">
        <v>144.70535111932526</v>
      </c>
      <c r="AJ75" s="275">
        <v>157.29833296840684</v>
      </c>
      <c r="AK75" s="277"/>
      <c r="AL75" s="277">
        <v>8.0587898332483814</v>
      </c>
      <c r="AM75" s="277">
        <v>7.6072006652217956</v>
      </c>
      <c r="AN75" s="277">
        <v>7.3534512634812508</v>
      </c>
      <c r="AO75" s="277">
        <v>7.4734052935018527</v>
      </c>
      <c r="AP75" s="275">
        <v>8.1238091294409802</v>
      </c>
      <c r="AQ75" s="269" t="str">
        <f t="shared" si="78"/>
        <v>40-44</v>
      </c>
      <c r="AR75" s="277">
        <v>126.01269179241478</v>
      </c>
      <c r="AS75" s="277">
        <v>132.67959149223591</v>
      </c>
      <c r="AT75" s="277">
        <v>143.37582204404833</v>
      </c>
      <c r="AU75" s="277">
        <v>148.33089118808141</v>
      </c>
      <c r="AV75" s="275">
        <v>163.98362222758209</v>
      </c>
      <c r="AW75" s="277"/>
      <c r="AX75" s="277">
        <v>123.30009020573293</v>
      </c>
      <c r="AY75" s="277">
        <v>129.8235193902282</v>
      </c>
      <c r="AZ75" s="277">
        <v>140.28954114726304</v>
      </c>
      <c r="BA75" s="277">
        <v>145.13792831010065</v>
      </c>
      <c r="BB75" s="275">
        <v>160.4537346018306</v>
      </c>
      <c r="BC75" s="277"/>
      <c r="BD75" s="277">
        <v>2.7126015866818696</v>
      </c>
      <c r="BE75" s="277">
        <v>2.85607210200773</v>
      </c>
      <c r="BF75" s="277">
        <v>3.0862808967852815</v>
      </c>
      <c r="BG75" s="277">
        <v>3.1929628779807668</v>
      </c>
      <c r="BH75" s="275">
        <v>3.5298876257514915</v>
      </c>
    </row>
    <row r="76" spans="1:60" s="168" customFormat="1" x14ac:dyDescent="0.2">
      <c r="A76" s="269" t="str">
        <f t="shared" si="76"/>
        <v>45-49</v>
      </c>
      <c r="B76" s="277">
        <v>115.30181592604359</v>
      </c>
      <c r="C76" s="277">
        <v>109.33182845391168</v>
      </c>
      <c r="D76" s="277">
        <v>79.086091683348073</v>
      </c>
      <c r="E76" s="277">
        <v>61.499061829076247</v>
      </c>
      <c r="F76" s="275">
        <v>46.838498328679577</v>
      </c>
      <c r="G76" s="277"/>
      <c r="H76" s="277">
        <v>35.170555457916208</v>
      </c>
      <c r="I76" s="277">
        <v>33.349530919839154</v>
      </c>
      <c r="J76" s="277">
        <v>24.123666078720824</v>
      </c>
      <c r="K76" s="277">
        <v>18.759060670682956</v>
      </c>
      <c r="L76" s="275">
        <v>14.287158175019892</v>
      </c>
      <c r="M76" s="277"/>
      <c r="N76" s="277">
        <v>80.131260468127394</v>
      </c>
      <c r="O76" s="277">
        <v>75.982297534072529</v>
      </c>
      <c r="P76" s="277">
        <v>54.962425604627256</v>
      </c>
      <c r="Q76" s="277">
        <v>42.740001158393298</v>
      </c>
      <c r="R76" s="275">
        <v>32.55134015365968</v>
      </c>
      <c r="S76" s="277"/>
      <c r="T76" s="277">
        <v>0</v>
      </c>
      <c r="U76" s="277">
        <v>0</v>
      </c>
      <c r="V76" s="277">
        <v>0</v>
      </c>
      <c r="W76" s="277">
        <v>0</v>
      </c>
      <c r="X76" s="275">
        <v>0</v>
      </c>
      <c r="Y76" s="269" t="str">
        <f t="shared" si="77"/>
        <v>45-49</v>
      </c>
      <c r="Z76" s="277">
        <v>139.47645471921948</v>
      </c>
      <c r="AA76" s="277">
        <v>142.31555594986082</v>
      </c>
      <c r="AB76" s="277">
        <v>150.05821621827403</v>
      </c>
      <c r="AC76" s="277">
        <v>153.64746661870106</v>
      </c>
      <c r="AD76" s="275">
        <v>155.27997647346041</v>
      </c>
      <c r="AE76" s="277"/>
      <c r="AF76" s="277">
        <v>133.76971424566429</v>
      </c>
      <c r="AG76" s="277">
        <v>136.49269012868396</v>
      </c>
      <c r="AH76" s="277">
        <v>143.91849594775999</v>
      </c>
      <c r="AI76" s="277">
        <v>147.36094259416896</v>
      </c>
      <c r="AJ76" s="275">
        <v>148.92665752037087</v>
      </c>
      <c r="AK76" s="277"/>
      <c r="AL76" s="277">
        <v>5.7067404735551852</v>
      </c>
      <c r="AM76" s="277">
        <v>5.8228658211768556</v>
      </c>
      <c r="AN76" s="277">
        <v>6.1397202705140401</v>
      </c>
      <c r="AO76" s="277">
        <v>6.2865240245320777</v>
      </c>
      <c r="AP76" s="275">
        <v>6.3533189530895484</v>
      </c>
      <c r="AQ76" s="269" t="str">
        <f t="shared" si="78"/>
        <v>45-49</v>
      </c>
      <c r="AR76" s="277">
        <v>120.1197293547369</v>
      </c>
      <c r="AS76" s="277">
        <v>129.44461559622746</v>
      </c>
      <c r="AT76" s="277">
        <v>136.0726920983779</v>
      </c>
      <c r="AU76" s="277">
        <v>140.49347155222273</v>
      </c>
      <c r="AV76" s="275">
        <v>143.29652519786003</v>
      </c>
      <c r="AW76" s="277"/>
      <c r="AX76" s="277">
        <v>117.05294273548799</v>
      </c>
      <c r="AY76" s="277">
        <v>126.13980543389869</v>
      </c>
      <c r="AZ76" s="277">
        <v>132.59867152271417</v>
      </c>
      <c r="BA76" s="277">
        <v>136.90652744386634</v>
      </c>
      <c r="BB76" s="275">
        <v>139.63803926200524</v>
      </c>
      <c r="BC76" s="277"/>
      <c r="BD76" s="277">
        <v>3.0667866192489188</v>
      </c>
      <c r="BE76" s="277">
        <v>3.3048101623287747</v>
      </c>
      <c r="BF76" s="277">
        <v>3.4740205756637477</v>
      </c>
      <c r="BG76" s="277">
        <v>3.5869441083564158</v>
      </c>
      <c r="BH76" s="275">
        <v>3.6584859358547694</v>
      </c>
    </row>
    <row r="77" spans="1:60" s="168" customFormat="1" x14ac:dyDescent="0.2">
      <c r="A77" s="269" t="str">
        <f t="shared" si="76"/>
        <v>50-54</v>
      </c>
      <c r="B77" s="277">
        <v>111.27520275605481</v>
      </c>
      <c r="C77" s="277">
        <v>116.43002391638842</v>
      </c>
      <c r="D77" s="277">
        <v>99.298446084176007</v>
      </c>
      <c r="E77" s="277">
        <v>84.486604991419114</v>
      </c>
      <c r="F77" s="275">
        <v>69.243878653988489</v>
      </c>
      <c r="G77" s="277"/>
      <c r="H77" s="277">
        <v>39.173130960659876</v>
      </c>
      <c r="I77" s="277">
        <v>40.987832117041947</v>
      </c>
      <c r="J77" s="277">
        <v>34.956838880438383</v>
      </c>
      <c r="K77" s="277">
        <v>29.742505447101941</v>
      </c>
      <c r="L77" s="275">
        <v>24.376494465649984</v>
      </c>
      <c r="M77" s="277"/>
      <c r="N77" s="277">
        <v>72.102071795394934</v>
      </c>
      <c r="O77" s="277">
        <v>75.442191799346489</v>
      </c>
      <c r="P77" s="277">
        <v>64.34160720373761</v>
      </c>
      <c r="Q77" s="277">
        <v>54.74409954431718</v>
      </c>
      <c r="R77" s="275">
        <v>44.867384188338512</v>
      </c>
      <c r="S77" s="277"/>
      <c r="T77" s="277">
        <v>0</v>
      </c>
      <c r="U77" s="277">
        <v>0</v>
      </c>
      <c r="V77" s="277">
        <v>0</v>
      </c>
      <c r="W77" s="277">
        <v>0</v>
      </c>
      <c r="X77" s="275">
        <v>0</v>
      </c>
      <c r="Y77" s="269" t="str">
        <f t="shared" si="77"/>
        <v>50-54</v>
      </c>
      <c r="Z77" s="277">
        <v>113.3960574955765</v>
      </c>
      <c r="AA77" s="277">
        <v>121.59249637417638</v>
      </c>
      <c r="AB77" s="277">
        <v>133.48105449911949</v>
      </c>
      <c r="AC77" s="277">
        <v>141.58741797337134</v>
      </c>
      <c r="AD77" s="275">
        <v>145.63112009368126</v>
      </c>
      <c r="AE77" s="277"/>
      <c r="AF77" s="277">
        <v>108.44421929852143</v>
      </c>
      <c r="AG77" s="277">
        <v>116.28270261170104</v>
      </c>
      <c r="AH77" s="277">
        <v>127.65209448250005</v>
      </c>
      <c r="AI77" s="277">
        <v>135.40448983032255</v>
      </c>
      <c r="AJ77" s="275">
        <v>139.27159339268175</v>
      </c>
      <c r="AK77" s="277"/>
      <c r="AL77" s="277">
        <v>4.9518381970550793</v>
      </c>
      <c r="AM77" s="277">
        <v>5.3097937624753415</v>
      </c>
      <c r="AN77" s="277">
        <v>5.828960016619444</v>
      </c>
      <c r="AO77" s="277">
        <v>6.1829281430488319</v>
      </c>
      <c r="AP77" s="275">
        <v>6.3595267009995187</v>
      </c>
      <c r="AQ77" s="269" t="str">
        <f t="shared" si="78"/>
        <v>50-54</v>
      </c>
      <c r="AR77" s="277">
        <v>95.512739748368674</v>
      </c>
      <c r="AS77" s="277">
        <v>104.88647970943516</v>
      </c>
      <c r="AT77" s="277">
        <v>127.31949941670452</v>
      </c>
      <c r="AU77" s="277">
        <v>134.10597703520958</v>
      </c>
      <c r="AV77" s="275">
        <v>137.3260012523302</v>
      </c>
      <c r="AW77" s="277"/>
      <c r="AX77" s="277">
        <v>92.592908798161787</v>
      </c>
      <c r="AY77" s="277">
        <v>101.68009864647333</v>
      </c>
      <c r="AZ77" s="277">
        <v>123.42737975287275</v>
      </c>
      <c r="BA77" s="277">
        <v>130.00642315954263</v>
      </c>
      <c r="BB77" s="275">
        <v>133.12800670973192</v>
      </c>
      <c r="BC77" s="277"/>
      <c r="BD77" s="277">
        <v>2.9198309502068871</v>
      </c>
      <c r="BE77" s="277">
        <v>3.2063810629618299</v>
      </c>
      <c r="BF77" s="277">
        <v>3.892119663831775</v>
      </c>
      <c r="BG77" s="277">
        <v>4.0995538756669365</v>
      </c>
      <c r="BH77" s="275">
        <v>4.1979945425982796</v>
      </c>
    </row>
    <row r="78" spans="1:60" s="168" customFormat="1" x14ac:dyDescent="0.2">
      <c r="A78" s="269" t="str">
        <f t="shared" si="76"/>
        <v>55-59</v>
      </c>
      <c r="B78" s="277">
        <v>68.012091171952278</v>
      </c>
      <c r="C78" s="277">
        <v>76.192899119068656</v>
      </c>
      <c r="D78" s="277">
        <v>80.959107437946358</v>
      </c>
      <c r="E78" s="277">
        <v>80.741803905128123</v>
      </c>
      <c r="F78" s="275">
        <v>67.11887912992232</v>
      </c>
      <c r="G78" s="277"/>
      <c r="H78" s="277">
        <v>26.951872424022827</v>
      </c>
      <c r="I78" s="277">
        <v>30.193746005149503</v>
      </c>
      <c r="J78" s="277">
        <v>32.082502271621657</v>
      </c>
      <c r="K78" s="277">
        <v>31.996398811217055</v>
      </c>
      <c r="L78" s="275">
        <v>26.597935178999514</v>
      </c>
      <c r="M78" s="277"/>
      <c r="N78" s="277">
        <v>41.060218747929468</v>
      </c>
      <c r="O78" s="277">
        <v>45.999153113919157</v>
      </c>
      <c r="P78" s="277">
        <v>48.876605166324701</v>
      </c>
      <c r="Q78" s="277">
        <v>48.74540509391106</v>
      </c>
      <c r="R78" s="275">
        <v>40.520943950922806</v>
      </c>
      <c r="S78" s="277"/>
      <c r="T78" s="277">
        <v>0</v>
      </c>
      <c r="U78" s="277">
        <v>0</v>
      </c>
      <c r="V78" s="277">
        <v>0</v>
      </c>
      <c r="W78" s="277">
        <v>0</v>
      </c>
      <c r="X78" s="275">
        <v>0</v>
      </c>
      <c r="Y78" s="269" t="str">
        <f t="shared" si="77"/>
        <v>55-59</v>
      </c>
      <c r="Z78" s="277">
        <v>72.790478327088792</v>
      </c>
      <c r="AA78" s="277">
        <v>72.824377516205331</v>
      </c>
      <c r="AB78" s="277">
        <v>88.796407596616632</v>
      </c>
      <c r="AC78" s="277">
        <v>107.12135329397736</v>
      </c>
      <c r="AD78" s="275">
        <v>114.12115272286486</v>
      </c>
      <c r="AE78" s="277"/>
      <c r="AF78" s="277">
        <v>68.801294834834081</v>
      </c>
      <c r="AG78" s="277">
        <v>68.83331603311845</v>
      </c>
      <c r="AH78" s="277">
        <v>83.930009776338608</v>
      </c>
      <c r="AI78" s="277">
        <v>101.25067814642075</v>
      </c>
      <c r="AJ78" s="275">
        <v>107.86683113473264</v>
      </c>
      <c r="AK78" s="277"/>
      <c r="AL78" s="277">
        <v>3.9891834922546994</v>
      </c>
      <c r="AM78" s="277">
        <v>3.9910614830868849</v>
      </c>
      <c r="AN78" s="277">
        <v>4.8663978202780056</v>
      </c>
      <c r="AO78" s="277">
        <v>5.8706751475565877</v>
      </c>
      <c r="AP78" s="275">
        <v>6.2543215881322256</v>
      </c>
      <c r="AQ78" s="269" t="str">
        <f t="shared" si="78"/>
        <v>55-59</v>
      </c>
      <c r="AR78" s="277">
        <v>71.997430500958913</v>
      </c>
      <c r="AS78" s="277">
        <v>80.286723364726001</v>
      </c>
      <c r="AT78" s="277">
        <v>97.623484965437029</v>
      </c>
      <c r="AU78" s="277">
        <v>111.25484280089452</v>
      </c>
      <c r="AV78" s="275">
        <v>119.13196814721282</v>
      </c>
      <c r="AW78" s="277"/>
      <c r="AX78" s="277">
        <v>69.435486947844097</v>
      </c>
      <c r="AY78" s="277">
        <v>77.429759529039274</v>
      </c>
      <c r="AZ78" s="277">
        <v>94.149691730122299</v>
      </c>
      <c r="BA78" s="277">
        <v>107.29594200979159</v>
      </c>
      <c r="BB78" s="275">
        <v>114.89276509261856</v>
      </c>
      <c r="BC78" s="277"/>
      <c r="BD78" s="277">
        <v>2.5619435531148169</v>
      </c>
      <c r="BE78" s="277">
        <v>2.8569638356867268</v>
      </c>
      <c r="BF78" s="277">
        <v>3.4737932353147438</v>
      </c>
      <c r="BG78" s="277">
        <v>3.9589007911029319</v>
      </c>
      <c r="BH78" s="275">
        <v>4.2392030545942614</v>
      </c>
    </row>
    <row r="79" spans="1:60" s="168" customFormat="1" x14ac:dyDescent="0.2">
      <c r="A79" s="269" t="str">
        <f t="shared" si="76"/>
        <v>60-64</v>
      </c>
      <c r="B79" s="277">
        <v>22.058986538549966</v>
      </c>
      <c r="C79" s="277">
        <v>25.725899636040516</v>
      </c>
      <c r="D79" s="277">
        <v>23.105090180247199</v>
      </c>
      <c r="E79" s="277">
        <v>23.482130526076944</v>
      </c>
      <c r="F79" s="275">
        <v>20.863456754363423</v>
      </c>
      <c r="G79" s="277"/>
      <c r="H79" s="277">
        <v>10.261625462059436</v>
      </c>
      <c r="I79" s="277">
        <v>11.967431555445883</v>
      </c>
      <c r="J79" s="277">
        <v>10.748274288790256</v>
      </c>
      <c r="K79" s="277">
        <v>10.923637169620605</v>
      </c>
      <c r="L79" s="275">
        <v>9.7054628731438477</v>
      </c>
      <c r="M79" s="277"/>
      <c r="N79" s="277">
        <v>11.797361076490528</v>
      </c>
      <c r="O79" s="277">
        <v>13.758468080594636</v>
      </c>
      <c r="P79" s="277">
        <v>12.356815891456941</v>
      </c>
      <c r="Q79" s="277">
        <v>12.558493356456339</v>
      </c>
      <c r="R79" s="275">
        <v>11.157993881219575</v>
      </c>
      <c r="S79" s="277"/>
      <c r="T79" s="277">
        <v>0</v>
      </c>
      <c r="U79" s="277">
        <v>0</v>
      </c>
      <c r="V79" s="277">
        <v>0</v>
      </c>
      <c r="W79" s="277">
        <v>0</v>
      </c>
      <c r="X79" s="275">
        <v>0</v>
      </c>
      <c r="Y79" s="269" t="str">
        <f t="shared" si="77"/>
        <v>60-64</v>
      </c>
      <c r="Z79" s="277">
        <v>19.033134372987352</v>
      </c>
      <c r="AA79" s="277">
        <v>23.139563185511207</v>
      </c>
      <c r="AB79" s="277">
        <v>29.062611970564706</v>
      </c>
      <c r="AC79" s="277">
        <v>37.775985439184019</v>
      </c>
      <c r="AD79" s="275">
        <v>45.699503561805081</v>
      </c>
      <c r="AE79" s="277"/>
      <c r="AF79" s="277">
        <v>18.159098770843201</v>
      </c>
      <c r="AG79" s="277">
        <v>22.076986233291766</v>
      </c>
      <c r="AH79" s="277">
        <v>27.728037414140051</v>
      </c>
      <c r="AI79" s="277">
        <v>36.041367319946715</v>
      </c>
      <c r="AJ79" s="275">
        <v>43.600996459396789</v>
      </c>
      <c r="AK79" s="277"/>
      <c r="AL79" s="277">
        <v>0.87403560214415288</v>
      </c>
      <c r="AM79" s="277">
        <v>1.0625769522194444</v>
      </c>
      <c r="AN79" s="277">
        <v>1.3345745564246547</v>
      </c>
      <c r="AO79" s="277">
        <v>1.7346181192372983</v>
      </c>
      <c r="AP79" s="275">
        <v>2.0985071024082935</v>
      </c>
      <c r="AQ79" s="269" t="str">
        <f t="shared" si="78"/>
        <v>60-64</v>
      </c>
      <c r="AR79" s="277">
        <v>28.502879088462684</v>
      </c>
      <c r="AS79" s="277">
        <v>37.330537178448267</v>
      </c>
      <c r="AT79" s="277">
        <v>46.611297849188091</v>
      </c>
      <c r="AU79" s="277">
        <v>59.348884034739037</v>
      </c>
      <c r="AV79" s="275">
        <v>72.006039683831503</v>
      </c>
      <c r="AW79" s="277"/>
      <c r="AX79" s="277">
        <v>26.621847428232694</v>
      </c>
      <c r="AY79" s="277">
        <v>34.866929781336395</v>
      </c>
      <c r="AZ79" s="277">
        <v>43.535121181596431</v>
      </c>
      <c r="BA79" s="277">
        <v>55.432075117845166</v>
      </c>
      <c r="BB79" s="275">
        <v>67.253939495670267</v>
      </c>
      <c r="BC79" s="277"/>
      <c r="BD79" s="277">
        <v>1.881031660229987</v>
      </c>
      <c r="BE79" s="277">
        <v>2.463607397111879</v>
      </c>
      <c r="BF79" s="277">
        <v>3.0761766675916631</v>
      </c>
      <c r="BG79" s="277">
        <v>3.9168089168938671</v>
      </c>
      <c r="BH79" s="275">
        <v>4.7521001881612417</v>
      </c>
    </row>
    <row r="80" spans="1:60" s="168" customFormat="1" x14ac:dyDescent="0.2">
      <c r="A80" s="269" t="str">
        <f t="shared" si="76"/>
        <v>65+</v>
      </c>
      <c r="B80" s="277">
        <v>6.9211439895691509</v>
      </c>
      <c r="C80" s="277">
        <v>11.403315499909841</v>
      </c>
      <c r="D80" s="277">
        <v>10.028756519263442</v>
      </c>
      <c r="E80" s="277">
        <v>7.9572606059831097</v>
      </c>
      <c r="F80" s="275">
        <v>6.1556020468771537</v>
      </c>
      <c r="G80" s="277"/>
      <c r="H80" s="277">
        <v>3.3880153703013169</v>
      </c>
      <c r="I80" s="277">
        <v>5.5821599276043257</v>
      </c>
      <c r="J80" s="277">
        <v>4.9092330155000692</v>
      </c>
      <c r="K80" s="277">
        <v>3.8952339057066752</v>
      </c>
      <c r="L80" s="275">
        <v>3.0132549845592425</v>
      </c>
      <c r="M80" s="277"/>
      <c r="N80" s="277">
        <v>3.5331286192678335</v>
      </c>
      <c r="O80" s="277">
        <v>5.8211555723055133</v>
      </c>
      <c r="P80" s="277">
        <v>5.1195235037633742</v>
      </c>
      <c r="Q80" s="277">
        <v>4.0620267002764345</v>
      </c>
      <c r="R80" s="275">
        <v>3.1423470623179108</v>
      </c>
      <c r="S80" s="277"/>
      <c r="T80" s="277">
        <v>0</v>
      </c>
      <c r="U80" s="277">
        <v>0</v>
      </c>
      <c r="V80" s="277">
        <v>0</v>
      </c>
      <c r="W80" s="277">
        <v>0</v>
      </c>
      <c r="X80" s="275">
        <v>0</v>
      </c>
      <c r="Y80" s="269" t="str">
        <f t="shared" si="77"/>
        <v>65+</v>
      </c>
      <c r="Z80" s="277">
        <v>5.0779151858860399</v>
      </c>
      <c r="AA80" s="277">
        <v>5.8560125079035359</v>
      </c>
      <c r="AB80" s="277">
        <v>7.4475071119826133</v>
      </c>
      <c r="AC80" s="277">
        <v>8.0611678258540653</v>
      </c>
      <c r="AD80" s="275">
        <v>8.6521443263082798</v>
      </c>
      <c r="AE80" s="277"/>
      <c r="AF80" s="277">
        <v>4.4280912105889678</v>
      </c>
      <c r="AG80" s="277">
        <v>5.1066439452522596</v>
      </c>
      <c r="AH80" s="277">
        <v>6.4944416235841498</v>
      </c>
      <c r="AI80" s="277">
        <v>7.0296284480755258</v>
      </c>
      <c r="AJ80" s="275">
        <v>7.5449282666861546</v>
      </c>
      <c r="AK80" s="277"/>
      <c r="AL80" s="277">
        <v>0.64982397529707225</v>
      </c>
      <c r="AM80" s="277">
        <v>0.74936856265127538</v>
      </c>
      <c r="AN80" s="277">
        <v>0.95306548839846261</v>
      </c>
      <c r="AO80" s="277">
        <v>1.03153937777854</v>
      </c>
      <c r="AP80" s="275">
        <v>1.1072160596221259</v>
      </c>
      <c r="AQ80" s="269" t="str">
        <f t="shared" si="78"/>
        <v>65+</v>
      </c>
      <c r="AR80" s="277">
        <v>10.295940824544813</v>
      </c>
      <c r="AS80" s="277">
        <v>8.0706719921866217</v>
      </c>
      <c r="AT80" s="277">
        <v>14.988736368753946</v>
      </c>
      <c r="AU80" s="277">
        <v>18.053571568162823</v>
      </c>
      <c r="AV80" s="275">
        <v>21.595253626814571</v>
      </c>
      <c r="AW80" s="277"/>
      <c r="AX80" s="277">
        <v>9.5711093689595526</v>
      </c>
      <c r="AY80" s="277">
        <v>7.5024694874410747</v>
      </c>
      <c r="AZ80" s="277">
        <v>13.933474089451744</v>
      </c>
      <c r="BA80" s="277">
        <v>16.782613628155822</v>
      </c>
      <c r="BB80" s="275">
        <v>20.07497877515241</v>
      </c>
      <c r="BC80" s="277"/>
      <c r="BD80" s="277">
        <v>0.72483145558525974</v>
      </c>
      <c r="BE80" s="277">
        <v>0.5682025047455489</v>
      </c>
      <c r="BF80" s="277">
        <v>1.0552622793022017</v>
      </c>
      <c r="BG80" s="277">
        <v>1.2709579400070001</v>
      </c>
      <c r="BH80" s="275">
        <v>1.5202748516621645</v>
      </c>
    </row>
    <row r="81" spans="1:60" s="168" customFormat="1" x14ac:dyDescent="0.2">
      <c r="B81" s="275"/>
      <c r="C81" s="275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5"/>
      <c r="S81" s="275"/>
      <c r="T81" s="169"/>
      <c r="U81" s="169"/>
      <c r="V81" s="169"/>
      <c r="W81" s="169"/>
      <c r="X81" s="169"/>
      <c r="Z81" s="275"/>
      <c r="AA81" s="275"/>
      <c r="AB81" s="275"/>
      <c r="AC81" s="275"/>
      <c r="AD81" s="275"/>
      <c r="AE81" s="275"/>
      <c r="AF81" s="275"/>
      <c r="AG81" s="275"/>
      <c r="AH81" s="275"/>
      <c r="AI81" s="275"/>
      <c r="AJ81" s="275"/>
      <c r="AK81" s="275"/>
      <c r="AL81" s="275"/>
      <c r="AM81" s="275"/>
      <c r="AN81" s="275"/>
      <c r="AO81" s="275"/>
      <c r="AP81" s="275"/>
      <c r="AR81" s="277"/>
      <c r="AS81" s="277"/>
      <c r="AT81" s="277"/>
      <c r="AU81" s="277"/>
      <c r="AV81" s="275"/>
      <c r="AW81" s="275"/>
      <c r="AX81" s="275"/>
      <c r="AY81" s="275"/>
      <c r="AZ81" s="275"/>
      <c r="BA81" s="275"/>
      <c r="BB81" s="275"/>
      <c r="BC81" s="275"/>
      <c r="BD81" s="275"/>
      <c r="BE81" s="275"/>
      <c r="BF81" s="275"/>
      <c r="BG81" s="275"/>
      <c r="BH81" s="275"/>
    </row>
    <row r="82" spans="1:60" s="168" customFormat="1" x14ac:dyDescent="0.2">
      <c r="A82" s="224" t="str">
        <f>A34</f>
        <v>Females</v>
      </c>
      <c r="B82" s="275"/>
      <c r="C82" s="275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75"/>
      <c r="S82" s="275"/>
      <c r="T82" s="169"/>
      <c r="U82" s="169"/>
      <c r="V82" s="169"/>
      <c r="W82" s="169"/>
      <c r="X82" s="169"/>
      <c r="Y82" s="224" t="str">
        <f>Y34</f>
        <v>Females</v>
      </c>
      <c r="Z82" s="275"/>
      <c r="AA82" s="275"/>
      <c r="AB82" s="275"/>
      <c r="AC82" s="275"/>
      <c r="AD82" s="275"/>
      <c r="AE82" s="275"/>
      <c r="AF82" s="275"/>
      <c r="AG82" s="275"/>
      <c r="AH82" s="275"/>
      <c r="AI82" s="275"/>
      <c r="AJ82" s="275"/>
      <c r="AK82" s="275"/>
      <c r="AL82" s="275"/>
      <c r="AM82" s="275"/>
      <c r="AN82" s="275"/>
      <c r="AO82" s="275"/>
      <c r="AP82" s="275"/>
      <c r="AQ82" s="224" t="str">
        <f>AQ34</f>
        <v>Females</v>
      </c>
      <c r="AR82" s="278"/>
      <c r="AS82" s="278"/>
      <c r="AT82" s="278"/>
      <c r="AU82" s="278"/>
      <c r="AV82" s="275"/>
      <c r="AW82" s="275"/>
      <c r="AX82" s="275"/>
      <c r="AY82" s="275"/>
      <c r="AZ82" s="275"/>
      <c r="BA82" s="275"/>
      <c r="BB82" s="275"/>
      <c r="BC82" s="275"/>
      <c r="BD82" s="275"/>
      <c r="BE82" s="275"/>
      <c r="BF82" s="275"/>
      <c r="BG82" s="275"/>
      <c r="BH82" s="275"/>
    </row>
    <row r="83" spans="1:60" s="168" customFormat="1" x14ac:dyDescent="0.2">
      <c r="A83" s="269" t="str">
        <f>A35</f>
        <v>15+</v>
      </c>
      <c r="B83" s="277">
        <f>SUM(B84:B94)</f>
        <v>423.06360139942507</v>
      </c>
      <c r="C83" s="277">
        <f t="shared" ref="C83:F83" si="79">SUM(C84:C94)</f>
        <v>420.02944292320001</v>
      </c>
      <c r="D83" s="277">
        <f t="shared" si="79"/>
        <v>340.32430055838188</v>
      </c>
      <c r="E83" s="277">
        <f t="shared" si="79"/>
        <v>280.86469102706656</v>
      </c>
      <c r="F83" s="277">
        <f t="shared" si="79"/>
        <v>223.76680386266278</v>
      </c>
      <c r="G83" s="277"/>
      <c r="H83" s="277">
        <f>SUM(H84:H94)</f>
        <v>145.89694047973552</v>
      </c>
      <c r="I83" s="277">
        <f t="shared" ref="I83:L83" si="80">SUM(I84:I94)</f>
        <v>145.07481013301967</v>
      </c>
      <c r="J83" s="277">
        <f t="shared" si="80"/>
        <v>119.0698940829858</v>
      </c>
      <c r="K83" s="277">
        <f t="shared" si="80"/>
        <v>97.685423606672089</v>
      </c>
      <c r="L83" s="277">
        <f t="shared" si="80"/>
        <v>77.126697351246889</v>
      </c>
      <c r="M83" s="277"/>
      <c r="N83" s="277">
        <f>SUM(N84:N94)</f>
        <v>277.16666091968955</v>
      </c>
      <c r="O83" s="277">
        <f t="shared" ref="O83:R83" si="81">SUM(O84:O94)</f>
        <v>274.95463279018031</v>
      </c>
      <c r="P83" s="277">
        <f t="shared" si="81"/>
        <v>221.25440647539608</v>
      </c>
      <c r="Q83" s="277">
        <f t="shared" si="81"/>
        <v>183.17926742039447</v>
      </c>
      <c r="R83" s="277">
        <f t="shared" si="81"/>
        <v>146.64010651141589</v>
      </c>
      <c r="S83" s="277"/>
      <c r="T83" s="277">
        <f>SUM(T84:T94)</f>
        <v>0</v>
      </c>
      <c r="U83" s="277">
        <f t="shared" ref="U83:X83" si="82">SUM(U84:U94)</f>
        <v>0</v>
      </c>
      <c r="V83" s="277">
        <f t="shared" si="82"/>
        <v>0</v>
      </c>
      <c r="W83" s="277">
        <f t="shared" si="82"/>
        <v>0</v>
      </c>
      <c r="X83" s="277">
        <f t="shared" si="82"/>
        <v>0</v>
      </c>
      <c r="Y83" s="269" t="str">
        <f>Y35</f>
        <v>15+</v>
      </c>
      <c r="Z83" s="277">
        <f>SUM(Z84:Z94)</f>
        <v>835.78959562739158</v>
      </c>
      <c r="AA83" s="277">
        <f t="shared" ref="AA83:AD83" si="83">SUM(AA84:AA94)</f>
        <v>817.71951299037789</v>
      </c>
      <c r="AB83" s="277">
        <f t="shared" si="83"/>
        <v>833.46122225056911</v>
      </c>
      <c r="AC83" s="277">
        <f t="shared" si="83"/>
        <v>872.7568149707464</v>
      </c>
      <c r="AD83" s="277">
        <f t="shared" si="83"/>
        <v>906.76405425389191</v>
      </c>
      <c r="AE83" s="277"/>
      <c r="AF83" s="277">
        <f>SUM(AF84:AF94)</f>
        <v>775.49874803920272</v>
      </c>
      <c r="AG83" s="277">
        <f t="shared" ref="AG83:AJ83" si="84">SUM(AG84:AG94)</f>
        <v>758.80872601036992</v>
      </c>
      <c r="AH83" s="277">
        <f t="shared" si="84"/>
        <v>773.5162619397023</v>
      </c>
      <c r="AI83" s="277">
        <f t="shared" si="84"/>
        <v>810.06846896436525</v>
      </c>
      <c r="AJ83" s="277">
        <f t="shared" si="84"/>
        <v>841.89337685638475</v>
      </c>
      <c r="AK83" s="277"/>
      <c r="AL83" s="277">
        <f>SUM(AL84:AL94)</f>
        <v>60.29084758818869</v>
      </c>
      <c r="AM83" s="277">
        <f t="shared" ref="AM83:AP83" si="85">SUM(AM84:AM94)</f>
        <v>58.910786980008034</v>
      </c>
      <c r="AN83" s="277">
        <f t="shared" si="85"/>
        <v>59.944960310866939</v>
      </c>
      <c r="AO83" s="277">
        <f t="shared" si="85"/>
        <v>62.688346006381188</v>
      </c>
      <c r="AP83" s="277">
        <f t="shared" si="85"/>
        <v>64.870677397506995</v>
      </c>
      <c r="AQ83" s="269" t="str">
        <f>AQ35</f>
        <v>15+</v>
      </c>
      <c r="AR83" s="277">
        <f>SUM(AR84:AR94)</f>
        <v>889.40880297318358</v>
      </c>
      <c r="AS83" s="277">
        <f t="shared" ref="AS83:AV83" si="86">SUM(AS84:AS94)</f>
        <v>982.33504408642204</v>
      </c>
      <c r="AT83" s="277">
        <f t="shared" si="86"/>
        <v>1108.5044771910491</v>
      </c>
      <c r="AU83" s="277">
        <f t="shared" si="86"/>
        <v>1230.8314940021869</v>
      </c>
      <c r="AV83" s="277">
        <f t="shared" si="86"/>
        <v>1348.9681418834455</v>
      </c>
      <c r="AW83" s="277"/>
      <c r="AX83" s="277">
        <f>SUM(AX84:AX94)</f>
        <v>879.74824720033962</v>
      </c>
      <c r="AY83" s="277">
        <f t="shared" ref="AY83:BB83" si="87">SUM(AY84:AY94)</f>
        <v>971.10421223711137</v>
      </c>
      <c r="AZ83" s="277">
        <f t="shared" si="87"/>
        <v>1095.1677547026629</v>
      </c>
      <c r="BA83" s="277">
        <f t="shared" si="87"/>
        <v>1216.0188704547381</v>
      </c>
      <c r="BB83" s="277">
        <f t="shared" si="87"/>
        <v>1332.3320678155631</v>
      </c>
      <c r="BC83" s="277"/>
      <c r="BD83" s="277">
        <f>SUM(BD84:BD94)</f>
        <v>9.6605557728437574</v>
      </c>
      <c r="BE83" s="277">
        <f t="shared" ref="BE83:BH83" si="88">SUM(BE84:BE94)</f>
        <v>11.105764362713181</v>
      </c>
      <c r="BF83" s="277">
        <f t="shared" si="88"/>
        <v>13.018684577213577</v>
      </c>
      <c r="BG83" s="277">
        <f t="shared" si="88"/>
        <v>14.812623547448824</v>
      </c>
      <c r="BH83" s="277">
        <f t="shared" si="88"/>
        <v>16.636074067882518</v>
      </c>
    </row>
    <row r="84" spans="1:60" s="168" customFormat="1" x14ac:dyDescent="0.2">
      <c r="A84" s="269" t="str">
        <f t="shared" ref="A84:A94" si="89">A36</f>
        <v>15-19</v>
      </c>
      <c r="B84" s="277">
        <v>11.952178011992856</v>
      </c>
      <c r="C84" s="277">
        <v>13.402887260222242</v>
      </c>
      <c r="D84" s="277">
        <v>10.497400074288828</v>
      </c>
      <c r="E84" s="277">
        <v>10.487079759394881</v>
      </c>
      <c r="F84" s="275">
        <v>11.380731286753464</v>
      </c>
      <c r="G84" s="275"/>
      <c r="H84" s="277">
        <v>1.9311383476471966</v>
      </c>
      <c r="I84" s="277">
        <v>2.1654425866600273</v>
      </c>
      <c r="J84" s="277">
        <v>1.6960330233653167</v>
      </c>
      <c r="K84" s="277">
        <v>1.6944183086206663</v>
      </c>
      <c r="L84" s="275">
        <v>1.8387489146198699</v>
      </c>
      <c r="M84" s="275"/>
      <c r="N84" s="277">
        <v>10.021039664345659</v>
      </c>
      <c r="O84" s="277">
        <v>11.237444673562216</v>
      </c>
      <c r="P84" s="277">
        <v>8.8013670509235116</v>
      </c>
      <c r="Q84" s="277">
        <v>8.7926614507742151</v>
      </c>
      <c r="R84" s="275">
        <v>9.5419823721335941</v>
      </c>
      <c r="S84" s="275"/>
      <c r="T84" s="277">
        <v>0</v>
      </c>
      <c r="U84" s="277">
        <v>0</v>
      </c>
      <c r="V84" s="277">
        <v>0</v>
      </c>
      <c r="W84" s="277">
        <v>0</v>
      </c>
      <c r="X84" s="275">
        <v>0</v>
      </c>
      <c r="Y84" s="269" t="str">
        <f t="shared" ref="Y84:Y94" si="90">Y36</f>
        <v>15-19</v>
      </c>
      <c r="Z84" s="277">
        <v>10.828592838586953</v>
      </c>
      <c r="AA84" s="277">
        <v>10.260045253180333</v>
      </c>
      <c r="AB84" s="277">
        <v>8.3705620145386224</v>
      </c>
      <c r="AC84" s="277">
        <v>8.9334389435199988</v>
      </c>
      <c r="AD84" s="275">
        <v>10.306241587925554</v>
      </c>
      <c r="AE84" s="275"/>
      <c r="AF84" s="277">
        <v>10.269940466538486</v>
      </c>
      <c r="AG84" s="277">
        <v>9.7306883630573378</v>
      </c>
      <c r="AH84" s="277">
        <v>7.9386523921141237</v>
      </c>
      <c r="AI84" s="277">
        <v>8.4725263317021824</v>
      </c>
      <c r="AJ84" s="275">
        <v>9.7745223494256592</v>
      </c>
      <c r="AK84" s="275"/>
      <c r="AL84" s="277">
        <v>0.55865237204846663</v>
      </c>
      <c r="AM84" s="277">
        <v>0.52935689012299614</v>
      </c>
      <c r="AN84" s="277">
        <v>0.43190962242449843</v>
      </c>
      <c r="AO84" s="277">
        <v>0.46091261181781773</v>
      </c>
      <c r="AP84" s="275">
        <v>0.53171923849989433</v>
      </c>
      <c r="AQ84" s="269" t="str">
        <f t="shared" ref="AQ84:AQ94" si="91">AQ36</f>
        <v>15-19</v>
      </c>
      <c r="AR84" s="277">
        <v>0.12322914942019014</v>
      </c>
      <c r="AS84" s="277">
        <v>0.12506748659742103</v>
      </c>
      <c r="AT84" s="277">
        <v>0.31803791117255348</v>
      </c>
      <c r="AU84" s="277">
        <v>0.32248129708511647</v>
      </c>
      <c r="AV84" s="275">
        <v>0.3530271253209819</v>
      </c>
      <c r="AW84" s="275"/>
      <c r="AX84" s="277">
        <v>0.12322914942019014</v>
      </c>
      <c r="AY84" s="277">
        <v>0</v>
      </c>
      <c r="AZ84" s="277">
        <v>0</v>
      </c>
      <c r="BA84" s="277">
        <v>0.32248129708511647</v>
      </c>
      <c r="BB84" s="275">
        <v>0.3530271253209819</v>
      </c>
      <c r="BC84" s="275"/>
      <c r="BD84" s="277">
        <v>0</v>
      </c>
      <c r="BE84" s="277">
        <v>0</v>
      </c>
      <c r="BF84" s="277">
        <v>0</v>
      </c>
      <c r="BG84" s="277">
        <v>0</v>
      </c>
      <c r="BH84" s="275">
        <v>0</v>
      </c>
    </row>
    <row r="85" spans="1:60" s="168" customFormat="1" x14ac:dyDescent="0.2">
      <c r="A85" s="269" t="str">
        <f t="shared" si="89"/>
        <v>20-24</v>
      </c>
      <c r="B85" s="277">
        <v>27.162073940488085</v>
      </c>
      <c r="C85" s="277">
        <v>25.818959473458939</v>
      </c>
      <c r="D85" s="277">
        <v>19.430418992506574</v>
      </c>
      <c r="E85" s="277">
        <v>17.065770140454763</v>
      </c>
      <c r="F85" s="275">
        <v>15.339491201948526</v>
      </c>
      <c r="G85" s="275"/>
      <c r="H85" s="277">
        <v>7.738175779416105</v>
      </c>
      <c r="I85" s="277">
        <v>7.3555159173417479</v>
      </c>
      <c r="J85" s="277">
        <v>5.5355294417133862</v>
      </c>
      <c r="K85" s="277">
        <v>4.8618655592881783</v>
      </c>
      <c r="L85" s="275">
        <v>4.370057954996903</v>
      </c>
      <c r="M85" s="275"/>
      <c r="N85" s="277">
        <v>19.423898161071982</v>
      </c>
      <c r="O85" s="277">
        <v>18.463443556117188</v>
      </c>
      <c r="P85" s="277">
        <v>13.894889550793188</v>
      </c>
      <c r="Q85" s="277">
        <v>12.203904581166585</v>
      </c>
      <c r="R85" s="275">
        <v>10.96943324695162</v>
      </c>
      <c r="S85" s="275"/>
      <c r="T85" s="277">
        <v>0</v>
      </c>
      <c r="U85" s="277">
        <v>0</v>
      </c>
      <c r="V85" s="277">
        <v>0</v>
      </c>
      <c r="W85" s="277">
        <v>0</v>
      </c>
      <c r="X85" s="275">
        <v>0</v>
      </c>
      <c r="Y85" s="269" t="str">
        <f t="shared" si="90"/>
        <v>20-24</v>
      </c>
      <c r="Z85" s="277">
        <v>83.029902962100564</v>
      </c>
      <c r="AA85" s="277">
        <v>84.099064086151856</v>
      </c>
      <c r="AB85" s="277">
        <v>75.456016390238844</v>
      </c>
      <c r="AC85" s="277">
        <v>72.409581167242635</v>
      </c>
      <c r="AD85" s="275">
        <v>70.925077672432323</v>
      </c>
      <c r="AE85" s="275"/>
      <c r="AF85" s="277">
        <v>74.996139409236491</v>
      </c>
      <c r="AG85" s="277">
        <v>75.961913287114783</v>
      </c>
      <c r="AH85" s="277">
        <v>68.155149094152151</v>
      </c>
      <c r="AI85" s="277">
        <v>65.403445863093296</v>
      </c>
      <c r="AJ85" s="275">
        <v>64.062544551136526</v>
      </c>
      <c r="AK85" s="275"/>
      <c r="AL85" s="277">
        <v>8.0337635528640625</v>
      </c>
      <c r="AM85" s="277">
        <v>8.1371507990370748</v>
      </c>
      <c r="AN85" s="277">
        <v>7.3008672960866994</v>
      </c>
      <c r="AO85" s="277">
        <v>7.0061353041493399</v>
      </c>
      <c r="AP85" s="275">
        <v>6.8625331212957974</v>
      </c>
      <c r="AQ85" s="269" t="str">
        <f t="shared" si="91"/>
        <v>20-24</v>
      </c>
      <c r="AR85" s="277">
        <v>64.096023097411347</v>
      </c>
      <c r="AS85" s="277">
        <v>59.5749764403892</v>
      </c>
      <c r="AT85" s="277">
        <v>64.928564617254594</v>
      </c>
      <c r="AU85" s="277">
        <v>69.876648692302624</v>
      </c>
      <c r="AV85" s="275">
        <v>76.967431125619157</v>
      </c>
      <c r="AW85" s="275"/>
      <c r="AX85" s="277">
        <v>63.936315058758787</v>
      </c>
      <c r="AY85" s="277">
        <v>59.426553735923072</v>
      </c>
      <c r="AZ85" s="277">
        <v>64.766758302259873</v>
      </c>
      <c r="BA85" s="277">
        <v>69.702519316956455</v>
      </c>
      <c r="BB85" s="275">
        <v>76.775653915926199</v>
      </c>
      <c r="BC85" s="275"/>
      <c r="BD85" s="277">
        <v>0.1597080386525653</v>
      </c>
      <c r="BE85" s="277">
        <v>0.14842270446612335</v>
      </c>
      <c r="BF85" s="277">
        <v>0.16180631499472672</v>
      </c>
      <c r="BG85" s="277">
        <v>0.17412937534616696</v>
      </c>
      <c r="BH85" s="275">
        <v>0.19177720969295214</v>
      </c>
    </row>
    <row r="86" spans="1:60" s="168" customFormat="1" x14ac:dyDescent="0.2">
      <c r="A86" s="269" t="str">
        <f t="shared" si="89"/>
        <v>25-29</v>
      </c>
      <c r="B86" s="277">
        <v>28.972672566594831</v>
      </c>
      <c r="C86" s="277">
        <v>33.619340539542968</v>
      </c>
      <c r="D86" s="277">
        <v>28.636722146171739</v>
      </c>
      <c r="E86" s="277">
        <v>27.654766165607402</v>
      </c>
      <c r="F86" s="275">
        <v>24.701036177168444</v>
      </c>
      <c r="G86" s="275"/>
      <c r="H86" s="277">
        <v>7.950704122039733</v>
      </c>
      <c r="I86" s="277">
        <v>9.2258401283768823</v>
      </c>
      <c r="J86" s="277">
        <v>7.8585514263485647</v>
      </c>
      <c r="K86" s="277">
        <v>7.589044948115105</v>
      </c>
      <c r="L86" s="275">
        <v>6.778482350960795</v>
      </c>
      <c r="M86" s="275"/>
      <c r="N86" s="277">
        <v>21.021968444555103</v>
      </c>
      <c r="O86" s="277">
        <v>24.393500411166084</v>
      </c>
      <c r="P86" s="277">
        <v>20.778170719823173</v>
      </c>
      <c r="Q86" s="277">
        <v>20.065721217492296</v>
      </c>
      <c r="R86" s="275">
        <v>17.922553826207647</v>
      </c>
      <c r="S86" s="275"/>
      <c r="T86" s="277">
        <v>0</v>
      </c>
      <c r="U86" s="277">
        <v>0</v>
      </c>
      <c r="V86" s="277">
        <v>0</v>
      </c>
      <c r="W86" s="277">
        <v>0</v>
      </c>
      <c r="X86" s="275">
        <v>0</v>
      </c>
      <c r="Y86" s="269" t="str">
        <f t="shared" si="90"/>
        <v>25-29</v>
      </c>
      <c r="Z86" s="277">
        <v>104.35741449365315</v>
      </c>
      <c r="AA86" s="277">
        <v>97.185337610544352</v>
      </c>
      <c r="AB86" s="277">
        <v>95.599811894115447</v>
      </c>
      <c r="AC86" s="277">
        <v>97.118545376405621</v>
      </c>
      <c r="AD86" s="275">
        <v>91.712418531394292</v>
      </c>
      <c r="AE86" s="275"/>
      <c r="AF86" s="277">
        <v>94.421539979508964</v>
      </c>
      <c r="AG86" s="277">
        <v>87.932329636056579</v>
      </c>
      <c r="AH86" s="277">
        <v>86.497719374499709</v>
      </c>
      <c r="AI86" s="277">
        <v>87.87184276496231</v>
      </c>
      <c r="AJ86" s="275">
        <v>82.980425552523215</v>
      </c>
      <c r="AK86" s="275"/>
      <c r="AL86" s="277">
        <v>9.9358745141441993</v>
      </c>
      <c r="AM86" s="277">
        <v>9.2530079744877742</v>
      </c>
      <c r="AN86" s="277">
        <v>9.1020925196157414</v>
      </c>
      <c r="AO86" s="277">
        <v>9.2467026114433057</v>
      </c>
      <c r="AP86" s="275">
        <v>8.7319929788710677</v>
      </c>
      <c r="AQ86" s="269" t="str">
        <f t="shared" si="91"/>
        <v>25-29</v>
      </c>
      <c r="AR86" s="277">
        <v>154.57691293975205</v>
      </c>
      <c r="AS86" s="277">
        <v>158.68732184991271</v>
      </c>
      <c r="AT86" s="277">
        <v>170.7534659597128</v>
      </c>
      <c r="AU86" s="277">
        <v>191.50468845798702</v>
      </c>
      <c r="AV86" s="275">
        <v>199.18454529143727</v>
      </c>
      <c r="AW86" s="275"/>
      <c r="AX86" s="277">
        <v>153.36078875627214</v>
      </c>
      <c r="AY86" s="277">
        <v>157.4389010397588</v>
      </c>
      <c r="AZ86" s="277">
        <v>169.41011412348425</v>
      </c>
      <c r="BA86" s="277">
        <v>189.99801160263456</v>
      </c>
      <c r="BB86" s="275">
        <v>197.61746925057139</v>
      </c>
      <c r="BC86" s="275"/>
      <c r="BD86" s="277">
        <v>1.216124183479921</v>
      </c>
      <c r="BE86" s="277">
        <v>1.2484208101538898</v>
      </c>
      <c r="BF86" s="277">
        <v>1.3433518362285748</v>
      </c>
      <c r="BG86" s="277">
        <v>1.5066768553524434</v>
      </c>
      <c r="BH86" s="275">
        <v>1.5670760408658764</v>
      </c>
    </row>
    <row r="87" spans="1:60" s="168" customFormat="1" x14ac:dyDescent="0.2">
      <c r="A87" s="269" t="str">
        <f t="shared" si="89"/>
        <v>30-34</v>
      </c>
      <c r="B87" s="277">
        <v>28.548429106302432</v>
      </c>
      <c r="C87" s="277">
        <v>33.358134400600257</v>
      </c>
      <c r="D87" s="277">
        <v>26.133347885177166</v>
      </c>
      <c r="E87" s="277">
        <v>24.365255828037625</v>
      </c>
      <c r="F87" s="275">
        <v>20.217650831183683</v>
      </c>
      <c r="G87" s="275"/>
      <c r="H87" s="277">
        <v>8.8494100941278067</v>
      </c>
      <c r="I87" s="277">
        <v>10.340333649356303</v>
      </c>
      <c r="J87" s="277">
        <v>8.1007469331818331</v>
      </c>
      <c r="K87" s="277">
        <v>7.5527322076666525</v>
      </c>
      <c r="L87" s="275">
        <v>6.2670936294528277</v>
      </c>
      <c r="M87" s="275"/>
      <c r="N87" s="277">
        <v>19.699019012174627</v>
      </c>
      <c r="O87" s="277">
        <v>23.017800751243954</v>
      </c>
      <c r="P87" s="277">
        <v>18.032600951995331</v>
      </c>
      <c r="Q87" s="277">
        <v>16.812523620370971</v>
      </c>
      <c r="R87" s="275">
        <v>13.950557201730856</v>
      </c>
      <c r="S87" s="275"/>
      <c r="T87" s="277">
        <v>0</v>
      </c>
      <c r="U87" s="277">
        <v>0</v>
      </c>
      <c r="V87" s="277">
        <v>0</v>
      </c>
      <c r="W87" s="277">
        <v>0</v>
      </c>
      <c r="X87" s="275">
        <v>0</v>
      </c>
      <c r="Y87" s="269" t="str">
        <f t="shared" si="90"/>
        <v>30-34</v>
      </c>
      <c r="Z87" s="277">
        <v>108.05302506717383</v>
      </c>
      <c r="AA87" s="277">
        <v>98.910651662683122</v>
      </c>
      <c r="AB87" s="277">
        <v>99.823038706554627</v>
      </c>
      <c r="AC87" s="277">
        <v>99.91027324420439</v>
      </c>
      <c r="AD87" s="275">
        <v>100.65577680822747</v>
      </c>
      <c r="AE87" s="275"/>
      <c r="AF87" s="277">
        <v>98.864662354008289</v>
      </c>
      <c r="AG87" s="277">
        <v>90.499770716250708</v>
      </c>
      <c r="AH87" s="277">
        <v>91.334572918369915</v>
      </c>
      <c r="AI87" s="277">
        <v>91.414386042419594</v>
      </c>
      <c r="AJ87" s="275">
        <v>92.096473466363605</v>
      </c>
      <c r="AK87" s="275"/>
      <c r="AL87" s="277">
        <v>9.1883627131655423</v>
      </c>
      <c r="AM87" s="277">
        <v>8.4108809464324228</v>
      </c>
      <c r="AN87" s="277">
        <v>8.4884657881847136</v>
      </c>
      <c r="AO87" s="277">
        <v>8.4958872017847948</v>
      </c>
      <c r="AP87" s="275">
        <v>8.5593033418638793</v>
      </c>
      <c r="AQ87" s="269" t="str">
        <f t="shared" si="91"/>
        <v>30-34</v>
      </c>
      <c r="AR87" s="277">
        <v>154.40154582652374</v>
      </c>
      <c r="AS87" s="277">
        <v>164.11921393671662</v>
      </c>
      <c r="AT87" s="277">
        <v>176.72761340826818</v>
      </c>
      <c r="AU87" s="277">
        <v>194.300470927758</v>
      </c>
      <c r="AV87" s="275">
        <v>216.50257236058886</v>
      </c>
      <c r="AW87" s="275"/>
      <c r="AX87" s="277">
        <v>152.67917871565837</v>
      </c>
      <c r="AY87" s="277">
        <v>162.28847354227025</v>
      </c>
      <c r="AZ87" s="277">
        <v>174.75627406499731</v>
      </c>
      <c r="BA87" s="277">
        <v>192.1331101550017</v>
      </c>
      <c r="BB87" s="275">
        <v>214.08754627952416</v>
      </c>
      <c r="BC87" s="275"/>
      <c r="BD87" s="277">
        <v>1.7223671108653775</v>
      </c>
      <c r="BE87" s="277">
        <v>1.8307403944463407</v>
      </c>
      <c r="BF87" s="277">
        <v>1.9713393432708828</v>
      </c>
      <c r="BG87" s="277">
        <v>2.1673607727562971</v>
      </c>
      <c r="BH87" s="275">
        <v>2.415026081064688</v>
      </c>
    </row>
    <row r="88" spans="1:60" s="168" customFormat="1" x14ac:dyDescent="0.2">
      <c r="A88" s="269" t="str">
        <f t="shared" si="89"/>
        <v>35-39</v>
      </c>
      <c r="B88" s="277">
        <v>44.016457260235349</v>
      </c>
      <c r="C88" s="277">
        <v>39.976771904202742</v>
      </c>
      <c r="D88" s="277">
        <v>30.464108582682162</v>
      </c>
      <c r="E88" s="277">
        <v>25.442342869618368</v>
      </c>
      <c r="F88" s="275">
        <v>19.313398032930589</v>
      </c>
      <c r="G88" s="275"/>
      <c r="H88" s="277">
        <v>13.170766467977897</v>
      </c>
      <c r="I88" s="277">
        <v>11.962019761666104</v>
      </c>
      <c r="J88" s="277">
        <v>9.1155623116308764</v>
      </c>
      <c r="K88" s="277">
        <v>7.6129848602255867</v>
      </c>
      <c r="L88" s="275">
        <v>5.7790036533667513</v>
      </c>
      <c r="M88" s="275"/>
      <c r="N88" s="277">
        <v>30.845690792257454</v>
      </c>
      <c r="O88" s="277">
        <v>28.014752142536643</v>
      </c>
      <c r="P88" s="277">
        <v>21.348546271051283</v>
      </c>
      <c r="Q88" s="277">
        <v>17.829358009392781</v>
      </c>
      <c r="R88" s="275">
        <v>13.534394379563837</v>
      </c>
      <c r="S88" s="275"/>
      <c r="T88" s="277">
        <v>0</v>
      </c>
      <c r="U88" s="277">
        <v>0</v>
      </c>
      <c r="V88" s="277">
        <v>0</v>
      </c>
      <c r="W88" s="277">
        <v>0</v>
      </c>
      <c r="X88" s="275">
        <v>0</v>
      </c>
      <c r="Y88" s="269" t="str">
        <f t="shared" si="90"/>
        <v>35-39</v>
      </c>
      <c r="Z88" s="277">
        <v>124.3317548459237</v>
      </c>
      <c r="AA88" s="277">
        <v>115.20319439668521</v>
      </c>
      <c r="AB88" s="277">
        <v>103.99848531956397</v>
      </c>
      <c r="AC88" s="277">
        <v>107.78515736503378</v>
      </c>
      <c r="AD88" s="275">
        <v>110.93136167790429</v>
      </c>
      <c r="AE88" s="275"/>
      <c r="AF88" s="277">
        <v>116.17651410584847</v>
      </c>
      <c r="AG88" s="277">
        <v>107.64676072030048</v>
      </c>
      <c r="AH88" s="277">
        <v>97.176962171565435</v>
      </c>
      <c r="AI88" s="277">
        <v>100.71524913353808</v>
      </c>
      <c r="AJ88" s="275">
        <v>103.65514843528025</v>
      </c>
      <c r="AK88" s="275"/>
      <c r="AL88" s="277">
        <v>8.1552407400752234</v>
      </c>
      <c r="AM88" s="277">
        <v>7.5564336763847377</v>
      </c>
      <c r="AN88" s="277">
        <v>6.821523147998537</v>
      </c>
      <c r="AO88" s="277">
        <v>7.06990823149569</v>
      </c>
      <c r="AP88" s="275">
        <v>7.2762132426240571</v>
      </c>
      <c r="AQ88" s="269" t="str">
        <f t="shared" si="91"/>
        <v>35-39</v>
      </c>
      <c r="AR88" s="277">
        <v>141.16078789384099</v>
      </c>
      <c r="AS88" s="277">
        <v>157.71103369911205</v>
      </c>
      <c r="AT88" s="277">
        <v>168.57540609775387</v>
      </c>
      <c r="AU88" s="277">
        <v>191.25249976534786</v>
      </c>
      <c r="AV88" s="275">
        <v>212.66724028916508</v>
      </c>
      <c r="AW88" s="275"/>
      <c r="AX88" s="277">
        <v>139.58664839223439</v>
      </c>
      <c r="AY88" s="277">
        <v>155.9523133601179</v>
      </c>
      <c r="AZ88" s="277">
        <v>166.69556733261371</v>
      </c>
      <c r="BA88" s="277">
        <v>189.11981088672707</v>
      </c>
      <c r="BB88" s="275">
        <v>210.29565301075678</v>
      </c>
      <c r="BC88" s="275"/>
      <c r="BD88" s="277">
        <v>1.5741395016066007</v>
      </c>
      <c r="BE88" s="277">
        <v>1.758720338994133</v>
      </c>
      <c r="BF88" s="277">
        <v>1.8798387651401465</v>
      </c>
      <c r="BG88" s="277">
        <v>2.1326888786208036</v>
      </c>
      <c r="BH88" s="275">
        <v>2.3715872784083478</v>
      </c>
    </row>
    <row r="89" spans="1:60" s="168" customFormat="1" x14ac:dyDescent="0.2">
      <c r="A89" s="269" t="str">
        <f t="shared" si="89"/>
        <v>40-44</v>
      </c>
      <c r="B89" s="277">
        <v>62.562497845796578</v>
      </c>
      <c r="C89" s="277">
        <v>52.041253862300799</v>
      </c>
      <c r="D89" s="277">
        <v>37.292808343338905</v>
      </c>
      <c r="E89" s="277">
        <v>25.730317953372698</v>
      </c>
      <c r="F89" s="275">
        <v>17.848161884307732</v>
      </c>
      <c r="G89" s="275"/>
      <c r="H89" s="277">
        <v>21.068964130305993</v>
      </c>
      <c r="I89" s="277">
        <v>17.525770127794758</v>
      </c>
      <c r="J89" s="277">
        <v>12.558954308409454</v>
      </c>
      <c r="K89" s="277">
        <v>8.6650962158735219</v>
      </c>
      <c r="L89" s="275">
        <v>6.0106773270790361</v>
      </c>
      <c r="M89" s="275"/>
      <c r="N89" s="277">
        <v>41.493533715490578</v>
      </c>
      <c r="O89" s="277">
        <v>34.515483734506034</v>
      </c>
      <c r="P89" s="277">
        <v>24.73385403492945</v>
      </c>
      <c r="Q89" s="277">
        <v>17.065221737499176</v>
      </c>
      <c r="R89" s="275">
        <v>11.837484557228693</v>
      </c>
      <c r="S89" s="275"/>
      <c r="T89" s="277">
        <v>0</v>
      </c>
      <c r="U89" s="277">
        <v>0</v>
      </c>
      <c r="V89" s="277">
        <v>0</v>
      </c>
      <c r="W89" s="277">
        <v>0</v>
      </c>
      <c r="X89" s="275">
        <v>0</v>
      </c>
      <c r="Y89" s="269" t="str">
        <f t="shared" si="90"/>
        <v>40-44</v>
      </c>
      <c r="Z89" s="277">
        <v>133.43211125882925</v>
      </c>
      <c r="AA89" s="277">
        <v>124.30920077827601</v>
      </c>
      <c r="AB89" s="277">
        <v>114.42328927804037</v>
      </c>
      <c r="AC89" s="277">
        <v>113.59093257500689</v>
      </c>
      <c r="AD89" s="275">
        <v>119.96086291422256</v>
      </c>
      <c r="AE89" s="275"/>
      <c r="AF89" s="277">
        <v>125.56555151187415</v>
      </c>
      <c r="AG89" s="277">
        <v>116.9805269711083</v>
      </c>
      <c r="AH89" s="277">
        <v>107.6774160354275</v>
      </c>
      <c r="AI89" s="277">
        <v>106.89413288813921</v>
      </c>
      <c r="AJ89" s="275">
        <v>112.88853405200165</v>
      </c>
      <c r="AK89" s="275"/>
      <c r="AL89" s="277">
        <v>7.8665597469551063</v>
      </c>
      <c r="AM89" s="277">
        <v>7.3286738071676902</v>
      </c>
      <c r="AN89" s="277">
        <v>6.7458732426128867</v>
      </c>
      <c r="AO89" s="277">
        <v>6.6967996868676751</v>
      </c>
      <c r="AP89" s="275">
        <v>7.0723288622208971</v>
      </c>
      <c r="AQ89" s="269" t="str">
        <f t="shared" si="91"/>
        <v>40-44</v>
      </c>
      <c r="AR89" s="277">
        <v>128.51739089537415</v>
      </c>
      <c r="AS89" s="277">
        <v>144.36154535942319</v>
      </c>
      <c r="AT89" s="277">
        <v>158.66390237862072</v>
      </c>
      <c r="AU89" s="277">
        <v>166.99874947162044</v>
      </c>
      <c r="AV89" s="275">
        <v>185.07097520146974</v>
      </c>
      <c r="AW89" s="275"/>
      <c r="AX89" s="277">
        <v>126.94819387148412</v>
      </c>
      <c r="AY89" s="277">
        <v>142.59892905662338</v>
      </c>
      <c r="AZ89" s="277">
        <v>156.72664379404665</v>
      </c>
      <c r="BA89" s="277">
        <v>164.95975684612029</v>
      </c>
      <c r="BB89" s="275">
        <v>182.81128024141026</v>
      </c>
      <c r="BC89" s="275"/>
      <c r="BD89" s="277">
        <v>1.5691970238900339</v>
      </c>
      <c r="BE89" s="277">
        <v>1.7626163027998376</v>
      </c>
      <c r="BF89" s="277">
        <v>1.937258584574042</v>
      </c>
      <c r="BG89" s="277">
        <v>2.0389926255001587</v>
      </c>
      <c r="BH89" s="275">
        <v>2.2596949600594747</v>
      </c>
    </row>
    <row r="90" spans="1:60" s="168" customFormat="1" x14ac:dyDescent="0.2">
      <c r="A90" s="269" t="str">
        <f t="shared" si="89"/>
        <v>45-49</v>
      </c>
      <c r="B90" s="277">
        <v>76.803506450596231</v>
      </c>
      <c r="C90" s="277">
        <v>72.369670614720619</v>
      </c>
      <c r="D90" s="277">
        <v>46.757578011014346</v>
      </c>
      <c r="E90" s="277">
        <v>32.914709981477799</v>
      </c>
      <c r="F90" s="275">
        <v>22.643570627464889</v>
      </c>
      <c r="G90" s="275"/>
      <c r="H90" s="277">
        <v>27.94396864638491</v>
      </c>
      <c r="I90" s="277">
        <v>26.330826958934129</v>
      </c>
      <c r="J90" s="277">
        <v>17.012164489510464</v>
      </c>
      <c r="K90" s="277">
        <v>11.975614453855373</v>
      </c>
      <c r="L90" s="275">
        <v>8.2386021908984706</v>
      </c>
      <c r="M90" s="275"/>
      <c r="N90" s="277">
        <v>48.859537804211321</v>
      </c>
      <c r="O90" s="277">
        <v>46.038843655786486</v>
      </c>
      <c r="P90" s="277">
        <v>29.745413521503881</v>
      </c>
      <c r="Q90" s="277">
        <v>20.939095527622428</v>
      </c>
      <c r="R90" s="275">
        <v>14.404968436566421</v>
      </c>
      <c r="S90" s="275"/>
      <c r="T90" s="277">
        <v>0</v>
      </c>
      <c r="U90" s="277">
        <v>0</v>
      </c>
      <c r="V90" s="277">
        <v>0</v>
      </c>
      <c r="W90" s="277">
        <v>0</v>
      </c>
      <c r="X90" s="275">
        <v>0</v>
      </c>
      <c r="Y90" s="269" t="str">
        <f t="shared" si="90"/>
        <v>45-49</v>
      </c>
      <c r="Z90" s="277">
        <v>119.91671183726781</v>
      </c>
      <c r="AA90" s="277">
        <v>117.54013515583459</v>
      </c>
      <c r="AB90" s="277">
        <v>126.00211978783305</v>
      </c>
      <c r="AC90" s="277">
        <v>129.89925725652535</v>
      </c>
      <c r="AD90" s="275">
        <v>132.56976051535059</v>
      </c>
      <c r="AE90" s="275"/>
      <c r="AF90" s="277">
        <v>113.53631898468487</v>
      </c>
      <c r="AG90" s="277">
        <v>111.28619702022586</v>
      </c>
      <c r="AH90" s="277">
        <v>119.29796634507618</v>
      </c>
      <c r="AI90" s="277">
        <v>122.98778022947444</v>
      </c>
      <c r="AJ90" s="275">
        <v>125.51614028502338</v>
      </c>
      <c r="AK90" s="275"/>
      <c r="AL90" s="277">
        <v>6.3803928525829319</v>
      </c>
      <c r="AM90" s="277">
        <v>6.2539381356087462</v>
      </c>
      <c r="AN90" s="277">
        <v>6.7041534427568807</v>
      </c>
      <c r="AO90" s="277">
        <v>6.9114770270509069</v>
      </c>
      <c r="AP90" s="275">
        <v>7.0536202303272111</v>
      </c>
      <c r="AQ90" s="269" t="str">
        <f t="shared" si="91"/>
        <v>45-49</v>
      </c>
      <c r="AR90" s="277">
        <v>113.07878171213598</v>
      </c>
      <c r="AS90" s="277">
        <v>125.98319422944476</v>
      </c>
      <c r="AT90" s="277">
        <v>142.77630220115262</v>
      </c>
      <c r="AU90" s="277">
        <v>151.84003276199684</v>
      </c>
      <c r="AV90" s="275">
        <v>159.15166885718455</v>
      </c>
      <c r="AW90" s="275"/>
      <c r="AX90" s="277">
        <v>111.76159647140302</v>
      </c>
      <c r="AY90" s="277">
        <v>124.51577593370071</v>
      </c>
      <c r="AZ90" s="277">
        <v>141.11320504624786</v>
      </c>
      <c r="BA90" s="277">
        <v>150.07143093938149</v>
      </c>
      <c r="BB90" s="275">
        <v>157.29788066457172</v>
      </c>
      <c r="BC90" s="275"/>
      <c r="BD90" s="277">
        <v>1.3171852407329641</v>
      </c>
      <c r="BE90" s="277">
        <v>1.4674182957440471</v>
      </c>
      <c r="BF90" s="277">
        <v>1.663097154904764</v>
      </c>
      <c r="BG90" s="277">
        <v>1.7686018226153735</v>
      </c>
      <c r="BH90" s="275">
        <v>1.8537881926128472</v>
      </c>
    </row>
    <row r="91" spans="1:60" s="168" customFormat="1" x14ac:dyDescent="0.2">
      <c r="A91" s="269" t="str">
        <f t="shared" si="89"/>
        <v>50-54</v>
      </c>
      <c r="B91" s="277">
        <v>74.130845817172315</v>
      </c>
      <c r="C91" s="277">
        <v>76.292901659215687</v>
      </c>
      <c r="D91" s="277">
        <v>62.868745854171486</v>
      </c>
      <c r="E91" s="277">
        <v>48.927498060783627</v>
      </c>
      <c r="F91" s="275">
        <v>37.108932956215206</v>
      </c>
      <c r="G91" s="275"/>
      <c r="H91" s="277">
        <v>27.517951911427684</v>
      </c>
      <c r="I91" s="277">
        <v>28.320507284713951</v>
      </c>
      <c r="J91" s="277">
        <v>23.337364458948031</v>
      </c>
      <c r="K91" s="277">
        <v>18.162254416964728</v>
      </c>
      <c r="L91" s="275">
        <v>13.775148267079187</v>
      </c>
      <c r="M91" s="275"/>
      <c r="N91" s="277">
        <v>46.612893905744635</v>
      </c>
      <c r="O91" s="277">
        <v>47.972394374501732</v>
      </c>
      <c r="P91" s="277">
        <v>39.531381395223455</v>
      </c>
      <c r="Q91" s="277">
        <v>30.765243643818895</v>
      </c>
      <c r="R91" s="275">
        <v>23.333784689136024</v>
      </c>
      <c r="S91" s="275"/>
      <c r="T91" s="277">
        <v>0</v>
      </c>
      <c r="U91" s="277">
        <v>0</v>
      </c>
      <c r="V91" s="277">
        <v>0</v>
      </c>
      <c r="W91" s="277">
        <v>0</v>
      </c>
      <c r="X91" s="275">
        <v>0</v>
      </c>
      <c r="Y91" s="269" t="str">
        <f t="shared" si="90"/>
        <v>50-54</v>
      </c>
      <c r="Z91" s="277">
        <v>86.760993384439232</v>
      </c>
      <c r="AA91" s="277">
        <v>96.953240370929649</v>
      </c>
      <c r="AB91" s="277">
        <v>105.73855197584399</v>
      </c>
      <c r="AC91" s="277">
        <v>116.22864044167615</v>
      </c>
      <c r="AD91" s="275">
        <v>126.02469049917889</v>
      </c>
      <c r="AE91" s="275"/>
      <c r="AF91" s="277">
        <v>81.596570349738855</v>
      </c>
      <c r="AG91" s="277">
        <v>91.182181714094824</v>
      </c>
      <c r="AH91" s="277">
        <v>99.444551689154906</v>
      </c>
      <c r="AI91" s="277">
        <v>109.31026683421746</v>
      </c>
      <c r="AJ91" s="275">
        <v>118.52317446256983</v>
      </c>
      <c r="AK91" s="275"/>
      <c r="AL91" s="277">
        <v>5.1644230347003779</v>
      </c>
      <c r="AM91" s="277">
        <v>5.7710586568348159</v>
      </c>
      <c r="AN91" s="277">
        <v>6.2940002866890863</v>
      </c>
      <c r="AO91" s="277">
        <v>6.9183736074586868</v>
      </c>
      <c r="AP91" s="275">
        <v>7.5015160366090656</v>
      </c>
      <c r="AQ91" s="269" t="str">
        <f t="shared" si="91"/>
        <v>50-54</v>
      </c>
      <c r="AR91" s="277">
        <v>76.999160798388473</v>
      </c>
      <c r="AS91" s="277">
        <v>96.560857969854624</v>
      </c>
      <c r="AT91" s="277">
        <v>116.57270216998455</v>
      </c>
      <c r="AU91" s="277">
        <v>128.98986149754023</v>
      </c>
      <c r="AV91" s="275">
        <v>140.9583765446059</v>
      </c>
      <c r="AW91" s="275"/>
      <c r="AX91" s="277">
        <v>76.294968712849709</v>
      </c>
      <c r="AY91" s="277">
        <v>95.677849729956222</v>
      </c>
      <c r="AZ91" s="277">
        <v>115.50670905420014</v>
      </c>
      <c r="BA91" s="277">
        <v>127.81028960948962</v>
      </c>
      <c r="BB91" s="275">
        <v>139.6692906114707</v>
      </c>
      <c r="BC91" s="275"/>
      <c r="BD91" s="277">
        <v>0.70419208553877055</v>
      </c>
      <c r="BE91" s="277">
        <v>0.88300823989842003</v>
      </c>
      <c r="BF91" s="277">
        <v>1.0659931157844085</v>
      </c>
      <c r="BG91" s="277">
        <v>1.1795718880506243</v>
      </c>
      <c r="BH91" s="275">
        <v>1.2890859331351963</v>
      </c>
    </row>
    <row r="92" spans="1:60" s="168" customFormat="1" x14ac:dyDescent="0.2">
      <c r="A92" s="269" t="str">
        <f t="shared" si="89"/>
        <v>55-59</v>
      </c>
      <c r="B92" s="277">
        <v>50.123111298551322</v>
      </c>
      <c r="C92" s="277">
        <v>49.323988494669976</v>
      </c>
      <c r="D92" s="277">
        <v>54.734368903773372</v>
      </c>
      <c r="E92" s="277">
        <v>46.878192366194043</v>
      </c>
      <c r="F92" s="275">
        <v>36.717928947865651</v>
      </c>
      <c r="G92" s="275"/>
      <c r="H92" s="277">
        <v>20.068212623946785</v>
      </c>
      <c r="I92" s="277">
        <v>19.748271942588062</v>
      </c>
      <c r="J92" s="277">
        <v>21.914478270879478</v>
      </c>
      <c r="K92" s="277">
        <v>18.76897099596793</v>
      </c>
      <c r="L92" s="275">
        <v>14.701046063760439</v>
      </c>
      <c r="M92" s="275"/>
      <c r="N92" s="277">
        <v>30.054898674604537</v>
      </c>
      <c r="O92" s="277">
        <v>29.575716552081918</v>
      </c>
      <c r="P92" s="277">
        <v>32.819890632893888</v>
      </c>
      <c r="Q92" s="277">
        <v>28.109221370226116</v>
      </c>
      <c r="R92" s="275">
        <v>22.016882884105211</v>
      </c>
      <c r="S92" s="275"/>
      <c r="T92" s="277">
        <v>0</v>
      </c>
      <c r="U92" s="277">
        <v>0</v>
      </c>
      <c r="V92" s="277">
        <v>0</v>
      </c>
      <c r="W92" s="277">
        <v>0</v>
      </c>
      <c r="X92" s="275">
        <v>0</v>
      </c>
      <c r="Y92" s="269" t="str">
        <f t="shared" si="90"/>
        <v>55-59</v>
      </c>
      <c r="Z92" s="277">
        <v>50.022718415568512</v>
      </c>
      <c r="AA92" s="277">
        <v>54.941387327680005</v>
      </c>
      <c r="AB92" s="277">
        <v>78.772938863638728</v>
      </c>
      <c r="AC92" s="277">
        <v>94.437586570976393</v>
      </c>
      <c r="AD92" s="275">
        <v>103.91445213238326</v>
      </c>
      <c r="AE92" s="275"/>
      <c r="AF92" s="277">
        <v>46.530169779779939</v>
      </c>
      <c r="AG92" s="277">
        <v>51.105378605023787</v>
      </c>
      <c r="AH92" s="277">
        <v>73.273049746677671</v>
      </c>
      <c r="AI92" s="277">
        <v>87.843993736619538</v>
      </c>
      <c r="AJ92" s="275">
        <v>96.659206845843883</v>
      </c>
      <c r="AK92" s="275"/>
      <c r="AL92" s="277">
        <v>3.4925486357885691</v>
      </c>
      <c r="AM92" s="277">
        <v>3.8360087226562167</v>
      </c>
      <c r="AN92" s="277">
        <v>5.4998891169610493</v>
      </c>
      <c r="AO92" s="277">
        <v>6.5935928343568344</v>
      </c>
      <c r="AP92" s="275">
        <v>7.2552452865393828</v>
      </c>
      <c r="AQ92" s="269" t="str">
        <f t="shared" si="91"/>
        <v>55-59</v>
      </c>
      <c r="AR92" s="277">
        <v>43.944170285880162</v>
      </c>
      <c r="AS92" s="277">
        <v>55.229624177650017</v>
      </c>
      <c r="AT92" s="277">
        <v>80.0286922325879</v>
      </c>
      <c r="AU92" s="277">
        <v>97.06122106282956</v>
      </c>
      <c r="AV92" s="275">
        <v>107.73061891975107</v>
      </c>
      <c r="AW92" s="275"/>
      <c r="AX92" s="277">
        <v>43.298834557519996</v>
      </c>
      <c r="AY92" s="277">
        <v>54.418522326695687</v>
      </c>
      <c r="AZ92" s="277">
        <v>78.853443932668</v>
      </c>
      <c r="BA92" s="277">
        <v>95.635738085376531</v>
      </c>
      <c r="BB92" s="275">
        <v>106.14856157242835</v>
      </c>
      <c r="BC92" s="275"/>
      <c r="BD92" s="277">
        <v>0.64533572836017361</v>
      </c>
      <c r="BE92" s="277">
        <v>0.81110185095432563</v>
      </c>
      <c r="BF92" s="277">
        <v>1.1752482999198919</v>
      </c>
      <c r="BG92" s="277">
        <v>1.4254829774530267</v>
      </c>
      <c r="BH92" s="275">
        <v>1.5820573473227093</v>
      </c>
    </row>
    <row r="93" spans="1:60" s="168" customFormat="1" x14ac:dyDescent="0.2">
      <c r="A93" s="269" t="str">
        <f t="shared" si="89"/>
        <v>60-64</v>
      </c>
      <c r="B93" s="277">
        <v>13.764231925065078</v>
      </c>
      <c r="C93" s="277">
        <v>18.76836361753071</v>
      </c>
      <c r="D93" s="277">
        <v>18.508542780694757</v>
      </c>
      <c r="E93" s="277">
        <v>17.452835144978611</v>
      </c>
      <c r="F93" s="275">
        <v>14.804084816049919</v>
      </c>
      <c r="G93" s="275"/>
      <c r="H93" s="277">
        <v>6.6702307458031802</v>
      </c>
      <c r="I93" s="277">
        <v>9.0952856087735459</v>
      </c>
      <c r="J93" s="277">
        <v>8.9693500547268563</v>
      </c>
      <c r="K93" s="277">
        <v>8.4577572298816346</v>
      </c>
      <c r="L93" s="275">
        <v>7.1741516654067379</v>
      </c>
      <c r="M93" s="275"/>
      <c r="N93" s="277">
        <v>7.0940011792618973</v>
      </c>
      <c r="O93" s="277">
        <v>9.6730780087571677</v>
      </c>
      <c r="P93" s="277">
        <v>9.5391927259679008</v>
      </c>
      <c r="Q93" s="277">
        <v>8.9950779150969762</v>
      </c>
      <c r="R93" s="275">
        <v>7.62993315064318</v>
      </c>
      <c r="S93" s="275"/>
      <c r="T93" s="277">
        <v>0</v>
      </c>
      <c r="U93" s="277">
        <v>0</v>
      </c>
      <c r="V93" s="277">
        <v>0</v>
      </c>
      <c r="W93" s="277">
        <v>0</v>
      </c>
      <c r="X93" s="275">
        <v>0</v>
      </c>
      <c r="Y93" s="269" t="str">
        <f t="shared" si="90"/>
        <v>60-64</v>
      </c>
      <c r="Z93" s="277">
        <v>12.31020529409596</v>
      </c>
      <c r="AA93" s="277">
        <v>14.261344557443534</v>
      </c>
      <c r="AB93" s="277">
        <v>21.71515850756559</v>
      </c>
      <c r="AC93" s="277">
        <v>28.490108641285989</v>
      </c>
      <c r="AD93" s="275">
        <v>34.561262922202097</v>
      </c>
      <c r="AE93" s="275"/>
      <c r="AF93" s="277">
        <v>11.043928783107889</v>
      </c>
      <c r="AG93" s="277">
        <v>12.794409216272046</v>
      </c>
      <c r="AH93" s="277">
        <v>19.481518497742734</v>
      </c>
      <c r="AI93" s="277">
        <v>25.559606891725771</v>
      </c>
      <c r="AJ93" s="275">
        <v>31.006230901067084</v>
      </c>
      <c r="AK93" s="275"/>
      <c r="AL93" s="277">
        <v>1.2662765109880707</v>
      </c>
      <c r="AM93" s="277">
        <v>1.4669353411714883</v>
      </c>
      <c r="AN93" s="277">
        <v>2.233640009822857</v>
      </c>
      <c r="AO93" s="277">
        <v>2.9305017495602126</v>
      </c>
      <c r="AP93" s="275">
        <v>3.5550320211350139</v>
      </c>
      <c r="AQ93" s="269" t="str">
        <f t="shared" si="91"/>
        <v>60-64</v>
      </c>
      <c r="AR93" s="277">
        <v>10.014562780838963</v>
      </c>
      <c r="AS93" s="277">
        <v>15.861291825025759</v>
      </c>
      <c r="AT93" s="277">
        <v>24.782298711739656</v>
      </c>
      <c r="AU93" s="277">
        <v>32.955056213735411</v>
      </c>
      <c r="AV93" s="275">
        <v>41.965652261747991</v>
      </c>
      <c r="AW93" s="275"/>
      <c r="AX93" s="277">
        <v>9.3191096537115143</v>
      </c>
      <c r="AY93" s="277">
        <v>14.759802271763046</v>
      </c>
      <c r="AZ93" s="277">
        <v>23.061241083126763</v>
      </c>
      <c r="BA93" s="277">
        <v>30.666373272484456</v>
      </c>
      <c r="BB93" s="275">
        <v>39.05130130334193</v>
      </c>
      <c r="BC93" s="275"/>
      <c r="BD93" s="277">
        <v>0.69545312712745089</v>
      </c>
      <c r="BE93" s="277">
        <v>1.1014895532627123</v>
      </c>
      <c r="BF93" s="277">
        <v>1.721057628612892</v>
      </c>
      <c r="BG93" s="277">
        <v>2.2886829412509542</v>
      </c>
      <c r="BH93" s="275">
        <v>2.9143509584060596</v>
      </c>
    </row>
    <row r="94" spans="1:60" s="168" customFormat="1" x14ac:dyDescent="0.2">
      <c r="A94" s="126" t="str">
        <f t="shared" si="89"/>
        <v>65+</v>
      </c>
      <c r="B94" s="277">
        <v>5.0275971766300218</v>
      </c>
      <c r="C94" s="277">
        <v>5.0571710967350976</v>
      </c>
      <c r="D94" s="277">
        <v>5.0002589845625298</v>
      </c>
      <c r="E94" s="277">
        <v>3.9459227571467377</v>
      </c>
      <c r="F94" s="275">
        <v>3.6918171007746805</v>
      </c>
      <c r="G94" s="279"/>
      <c r="H94" s="277">
        <v>2.987417610658246</v>
      </c>
      <c r="I94" s="277">
        <v>3.0049961668141885</v>
      </c>
      <c r="J94" s="277">
        <v>2.9711593642715379</v>
      </c>
      <c r="K94" s="277">
        <v>2.3446844102127109</v>
      </c>
      <c r="L94" s="275">
        <v>2.1936853336258615</v>
      </c>
      <c r="M94" s="279"/>
      <c r="N94" s="277">
        <v>2.0401795659717767</v>
      </c>
      <c r="O94" s="277">
        <v>2.0521749299209091</v>
      </c>
      <c r="P94" s="277">
        <v>2.0290996202909919</v>
      </c>
      <c r="Q94" s="277">
        <v>1.6012383469340266</v>
      </c>
      <c r="R94" s="275">
        <v>1.4981317671488188</v>
      </c>
      <c r="S94" s="279"/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126" t="str">
        <f t="shared" si="90"/>
        <v>65+</v>
      </c>
      <c r="Z94" s="277">
        <v>2.7461652297525743</v>
      </c>
      <c r="AA94" s="277">
        <v>4.055911790969331</v>
      </c>
      <c r="AB94" s="277">
        <v>3.5612495126359529</v>
      </c>
      <c r="AC94" s="277">
        <v>3.9532933888693056</v>
      </c>
      <c r="AD94" s="275">
        <v>5.2021489926704287</v>
      </c>
      <c r="AE94" s="279"/>
      <c r="AF94" s="277">
        <v>2.4974123148764233</v>
      </c>
      <c r="AG94" s="277">
        <v>3.6885697608652581</v>
      </c>
      <c r="AH94" s="277">
        <v>3.2387036749219651</v>
      </c>
      <c r="AI94" s="277">
        <v>3.5952382484733798</v>
      </c>
      <c r="AJ94" s="275">
        <v>4.7309759551497086</v>
      </c>
      <c r="AK94" s="279"/>
      <c r="AL94" s="277">
        <v>0.24875291487615106</v>
      </c>
      <c r="AM94" s="277">
        <v>0.3673420301040734</v>
      </c>
      <c r="AN94" s="277">
        <v>0.32254583771398837</v>
      </c>
      <c r="AO94" s="277">
        <v>0.35805514039592606</v>
      </c>
      <c r="AP94" s="275">
        <v>0.47117303752072126</v>
      </c>
      <c r="AQ94" s="126" t="str">
        <f t="shared" si="91"/>
        <v>65+</v>
      </c>
      <c r="AR94" s="277">
        <v>2.4962375936174048</v>
      </c>
      <c r="AS94" s="277">
        <v>4.1209171122955697</v>
      </c>
      <c r="AT94" s="277">
        <v>4.3774915028015169</v>
      </c>
      <c r="AU94" s="277">
        <v>5.7297838539839567</v>
      </c>
      <c r="AV94" s="275">
        <v>8.4160339065548904</v>
      </c>
      <c r="AW94" s="279"/>
      <c r="AX94" s="277">
        <v>2.4393838610275034</v>
      </c>
      <c r="AY94" s="277">
        <v>4.0270912403022177</v>
      </c>
      <c r="AZ94" s="277">
        <v>4.2777979690182679</v>
      </c>
      <c r="BA94" s="277">
        <v>5.5993484434809799</v>
      </c>
      <c r="BB94" s="275">
        <v>8.2244038402405248</v>
      </c>
      <c r="BC94" s="279"/>
      <c r="BD94" s="277">
        <v>5.6853732589901257E-2</v>
      </c>
      <c r="BE94" s="277">
        <v>9.3825871993351684E-2</v>
      </c>
      <c r="BF94" s="277">
        <v>9.9693533783248439E-2</v>
      </c>
      <c r="BG94" s="277">
        <v>0.13043541050297702</v>
      </c>
      <c r="BH94" s="275">
        <v>0.19163006631436572</v>
      </c>
    </row>
    <row r="95" spans="1:60" s="168" customFormat="1" x14ac:dyDescent="0.2">
      <c r="A95" s="280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Y95" s="280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1"/>
      <c r="AP95" s="281"/>
      <c r="AQ95" s="280"/>
      <c r="AR95" s="281"/>
      <c r="AS95" s="281"/>
      <c r="AT95" s="281"/>
      <c r="AU95" s="281"/>
      <c r="AV95" s="281"/>
      <c r="AW95" s="281"/>
      <c r="AX95" s="281"/>
      <c r="AY95" s="281"/>
      <c r="AZ95" s="281"/>
      <c r="BA95" s="281"/>
      <c r="BB95" s="281"/>
      <c r="BC95" s="281"/>
      <c r="BD95" s="281"/>
      <c r="BE95" s="281"/>
      <c r="BF95" s="281"/>
      <c r="BG95" s="281"/>
      <c r="BH95" s="281"/>
    </row>
    <row r="97" spans="1:1" x14ac:dyDescent="0.2">
      <c r="A97" s="168" t="s">
        <v>106</v>
      </c>
    </row>
  </sheetData>
  <mergeCells count="8">
    <mergeCell ref="BD3:BH3"/>
    <mergeCell ref="W50:X50"/>
    <mergeCell ref="T51:X51"/>
    <mergeCell ref="W2:X2"/>
    <mergeCell ref="T3:X3"/>
    <mergeCell ref="Z3:AD3"/>
    <mergeCell ref="AL3:AP3"/>
    <mergeCell ref="AR3:AV3"/>
  </mergeCells>
  <pageMargins left="0.35433070866141736" right="0.35433070866141736" top="0.74803149606299213" bottom="0.74803149606299213" header="0.31496062992125984" footer="0.31496062992125984"/>
  <pageSetup paperSize="9" scale="75" pageOrder="overThenDown" orientation="landscape" r:id="rId1"/>
  <rowBreaks count="1" manualBreakCount="1">
    <brk id="48" max="16383" man="1"/>
  </rowBreaks>
  <colBreaks count="2" manualBreakCount="2">
    <brk id="24" max="1048575" man="1"/>
    <brk id="4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43"/>
  <sheetViews>
    <sheetView zoomScale="85" zoomScaleNormal="85" workbookViewId="0">
      <pane ySplit="2" topLeftCell="A3" activePane="bottomLeft" state="frozen"/>
      <selection pane="bottomLeft" activeCell="C9" sqref="C9"/>
    </sheetView>
  </sheetViews>
  <sheetFormatPr defaultRowHeight="12.75" x14ac:dyDescent="0.2"/>
  <cols>
    <col min="1" max="3" width="26.7109375" customWidth="1"/>
    <col min="4" max="4" width="46.5703125" customWidth="1"/>
    <col min="5" max="5" width="36.28515625" customWidth="1"/>
    <col min="6" max="6" width="34.7109375" customWidth="1"/>
    <col min="7" max="7" width="34.7109375" style="286" customWidth="1"/>
    <col min="8" max="8" width="6.140625" customWidth="1"/>
    <col min="9" max="9" width="20.28515625" style="158" customWidth="1"/>
    <col min="10" max="10" width="4.85546875" style="158" customWidth="1"/>
    <col min="11" max="11" width="24.7109375" style="174" customWidth="1"/>
    <col min="12" max="12" width="9.140625" customWidth="1"/>
  </cols>
  <sheetData>
    <row r="1" spans="1:12" x14ac:dyDescent="0.2">
      <c r="A1" s="329" t="s">
        <v>248</v>
      </c>
      <c r="B1" s="329" t="s">
        <v>308</v>
      </c>
      <c r="C1" s="329" t="s">
        <v>4</v>
      </c>
      <c r="D1" s="329" t="s">
        <v>321</v>
      </c>
      <c r="E1" s="329" t="s">
        <v>348</v>
      </c>
      <c r="F1" s="331" t="s">
        <v>358</v>
      </c>
      <c r="G1" s="331" t="s">
        <v>377</v>
      </c>
      <c r="H1" s="331" t="s">
        <v>360</v>
      </c>
      <c r="I1" s="331"/>
      <c r="J1" s="331" t="s">
        <v>361</v>
      </c>
      <c r="K1" s="173"/>
      <c r="L1" s="1"/>
    </row>
    <row r="2" spans="1:12" s="15" customFormat="1" x14ac:dyDescent="0.2">
      <c r="A2" s="330" t="s">
        <v>379</v>
      </c>
      <c r="B2" s="330" t="s">
        <v>375</v>
      </c>
      <c r="C2" s="330" t="s">
        <v>376</v>
      </c>
      <c r="D2" s="173" t="s">
        <v>322</v>
      </c>
      <c r="E2" s="173" t="s">
        <v>349</v>
      </c>
      <c r="F2" s="330" t="s">
        <v>38</v>
      </c>
      <c r="G2" s="330" t="s">
        <v>378</v>
      </c>
      <c r="H2" s="173" t="s">
        <v>362</v>
      </c>
      <c r="I2" s="173" t="s">
        <v>100</v>
      </c>
      <c r="J2" s="173" t="s">
        <v>363</v>
      </c>
      <c r="K2" s="173" t="s">
        <v>364</v>
      </c>
      <c r="L2" s="106"/>
    </row>
    <row r="3" spans="1:12" x14ac:dyDescent="0.2">
      <c r="A3" s="328" t="s">
        <v>0</v>
      </c>
      <c r="B3" s="173" t="s">
        <v>0</v>
      </c>
      <c r="C3" s="328" t="s">
        <v>0</v>
      </c>
      <c r="D3" s="173" t="s">
        <v>10</v>
      </c>
      <c r="E3" s="173" t="s">
        <v>10</v>
      </c>
      <c r="F3" s="173" t="s">
        <v>37</v>
      </c>
      <c r="G3" s="173" t="s">
        <v>37</v>
      </c>
      <c r="H3" s="173" t="s">
        <v>365</v>
      </c>
      <c r="I3" s="173" t="s">
        <v>98</v>
      </c>
      <c r="J3" s="173" t="s">
        <v>366</v>
      </c>
      <c r="K3" s="173" t="s">
        <v>367</v>
      </c>
      <c r="L3" s="225"/>
    </row>
    <row r="4" spans="1:12" x14ac:dyDescent="0.2">
      <c r="A4" s="328" t="s">
        <v>80</v>
      </c>
      <c r="B4" s="173" t="s">
        <v>309</v>
      </c>
      <c r="C4" s="328" t="s">
        <v>245</v>
      </c>
      <c r="D4" s="173" t="s">
        <v>323</v>
      </c>
      <c r="E4" s="173" t="s">
        <v>350</v>
      </c>
      <c r="F4" s="173" t="s">
        <v>498</v>
      </c>
      <c r="G4" s="173" t="s">
        <v>506</v>
      </c>
      <c r="H4" s="173" t="s">
        <v>368</v>
      </c>
      <c r="I4" s="173" t="s">
        <v>99</v>
      </c>
      <c r="J4" s="173" t="s">
        <v>369</v>
      </c>
      <c r="K4" s="173" t="s">
        <v>370</v>
      </c>
      <c r="L4" s="225"/>
    </row>
    <row r="5" spans="1:12" x14ac:dyDescent="0.2">
      <c r="A5" s="328" t="s">
        <v>249</v>
      </c>
      <c r="B5" s="173" t="s">
        <v>81</v>
      </c>
      <c r="C5" s="328" t="s">
        <v>8</v>
      </c>
      <c r="D5" s="173" t="s">
        <v>324</v>
      </c>
      <c r="E5" s="173" t="s">
        <v>351</v>
      </c>
      <c r="F5" s="173" t="s">
        <v>499</v>
      </c>
      <c r="G5" s="173" t="s">
        <v>507</v>
      </c>
      <c r="H5" s="173"/>
      <c r="I5" s="173"/>
      <c r="J5" s="173" t="s">
        <v>371</v>
      </c>
      <c r="K5" s="173" t="s">
        <v>372</v>
      </c>
      <c r="L5" s="225"/>
    </row>
    <row r="6" spans="1:12" x14ac:dyDescent="0.2">
      <c r="A6" s="328" t="s">
        <v>250</v>
      </c>
      <c r="B6" s="173" t="s">
        <v>310</v>
      </c>
      <c r="C6" s="328" t="s">
        <v>2</v>
      </c>
      <c r="D6" s="173" t="s">
        <v>325</v>
      </c>
      <c r="E6" s="173" t="s">
        <v>352</v>
      </c>
      <c r="F6" s="173" t="s">
        <v>500</v>
      </c>
      <c r="G6" s="173" t="s">
        <v>503</v>
      </c>
      <c r="H6" s="173"/>
      <c r="I6" s="173"/>
      <c r="J6" s="173" t="s">
        <v>373</v>
      </c>
      <c r="K6" s="173" t="s">
        <v>374</v>
      </c>
      <c r="L6" s="225"/>
    </row>
    <row r="7" spans="1:12" x14ac:dyDescent="0.2">
      <c r="A7" s="328" t="s">
        <v>251</v>
      </c>
      <c r="B7" s="173" t="s">
        <v>5</v>
      </c>
      <c r="C7" s="328" t="s">
        <v>246</v>
      </c>
      <c r="D7" s="173" t="s">
        <v>326</v>
      </c>
      <c r="E7" s="173" t="s">
        <v>353</v>
      </c>
      <c r="F7" s="173" t="s">
        <v>501</v>
      </c>
      <c r="G7" s="173" t="s">
        <v>504</v>
      </c>
      <c r="L7" s="225"/>
    </row>
    <row r="8" spans="1:12" x14ac:dyDescent="0.2">
      <c r="A8" s="328" t="s">
        <v>252</v>
      </c>
      <c r="B8" s="173" t="s">
        <v>6</v>
      </c>
      <c r="C8" s="328" t="s">
        <v>247</v>
      </c>
      <c r="D8" s="173" t="s">
        <v>327</v>
      </c>
      <c r="E8" s="173" t="s">
        <v>354</v>
      </c>
      <c r="F8" s="173" t="s">
        <v>502</v>
      </c>
      <c r="G8" s="173" t="s">
        <v>505</v>
      </c>
      <c r="L8" s="225"/>
    </row>
    <row r="9" spans="1:12" x14ac:dyDescent="0.2">
      <c r="A9" s="328" t="s">
        <v>253</v>
      </c>
      <c r="B9" s="173" t="s">
        <v>311</v>
      </c>
      <c r="C9" s="328" t="s">
        <v>510</v>
      </c>
      <c r="D9" s="173" t="s">
        <v>328</v>
      </c>
      <c r="E9" s="173" t="s">
        <v>355</v>
      </c>
      <c r="F9" s="173" t="s">
        <v>503</v>
      </c>
      <c r="G9" s="173" t="s">
        <v>359</v>
      </c>
      <c r="L9" s="225"/>
    </row>
    <row r="10" spans="1:12" x14ac:dyDescent="0.2">
      <c r="A10" s="328" t="s">
        <v>254</v>
      </c>
      <c r="B10" s="173" t="s">
        <v>312</v>
      </c>
      <c r="C10" s="286" t="s">
        <v>11</v>
      </c>
      <c r="D10" s="173" t="s">
        <v>329</v>
      </c>
      <c r="E10" s="173" t="s">
        <v>356</v>
      </c>
      <c r="F10" s="173" t="s">
        <v>504</v>
      </c>
      <c r="G10" s="173"/>
      <c r="L10" s="225"/>
    </row>
    <row r="11" spans="1:12" x14ac:dyDescent="0.2">
      <c r="A11" s="328" t="s">
        <v>255</v>
      </c>
      <c r="B11" s="173" t="s">
        <v>2</v>
      </c>
      <c r="C11" s="286" t="s">
        <v>11</v>
      </c>
      <c r="D11" s="173" t="s">
        <v>330</v>
      </c>
      <c r="E11" s="173" t="s">
        <v>357</v>
      </c>
      <c r="F11" s="173" t="s">
        <v>505</v>
      </c>
      <c r="G11" s="173"/>
      <c r="I11" s="106"/>
      <c r="L11" s="225"/>
    </row>
    <row r="12" spans="1:12" x14ac:dyDescent="0.2">
      <c r="A12" s="328" t="s">
        <v>256</v>
      </c>
      <c r="B12" s="173" t="s">
        <v>83</v>
      </c>
      <c r="C12" s="286" t="s">
        <v>11</v>
      </c>
      <c r="D12" s="173" t="s">
        <v>331</v>
      </c>
      <c r="E12" s="173" t="s">
        <v>9</v>
      </c>
      <c r="F12" s="173" t="s">
        <v>359</v>
      </c>
      <c r="G12" s="173"/>
      <c r="L12" s="225"/>
    </row>
    <row r="13" spans="1:12" x14ac:dyDescent="0.2">
      <c r="A13" s="328" t="s">
        <v>257</v>
      </c>
      <c r="B13" s="173" t="s">
        <v>313</v>
      </c>
      <c r="C13" s="286" t="s">
        <v>11</v>
      </c>
      <c r="D13" s="173" t="s">
        <v>332</v>
      </c>
      <c r="L13" s="225"/>
    </row>
    <row r="14" spans="1:12" x14ac:dyDescent="0.2">
      <c r="A14" s="328" t="s">
        <v>1</v>
      </c>
      <c r="B14" s="173" t="s">
        <v>314</v>
      </c>
      <c r="C14" s="286" t="s">
        <v>11</v>
      </c>
      <c r="D14" s="173" t="s">
        <v>333</v>
      </c>
      <c r="E14" t="s">
        <v>11</v>
      </c>
      <c r="L14" s="225"/>
    </row>
    <row r="15" spans="1:12" x14ac:dyDescent="0.2">
      <c r="A15" s="328" t="s">
        <v>258</v>
      </c>
      <c r="B15" s="173" t="s">
        <v>84</v>
      </c>
      <c r="C15" s="286" t="s">
        <v>11</v>
      </c>
      <c r="D15" s="173" t="s">
        <v>334</v>
      </c>
      <c r="E15" t="s">
        <v>11</v>
      </c>
      <c r="I15" s="106"/>
      <c r="L15" s="225"/>
    </row>
    <row r="16" spans="1:12" x14ac:dyDescent="0.2">
      <c r="A16" s="328" t="s">
        <v>259</v>
      </c>
      <c r="B16" s="173" t="s">
        <v>315</v>
      </c>
      <c r="C16" s="286" t="s">
        <v>11</v>
      </c>
      <c r="D16" s="173" t="s">
        <v>335</v>
      </c>
      <c r="E16" t="s">
        <v>11</v>
      </c>
      <c r="L16" s="225"/>
    </row>
    <row r="17" spans="1:12" x14ac:dyDescent="0.2">
      <c r="A17" s="328" t="s">
        <v>260</v>
      </c>
      <c r="B17" s="173" t="s">
        <v>316</v>
      </c>
      <c r="C17" s="286" t="s">
        <v>11</v>
      </c>
      <c r="D17" s="173" t="s">
        <v>336</v>
      </c>
      <c r="E17" t="s">
        <v>11</v>
      </c>
      <c r="I17" s="106"/>
      <c r="L17" s="225"/>
    </row>
    <row r="18" spans="1:12" x14ac:dyDescent="0.2">
      <c r="A18" s="328" t="s">
        <v>261</v>
      </c>
      <c r="B18" s="173" t="s">
        <v>286</v>
      </c>
      <c r="C18" s="286" t="s">
        <v>11</v>
      </c>
      <c r="D18" s="173" t="s">
        <v>337</v>
      </c>
      <c r="E18" t="s">
        <v>11</v>
      </c>
      <c r="L18" s="225"/>
    </row>
    <row r="19" spans="1:12" x14ac:dyDescent="0.2">
      <c r="A19" s="328" t="s">
        <v>262</v>
      </c>
      <c r="B19" s="173" t="s">
        <v>317</v>
      </c>
      <c r="C19" s="286" t="s">
        <v>11</v>
      </c>
      <c r="D19" s="173" t="s">
        <v>338</v>
      </c>
      <c r="E19" t="s">
        <v>11</v>
      </c>
      <c r="L19" s="225"/>
    </row>
    <row r="20" spans="1:12" x14ac:dyDescent="0.2">
      <c r="A20" s="328" t="s">
        <v>82</v>
      </c>
      <c r="B20" s="173" t="s">
        <v>318</v>
      </c>
      <c r="C20" s="286" t="s">
        <v>11</v>
      </c>
      <c r="D20" s="173" t="s">
        <v>339</v>
      </c>
      <c r="E20" t="s">
        <v>11</v>
      </c>
      <c r="L20" s="225"/>
    </row>
    <row r="21" spans="1:12" x14ac:dyDescent="0.2">
      <c r="A21" s="328" t="s">
        <v>263</v>
      </c>
      <c r="B21" s="173" t="s">
        <v>319</v>
      </c>
      <c r="C21" s="286" t="s">
        <v>11</v>
      </c>
      <c r="D21" s="173" t="s">
        <v>340</v>
      </c>
      <c r="L21" s="225"/>
    </row>
    <row r="22" spans="1:12" x14ac:dyDescent="0.2">
      <c r="A22" s="328" t="s">
        <v>264</v>
      </c>
      <c r="B22" s="173" t="s">
        <v>3</v>
      </c>
      <c r="C22" s="286" t="s">
        <v>11</v>
      </c>
      <c r="D22" s="173" t="s">
        <v>341</v>
      </c>
      <c r="E22" t="s">
        <v>11</v>
      </c>
      <c r="F22" s="229"/>
      <c r="I22" s="106"/>
      <c r="L22" s="225"/>
    </row>
    <row r="23" spans="1:12" x14ac:dyDescent="0.2">
      <c r="A23" s="328" t="s">
        <v>265</v>
      </c>
      <c r="B23" s="173" t="s">
        <v>7</v>
      </c>
      <c r="C23" s="286" t="s">
        <v>11</v>
      </c>
      <c r="D23" s="173" t="s">
        <v>342</v>
      </c>
      <c r="E23" t="s">
        <v>11</v>
      </c>
      <c r="F23" s="229"/>
      <c r="L23" s="225"/>
    </row>
    <row r="24" spans="1:12" x14ac:dyDescent="0.2">
      <c r="A24" s="328" t="s">
        <v>266</v>
      </c>
      <c r="B24" s="173" t="s">
        <v>87</v>
      </c>
      <c r="C24" s="286" t="s">
        <v>11</v>
      </c>
      <c r="D24" s="173" t="s">
        <v>343</v>
      </c>
      <c r="E24" t="s">
        <v>11</v>
      </c>
      <c r="F24" s="229"/>
      <c r="L24" s="225"/>
    </row>
    <row r="25" spans="1:12" x14ac:dyDescent="0.2">
      <c r="A25" s="328" t="s">
        <v>128</v>
      </c>
      <c r="B25" s="173" t="s">
        <v>320</v>
      </c>
      <c r="C25" s="286" t="s">
        <v>11</v>
      </c>
      <c r="D25" s="173" t="s">
        <v>344</v>
      </c>
      <c r="E25" t="s">
        <v>11</v>
      </c>
      <c r="F25" s="229"/>
      <c r="L25" s="225"/>
    </row>
    <row r="26" spans="1:12" x14ac:dyDescent="0.2">
      <c r="A26" s="328" t="s">
        <v>267</v>
      </c>
      <c r="B26" s="286"/>
      <c r="C26" s="286" t="s">
        <v>11</v>
      </c>
      <c r="D26" s="173" t="s">
        <v>345</v>
      </c>
      <c r="E26" t="s">
        <v>11</v>
      </c>
      <c r="F26" s="229"/>
      <c r="I26" s="106"/>
      <c r="L26" s="225"/>
    </row>
    <row r="27" spans="1:12" x14ac:dyDescent="0.2">
      <c r="A27" s="328" t="s">
        <v>268</v>
      </c>
      <c r="B27" s="286"/>
      <c r="C27" s="286" t="s">
        <v>11</v>
      </c>
      <c r="D27" s="173" t="s">
        <v>346</v>
      </c>
      <c r="E27" t="s">
        <v>11</v>
      </c>
      <c r="F27" s="229"/>
      <c r="L27" s="225"/>
    </row>
    <row r="28" spans="1:12" x14ac:dyDescent="0.2">
      <c r="A28" s="328" t="s">
        <v>269</v>
      </c>
      <c r="B28" s="286"/>
      <c r="C28" s="286" t="s">
        <v>11</v>
      </c>
      <c r="D28" s="173" t="s">
        <v>347</v>
      </c>
      <c r="E28" t="s">
        <v>11</v>
      </c>
      <c r="F28" s="229"/>
      <c r="L28" s="225"/>
    </row>
    <row r="29" spans="1:12" x14ac:dyDescent="0.2">
      <c r="A29" s="328" t="s">
        <v>129</v>
      </c>
      <c r="B29" s="286"/>
      <c r="C29" s="286" t="s">
        <v>11</v>
      </c>
      <c r="E29" t="s">
        <v>11</v>
      </c>
      <c r="F29" s="229"/>
      <c r="L29" s="225"/>
    </row>
    <row r="30" spans="1:12" x14ac:dyDescent="0.2">
      <c r="A30" s="328" t="s">
        <v>270</v>
      </c>
      <c r="B30" s="286"/>
      <c r="C30" s="286" t="s">
        <v>11</v>
      </c>
      <c r="E30" t="s">
        <v>11</v>
      </c>
      <c r="F30" s="229"/>
      <c r="L30" s="225"/>
    </row>
    <row r="31" spans="1:12" x14ac:dyDescent="0.2">
      <c r="A31" s="328" t="s">
        <v>2</v>
      </c>
      <c r="B31" s="286"/>
      <c r="C31" s="286" t="s">
        <v>11</v>
      </c>
      <c r="D31" t="s">
        <v>11</v>
      </c>
      <c r="E31" t="s">
        <v>11</v>
      </c>
      <c r="F31" s="229"/>
      <c r="L31" s="225"/>
    </row>
    <row r="32" spans="1:12" x14ac:dyDescent="0.2">
      <c r="A32" s="328" t="s">
        <v>130</v>
      </c>
      <c r="B32" s="286"/>
      <c r="C32" s="286" t="s">
        <v>11</v>
      </c>
      <c r="D32" t="s">
        <v>11</v>
      </c>
      <c r="E32" t="s">
        <v>11</v>
      </c>
      <c r="F32" s="229"/>
      <c r="I32" s="106"/>
      <c r="L32" s="225"/>
    </row>
    <row r="33" spans="1:12" x14ac:dyDescent="0.2">
      <c r="A33" s="328" t="s">
        <v>271</v>
      </c>
      <c r="B33" s="286"/>
      <c r="C33" s="286" t="s">
        <v>11</v>
      </c>
      <c r="D33" t="s">
        <v>11</v>
      </c>
      <c r="E33" t="s">
        <v>11</v>
      </c>
      <c r="F33" s="229"/>
      <c r="L33" s="225"/>
    </row>
    <row r="34" spans="1:12" x14ac:dyDescent="0.2">
      <c r="A34" s="328" t="s">
        <v>272</v>
      </c>
      <c r="B34" s="286"/>
      <c r="C34" s="286" t="s">
        <v>11</v>
      </c>
      <c r="D34" t="s">
        <v>11</v>
      </c>
      <c r="E34" t="s">
        <v>11</v>
      </c>
      <c r="F34" s="229"/>
      <c r="L34" s="225"/>
    </row>
    <row r="35" spans="1:12" x14ac:dyDescent="0.2">
      <c r="A35" s="328" t="s">
        <v>273</v>
      </c>
      <c r="B35" s="286"/>
      <c r="C35" s="286" t="s">
        <v>11</v>
      </c>
      <c r="D35" t="s">
        <v>11</v>
      </c>
      <c r="E35" t="s">
        <v>11</v>
      </c>
      <c r="F35" s="229"/>
      <c r="L35" s="225"/>
    </row>
    <row r="36" spans="1:12" x14ac:dyDescent="0.2">
      <c r="A36" s="328" t="s">
        <v>274</v>
      </c>
      <c r="B36" s="286"/>
      <c r="C36" s="286" t="s">
        <v>11</v>
      </c>
      <c r="D36" t="s">
        <v>11</v>
      </c>
      <c r="E36" t="s">
        <v>11</v>
      </c>
      <c r="F36" s="229"/>
      <c r="L36" s="225"/>
    </row>
    <row r="37" spans="1:12" x14ac:dyDescent="0.2">
      <c r="A37" s="328" t="s">
        <v>275</v>
      </c>
      <c r="B37" s="286"/>
      <c r="C37" s="286" t="s">
        <v>11</v>
      </c>
      <c r="D37" t="s">
        <v>11</v>
      </c>
      <c r="E37" t="s">
        <v>11</v>
      </c>
      <c r="F37" s="229"/>
      <c r="L37" s="225"/>
    </row>
    <row r="38" spans="1:12" x14ac:dyDescent="0.2">
      <c r="A38" s="328" t="s">
        <v>131</v>
      </c>
      <c r="B38" s="286"/>
      <c r="C38" s="286" t="s">
        <v>11</v>
      </c>
      <c r="D38" t="s">
        <v>11</v>
      </c>
      <c r="E38" t="s">
        <v>11</v>
      </c>
      <c r="F38" s="229"/>
      <c r="L38" s="225"/>
    </row>
    <row r="39" spans="1:12" x14ac:dyDescent="0.2">
      <c r="A39" s="328" t="s">
        <v>132</v>
      </c>
      <c r="B39" s="286"/>
      <c r="C39" s="286" t="s">
        <v>11</v>
      </c>
      <c r="D39" t="s">
        <v>11</v>
      </c>
      <c r="E39" t="s">
        <v>11</v>
      </c>
      <c r="F39" s="229"/>
      <c r="I39" s="167"/>
      <c r="L39" s="225"/>
    </row>
    <row r="40" spans="1:12" x14ac:dyDescent="0.2">
      <c r="A40" s="328" t="s">
        <v>276</v>
      </c>
      <c r="B40" s="286"/>
      <c r="C40" s="286" t="s">
        <v>11</v>
      </c>
      <c r="D40" t="s">
        <v>11</v>
      </c>
      <c r="E40" t="s">
        <v>11</v>
      </c>
      <c r="F40" s="229"/>
      <c r="I40" s="106"/>
      <c r="L40" s="225"/>
    </row>
    <row r="41" spans="1:12" x14ac:dyDescent="0.2">
      <c r="A41" s="328" t="s">
        <v>277</v>
      </c>
      <c r="B41" s="286"/>
      <c r="C41" s="286" t="s">
        <v>11</v>
      </c>
      <c r="D41" t="s">
        <v>11</v>
      </c>
      <c r="E41" t="s">
        <v>11</v>
      </c>
      <c r="F41" s="229"/>
      <c r="L41" s="225"/>
    </row>
    <row r="42" spans="1:12" x14ac:dyDescent="0.2">
      <c r="A42" s="328" t="s">
        <v>133</v>
      </c>
      <c r="B42" s="286"/>
      <c r="C42" s="286" t="s">
        <v>11</v>
      </c>
      <c r="D42" t="s">
        <v>11</v>
      </c>
      <c r="E42" t="s">
        <v>11</v>
      </c>
      <c r="F42" s="229"/>
      <c r="L42" s="225"/>
    </row>
    <row r="43" spans="1:12" x14ac:dyDescent="0.2">
      <c r="A43" s="328" t="s">
        <v>278</v>
      </c>
      <c r="B43" s="286"/>
      <c r="C43" s="286" t="s">
        <v>11</v>
      </c>
      <c r="D43" t="s">
        <v>11</v>
      </c>
      <c r="E43" t="s">
        <v>11</v>
      </c>
      <c r="F43" s="229"/>
      <c r="L43" s="225"/>
    </row>
    <row r="44" spans="1:12" x14ac:dyDescent="0.2">
      <c r="A44" s="328" t="s">
        <v>134</v>
      </c>
      <c r="B44" s="286"/>
      <c r="C44" s="286"/>
      <c r="D44" t="s">
        <v>11</v>
      </c>
      <c r="E44" t="s">
        <v>11</v>
      </c>
      <c r="F44" s="229"/>
      <c r="L44" s="225"/>
    </row>
    <row r="45" spans="1:12" x14ac:dyDescent="0.2">
      <c r="A45" s="328" t="s">
        <v>279</v>
      </c>
      <c r="F45" s="229"/>
    </row>
    <row r="46" spans="1:12" x14ac:dyDescent="0.2">
      <c r="A46" s="328" t="s">
        <v>280</v>
      </c>
      <c r="F46" s="229"/>
      <c r="I46" s="106"/>
    </row>
    <row r="47" spans="1:12" x14ac:dyDescent="0.2">
      <c r="A47" s="328" t="s">
        <v>85</v>
      </c>
      <c r="F47" s="229"/>
    </row>
    <row r="48" spans="1:12" x14ac:dyDescent="0.2">
      <c r="A48" s="328" t="s">
        <v>281</v>
      </c>
      <c r="F48" s="229"/>
    </row>
    <row r="49" spans="1:9" x14ac:dyDescent="0.2">
      <c r="A49" s="328" t="s">
        <v>282</v>
      </c>
      <c r="F49" s="229"/>
    </row>
    <row r="50" spans="1:9" x14ac:dyDescent="0.2">
      <c r="A50" s="328" t="s">
        <v>283</v>
      </c>
      <c r="F50" s="229"/>
    </row>
    <row r="51" spans="1:9" x14ac:dyDescent="0.2">
      <c r="A51" s="328" t="s">
        <v>284</v>
      </c>
      <c r="F51" s="229"/>
      <c r="I51" s="106"/>
    </row>
    <row r="52" spans="1:9" x14ac:dyDescent="0.2">
      <c r="A52" s="328" t="s">
        <v>285</v>
      </c>
      <c r="F52" s="229"/>
    </row>
    <row r="53" spans="1:9" x14ac:dyDescent="0.2">
      <c r="A53" s="328" t="s">
        <v>286</v>
      </c>
    </row>
    <row r="54" spans="1:9" x14ac:dyDescent="0.2">
      <c r="A54" s="328" t="s">
        <v>287</v>
      </c>
    </row>
    <row r="55" spans="1:9" x14ac:dyDescent="0.2">
      <c r="A55" s="328" t="s">
        <v>288</v>
      </c>
    </row>
    <row r="56" spans="1:9" x14ac:dyDescent="0.2">
      <c r="A56" s="328" t="s">
        <v>289</v>
      </c>
      <c r="I56" s="106"/>
    </row>
    <row r="57" spans="1:9" x14ac:dyDescent="0.2">
      <c r="A57" s="328" t="s">
        <v>135</v>
      </c>
    </row>
    <row r="58" spans="1:9" x14ac:dyDescent="0.2">
      <c r="A58" s="328" t="s">
        <v>290</v>
      </c>
    </row>
    <row r="59" spans="1:9" x14ac:dyDescent="0.2">
      <c r="A59" s="328" t="s">
        <v>291</v>
      </c>
    </row>
    <row r="60" spans="1:9" x14ac:dyDescent="0.2">
      <c r="A60" s="328" t="s">
        <v>292</v>
      </c>
    </row>
    <row r="61" spans="1:9" x14ac:dyDescent="0.2">
      <c r="A61" s="328" t="s">
        <v>293</v>
      </c>
    </row>
    <row r="62" spans="1:9" x14ac:dyDescent="0.2">
      <c r="A62" s="328" t="s">
        <v>136</v>
      </c>
    </row>
    <row r="63" spans="1:9" x14ac:dyDescent="0.2">
      <c r="A63" s="328" t="s">
        <v>294</v>
      </c>
    </row>
    <row r="64" spans="1:9" x14ac:dyDescent="0.2">
      <c r="A64" s="328" t="s">
        <v>295</v>
      </c>
    </row>
    <row r="65" spans="1:9" x14ac:dyDescent="0.2">
      <c r="A65" s="328" t="s">
        <v>296</v>
      </c>
      <c r="I65" s="106"/>
    </row>
    <row r="66" spans="1:9" x14ac:dyDescent="0.2">
      <c r="A66" s="328" t="s">
        <v>297</v>
      </c>
    </row>
    <row r="67" spans="1:9" x14ac:dyDescent="0.2">
      <c r="A67" s="328" t="s">
        <v>298</v>
      </c>
    </row>
    <row r="68" spans="1:9" x14ac:dyDescent="0.2">
      <c r="A68" s="328" t="s">
        <v>299</v>
      </c>
    </row>
    <row r="69" spans="1:9" x14ac:dyDescent="0.2">
      <c r="A69" s="328" t="s">
        <v>86</v>
      </c>
    </row>
    <row r="70" spans="1:9" x14ac:dyDescent="0.2">
      <c r="A70" s="328" t="s">
        <v>300</v>
      </c>
    </row>
    <row r="71" spans="1:9" x14ac:dyDescent="0.2">
      <c r="A71" s="328" t="s">
        <v>301</v>
      </c>
      <c r="I71" s="106"/>
    </row>
    <row r="72" spans="1:9" x14ac:dyDescent="0.2">
      <c r="A72" s="328" t="s">
        <v>87</v>
      </c>
    </row>
    <row r="73" spans="1:9" x14ac:dyDescent="0.2">
      <c r="A73" s="328" t="s">
        <v>302</v>
      </c>
    </row>
    <row r="74" spans="1:9" x14ac:dyDescent="0.2">
      <c r="A74" s="328" t="s">
        <v>303</v>
      </c>
      <c r="I74" s="106"/>
    </row>
    <row r="75" spans="1:9" x14ac:dyDescent="0.2">
      <c r="A75" s="328" t="s">
        <v>304</v>
      </c>
    </row>
    <row r="76" spans="1:9" x14ac:dyDescent="0.2">
      <c r="A76" s="328" t="s">
        <v>305</v>
      </c>
    </row>
    <row r="77" spans="1:9" x14ac:dyDescent="0.2">
      <c r="A77" s="328" t="s">
        <v>306</v>
      </c>
    </row>
    <row r="78" spans="1:9" x14ac:dyDescent="0.2">
      <c r="A78" s="328" t="s">
        <v>307</v>
      </c>
    </row>
    <row r="81" spans="9:9" x14ac:dyDescent="0.2">
      <c r="I81" s="106"/>
    </row>
    <row r="85" spans="9:9" x14ac:dyDescent="0.2">
      <c r="I85" s="106"/>
    </row>
    <row r="91" spans="9:9" x14ac:dyDescent="0.2">
      <c r="I91" s="106"/>
    </row>
    <row r="96" spans="9:9" x14ac:dyDescent="0.2">
      <c r="I96" s="106"/>
    </row>
    <row r="101" spans="9:9" x14ac:dyDescent="0.2">
      <c r="I101" s="106"/>
    </row>
    <row r="106" spans="9:9" x14ac:dyDescent="0.2">
      <c r="I106" s="106"/>
    </row>
    <row r="111" spans="9:9" x14ac:dyDescent="0.2">
      <c r="I111" s="106"/>
    </row>
    <row r="119" spans="9:9" x14ac:dyDescent="0.2">
      <c r="I119" s="106"/>
    </row>
    <row r="129" spans="9:9" x14ac:dyDescent="0.2">
      <c r="I129" s="106"/>
    </row>
    <row r="134" spans="9:9" x14ac:dyDescent="0.2">
      <c r="I134" s="106"/>
    </row>
    <row r="141" spans="9:9" x14ac:dyDescent="0.2">
      <c r="I141" s="106"/>
    </row>
    <row r="143" spans="9:9" x14ac:dyDescent="0.2">
      <c r="I143" s="106"/>
    </row>
  </sheetData>
  <phoneticPr fontId="5" type="noConversion"/>
  <pageMargins left="0.55118110236220474" right="0.55118110236220474" top="0.98425196850393704" bottom="0.98425196850393704" header="0.51181102362204722" footer="0.51181102362204722"/>
  <pageSetup paperSize="9" orientation="portrait" r:id="rId1"/>
  <headerFooter alignWithMargins="0"/>
  <colBreaks count="1" manualBreakCount="1">
    <brk id="3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D60"/>
  <sheetViews>
    <sheetView zoomScale="85" zoomScaleNormal="85" workbookViewId="0"/>
  </sheetViews>
  <sheetFormatPr defaultRowHeight="12.75" x14ac:dyDescent="0.2"/>
  <cols>
    <col min="1" max="1" width="27.5703125" customWidth="1"/>
    <col min="2" max="145" width="3" customWidth="1"/>
  </cols>
  <sheetData>
    <row r="1" spans="1:82" s="286" customFormat="1" x14ac:dyDescent="0.2">
      <c r="A1" s="1" t="str">
        <f>CONCATENATE("Aggregation 75 industries to 22 ",name!$B$2)</f>
        <v>Aggregation 75 industries to 22 Industry groups</v>
      </c>
    </row>
    <row r="2" spans="1:82" s="286" customFormat="1" ht="164.25" customHeight="1" thickBot="1" x14ac:dyDescent="0.25">
      <c r="B2" s="171" t="str">
        <f t="array" ref="B2:BX2">TRANSPOSE(name!$A$4:$A$78)</f>
        <v>Agriculture, etc</v>
      </c>
      <c r="C2" s="171" t="str">
        <v>Coal, oil &amp; gas; Mining &amp; related</v>
      </c>
      <c r="D2" s="171" t="str">
        <v>Food products</v>
      </c>
      <c r="E2" s="171" t="str">
        <v>Beverages and tobacco</v>
      </c>
      <c r="F2" s="171" t="str">
        <v>Textiles</v>
      </c>
      <c r="G2" s="171" t="str">
        <v>Wearing apparel; Leather, etc</v>
      </c>
      <c r="H2" s="171" t="str">
        <v xml:space="preserve">Wood and cork </v>
      </c>
      <c r="I2" s="171" t="str">
        <v>Paper, etc</v>
      </c>
      <c r="J2" s="171" t="str">
        <v>Printing and recording</v>
      </c>
      <c r="K2" s="171" t="str">
        <v>Coke and petroleum; Chemicals, etc</v>
      </c>
      <c r="L2" s="171" t="str">
        <v>Pharmaceuticals</v>
      </c>
      <c r="M2" s="171" t="str">
        <v>Rubber and plastic</v>
      </c>
      <c r="N2" s="171" t="str">
        <v>Other non-metallic</v>
      </c>
      <c r="O2" s="171" t="str">
        <v>Basic metals</v>
      </c>
      <c r="P2" s="171" t="str">
        <v>Metal products</v>
      </c>
      <c r="Q2" s="171" t="str">
        <v>Computer, etc</v>
      </c>
      <c r="R2" s="171" t="str">
        <v>Electrical equipment</v>
      </c>
      <c r="S2" s="171" t="str">
        <v>Machinery n.e.c.</v>
      </c>
      <c r="T2" s="171" t="str">
        <v>Motor vehicles, etc</v>
      </c>
      <c r="U2" s="171" t="str">
        <v>Other transport equipment</v>
      </c>
      <c r="V2" s="171" t="str">
        <v>Furniture</v>
      </c>
      <c r="W2" s="171" t="str">
        <v>Other manufacturing</v>
      </c>
      <c r="X2" s="171" t="str">
        <v>Repair and installation</v>
      </c>
      <c r="Y2" s="171" t="str">
        <v>Electricity, gas, etc</v>
      </c>
      <c r="Z2" s="171" t="str">
        <v>Water</v>
      </c>
      <c r="AA2" s="171" t="str">
        <v>Sewerage</v>
      </c>
      <c r="AB2" s="171" t="str">
        <v>Waste management</v>
      </c>
      <c r="AC2" s="171" t="str">
        <v>Construction</v>
      </c>
      <c r="AD2" s="171" t="str">
        <v>Civil engineering</v>
      </c>
      <c r="AE2" s="171" t="str">
        <v>Specialised construction</v>
      </c>
      <c r="AF2" s="171" t="str">
        <v>Motor vehicle trade</v>
      </c>
      <c r="AG2" s="171" t="str">
        <v>Wholesale trade</v>
      </c>
      <c r="AH2" s="171" t="str">
        <v>Retail trade</v>
      </c>
      <c r="AI2" s="171" t="str">
        <v>Land transport, etc</v>
      </c>
      <c r="AJ2" s="171" t="str">
        <v>Water transport</v>
      </c>
      <c r="AK2" s="171" t="str">
        <v>Air transport</v>
      </c>
      <c r="AL2" s="171" t="str">
        <v>Warehousing, etc</v>
      </c>
      <c r="AM2" s="171" t="str">
        <v>Postal and courier</v>
      </c>
      <c r="AN2" s="171" t="str">
        <v>Accommodation</v>
      </c>
      <c r="AO2" s="171" t="str">
        <v>Food and beverage services</v>
      </c>
      <c r="AP2" s="171" t="str">
        <v>Publishing activities</v>
      </c>
      <c r="AQ2" s="171" t="str">
        <v>Film and music</v>
      </c>
      <c r="AR2" s="171" t="str">
        <v>Broadcasting</v>
      </c>
      <c r="AS2" s="171" t="str">
        <v>Telecommunications</v>
      </c>
      <c r="AT2" s="171" t="str">
        <v>Computing services</v>
      </c>
      <c r="AU2" s="171" t="str">
        <v>Information services</v>
      </c>
      <c r="AV2" s="171" t="str">
        <v>Financial services</v>
      </c>
      <c r="AW2" s="171" t="str">
        <v>Insurance and pensions</v>
      </c>
      <c r="AX2" s="171" t="str">
        <v>Auxiliary financial services</v>
      </c>
      <c r="AY2" s="171" t="str">
        <v>Real estate</v>
      </c>
      <c r="AZ2" s="171" t="str">
        <v>Legal and accounting</v>
      </c>
      <c r="BA2" s="171" t="str">
        <v>Head offices, etc</v>
      </c>
      <c r="BB2" s="171" t="str">
        <v>Architectural and related</v>
      </c>
      <c r="BC2" s="171" t="str">
        <v>Scientific research and development</v>
      </c>
      <c r="BD2" s="171" t="str">
        <v>Advertising, etc</v>
      </c>
      <c r="BE2" s="171" t="str">
        <v>Other professional</v>
      </c>
      <c r="BF2" s="171" t="str">
        <v>Veterinary</v>
      </c>
      <c r="BG2" s="171" t="str">
        <v>Rental and leasing</v>
      </c>
      <c r="BH2" s="171" t="str">
        <v>Employment activities</v>
      </c>
      <c r="BI2" s="171" t="str">
        <v>Travel, etc</v>
      </c>
      <c r="BJ2" s="171" t="str">
        <v>Security, etc</v>
      </c>
      <c r="BK2" s="171" t="str">
        <v>Services to buildings</v>
      </c>
      <c r="BL2" s="171" t="str">
        <v>Office administrative</v>
      </c>
      <c r="BM2" s="171" t="str">
        <v>Public administration and defence</v>
      </c>
      <c r="BN2" s="171" t="str">
        <v xml:space="preserve">Education </v>
      </c>
      <c r="BO2" s="171" t="str">
        <v>Health</v>
      </c>
      <c r="BP2" s="171" t="str">
        <v>Residential care</v>
      </c>
      <c r="BQ2" s="171" t="str">
        <v>Social work</v>
      </c>
      <c r="BR2" s="171" t="str">
        <v>Arts and entertainment</v>
      </c>
      <c r="BS2" s="171" t="str">
        <v>Libraries, etc</v>
      </c>
      <c r="BT2" s="171" t="str">
        <v>Gambling and betting</v>
      </c>
      <c r="BU2" s="171" t="str">
        <v>Sport and recreation</v>
      </c>
      <c r="BV2" s="171" t="str">
        <v>Membership organisations</v>
      </c>
      <c r="BW2" s="171" t="str">
        <v>Repair of goods</v>
      </c>
      <c r="BX2" s="171" t="str">
        <v>Other personal service</v>
      </c>
      <c r="BY2" s="171"/>
      <c r="BZ2" s="171"/>
      <c r="CA2" s="171"/>
      <c r="CB2" s="171"/>
      <c r="CC2" s="171"/>
      <c r="CD2" s="171"/>
    </row>
    <row r="3" spans="1:82" s="286" customFormat="1" x14ac:dyDescent="0.2">
      <c r="A3" s="286" t="str">
        <f>name!B4</f>
        <v>Agriculture</v>
      </c>
      <c r="B3" s="291">
        <v>1</v>
      </c>
      <c r="C3" s="335">
        <v>0</v>
      </c>
      <c r="D3" s="335">
        <v>0</v>
      </c>
      <c r="E3" s="335">
        <v>0</v>
      </c>
      <c r="F3" s="335">
        <v>0</v>
      </c>
      <c r="G3" s="33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6">
        <v>0</v>
      </c>
      <c r="BY3" s="286">
        <v>1</v>
      </c>
    </row>
    <row r="4" spans="1:82" s="286" customFormat="1" x14ac:dyDescent="0.2">
      <c r="A4" s="286" t="str">
        <f>name!B5</f>
        <v>Mining and quarrying</v>
      </c>
      <c r="B4" s="7">
        <v>0</v>
      </c>
      <c r="C4" s="2">
        <v>1</v>
      </c>
      <c r="D4" s="2">
        <v>0</v>
      </c>
      <c r="E4" s="332">
        <v>0</v>
      </c>
      <c r="F4" s="332">
        <v>0</v>
      </c>
      <c r="G4" s="332">
        <v>0</v>
      </c>
      <c r="H4" s="255">
        <v>0</v>
      </c>
      <c r="I4" s="255">
        <v>0</v>
      </c>
      <c r="J4" s="255">
        <v>0</v>
      </c>
      <c r="K4" s="255">
        <v>0</v>
      </c>
      <c r="L4" s="255">
        <v>0</v>
      </c>
      <c r="M4" s="255">
        <v>0</v>
      </c>
      <c r="N4" s="255">
        <v>0</v>
      </c>
      <c r="O4" s="255">
        <v>0</v>
      </c>
      <c r="P4" s="255">
        <v>0</v>
      </c>
      <c r="Q4" s="255">
        <v>0</v>
      </c>
      <c r="R4" s="255">
        <v>0</v>
      </c>
      <c r="S4" s="255">
        <v>0</v>
      </c>
      <c r="T4" s="255">
        <v>0</v>
      </c>
      <c r="U4" s="255">
        <v>0</v>
      </c>
      <c r="V4" s="255">
        <v>0</v>
      </c>
      <c r="W4" s="255">
        <v>0</v>
      </c>
      <c r="X4" s="255">
        <v>0</v>
      </c>
      <c r="Y4" s="255">
        <v>0</v>
      </c>
      <c r="Z4" s="255">
        <v>0</v>
      </c>
      <c r="AA4" s="255">
        <v>0</v>
      </c>
      <c r="AB4" s="255">
        <v>0</v>
      </c>
      <c r="AC4" s="255">
        <v>0</v>
      </c>
      <c r="AD4" s="255">
        <v>0</v>
      </c>
      <c r="AE4" s="255">
        <v>0</v>
      </c>
      <c r="AF4" s="255">
        <v>0</v>
      </c>
      <c r="AG4" s="255">
        <v>0</v>
      </c>
      <c r="AH4" s="255">
        <v>0</v>
      </c>
      <c r="AI4" s="255">
        <v>0</v>
      </c>
      <c r="AJ4" s="255">
        <v>0</v>
      </c>
      <c r="AK4" s="255">
        <v>0</v>
      </c>
      <c r="AL4" s="255">
        <v>0</v>
      </c>
      <c r="AM4" s="255">
        <v>0</v>
      </c>
      <c r="AN4" s="255">
        <v>0</v>
      </c>
      <c r="AO4" s="255">
        <v>0</v>
      </c>
      <c r="AP4" s="255">
        <v>0</v>
      </c>
      <c r="AQ4" s="255">
        <v>0</v>
      </c>
      <c r="AR4" s="255">
        <v>0</v>
      </c>
      <c r="AS4" s="255">
        <v>0</v>
      </c>
      <c r="AT4" s="255">
        <v>0</v>
      </c>
      <c r="AU4" s="255">
        <v>0</v>
      </c>
      <c r="AV4" s="255">
        <v>0</v>
      </c>
      <c r="AW4" s="255">
        <v>0</v>
      </c>
      <c r="AX4" s="255">
        <v>0</v>
      </c>
      <c r="AY4" s="255">
        <v>0</v>
      </c>
      <c r="AZ4" s="255">
        <v>0</v>
      </c>
      <c r="BA4" s="255">
        <v>0</v>
      </c>
      <c r="BB4" s="255">
        <v>0</v>
      </c>
      <c r="BC4" s="255">
        <v>0</v>
      </c>
      <c r="BD4" s="255">
        <v>0</v>
      </c>
      <c r="BE4" s="255">
        <v>0</v>
      </c>
      <c r="BF4" s="255">
        <v>0</v>
      </c>
      <c r="BG4" s="255">
        <v>0</v>
      </c>
      <c r="BH4" s="255">
        <v>0</v>
      </c>
      <c r="BI4" s="255">
        <v>0</v>
      </c>
      <c r="BJ4" s="255">
        <v>0</v>
      </c>
      <c r="BK4" s="255">
        <v>0</v>
      </c>
      <c r="BL4" s="255">
        <v>0</v>
      </c>
      <c r="BM4" s="255">
        <v>0</v>
      </c>
      <c r="BN4" s="255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8">
        <v>0</v>
      </c>
      <c r="BY4" s="286">
        <v>2</v>
      </c>
    </row>
    <row r="5" spans="1:82" s="286" customFormat="1" x14ac:dyDescent="0.2">
      <c r="A5" s="286" t="str">
        <f>name!B6</f>
        <v>Food drink and tobacco</v>
      </c>
      <c r="B5" s="7">
        <v>0</v>
      </c>
      <c r="C5" s="2">
        <v>0</v>
      </c>
      <c r="D5" s="2">
        <v>1</v>
      </c>
      <c r="E5" s="3">
        <v>1</v>
      </c>
      <c r="F5" s="3">
        <v>0</v>
      </c>
      <c r="G5" s="3">
        <v>0</v>
      </c>
      <c r="H5" s="332">
        <v>0</v>
      </c>
      <c r="I5" s="255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8">
        <v>0</v>
      </c>
      <c r="BY5" s="286">
        <v>3</v>
      </c>
    </row>
    <row r="6" spans="1:82" s="286" customFormat="1" x14ac:dyDescent="0.2">
      <c r="A6" s="286" t="str">
        <f>name!B7</f>
        <v>Engineering</v>
      </c>
      <c r="B6" s="7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255">
        <v>0</v>
      </c>
      <c r="I6" s="332">
        <v>0</v>
      </c>
      <c r="J6" s="292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1</v>
      </c>
      <c r="R6" s="3">
        <v>1</v>
      </c>
      <c r="S6" s="3">
        <v>1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8">
        <v>0</v>
      </c>
      <c r="BY6" s="286">
        <v>4</v>
      </c>
    </row>
    <row r="7" spans="1:82" s="286" customFormat="1" x14ac:dyDescent="0.2">
      <c r="A7" s="286" t="str">
        <f>name!B8</f>
        <v>Rest of manufacturing</v>
      </c>
      <c r="B7" s="7">
        <v>0</v>
      </c>
      <c r="C7" s="3">
        <v>0</v>
      </c>
      <c r="D7" s="3">
        <v>0</v>
      </c>
      <c r="E7" s="3">
        <v>0</v>
      </c>
      <c r="F7" s="3">
        <v>1</v>
      </c>
      <c r="G7" s="3">
        <v>1</v>
      </c>
      <c r="H7" s="292">
        <v>1</v>
      </c>
      <c r="I7" s="292">
        <v>1</v>
      </c>
      <c r="J7" s="254">
        <v>1</v>
      </c>
      <c r="K7" s="254">
        <v>1</v>
      </c>
      <c r="L7" s="254">
        <v>1</v>
      </c>
      <c r="M7" s="255">
        <v>1</v>
      </c>
      <c r="N7" s="255">
        <v>1</v>
      </c>
      <c r="O7" s="255">
        <v>1</v>
      </c>
      <c r="P7" s="255">
        <v>1</v>
      </c>
      <c r="Q7" s="3">
        <v>0</v>
      </c>
      <c r="R7" s="3">
        <v>0</v>
      </c>
      <c r="S7" s="3">
        <v>0</v>
      </c>
      <c r="T7" s="3">
        <v>1</v>
      </c>
      <c r="U7" s="3">
        <v>1</v>
      </c>
      <c r="V7" s="3">
        <v>1</v>
      </c>
      <c r="W7" s="3">
        <v>1</v>
      </c>
      <c r="X7" s="3">
        <v>1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8">
        <v>0</v>
      </c>
      <c r="BY7" s="286">
        <v>5</v>
      </c>
    </row>
    <row r="8" spans="1:82" s="286" customFormat="1" x14ac:dyDescent="0.2">
      <c r="A8" s="286" t="str">
        <f>name!B9</f>
        <v>Electricity and gas</v>
      </c>
      <c r="B8" s="7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292">
        <v>0</v>
      </c>
      <c r="I8" s="292">
        <v>0</v>
      </c>
      <c r="J8" s="292">
        <v>0</v>
      </c>
      <c r="K8" s="292">
        <v>0</v>
      </c>
      <c r="L8" s="255">
        <v>0</v>
      </c>
      <c r="M8" s="332">
        <v>0</v>
      </c>
      <c r="N8" s="255">
        <v>0</v>
      </c>
      <c r="O8" s="255">
        <v>0</v>
      </c>
      <c r="P8" s="255">
        <v>0</v>
      </c>
      <c r="Q8" s="255">
        <v>0</v>
      </c>
      <c r="R8" s="255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1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8">
        <v>0</v>
      </c>
      <c r="BY8" s="286">
        <v>6</v>
      </c>
    </row>
    <row r="9" spans="1:82" s="286" customFormat="1" x14ac:dyDescent="0.2">
      <c r="A9" s="286" t="str">
        <f>name!B10</f>
        <v>Water and sewerage</v>
      </c>
      <c r="B9" s="7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292">
        <v>0</v>
      </c>
      <c r="I9" s="292">
        <v>0</v>
      </c>
      <c r="J9" s="292">
        <v>0</v>
      </c>
      <c r="K9" s="292">
        <v>0</v>
      </c>
      <c r="L9" s="255">
        <v>0</v>
      </c>
      <c r="M9" s="255">
        <v>0</v>
      </c>
      <c r="N9" s="255">
        <v>0</v>
      </c>
      <c r="O9" s="255">
        <v>0</v>
      </c>
      <c r="P9" s="255">
        <v>0</v>
      </c>
      <c r="Q9" s="255">
        <v>0</v>
      </c>
      <c r="R9" s="255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1</v>
      </c>
      <c r="AA9" s="3">
        <v>1</v>
      </c>
      <c r="AB9" s="3">
        <v>1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8">
        <v>0</v>
      </c>
      <c r="BY9" s="286">
        <v>7</v>
      </c>
    </row>
    <row r="10" spans="1:82" s="286" customFormat="1" x14ac:dyDescent="0.2">
      <c r="A10" s="286" t="str">
        <f>name!B11</f>
        <v>Construction</v>
      </c>
      <c r="B10" s="7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292">
        <v>0</v>
      </c>
      <c r="I10" s="292">
        <v>0</v>
      </c>
      <c r="J10" s="292">
        <v>0</v>
      </c>
      <c r="K10" s="292">
        <v>0</v>
      </c>
      <c r="L10" s="255">
        <v>0</v>
      </c>
      <c r="M10" s="255">
        <v>0</v>
      </c>
      <c r="N10" s="255">
        <v>0</v>
      </c>
      <c r="O10" s="332">
        <v>0</v>
      </c>
      <c r="P10" s="255">
        <v>0</v>
      </c>
      <c r="Q10" s="255">
        <v>0</v>
      </c>
      <c r="R10" s="255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1</v>
      </c>
      <c r="AD10" s="3">
        <v>1</v>
      </c>
      <c r="AE10" s="3">
        <v>1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8">
        <v>0</v>
      </c>
      <c r="BY10" s="286">
        <v>8</v>
      </c>
    </row>
    <row r="11" spans="1:82" s="286" customFormat="1" x14ac:dyDescent="0.2">
      <c r="A11" s="286" t="str">
        <f>name!B12</f>
        <v>Wholesale and retail trade</v>
      </c>
      <c r="B11" s="7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292">
        <v>0</v>
      </c>
      <c r="I11" s="292">
        <v>0</v>
      </c>
      <c r="J11" s="292">
        <v>0</v>
      </c>
      <c r="K11" s="292">
        <v>0</v>
      </c>
      <c r="L11" s="255">
        <v>0</v>
      </c>
      <c r="M11" s="255">
        <v>0</v>
      </c>
      <c r="N11" s="255">
        <v>0</v>
      </c>
      <c r="O11" s="255">
        <v>0</v>
      </c>
      <c r="P11" s="332">
        <v>0</v>
      </c>
      <c r="Q11" s="332">
        <v>0</v>
      </c>
      <c r="R11" s="255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1</v>
      </c>
      <c r="AG11" s="3">
        <v>1</v>
      </c>
      <c r="AH11" s="3">
        <v>1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8">
        <v>0</v>
      </c>
      <c r="BY11" s="286">
        <v>9</v>
      </c>
    </row>
    <row r="12" spans="1:82" s="286" customFormat="1" x14ac:dyDescent="0.2">
      <c r="A12" s="286" t="str">
        <f>name!B13</f>
        <v>Transport and storage</v>
      </c>
      <c r="B12" s="7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292">
        <v>0</v>
      </c>
      <c r="I12" s="292">
        <v>0</v>
      </c>
      <c r="J12" s="292">
        <v>0</v>
      </c>
      <c r="K12" s="292">
        <v>0</v>
      </c>
      <c r="L12" s="255">
        <v>0</v>
      </c>
      <c r="M12" s="255">
        <v>0</v>
      </c>
      <c r="N12" s="255">
        <v>0</v>
      </c>
      <c r="O12" s="332">
        <v>0</v>
      </c>
      <c r="P12" s="255">
        <v>0</v>
      </c>
      <c r="Q12" s="255">
        <v>0</v>
      </c>
      <c r="R12" s="255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1</v>
      </c>
      <c r="AJ12" s="3">
        <v>1</v>
      </c>
      <c r="AK12" s="3">
        <v>1</v>
      </c>
      <c r="AL12" s="3">
        <v>1</v>
      </c>
      <c r="AM12" s="3">
        <v>1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8">
        <v>0</v>
      </c>
      <c r="BY12" s="286">
        <v>10</v>
      </c>
    </row>
    <row r="13" spans="1:82" s="286" customFormat="1" x14ac:dyDescent="0.2">
      <c r="A13" s="286" t="str">
        <f>name!B14</f>
        <v>Accommodation and food</v>
      </c>
      <c r="B13" s="7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292">
        <v>0</v>
      </c>
      <c r="I13" s="292">
        <v>0</v>
      </c>
      <c r="J13" s="292">
        <v>0</v>
      </c>
      <c r="K13" s="292">
        <v>0</v>
      </c>
      <c r="L13" s="255">
        <v>0</v>
      </c>
      <c r="M13" s="255">
        <v>0</v>
      </c>
      <c r="N13" s="255">
        <v>0</v>
      </c>
      <c r="O13" s="255">
        <v>0</v>
      </c>
      <c r="P13" s="332">
        <v>0</v>
      </c>
      <c r="Q13" s="332">
        <v>0</v>
      </c>
      <c r="R13" s="255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1</v>
      </c>
      <c r="AO13" s="3">
        <v>1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8">
        <v>0</v>
      </c>
      <c r="BY13" s="286">
        <v>11</v>
      </c>
    </row>
    <row r="14" spans="1:82" s="286" customFormat="1" x14ac:dyDescent="0.2">
      <c r="A14" s="286" t="str">
        <f>name!B15</f>
        <v>Media</v>
      </c>
      <c r="B14" s="7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292">
        <v>0</v>
      </c>
      <c r="I14" s="292">
        <v>0</v>
      </c>
      <c r="J14" s="292">
        <v>0</v>
      </c>
      <c r="K14" s="292">
        <v>0</v>
      </c>
      <c r="L14" s="255">
        <v>0</v>
      </c>
      <c r="M14" s="255">
        <v>0</v>
      </c>
      <c r="N14" s="255">
        <v>0</v>
      </c>
      <c r="O14" s="332">
        <v>0</v>
      </c>
      <c r="P14" s="255">
        <v>0</v>
      </c>
      <c r="Q14" s="255">
        <v>0</v>
      </c>
      <c r="R14" s="255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1</v>
      </c>
      <c r="AQ14" s="3">
        <v>1</v>
      </c>
      <c r="AR14" s="3">
        <v>1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8">
        <v>0</v>
      </c>
      <c r="BY14" s="286">
        <v>12</v>
      </c>
    </row>
    <row r="15" spans="1:82" s="286" customFormat="1" x14ac:dyDescent="0.2">
      <c r="A15" s="286" t="str">
        <f>name!B16</f>
        <v>Information technology</v>
      </c>
      <c r="B15" s="7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292">
        <v>0</v>
      </c>
      <c r="I15" s="292">
        <v>0</v>
      </c>
      <c r="J15" s="292">
        <v>0</v>
      </c>
      <c r="K15" s="292">
        <v>0</v>
      </c>
      <c r="L15" s="255">
        <v>0</v>
      </c>
      <c r="M15" s="255">
        <v>0</v>
      </c>
      <c r="N15" s="255">
        <v>0</v>
      </c>
      <c r="O15" s="255">
        <v>0</v>
      </c>
      <c r="P15" s="332">
        <v>0</v>
      </c>
      <c r="Q15" s="332">
        <v>0</v>
      </c>
      <c r="R15" s="255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1</v>
      </c>
      <c r="AT15" s="3">
        <v>1</v>
      </c>
      <c r="AU15" s="3">
        <v>1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8">
        <v>0</v>
      </c>
      <c r="BY15" s="286">
        <v>13</v>
      </c>
    </row>
    <row r="16" spans="1:82" s="286" customFormat="1" x14ac:dyDescent="0.2">
      <c r="A16" s="286" t="str">
        <f>name!B17</f>
        <v>Finance and insurance</v>
      </c>
      <c r="B16" s="7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292">
        <v>0</v>
      </c>
      <c r="I16" s="292">
        <v>0</v>
      </c>
      <c r="J16" s="292">
        <v>0</v>
      </c>
      <c r="K16" s="292">
        <v>0</v>
      </c>
      <c r="L16" s="255">
        <v>0</v>
      </c>
      <c r="M16" s="255">
        <v>0</v>
      </c>
      <c r="N16" s="255">
        <v>0</v>
      </c>
      <c r="O16" s="332">
        <v>0</v>
      </c>
      <c r="P16" s="255">
        <v>0</v>
      </c>
      <c r="Q16" s="255">
        <v>0</v>
      </c>
      <c r="R16" s="255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1</v>
      </c>
      <c r="AW16" s="3">
        <v>1</v>
      </c>
      <c r="AX16" s="3">
        <v>1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8">
        <v>0</v>
      </c>
      <c r="BY16" s="286">
        <v>14</v>
      </c>
    </row>
    <row r="17" spans="1:77" s="286" customFormat="1" x14ac:dyDescent="0.2">
      <c r="A17" s="286" t="str">
        <f>name!B18</f>
        <v>Real estate</v>
      </c>
      <c r="B17" s="7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292">
        <v>0</v>
      </c>
      <c r="I17" s="292">
        <v>0</v>
      </c>
      <c r="J17" s="292">
        <v>0</v>
      </c>
      <c r="K17" s="292">
        <v>0</v>
      </c>
      <c r="L17" s="255">
        <v>0</v>
      </c>
      <c r="M17" s="255">
        <v>0</v>
      </c>
      <c r="N17" s="255">
        <v>0</v>
      </c>
      <c r="O17" s="255">
        <v>0</v>
      </c>
      <c r="P17" s="332">
        <v>0</v>
      </c>
      <c r="Q17" s="332">
        <v>0</v>
      </c>
      <c r="R17" s="255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1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8">
        <v>0</v>
      </c>
      <c r="BY17" s="286">
        <v>15</v>
      </c>
    </row>
    <row r="18" spans="1:77" s="286" customFormat="1" x14ac:dyDescent="0.2">
      <c r="A18" s="286" t="str">
        <f>name!B19</f>
        <v>Professional services</v>
      </c>
      <c r="B18" s="7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292">
        <v>0</v>
      </c>
      <c r="I18" s="292">
        <v>0</v>
      </c>
      <c r="J18" s="292">
        <v>0</v>
      </c>
      <c r="K18" s="292">
        <v>0</v>
      </c>
      <c r="L18" s="255">
        <v>0</v>
      </c>
      <c r="M18" s="255">
        <v>0</v>
      </c>
      <c r="N18" s="255">
        <v>0</v>
      </c>
      <c r="O18" s="332">
        <v>0</v>
      </c>
      <c r="P18" s="255">
        <v>0</v>
      </c>
      <c r="Q18" s="255">
        <v>0</v>
      </c>
      <c r="R18" s="255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1</v>
      </c>
      <c r="BA18" s="3">
        <v>1</v>
      </c>
      <c r="BB18" s="3">
        <v>1</v>
      </c>
      <c r="BC18" s="3">
        <v>1</v>
      </c>
      <c r="BD18" s="3">
        <v>1</v>
      </c>
      <c r="BE18" s="3">
        <v>1</v>
      </c>
      <c r="BF18" s="3">
        <v>1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8">
        <v>0</v>
      </c>
      <c r="BY18" s="286">
        <v>16</v>
      </c>
    </row>
    <row r="19" spans="1:77" s="286" customFormat="1" x14ac:dyDescent="0.2">
      <c r="A19" s="286" t="str">
        <f>name!B20</f>
        <v>Support services</v>
      </c>
      <c r="B19" s="7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292">
        <v>0</v>
      </c>
      <c r="I19" s="292">
        <v>0</v>
      </c>
      <c r="J19" s="292">
        <v>0</v>
      </c>
      <c r="K19" s="292">
        <v>0</v>
      </c>
      <c r="L19" s="255">
        <v>0</v>
      </c>
      <c r="M19" s="255">
        <v>0</v>
      </c>
      <c r="N19" s="255">
        <v>0</v>
      </c>
      <c r="O19" s="255">
        <v>0</v>
      </c>
      <c r="P19" s="332">
        <v>0</v>
      </c>
      <c r="Q19" s="332">
        <v>0</v>
      </c>
      <c r="R19" s="255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1</v>
      </c>
      <c r="BH19" s="3">
        <v>1</v>
      </c>
      <c r="BI19" s="3">
        <v>1</v>
      </c>
      <c r="BJ19" s="3">
        <v>1</v>
      </c>
      <c r="BK19" s="3">
        <v>1</v>
      </c>
      <c r="BL19" s="3">
        <v>1</v>
      </c>
      <c r="BM19" s="3">
        <v>0</v>
      </c>
      <c r="BN19" s="3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8">
        <v>0</v>
      </c>
      <c r="BY19" s="286">
        <v>17</v>
      </c>
    </row>
    <row r="20" spans="1:77" s="286" customFormat="1" x14ac:dyDescent="0.2">
      <c r="A20" s="286" t="str">
        <f>name!B21</f>
        <v>Public admin. and defence</v>
      </c>
      <c r="B20" s="7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292">
        <v>0</v>
      </c>
      <c r="I20" s="292">
        <v>0</v>
      </c>
      <c r="J20" s="292">
        <v>0</v>
      </c>
      <c r="K20" s="292">
        <v>0</v>
      </c>
      <c r="L20" s="255">
        <v>0</v>
      </c>
      <c r="M20" s="255">
        <v>0</v>
      </c>
      <c r="N20" s="255">
        <v>0</v>
      </c>
      <c r="O20" s="332">
        <v>0</v>
      </c>
      <c r="P20" s="255">
        <v>0</v>
      </c>
      <c r="Q20" s="255">
        <v>0</v>
      </c>
      <c r="R20" s="255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1</v>
      </c>
      <c r="BN20" s="3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8">
        <v>0</v>
      </c>
      <c r="BY20" s="286">
        <v>18</v>
      </c>
    </row>
    <row r="21" spans="1:77" s="286" customFormat="1" x14ac:dyDescent="0.2">
      <c r="A21" s="286" t="str">
        <f>name!B22</f>
        <v>Education</v>
      </c>
      <c r="B21" s="7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292">
        <v>0</v>
      </c>
      <c r="I21" s="292">
        <v>0</v>
      </c>
      <c r="J21" s="292">
        <v>0</v>
      </c>
      <c r="K21" s="292">
        <v>0</v>
      </c>
      <c r="L21" s="255">
        <v>0</v>
      </c>
      <c r="M21" s="255">
        <v>0</v>
      </c>
      <c r="N21" s="255">
        <v>0</v>
      </c>
      <c r="O21" s="255">
        <v>0</v>
      </c>
      <c r="P21" s="332">
        <v>0</v>
      </c>
      <c r="Q21" s="332">
        <v>0</v>
      </c>
      <c r="R21" s="255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1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8">
        <v>0</v>
      </c>
      <c r="BY21" s="286">
        <v>19</v>
      </c>
    </row>
    <row r="22" spans="1:77" s="286" customFormat="1" x14ac:dyDescent="0.2">
      <c r="A22" s="286" t="str">
        <f>name!B23</f>
        <v>Health and social work</v>
      </c>
      <c r="B22" s="7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292">
        <v>0</v>
      </c>
      <c r="I22" s="292">
        <v>0</v>
      </c>
      <c r="J22" s="292">
        <v>0</v>
      </c>
      <c r="K22" s="292">
        <v>0</v>
      </c>
      <c r="L22" s="255">
        <v>0</v>
      </c>
      <c r="M22" s="255">
        <v>0</v>
      </c>
      <c r="N22" s="255">
        <v>0</v>
      </c>
      <c r="O22" s="332">
        <v>0</v>
      </c>
      <c r="P22" s="255">
        <v>0</v>
      </c>
      <c r="Q22" s="255">
        <v>0</v>
      </c>
      <c r="R22" s="255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2">
        <v>1</v>
      </c>
      <c r="BP22" s="2">
        <v>1</v>
      </c>
      <c r="BQ22" s="2">
        <v>1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8">
        <v>0</v>
      </c>
      <c r="BY22" s="286">
        <v>20</v>
      </c>
    </row>
    <row r="23" spans="1:77" s="286" customFormat="1" x14ac:dyDescent="0.2">
      <c r="A23" s="286" t="str">
        <f>name!B24</f>
        <v>Arts and entertainment</v>
      </c>
      <c r="B23" s="7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292">
        <v>0</v>
      </c>
      <c r="I23" s="292">
        <v>0</v>
      </c>
      <c r="J23" s="292">
        <v>0</v>
      </c>
      <c r="K23" s="292">
        <v>0</v>
      </c>
      <c r="L23" s="255">
        <v>0</v>
      </c>
      <c r="M23" s="255">
        <v>0</v>
      </c>
      <c r="N23" s="255">
        <v>0</v>
      </c>
      <c r="O23" s="255">
        <v>0</v>
      </c>
      <c r="P23" s="332">
        <v>0</v>
      </c>
      <c r="Q23" s="332">
        <v>0</v>
      </c>
      <c r="R23" s="255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2">
        <v>0</v>
      </c>
      <c r="BP23" s="2">
        <v>0</v>
      </c>
      <c r="BQ23" s="2">
        <v>0</v>
      </c>
      <c r="BR23" s="2">
        <v>1</v>
      </c>
      <c r="BS23" s="2">
        <v>1</v>
      </c>
      <c r="BT23" s="2">
        <v>1</v>
      </c>
      <c r="BU23" s="2">
        <v>1</v>
      </c>
      <c r="BV23" s="2">
        <v>0</v>
      </c>
      <c r="BW23" s="2">
        <v>0</v>
      </c>
      <c r="BX23" s="8">
        <v>0</v>
      </c>
      <c r="BY23" s="286">
        <v>21</v>
      </c>
    </row>
    <row r="24" spans="1:77" s="286" customFormat="1" ht="13.5" thickBot="1" x14ac:dyDescent="0.25">
      <c r="A24" s="286" t="str">
        <f>name!B25</f>
        <v>Other services</v>
      </c>
      <c r="B24" s="9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93">
        <v>0</v>
      </c>
      <c r="I24" s="293">
        <v>0</v>
      </c>
      <c r="J24" s="293">
        <v>0</v>
      </c>
      <c r="K24" s="293">
        <v>0</v>
      </c>
      <c r="L24" s="333">
        <v>0</v>
      </c>
      <c r="M24" s="333">
        <v>0</v>
      </c>
      <c r="N24" s="333">
        <v>0</v>
      </c>
      <c r="O24" s="334">
        <v>0</v>
      </c>
      <c r="P24" s="333">
        <v>0</v>
      </c>
      <c r="Q24" s="333">
        <v>0</v>
      </c>
      <c r="R24" s="333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  <c r="AU24" s="216">
        <v>0</v>
      </c>
      <c r="AV24" s="216">
        <v>0</v>
      </c>
      <c r="AW24" s="216">
        <v>0</v>
      </c>
      <c r="AX24" s="216">
        <v>0</v>
      </c>
      <c r="AY24" s="216">
        <v>0</v>
      </c>
      <c r="AZ24" s="216">
        <v>0</v>
      </c>
      <c r="BA24" s="216">
        <v>0</v>
      </c>
      <c r="BB24" s="216">
        <v>0</v>
      </c>
      <c r="BC24" s="216">
        <v>0</v>
      </c>
      <c r="BD24" s="216">
        <v>0</v>
      </c>
      <c r="BE24" s="216">
        <v>0</v>
      </c>
      <c r="BF24" s="216">
        <v>0</v>
      </c>
      <c r="BG24" s="216">
        <v>0</v>
      </c>
      <c r="BH24" s="216">
        <v>0</v>
      </c>
      <c r="BI24" s="216">
        <v>0</v>
      </c>
      <c r="BJ24" s="216">
        <v>0</v>
      </c>
      <c r="BK24" s="216">
        <v>0</v>
      </c>
      <c r="BL24" s="216">
        <v>0</v>
      </c>
      <c r="BM24" s="216">
        <v>0</v>
      </c>
      <c r="BN24" s="216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1</v>
      </c>
      <c r="BW24" s="10">
        <v>1</v>
      </c>
      <c r="BX24" s="11">
        <v>1</v>
      </c>
      <c r="BY24" s="286">
        <v>22</v>
      </c>
    </row>
    <row r="25" spans="1:77" s="286" customFormat="1" x14ac:dyDescent="0.2">
      <c r="B25" s="286">
        <v>1</v>
      </c>
      <c r="C25" s="286">
        <v>2</v>
      </c>
      <c r="D25" s="286">
        <v>3</v>
      </c>
      <c r="E25" s="286">
        <v>4</v>
      </c>
      <c r="F25" s="286">
        <v>5</v>
      </c>
      <c r="G25" s="286">
        <v>6</v>
      </c>
      <c r="H25" s="286">
        <v>7</v>
      </c>
      <c r="I25" s="286">
        <v>8</v>
      </c>
      <c r="J25" s="286">
        <v>9</v>
      </c>
      <c r="K25" s="286">
        <v>10</v>
      </c>
      <c r="L25" s="286">
        <v>11</v>
      </c>
      <c r="M25" s="286">
        <v>12</v>
      </c>
      <c r="N25" s="286">
        <v>13</v>
      </c>
      <c r="O25" s="286">
        <v>14</v>
      </c>
      <c r="P25" s="286">
        <v>15</v>
      </c>
      <c r="Q25" s="286">
        <v>16</v>
      </c>
      <c r="R25" s="286">
        <v>17</v>
      </c>
      <c r="S25" s="286">
        <v>18</v>
      </c>
      <c r="T25" s="286">
        <v>19</v>
      </c>
      <c r="U25" s="286">
        <v>20</v>
      </c>
      <c r="V25" s="286">
        <v>21</v>
      </c>
      <c r="W25" s="286">
        <v>22</v>
      </c>
      <c r="X25" s="286">
        <v>23</v>
      </c>
      <c r="Y25" s="286">
        <v>24</v>
      </c>
      <c r="Z25" s="286">
        <v>25</v>
      </c>
      <c r="AA25" s="286">
        <v>26</v>
      </c>
      <c r="AB25" s="286">
        <v>27</v>
      </c>
      <c r="AC25" s="286">
        <v>28</v>
      </c>
      <c r="AD25" s="286">
        <v>29</v>
      </c>
      <c r="AE25" s="286">
        <v>30</v>
      </c>
      <c r="AF25" s="286">
        <v>31</v>
      </c>
      <c r="AG25" s="286">
        <v>32</v>
      </c>
      <c r="AH25" s="286">
        <v>33</v>
      </c>
      <c r="AI25" s="286">
        <v>34</v>
      </c>
      <c r="AJ25" s="286">
        <v>35</v>
      </c>
      <c r="AK25" s="286">
        <v>36</v>
      </c>
      <c r="AL25" s="286">
        <v>37</v>
      </c>
      <c r="AM25" s="286">
        <v>38</v>
      </c>
      <c r="AN25" s="286">
        <v>39</v>
      </c>
      <c r="AO25" s="286">
        <v>40</v>
      </c>
      <c r="AP25" s="286">
        <v>41</v>
      </c>
      <c r="AQ25" s="286">
        <v>42</v>
      </c>
      <c r="AR25" s="286">
        <v>43</v>
      </c>
      <c r="AS25" s="286">
        <v>44</v>
      </c>
      <c r="AT25" s="286">
        <v>45</v>
      </c>
      <c r="AU25" s="286">
        <v>46</v>
      </c>
      <c r="AV25" s="286">
        <v>47</v>
      </c>
      <c r="AW25" s="286">
        <v>48</v>
      </c>
      <c r="AX25" s="286">
        <v>49</v>
      </c>
      <c r="AY25" s="286">
        <v>50</v>
      </c>
      <c r="AZ25" s="286">
        <v>51</v>
      </c>
      <c r="BA25" s="286">
        <v>52</v>
      </c>
      <c r="BB25" s="286">
        <v>53</v>
      </c>
      <c r="BC25" s="286">
        <v>54</v>
      </c>
      <c r="BD25" s="286">
        <v>55</v>
      </c>
      <c r="BE25" s="286">
        <v>56</v>
      </c>
      <c r="BF25" s="286">
        <v>57</v>
      </c>
      <c r="BG25" s="286">
        <v>58</v>
      </c>
      <c r="BH25" s="286">
        <v>59</v>
      </c>
      <c r="BI25" s="286">
        <v>60</v>
      </c>
      <c r="BJ25" s="286">
        <v>61</v>
      </c>
      <c r="BK25" s="286">
        <v>62</v>
      </c>
      <c r="BL25" s="286">
        <v>63</v>
      </c>
      <c r="BM25" s="286">
        <v>64</v>
      </c>
      <c r="BN25" s="286">
        <v>65</v>
      </c>
      <c r="BO25" s="286">
        <v>66</v>
      </c>
      <c r="BP25" s="286">
        <v>67</v>
      </c>
      <c r="BQ25" s="286">
        <v>68</v>
      </c>
      <c r="BR25" s="286">
        <v>69</v>
      </c>
      <c r="BS25" s="286">
        <v>70</v>
      </c>
      <c r="BT25" s="286">
        <v>71</v>
      </c>
      <c r="BU25" s="286">
        <v>72</v>
      </c>
      <c r="BV25" s="286">
        <v>73</v>
      </c>
      <c r="BW25" s="286">
        <v>74</v>
      </c>
      <c r="BX25" s="286">
        <v>75</v>
      </c>
    </row>
    <row r="26" spans="1:77" s="286" customFormat="1" x14ac:dyDescent="0.2"/>
    <row r="27" spans="1:77" ht="13.5" thickBot="1" x14ac:dyDescent="0.25">
      <c r="A27" s="1" t="str">
        <f>CONCATENATE("Aggregation 75 industries to 6 ",name!C2)</f>
        <v>Aggregation 75 industries to 6 Industry sectors</v>
      </c>
    </row>
    <row r="28" spans="1:77" x14ac:dyDescent="0.2">
      <c r="A28" s="12" t="str">
        <f>name!C4</f>
        <v>Primary sector and utilities</v>
      </c>
      <c r="B28" s="4">
        <v>1</v>
      </c>
      <c r="C28" s="5">
        <v>1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1</v>
      </c>
      <c r="Z28" s="5">
        <v>1</v>
      </c>
      <c r="AA28" s="5">
        <v>1</v>
      </c>
      <c r="AB28" s="5">
        <v>1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6">
        <v>0</v>
      </c>
      <c r="BY28" s="3">
        <v>1</v>
      </c>
    </row>
    <row r="29" spans="1:77" x14ac:dyDescent="0.2">
      <c r="A29" s="12" t="str">
        <f>name!C5</f>
        <v>Manufacturing</v>
      </c>
      <c r="B29" s="7">
        <v>0</v>
      </c>
      <c r="C29" s="2">
        <v>0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1</v>
      </c>
      <c r="T29" s="2">
        <v>1</v>
      </c>
      <c r="U29" s="2">
        <v>1</v>
      </c>
      <c r="V29" s="2">
        <v>1</v>
      </c>
      <c r="W29" s="2">
        <v>1</v>
      </c>
      <c r="X29" s="2">
        <v>1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8">
        <v>0</v>
      </c>
      <c r="BY29" s="3">
        <v>2</v>
      </c>
    </row>
    <row r="30" spans="1:77" x14ac:dyDescent="0.2">
      <c r="A30" s="12" t="str">
        <f>name!C6</f>
        <v>Construction</v>
      </c>
      <c r="B30" s="7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1</v>
      </c>
      <c r="AD30" s="2">
        <v>1</v>
      </c>
      <c r="AE30" s="2">
        <v>1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8">
        <v>0</v>
      </c>
      <c r="BY30" s="3">
        <v>3</v>
      </c>
    </row>
    <row r="31" spans="1:77" x14ac:dyDescent="0.2">
      <c r="A31" s="12" t="str">
        <f>name!C7</f>
        <v>Trade, accomod. and transport</v>
      </c>
      <c r="B31" s="7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1</v>
      </c>
      <c r="AG31" s="2">
        <v>1</v>
      </c>
      <c r="AH31" s="2">
        <v>1</v>
      </c>
      <c r="AI31" s="2">
        <v>1</v>
      </c>
      <c r="AJ31" s="2">
        <v>1</v>
      </c>
      <c r="AK31" s="2">
        <v>1</v>
      </c>
      <c r="AL31" s="2">
        <v>1</v>
      </c>
      <c r="AM31" s="2">
        <v>1</v>
      </c>
      <c r="AN31" s="2">
        <v>1</v>
      </c>
      <c r="AO31" s="2">
        <v>1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8">
        <v>0</v>
      </c>
      <c r="BY31" s="3">
        <v>4</v>
      </c>
    </row>
    <row r="32" spans="1:77" x14ac:dyDescent="0.2">
      <c r="A32" s="12" t="str">
        <f>name!C8</f>
        <v>Business and other services</v>
      </c>
      <c r="B32" s="7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1</v>
      </c>
      <c r="AQ32" s="2">
        <v>1</v>
      </c>
      <c r="AR32" s="2">
        <v>1</v>
      </c>
      <c r="AS32" s="2">
        <v>1</v>
      </c>
      <c r="AT32" s="2">
        <v>1</v>
      </c>
      <c r="AU32" s="2">
        <v>1</v>
      </c>
      <c r="AV32" s="2">
        <v>1</v>
      </c>
      <c r="AW32" s="2">
        <v>1</v>
      </c>
      <c r="AX32" s="2">
        <v>1</v>
      </c>
      <c r="AY32" s="2">
        <v>1</v>
      </c>
      <c r="AZ32" s="2">
        <v>1</v>
      </c>
      <c r="BA32" s="2">
        <v>1</v>
      </c>
      <c r="BB32" s="2">
        <v>1</v>
      </c>
      <c r="BC32" s="2">
        <v>1</v>
      </c>
      <c r="BD32" s="2">
        <v>1</v>
      </c>
      <c r="BE32" s="2">
        <v>1</v>
      </c>
      <c r="BF32" s="2">
        <v>1</v>
      </c>
      <c r="BG32" s="2">
        <v>1</v>
      </c>
      <c r="BH32" s="2">
        <v>1</v>
      </c>
      <c r="BI32" s="2">
        <v>1</v>
      </c>
      <c r="BJ32" s="2">
        <v>1</v>
      </c>
      <c r="BK32" s="2">
        <v>1</v>
      </c>
      <c r="BL32" s="2">
        <v>1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1</v>
      </c>
      <c r="BS32" s="2">
        <v>1</v>
      </c>
      <c r="BT32" s="2">
        <v>1</v>
      </c>
      <c r="BU32" s="2">
        <v>1</v>
      </c>
      <c r="BV32" s="2">
        <v>1</v>
      </c>
      <c r="BW32" s="2">
        <v>1</v>
      </c>
      <c r="BX32" s="8">
        <v>1</v>
      </c>
      <c r="BY32" s="3">
        <v>5</v>
      </c>
    </row>
    <row r="33" spans="1:77" ht="13.5" thickBot="1" x14ac:dyDescent="0.25">
      <c r="A33" s="12" t="str">
        <f>name!C9</f>
        <v>Non-marketed services</v>
      </c>
      <c r="B33" s="9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1</v>
      </c>
      <c r="BN33" s="10">
        <v>1</v>
      </c>
      <c r="BO33" s="10">
        <v>1</v>
      </c>
      <c r="BP33" s="10">
        <v>1</v>
      </c>
      <c r="BQ33" s="10">
        <v>1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1">
        <v>0</v>
      </c>
      <c r="BY33" s="3">
        <v>6</v>
      </c>
    </row>
    <row r="34" spans="1:77" x14ac:dyDescent="0.2">
      <c r="B34" s="3">
        <v>1</v>
      </c>
      <c r="C34" s="3">
        <v>2</v>
      </c>
      <c r="D34" s="3">
        <v>3</v>
      </c>
      <c r="E34" s="3">
        <v>4</v>
      </c>
      <c r="F34" s="3">
        <v>5</v>
      </c>
      <c r="G34" s="3">
        <v>6</v>
      </c>
      <c r="H34" s="3">
        <v>7</v>
      </c>
      <c r="I34" s="3">
        <v>8</v>
      </c>
      <c r="J34" s="3">
        <v>9</v>
      </c>
      <c r="K34" s="3">
        <v>10</v>
      </c>
      <c r="L34" s="3">
        <v>11</v>
      </c>
      <c r="M34" s="3">
        <v>12</v>
      </c>
      <c r="N34" s="3">
        <v>13</v>
      </c>
      <c r="O34" s="3">
        <v>14</v>
      </c>
      <c r="P34" s="3">
        <v>15</v>
      </c>
      <c r="Q34" s="3">
        <v>16</v>
      </c>
      <c r="R34" s="3">
        <v>17</v>
      </c>
      <c r="S34" s="3">
        <v>18</v>
      </c>
      <c r="T34" s="3">
        <v>19</v>
      </c>
      <c r="U34" s="3">
        <v>20</v>
      </c>
      <c r="V34" s="3">
        <v>21</v>
      </c>
      <c r="W34" s="3">
        <v>22</v>
      </c>
      <c r="X34" s="3">
        <v>23</v>
      </c>
      <c r="Y34" s="3">
        <v>24</v>
      </c>
      <c r="Z34" s="3">
        <v>25</v>
      </c>
      <c r="AA34" s="3">
        <v>26</v>
      </c>
      <c r="AB34" s="3">
        <v>27</v>
      </c>
      <c r="AC34" s="3">
        <v>28</v>
      </c>
      <c r="AD34" s="3">
        <v>29</v>
      </c>
      <c r="AE34" s="3">
        <v>30</v>
      </c>
      <c r="AF34" s="3">
        <v>31</v>
      </c>
      <c r="AG34" s="3">
        <v>32</v>
      </c>
      <c r="AH34" s="3">
        <v>33</v>
      </c>
      <c r="AI34" s="3">
        <v>34</v>
      </c>
      <c r="AJ34" s="3">
        <v>35</v>
      </c>
      <c r="AK34" s="3">
        <v>36</v>
      </c>
      <c r="AL34" s="3">
        <v>37</v>
      </c>
      <c r="AM34" s="3">
        <v>38</v>
      </c>
      <c r="AN34" s="3">
        <v>39</v>
      </c>
      <c r="AO34" s="3">
        <v>40</v>
      </c>
      <c r="AP34" s="3">
        <v>41</v>
      </c>
      <c r="AQ34" s="3">
        <v>42</v>
      </c>
      <c r="AR34" s="3">
        <v>43</v>
      </c>
      <c r="AS34" s="3">
        <v>44</v>
      </c>
      <c r="AT34" s="3">
        <v>45</v>
      </c>
      <c r="AU34" s="3">
        <v>46</v>
      </c>
      <c r="AV34" s="3">
        <v>47</v>
      </c>
      <c r="AW34" s="3">
        <v>48</v>
      </c>
      <c r="AX34" s="3">
        <v>49</v>
      </c>
      <c r="AY34" s="3">
        <v>50</v>
      </c>
      <c r="AZ34" s="3">
        <v>51</v>
      </c>
      <c r="BA34" s="3">
        <v>52</v>
      </c>
      <c r="BB34" s="3">
        <v>53</v>
      </c>
      <c r="BC34" s="3">
        <v>54</v>
      </c>
      <c r="BD34" s="3">
        <v>55</v>
      </c>
      <c r="BE34" s="3">
        <v>56</v>
      </c>
      <c r="BF34" s="3">
        <v>57</v>
      </c>
      <c r="BG34" s="3">
        <v>58</v>
      </c>
      <c r="BH34" s="3">
        <v>59</v>
      </c>
      <c r="BI34" s="3">
        <v>60</v>
      </c>
      <c r="BJ34" s="3">
        <v>61</v>
      </c>
      <c r="BK34" s="3">
        <v>62</v>
      </c>
      <c r="BL34" s="3">
        <v>63</v>
      </c>
      <c r="BM34" s="3">
        <v>64</v>
      </c>
      <c r="BN34" s="3">
        <v>65</v>
      </c>
      <c r="BO34" s="3">
        <v>66</v>
      </c>
      <c r="BP34" s="3">
        <v>67</v>
      </c>
      <c r="BQ34" s="3">
        <v>68</v>
      </c>
      <c r="BR34" s="3">
        <v>69</v>
      </c>
      <c r="BS34" s="3">
        <v>70</v>
      </c>
      <c r="BT34" s="3">
        <v>71</v>
      </c>
      <c r="BU34" s="3">
        <v>72</v>
      </c>
      <c r="BV34" s="3">
        <v>73</v>
      </c>
      <c r="BW34" s="3">
        <v>74</v>
      </c>
      <c r="BX34" s="3">
        <v>75</v>
      </c>
    </row>
    <row r="35" spans="1:77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77" x14ac:dyDescent="0.2">
      <c r="A36" s="1" t="str">
        <f>CONCATENATE("Aggregation 25 occupations to 9 ",name!$E$2)</f>
        <v>Aggregation 25 occupations to 9 Major group names:</v>
      </c>
    </row>
    <row r="37" spans="1:77" ht="120" customHeight="1" thickBot="1" x14ac:dyDescent="0.25">
      <c r="B37" s="14" t="str">
        <f t="array" ref="B37:Z37">TRANSPOSE(name!$D$4:$D$28)</f>
        <v xml:space="preserve"> 11 Corporate managers and directors</v>
      </c>
      <c r="C37" s="14" t="str">
        <v xml:space="preserve"> 12 Other managers and proprietors</v>
      </c>
      <c r="D37" s="14" t="str">
        <v xml:space="preserve"> 21 Science, research, engineering and technology professionals</v>
      </c>
      <c r="E37" s="14" t="str">
        <v xml:space="preserve"> 22 Health professionals</v>
      </c>
      <c r="F37" s="14" t="str">
        <v xml:space="preserve"> 23 Teaching and educational professionals</v>
      </c>
      <c r="G37" s="14" t="str">
        <v xml:space="preserve"> 24 Business, media and public service professionals</v>
      </c>
      <c r="H37" s="14" t="str">
        <v xml:space="preserve"> 31 Science, engineering and technology associate professionals</v>
      </c>
      <c r="I37" s="14" t="str">
        <v xml:space="preserve"> 32 Health and social care associate professionals</v>
      </c>
      <c r="J37" s="14" t="str">
        <v xml:space="preserve"> 33 Protective service occupations</v>
      </c>
      <c r="K37" s="14" t="str">
        <v xml:space="preserve"> 34 Culture, media and sports occupations</v>
      </c>
      <c r="L37" s="14" t="str">
        <v xml:space="preserve"> 35 Business and public service associate professionals</v>
      </c>
      <c r="M37" s="14" t="str">
        <v xml:space="preserve"> 41 Administrative occupations</v>
      </c>
      <c r="N37" s="14" t="str">
        <v xml:space="preserve"> 42 Secretarial and related occupations</v>
      </c>
      <c r="O37" s="14" t="str">
        <v xml:space="preserve"> 51 Skilled agricultural and related trades</v>
      </c>
      <c r="P37" s="14" t="str">
        <v xml:space="preserve"> 52 Skilled metal, electrical and electronic trades</v>
      </c>
      <c r="Q37" s="14" t="str">
        <v xml:space="preserve"> 53 Skilled construction and building trades</v>
      </c>
      <c r="R37" s="14" t="str">
        <v xml:space="preserve"> 54 Textiles, printing and other skilled trades</v>
      </c>
      <c r="S37" s="14" t="str">
        <v xml:space="preserve"> 61 Caring personal service occupations</v>
      </c>
      <c r="T37" s="14" t="str">
        <v xml:space="preserve"> 62 Leisure, travel and related personal service occupations</v>
      </c>
      <c r="U37" s="14" t="str">
        <v xml:space="preserve"> 71 Sales occupations</v>
      </c>
      <c r="V37" s="14" t="str">
        <v xml:space="preserve"> 72 Customer service occupations</v>
      </c>
      <c r="W37" s="14" t="str">
        <v xml:space="preserve"> 81 Process, plant and machine operatives</v>
      </c>
      <c r="X37" s="14" t="str">
        <v xml:space="preserve"> 82 Transport and mobile machine drivers and operatives</v>
      </c>
      <c r="Y37" s="14" t="str">
        <v xml:space="preserve"> 91 Elementary trades and related occupations</v>
      </c>
      <c r="Z37" s="14" t="str">
        <v xml:space="preserve"> 92 Elementary administration and service occupations</v>
      </c>
      <c r="AA37" s="14"/>
      <c r="AB37" s="14"/>
    </row>
    <row r="38" spans="1:77" x14ac:dyDescent="0.2">
      <c r="A38" t="str">
        <f>name!E4</f>
        <v>Managers, directors and senior officials</v>
      </c>
      <c r="B38" s="4">
        <v>1</v>
      </c>
      <c r="C38" s="5">
        <v>1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6">
        <v>0</v>
      </c>
      <c r="AA38" s="3">
        <v>1</v>
      </c>
      <c r="AB38" s="2"/>
    </row>
    <row r="39" spans="1:77" x14ac:dyDescent="0.2">
      <c r="A39" t="str">
        <f>name!E5</f>
        <v>Professional occupations</v>
      </c>
      <c r="B39" s="7">
        <v>0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8">
        <v>0</v>
      </c>
      <c r="AA39" s="3">
        <v>2</v>
      </c>
      <c r="AB39" s="2"/>
    </row>
    <row r="40" spans="1:77" x14ac:dyDescent="0.2">
      <c r="A40" t="str">
        <f>name!E6</f>
        <v>Associate professional and technical</v>
      </c>
      <c r="B40" s="7">
        <v>0</v>
      </c>
      <c r="C40" s="2">
        <v>0</v>
      </c>
      <c r="D40" s="2">
        <v>0</v>
      </c>
      <c r="E40" s="2">
        <v>0</v>
      </c>
      <c r="F40" s="3">
        <v>0</v>
      </c>
      <c r="G40" s="3">
        <v>0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8">
        <v>0</v>
      </c>
      <c r="AA40" s="3">
        <v>3</v>
      </c>
      <c r="AB40" s="2"/>
    </row>
    <row r="41" spans="1:77" x14ac:dyDescent="0.2">
      <c r="A41" t="str">
        <f>name!E7</f>
        <v>Administrative and secretarial</v>
      </c>
      <c r="B41" s="7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1</v>
      </c>
      <c r="N41" s="2">
        <v>1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8">
        <v>0</v>
      </c>
      <c r="AA41" s="3">
        <v>4</v>
      </c>
      <c r="AB41" s="2"/>
    </row>
    <row r="42" spans="1:77" x14ac:dyDescent="0.2">
      <c r="A42" t="str">
        <f>name!E8</f>
        <v>Skilled trades occupations</v>
      </c>
      <c r="B42" s="7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1</v>
      </c>
      <c r="P42" s="2">
        <v>1</v>
      </c>
      <c r="Q42" s="2">
        <v>1</v>
      </c>
      <c r="R42" s="2">
        <v>1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8">
        <v>0</v>
      </c>
      <c r="AA42" s="3">
        <v>5</v>
      </c>
      <c r="AB42" s="2"/>
    </row>
    <row r="43" spans="1:77" x14ac:dyDescent="0.2">
      <c r="A43" t="str">
        <f>name!E9</f>
        <v>Caring, leisure and other service</v>
      </c>
      <c r="B43" s="7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1</v>
      </c>
      <c r="T43" s="2">
        <v>1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8">
        <v>0</v>
      </c>
      <c r="AA43" s="3">
        <v>6</v>
      </c>
      <c r="AB43" s="2"/>
    </row>
    <row r="44" spans="1:77" x14ac:dyDescent="0.2">
      <c r="A44" t="str">
        <f>name!E10</f>
        <v>Sales and customer service</v>
      </c>
      <c r="B44" s="7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1</v>
      </c>
      <c r="V44" s="2">
        <v>1</v>
      </c>
      <c r="W44" s="2">
        <v>0</v>
      </c>
      <c r="X44" s="2">
        <v>0</v>
      </c>
      <c r="Y44" s="2">
        <v>0</v>
      </c>
      <c r="Z44" s="8">
        <v>0</v>
      </c>
      <c r="AA44" s="3">
        <v>7</v>
      </c>
      <c r="AB44" s="2"/>
    </row>
    <row r="45" spans="1:77" x14ac:dyDescent="0.2">
      <c r="A45" t="str">
        <f>name!E11</f>
        <v>Process, plant and machine operatives</v>
      </c>
      <c r="B45" s="7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</v>
      </c>
      <c r="X45" s="2">
        <v>1</v>
      </c>
      <c r="Y45" s="2">
        <v>0</v>
      </c>
      <c r="Z45" s="8">
        <v>0</v>
      </c>
      <c r="AA45" s="3">
        <v>8</v>
      </c>
      <c r="AB45" s="2"/>
    </row>
    <row r="46" spans="1:77" ht="13.5" thickBot="1" x14ac:dyDescent="0.25">
      <c r="A46" t="str">
        <f>name!E12</f>
        <v>Elementary occupations</v>
      </c>
      <c r="B46" s="9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1</v>
      </c>
      <c r="Z46" s="11">
        <v>1</v>
      </c>
      <c r="AA46" s="3">
        <v>9</v>
      </c>
      <c r="AB46" s="2"/>
    </row>
    <row r="47" spans="1:77" x14ac:dyDescent="0.2">
      <c r="B47" s="3">
        <v>1</v>
      </c>
      <c r="C47" s="3">
        <v>2</v>
      </c>
      <c r="D47" s="3">
        <v>3</v>
      </c>
      <c r="E47" s="3">
        <v>4</v>
      </c>
      <c r="F47" s="3">
        <v>5</v>
      </c>
      <c r="G47" s="3">
        <v>6</v>
      </c>
      <c r="H47" s="3">
        <v>7</v>
      </c>
      <c r="I47" s="3">
        <v>8</v>
      </c>
      <c r="J47" s="3">
        <v>9</v>
      </c>
      <c r="K47" s="3">
        <v>10</v>
      </c>
      <c r="L47" s="3">
        <v>11</v>
      </c>
      <c r="M47" s="3">
        <v>12</v>
      </c>
      <c r="N47" s="3">
        <v>13</v>
      </c>
      <c r="O47" s="3">
        <v>14</v>
      </c>
      <c r="P47" s="3">
        <v>15</v>
      </c>
      <c r="Q47" s="3">
        <v>16</v>
      </c>
      <c r="R47" s="3">
        <v>17</v>
      </c>
      <c r="S47" s="3">
        <v>18</v>
      </c>
      <c r="T47" s="3">
        <v>19</v>
      </c>
      <c r="U47" s="3">
        <v>20</v>
      </c>
      <c r="V47" s="3">
        <v>21</v>
      </c>
      <c r="W47" s="3">
        <v>22</v>
      </c>
      <c r="X47" s="3">
        <v>23</v>
      </c>
      <c r="Y47" s="3">
        <v>24</v>
      </c>
      <c r="Z47" s="3">
        <v>25</v>
      </c>
      <c r="AA47" s="3"/>
      <c r="AB47" s="3"/>
    </row>
    <row r="49" spans="1:11" x14ac:dyDescent="0.2">
      <c r="A49" s="1" t="str">
        <f>CONCATENATE("Aggregation 9 qualifications to 6 ",name!$G$2)</f>
        <v>Aggregation 9 qualifications to 6 Qualification groups</v>
      </c>
    </row>
    <row r="50" spans="1:11" ht="197.25" customHeight="1" thickBot="1" x14ac:dyDescent="0.25">
      <c r="B50" s="171" t="str">
        <f t="array" ref="B50:J50">TRANSPOSE(name!F4:F13)</f>
        <v>RQF8 Doctorate</v>
      </c>
      <c r="C50" s="171" t="str">
        <v>RQF7 Other higher degree</v>
      </c>
      <c r="D50" s="171" t="str">
        <v>RQF6 First degree</v>
      </c>
      <c r="E50" s="171" t="str">
        <v>RQF5 Foundation degree;Nursing;Teaching</v>
      </c>
      <c r="F50" s="171" t="str">
        <v>RQF4 HE below degree level</v>
      </c>
      <c r="G50" s="171" t="str">
        <v>RQF3 A level &amp; equivalent</v>
      </c>
      <c r="H50" s="171" t="str">
        <v>RQF2 GCSE(A-C) &amp; equivalent</v>
      </c>
      <c r="I50" s="171" t="str">
        <v>RQF1 GCSE(below grade C) &amp; equivalent</v>
      </c>
      <c r="J50" s="171" t="str">
        <v>No Qualification</v>
      </c>
    </row>
    <row r="51" spans="1:11" x14ac:dyDescent="0.2">
      <c r="A51" s="12" t="str">
        <f>name!G4</f>
        <v>RQF 7-8</v>
      </c>
      <c r="B51" s="4">
        <v>1</v>
      </c>
      <c r="C51" s="5">
        <v>1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6">
        <v>0</v>
      </c>
      <c r="K51">
        <v>1</v>
      </c>
    </row>
    <row r="52" spans="1:11" x14ac:dyDescent="0.2">
      <c r="A52" s="12" t="str">
        <f>name!G5</f>
        <v>RQF 4-6</v>
      </c>
      <c r="B52" s="7">
        <v>0</v>
      </c>
      <c r="C52" s="2">
        <v>0</v>
      </c>
      <c r="D52" s="2">
        <v>1</v>
      </c>
      <c r="E52" s="2">
        <v>1</v>
      </c>
      <c r="F52" s="2">
        <v>1</v>
      </c>
      <c r="G52" s="2">
        <v>0</v>
      </c>
      <c r="H52" s="2">
        <v>0</v>
      </c>
      <c r="I52" s="3">
        <v>0</v>
      </c>
      <c r="J52" s="215">
        <v>0</v>
      </c>
      <c r="K52">
        <v>2</v>
      </c>
    </row>
    <row r="53" spans="1:11" x14ac:dyDescent="0.2">
      <c r="A53" s="12" t="str">
        <f>name!G6</f>
        <v>RQF3 A level &amp; equivalent</v>
      </c>
      <c r="B53" s="7">
        <v>0</v>
      </c>
      <c r="C53" s="2">
        <v>0</v>
      </c>
      <c r="D53" s="2">
        <v>0</v>
      </c>
      <c r="E53" s="2">
        <v>0</v>
      </c>
      <c r="F53" s="2">
        <v>0</v>
      </c>
      <c r="G53" s="2">
        <v>1</v>
      </c>
      <c r="H53" s="2">
        <v>0</v>
      </c>
      <c r="I53" s="3">
        <v>0</v>
      </c>
      <c r="J53" s="215">
        <v>0</v>
      </c>
      <c r="K53">
        <v>3</v>
      </c>
    </row>
    <row r="54" spans="1:11" x14ac:dyDescent="0.2">
      <c r="A54" s="12" t="str">
        <f>name!G7</f>
        <v>RQF2 GCSE(A-C) &amp; equivalent</v>
      </c>
      <c r="B54" s="7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1</v>
      </c>
      <c r="I54" s="3">
        <v>0</v>
      </c>
      <c r="J54" s="215">
        <v>0</v>
      </c>
      <c r="K54" s="286">
        <v>4</v>
      </c>
    </row>
    <row r="55" spans="1:11" x14ac:dyDescent="0.2">
      <c r="A55" s="12" t="str">
        <f>name!G8</f>
        <v>RQF1 GCSE(below grade C) &amp; equivalent</v>
      </c>
      <c r="B55" s="7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1</v>
      </c>
      <c r="J55" s="215">
        <v>0</v>
      </c>
      <c r="K55" s="286">
        <v>5</v>
      </c>
    </row>
    <row r="56" spans="1:11" ht="13.5" thickBot="1" x14ac:dyDescent="0.25">
      <c r="A56" s="12" t="str">
        <f>name!G9</f>
        <v>No Qualification</v>
      </c>
      <c r="B56" s="9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1">
        <v>1</v>
      </c>
      <c r="K56" s="286">
        <v>6</v>
      </c>
    </row>
    <row r="57" spans="1:11" x14ac:dyDescent="0.2">
      <c r="A57" s="12"/>
      <c r="B57">
        <v>1</v>
      </c>
      <c r="C57">
        <v>2</v>
      </c>
      <c r="D57" s="172">
        <v>3</v>
      </c>
      <c r="E57" s="172">
        <v>4</v>
      </c>
      <c r="F57" s="172">
        <v>5</v>
      </c>
      <c r="G57" s="172">
        <v>6</v>
      </c>
      <c r="H57" s="172">
        <v>7</v>
      </c>
      <c r="I57" s="286">
        <v>8</v>
      </c>
      <c r="J57" s="286">
        <v>9</v>
      </c>
      <c r="K57" s="286"/>
    </row>
    <row r="58" spans="1:11" x14ac:dyDescent="0.2">
      <c r="A58" s="12"/>
      <c r="K58" s="286"/>
    </row>
    <row r="59" spans="1:11" x14ac:dyDescent="0.2">
      <c r="A59" s="12"/>
      <c r="K59" s="286"/>
    </row>
    <row r="60" spans="1:11" x14ac:dyDescent="0.2">
      <c r="A60" s="286"/>
    </row>
  </sheetData>
  <phoneticPr fontId="5" type="noConversion"/>
  <conditionalFormatting sqref="J52:J55">
    <cfRule type="cellIs" dxfId="3" priority="1" operator="equal">
      <formula>0</formula>
    </cfRule>
    <cfRule type="cellIs" dxfId="2" priority="2" stopIfTrue="1" operator="equal">
      <formula>1</formula>
    </cfRule>
  </conditionalFormatting>
  <conditionalFormatting sqref="B3:BX24 B28:BX33 B38:Z46 B51:J56">
    <cfRule type="cellIs" dxfId="1" priority="13" operator="equal">
      <formula>0</formula>
    </cfRule>
    <cfRule type="cellIs" dxfId="0" priority="15" stopIfTrue="1" operator="equal">
      <formula>1</formula>
    </cfRule>
  </conditionalFormatting>
  <pageMargins left="0.55118110236220474" right="0.55118110236220474" top="0.98425196850393704" bottom="0.98425196850393704" header="0.51181102362204722" footer="0.51181102362204722"/>
  <pageSetup paperSize="9" scale="60" orientation="landscape" r:id="rId1"/>
  <headerFooter alignWithMargins="0"/>
  <colBreaks count="1" manualBreakCount="1">
    <brk id="6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anager"/>
  <dimension ref="A1:AZ23"/>
  <sheetViews>
    <sheetView showGridLines="0" zoomScale="85" zoomScaleNormal="85" workbookViewId="0"/>
  </sheetViews>
  <sheetFormatPr defaultRowHeight="12.75" x14ac:dyDescent="0.2"/>
  <cols>
    <col min="1" max="1" width="3.42578125" style="2" customWidth="1"/>
    <col min="2" max="2" width="18.28515625" customWidth="1"/>
    <col min="3" max="4" width="6.140625" customWidth="1"/>
    <col min="5" max="5" width="6.28515625" customWidth="1"/>
    <col min="6" max="6" width="9.28515625" customWidth="1"/>
    <col min="7" max="7" width="6.140625" customWidth="1"/>
    <col min="8" max="8" width="10.42578125" customWidth="1"/>
  </cols>
  <sheetData>
    <row r="1" spans="1:52" s="253" customFormat="1" x14ac:dyDescent="0.2">
      <c r="A1" s="289"/>
      <c r="B1" s="12"/>
      <c r="C1" s="12"/>
      <c r="D1" s="12"/>
      <c r="E1" s="12"/>
      <c r="F1" s="12"/>
      <c r="G1" s="290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</row>
    <row r="2" spans="1:52" s="253" customFormat="1" ht="20.25" x14ac:dyDescent="0.3">
      <c r="A2" s="2"/>
      <c r="B2" s="257" t="s">
        <v>97</v>
      </c>
    </row>
    <row r="3" spans="1:52" s="253" customFormat="1" x14ac:dyDescent="0.2">
      <c r="A3" s="2"/>
    </row>
    <row r="4" spans="1:52" s="253" customFormat="1" x14ac:dyDescent="0.2">
      <c r="A4" s="2"/>
      <c r="B4" s="106" t="s">
        <v>96</v>
      </c>
      <c r="C4" s="253" t="str">
        <f>Stored!B11</f>
        <v>m:/IE/Projects/WorkingFutures/data/Results/Workbooks/WA/WA_Database.Main.xlsx</v>
      </c>
      <c r="AX4"/>
    </row>
    <row r="5" spans="1:52" s="253" customFormat="1" x14ac:dyDescent="0.2">
      <c r="A5" s="2"/>
      <c r="B5" s="106"/>
    </row>
    <row r="6" spans="1:52" ht="22.5" customHeight="1" x14ac:dyDescent="0.2">
      <c r="B6" s="258" t="s">
        <v>137</v>
      </c>
      <c r="C6" s="258"/>
      <c r="D6" s="296"/>
      <c r="E6" s="3"/>
    </row>
    <row r="7" spans="1:52" ht="15.75" customHeight="1" x14ac:dyDescent="0.2">
      <c r="B7" s="65"/>
      <c r="C7" s="66"/>
      <c r="D7" s="67"/>
      <c r="E7" s="3"/>
    </row>
    <row r="8" spans="1:52" ht="21" customHeight="1" x14ac:dyDescent="0.2">
      <c r="B8" s="68"/>
      <c r="C8" s="295"/>
      <c r="D8" s="69"/>
      <c r="E8" s="3"/>
    </row>
    <row r="10" spans="1:52" ht="17.25" customHeight="1" x14ac:dyDescent="0.2">
      <c r="B10" s="259" t="s">
        <v>465</v>
      </c>
      <c r="C10" s="63"/>
      <c r="D10" s="63"/>
      <c r="E10" s="63"/>
      <c r="F10" s="63"/>
      <c r="G10" s="63"/>
      <c r="H10" s="64"/>
    </row>
    <row r="11" spans="1:52" x14ac:dyDescent="0.2">
      <c r="B11" s="65"/>
      <c r="C11" s="71" t="s">
        <v>22</v>
      </c>
      <c r="D11" s="71" t="s">
        <v>23</v>
      </c>
      <c r="E11" s="71" t="s">
        <v>24</v>
      </c>
      <c r="F11" s="71" t="s">
        <v>25</v>
      </c>
      <c r="G11" s="71" t="s">
        <v>26</v>
      </c>
      <c r="H11" s="67"/>
    </row>
    <row r="12" spans="1:52" ht="13.5" thickBot="1" x14ac:dyDescent="0.25">
      <c r="B12" s="256" t="s">
        <v>16</v>
      </c>
      <c r="C12" s="72">
        <f>'Ind T3'!B3</f>
        <v>2007</v>
      </c>
      <c r="D12" s="72">
        <f>'Ind T3'!C3</f>
        <v>2012</v>
      </c>
      <c r="E12" s="72">
        <f>'Ind T3'!D3</f>
        <v>2017</v>
      </c>
      <c r="F12" s="72">
        <f>'Ind T3'!E3</f>
        <v>2022</v>
      </c>
      <c r="G12" s="72">
        <f>'Ind T3'!F3</f>
        <v>2027</v>
      </c>
      <c r="H12" s="67"/>
    </row>
    <row r="13" spans="1:52" ht="13.5" thickBot="1" x14ac:dyDescent="0.25">
      <c r="B13" s="302" t="s">
        <v>12</v>
      </c>
      <c r="C13" s="175">
        <v>2007</v>
      </c>
      <c r="D13" s="73">
        <v>2012</v>
      </c>
      <c r="E13" s="73">
        <v>2017</v>
      </c>
      <c r="F13" s="73">
        <v>2022</v>
      </c>
      <c r="G13" s="74">
        <v>2027</v>
      </c>
      <c r="H13" s="70"/>
    </row>
    <row r="14" spans="1:52" s="137" customFormat="1" x14ac:dyDescent="0.2">
      <c r="A14" s="255"/>
      <c r="G14" s="3"/>
      <c r="H14" s="3"/>
      <c r="I14" s="3"/>
      <c r="J14" s="3"/>
      <c r="K14" s="3"/>
      <c r="L14" s="3"/>
      <c r="M14" s="3"/>
    </row>
    <row r="15" spans="1:52" x14ac:dyDescent="0.2">
      <c r="G15" s="3"/>
      <c r="H15" s="3"/>
      <c r="I15" s="3"/>
      <c r="J15" s="3"/>
      <c r="K15" s="3"/>
      <c r="L15" s="3"/>
    </row>
    <row r="16" spans="1:52" ht="45.75" customHeight="1" x14ac:dyDescent="0.2">
      <c r="D16" s="286"/>
      <c r="E16" s="286"/>
      <c r="F16" s="286"/>
      <c r="G16" s="286"/>
    </row>
    <row r="17" spans="1:52" ht="15.75" customHeight="1" x14ac:dyDescent="0.2">
      <c r="E17" s="66"/>
    </row>
    <row r="18" spans="1:52" ht="24" customHeight="1" x14ac:dyDescent="0.2">
      <c r="E18" s="66"/>
    </row>
    <row r="20" spans="1:52" s="122" customFormat="1" x14ac:dyDescent="0.2">
      <c r="A20" s="2"/>
      <c r="B20"/>
      <c r="C20"/>
      <c r="D20"/>
      <c r="G20" s="3"/>
      <c r="H20" s="3"/>
      <c r="I20" s="3"/>
      <c r="J20" s="3"/>
      <c r="K20" s="3"/>
      <c r="L20" s="3"/>
    </row>
    <row r="23" spans="1:52" x14ac:dyDescent="0.2">
      <c r="D23" s="2"/>
      <c r="E23" s="286"/>
      <c r="F23" s="286"/>
      <c r="G23" s="2"/>
      <c r="H23" s="286"/>
      <c r="I23" s="286"/>
      <c r="J23" s="2"/>
      <c r="K23" s="286"/>
      <c r="L23" s="286"/>
      <c r="M23" s="2"/>
      <c r="N23" s="286"/>
      <c r="O23" s="286"/>
      <c r="P23" s="2"/>
      <c r="Q23" s="286"/>
      <c r="R23" s="286"/>
      <c r="S23" s="2"/>
      <c r="T23" s="286"/>
      <c r="U23" s="286"/>
      <c r="V23" s="2"/>
      <c r="W23" s="286"/>
      <c r="X23" s="286"/>
      <c r="Y23" s="2"/>
      <c r="Z23" s="286"/>
      <c r="AA23" s="286"/>
      <c r="AB23" s="2"/>
      <c r="AC23" s="286"/>
      <c r="AD23" s="286"/>
      <c r="AE23" s="2"/>
      <c r="AF23" s="286"/>
      <c r="AG23" s="286"/>
      <c r="AH23" s="2"/>
      <c r="AI23" s="286"/>
      <c r="AJ23" s="286"/>
      <c r="AK23" s="2"/>
      <c r="AL23" s="286"/>
      <c r="AM23" s="286"/>
      <c r="AN23" s="2"/>
      <c r="AO23" s="286"/>
      <c r="AP23" s="286"/>
      <c r="AQ23" s="2"/>
      <c r="AR23" s="286"/>
      <c r="AS23" s="286"/>
      <c r="AT23" s="2"/>
      <c r="AU23" s="286"/>
      <c r="AV23" s="286"/>
      <c r="AW23" s="2"/>
      <c r="AX23" s="286"/>
      <c r="AY23" s="286"/>
      <c r="AZ23" s="2"/>
    </row>
  </sheetData>
  <phoneticPr fontId="5" type="noConversion"/>
  <pageMargins left="0.75" right="0.75" top="1" bottom="1" header="0.5" footer="0.5"/>
  <pageSetup paperSize="9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9" r:id="rId4" name="installDataButton">
          <controlPr defaultSize="0" autoLine="0" r:id="rId5">
            <anchor moveWithCells="1">
              <from>
                <xdr:col>1</xdr:col>
                <xdr:colOff>85725</xdr:colOff>
                <xdr:row>6</xdr:row>
                <xdr:rowOff>85725</xdr:rowOff>
              </from>
              <to>
                <xdr:col>1</xdr:col>
                <xdr:colOff>657225</xdr:colOff>
                <xdr:row>7</xdr:row>
                <xdr:rowOff>190500</xdr:rowOff>
              </to>
            </anchor>
          </controlPr>
        </control>
      </mc:Choice>
      <mc:Fallback>
        <control shapeId="1029" r:id="rId4" name="installDataButton"/>
      </mc:Fallback>
    </mc:AlternateContent>
    <mc:AlternateContent xmlns:mc="http://schemas.openxmlformats.org/markup-compatibility/2006">
      <mc:Choice Requires="x14">
        <control shapeId="1025" r:id="rId6" name="SummaryTablesA">
          <controlPr autoLine="0" r:id="rId7">
            <anchor moveWithCells="1">
              <from>
                <xdr:col>7</xdr:col>
                <xdr:colOff>38100</xdr:colOff>
                <xdr:row>10</xdr:row>
                <xdr:rowOff>95250</xdr:rowOff>
              </from>
              <to>
                <xdr:col>7</xdr:col>
                <xdr:colOff>609600</xdr:colOff>
                <xdr:row>12</xdr:row>
                <xdr:rowOff>76200</xdr:rowOff>
              </to>
            </anchor>
          </controlPr>
        </control>
      </mc:Choice>
      <mc:Fallback>
        <control shapeId="1025" r:id="rId6" name="SummaryTablesA"/>
      </mc:Fallback>
    </mc:AlternateContent>
  </control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D243"/>
  <sheetViews>
    <sheetView zoomScale="85" zoomScaleNormal="85" workbookViewId="0"/>
  </sheetViews>
  <sheetFormatPr defaultColWidth="10.28515625" defaultRowHeight="12.75" x14ac:dyDescent="0.2"/>
  <cols>
    <col min="1" max="1" width="4.140625" style="16" customWidth="1"/>
    <col min="2" max="2" width="55.7109375" style="16" customWidth="1"/>
    <col min="3" max="3" width="5.85546875" style="16" customWidth="1"/>
    <col min="4" max="4" width="65.7109375" style="16" customWidth="1"/>
    <col min="5" max="16384" width="10.28515625" style="16"/>
  </cols>
  <sheetData>
    <row r="1" spans="1:4" x14ac:dyDescent="0.2">
      <c r="A1" s="17" t="s">
        <v>162</v>
      </c>
    </row>
    <row r="3" spans="1:4" x14ac:dyDescent="0.2">
      <c r="A3" s="173"/>
      <c r="B3" s="173" t="s">
        <v>380</v>
      </c>
      <c r="C3" s="173"/>
      <c r="D3" s="173" t="s">
        <v>381</v>
      </c>
    </row>
    <row r="4" spans="1:4" x14ac:dyDescent="0.2">
      <c r="A4" s="173"/>
      <c r="B4" s="173"/>
      <c r="C4" s="173"/>
      <c r="D4" s="173"/>
    </row>
    <row r="5" spans="1:4" x14ac:dyDescent="0.2">
      <c r="A5" s="173">
        <v>1</v>
      </c>
      <c r="B5" s="173" t="s">
        <v>163</v>
      </c>
      <c r="C5" s="173">
        <v>1</v>
      </c>
      <c r="D5" s="173" t="s">
        <v>164</v>
      </c>
    </row>
    <row r="6" spans="1:4" x14ac:dyDescent="0.2">
      <c r="A6" s="173"/>
      <c r="B6" s="173"/>
      <c r="C6" s="173"/>
      <c r="D6" s="173"/>
    </row>
    <row r="7" spans="1:4" x14ac:dyDescent="0.2">
      <c r="A7" s="173">
        <v>2</v>
      </c>
      <c r="B7" s="173" t="s">
        <v>88</v>
      </c>
      <c r="C7" s="173">
        <v>2</v>
      </c>
      <c r="D7" s="173" t="s">
        <v>165</v>
      </c>
    </row>
    <row r="8" spans="1:4" x14ac:dyDescent="0.2">
      <c r="A8" s="173"/>
      <c r="B8" s="173"/>
      <c r="C8" s="173"/>
      <c r="D8" s="173"/>
    </row>
    <row r="9" spans="1:4" x14ac:dyDescent="0.2">
      <c r="A9" s="173">
        <v>3</v>
      </c>
      <c r="B9" s="173" t="s">
        <v>166</v>
      </c>
      <c r="C9" s="173">
        <v>3</v>
      </c>
      <c r="D9" s="173" t="s">
        <v>167</v>
      </c>
    </row>
    <row r="10" spans="1:4" x14ac:dyDescent="0.2">
      <c r="A10" s="173"/>
      <c r="B10" s="173"/>
      <c r="C10" s="173">
        <v>4</v>
      </c>
      <c r="D10" s="173" t="s">
        <v>168</v>
      </c>
    </row>
    <row r="11" spans="1:4" x14ac:dyDescent="0.2">
      <c r="A11" s="173"/>
      <c r="B11" s="173"/>
      <c r="C11" s="173"/>
      <c r="D11" s="173"/>
    </row>
    <row r="12" spans="1:4" x14ac:dyDescent="0.2">
      <c r="A12" s="173">
        <v>4</v>
      </c>
      <c r="B12" s="173" t="s">
        <v>63</v>
      </c>
      <c r="C12" s="173">
        <v>16</v>
      </c>
      <c r="D12" s="173" t="s">
        <v>169</v>
      </c>
    </row>
    <row r="13" spans="1:4" x14ac:dyDescent="0.2">
      <c r="A13" s="173"/>
      <c r="B13" s="173"/>
      <c r="C13" s="173">
        <v>17</v>
      </c>
      <c r="D13" s="173" t="s">
        <v>89</v>
      </c>
    </row>
    <row r="14" spans="1:4" x14ac:dyDescent="0.2">
      <c r="A14" s="173"/>
      <c r="B14" s="173"/>
      <c r="C14" s="173">
        <v>18</v>
      </c>
      <c r="D14" s="173" t="s">
        <v>170</v>
      </c>
    </row>
    <row r="15" spans="1:4" x14ac:dyDescent="0.2">
      <c r="A15" s="173"/>
      <c r="B15" s="173"/>
      <c r="C15" s="173"/>
      <c r="D15" s="173"/>
    </row>
    <row r="16" spans="1:4" x14ac:dyDescent="0.2">
      <c r="A16" s="173">
        <v>5</v>
      </c>
      <c r="B16" s="173" t="s">
        <v>90</v>
      </c>
      <c r="C16" s="173">
        <v>5</v>
      </c>
      <c r="D16" s="173" t="s">
        <v>171</v>
      </c>
    </row>
    <row r="17" spans="1:4" x14ac:dyDescent="0.2">
      <c r="A17" s="173"/>
      <c r="B17" s="173"/>
      <c r="C17" s="173">
        <v>6</v>
      </c>
      <c r="D17" s="173" t="s">
        <v>172</v>
      </c>
    </row>
    <row r="18" spans="1:4" x14ac:dyDescent="0.2">
      <c r="A18" s="173"/>
      <c r="B18" s="173"/>
      <c r="C18" s="173">
        <v>7</v>
      </c>
      <c r="D18" s="173" t="s">
        <v>173</v>
      </c>
    </row>
    <row r="19" spans="1:4" x14ac:dyDescent="0.2">
      <c r="A19" s="173"/>
      <c r="B19" s="173"/>
      <c r="C19" s="173">
        <v>8</v>
      </c>
      <c r="D19" s="173" t="s">
        <v>174</v>
      </c>
    </row>
    <row r="20" spans="1:4" x14ac:dyDescent="0.2">
      <c r="A20" s="173"/>
      <c r="B20" s="173"/>
      <c r="C20" s="173">
        <v>9</v>
      </c>
      <c r="D20" s="173" t="s">
        <v>175</v>
      </c>
    </row>
    <row r="21" spans="1:4" x14ac:dyDescent="0.2">
      <c r="A21" s="173"/>
      <c r="B21" s="173"/>
      <c r="C21" s="173">
        <v>10</v>
      </c>
      <c r="D21" s="173" t="s">
        <v>176</v>
      </c>
    </row>
    <row r="22" spans="1:4" x14ac:dyDescent="0.2">
      <c r="A22" s="173"/>
      <c r="B22" s="173"/>
      <c r="C22" s="173">
        <v>11</v>
      </c>
      <c r="D22" s="173" t="s">
        <v>64</v>
      </c>
    </row>
    <row r="23" spans="1:4" x14ac:dyDescent="0.2">
      <c r="A23" s="173"/>
      <c r="B23" s="173"/>
      <c r="C23" s="173">
        <v>12</v>
      </c>
      <c r="D23" s="173" t="s">
        <v>177</v>
      </c>
    </row>
    <row r="24" spans="1:4" x14ac:dyDescent="0.2">
      <c r="A24" s="173"/>
      <c r="B24" s="173"/>
      <c r="C24" s="173">
        <v>13</v>
      </c>
      <c r="D24" s="173" t="s">
        <v>178</v>
      </c>
    </row>
    <row r="25" spans="1:4" x14ac:dyDescent="0.2">
      <c r="A25" s="173"/>
      <c r="B25" s="173"/>
      <c r="C25" s="173">
        <v>14</v>
      </c>
      <c r="D25" s="173" t="s">
        <v>122</v>
      </c>
    </row>
    <row r="26" spans="1:4" x14ac:dyDescent="0.2">
      <c r="A26" s="173"/>
      <c r="B26" s="173"/>
      <c r="C26" s="173">
        <v>15</v>
      </c>
      <c r="D26" s="173" t="s">
        <v>123</v>
      </c>
    </row>
    <row r="27" spans="1:4" x14ac:dyDescent="0.2">
      <c r="A27" s="173"/>
      <c r="B27" s="173"/>
      <c r="C27" s="173">
        <v>19</v>
      </c>
      <c r="D27" s="173" t="s">
        <v>179</v>
      </c>
    </row>
    <row r="28" spans="1:4" x14ac:dyDescent="0.2">
      <c r="A28" s="173"/>
      <c r="B28" s="173"/>
      <c r="C28" s="173">
        <v>20</v>
      </c>
      <c r="D28" s="173" t="s">
        <v>180</v>
      </c>
    </row>
    <row r="29" spans="1:4" x14ac:dyDescent="0.2">
      <c r="A29" s="173"/>
      <c r="B29" s="173"/>
      <c r="C29" s="173">
        <v>21</v>
      </c>
      <c r="D29" s="173" t="s">
        <v>181</v>
      </c>
    </row>
    <row r="30" spans="1:4" x14ac:dyDescent="0.2">
      <c r="A30" s="173"/>
      <c r="B30" s="173"/>
      <c r="C30" s="173">
        <v>22</v>
      </c>
      <c r="D30" s="173" t="s">
        <v>182</v>
      </c>
    </row>
    <row r="31" spans="1:4" x14ac:dyDescent="0.2">
      <c r="A31" s="173"/>
      <c r="B31" s="173"/>
      <c r="C31" s="173">
        <v>23</v>
      </c>
      <c r="D31" s="173" t="s">
        <v>183</v>
      </c>
    </row>
    <row r="32" spans="1:4" x14ac:dyDescent="0.2">
      <c r="A32" s="173"/>
      <c r="B32" s="173"/>
      <c r="C32" s="173"/>
      <c r="D32" s="173"/>
    </row>
    <row r="33" spans="1:4" x14ac:dyDescent="0.2">
      <c r="A33" s="173">
        <v>6</v>
      </c>
      <c r="B33" s="173" t="s">
        <v>184</v>
      </c>
      <c r="C33" s="173">
        <v>24</v>
      </c>
      <c r="D33" s="173" t="s">
        <v>185</v>
      </c>
    </row>
    <row r="34" spans="1:4" x14ac:dyDescent="0.2">
      <c r="A34" s="173"/>
      <c r="B34" s="173"/>
      <c r="C34" s="173"/>
      <c r="D34" s="173"/>
    </row>
    <row r="35" spans="1:4" x14ac:dyDescent="0.2">
      <c r="A35" s="173">
        <v>7</v>
      </c>
      <c r="B35" s="173" t="s">
        <v>186</v>
      </c>
      <c r="C35" s="173">
        <v>25</v>
      </c>
      <c r="D35" s="173" t="s">
        <v>187</v>
      </c>
    </row>
    <row r="36" spans="1:4" x14ac:dyDescent="0.2">
      <c r="A36" s="173"/>
      <c r="B36" s="173"/>
      <c r="C36" s="173">
        <v>26</v>
      </c>
      <c r="D36" s="173" t="s">
        <v>188</v>
      </c>
    </row>
    <row r="37" spans="1:4" x14ac:dyDescent="0.2">
      <c r="A37" s="173"/>
      <c r="B37" s="173"/>
      <c r="C37" s="173">
        <v>27</v>
      </c>
      <c r="D37" s="173" t="s">
        <v>189</v>
      </c>
    </row>
    <row r="38" spans="1:4" x14ac:dyDescent="0.2">
      <c r="A38" s="173"/>
      <c r="B38" s="173"/>
      <c r="C38" s="173"/>
      <c r="D38" s="173"/>
    </row>
    <row r="39" spans="1:4" x14ac:dyDescent="0.2">
      <c r="A39" s="173">
        <v>8</v>
      </c>
      <c r="B39" s="173" t="s">
        <v>65</v>
      </c>
      <c r="C39" s="173">
        <v>28</v>
      </c>
      <c r="D39" s="173" t="s">
        <v>190</v>
      </c>
    </row>
    <row r="40" spans="1:4" x14ac:dyDescent="0.2">
      <c r="A40" s="173"/>
      <c r="B40" s="173"/>
      <c r="C40" s="173">
        <v>29</v>
      </c>
      <c r="D40" s="173" t="s">
        <v>191</v>
      </c>
    </row>
    <row r="41" spans="1:4" x14ac:dyDescent="0.2">
      <c r="A41" s="173"/>
      <c r="B41" s="173"/>
      <c r="C41" s="173">
        <v>30</v>
      </c>
      <c r="D41" s="173" t="s">
        <v>192</v>
      </c>
    </row>
    <row r="42" spans="1:4" x14ac:dyDescent="0.2">
      <c r="A42" s="173"/>
      <c r="B42" s="173"/>
      <c r="C42" s="173"/>
      <c r="D42" s="173"/>
    </row>
    <row r="43" spans="1:4" x14ac:dyDescent="0.2">
      <c r="A43" s="173">
        <v>9</v>
      </c>
      <c r="B43" s="173" t="s">
        <v>91</v>
      </c>
      <c r="C43" s="173">
        <v>31</v>
      </c>
      <c r="D43" s="173" t="s">
        <v>193</v>
      </c>
    </row>
    <row r="44" spans="1:4" x14ac:dyDescent="0.2">
      <c r="A44" s="173"/>
      <c r="B44" s="173"/>
      <c r="C44" s="173">
        <v>32</v>
      </c>
      <c r="D44" s="173" t="s">
        <v>194</v>
      </c>
    </row>
    <row r="45" spans="1:4" x14ac:dyDescent="0.2">
      <c r="A45" s="173"/>
      <c r="B45" s="173"/>
      <c r="C45" s="173">
        <v>33</v>
      </c>
      <c r="D45" s="173" t="s">
        <v>195</v>
      </c>
    </row>
    <row r="46" spans="1:4" x14ac:dyDescent="0.2">
      <c r="A46" s="173"/>
      <c r="B46" s="173"/>
      <c r="C46" s="173"/>
      <c r="D46" s="173"/>
    </row>
    <row r="47" spans="1:4" x14ac:dyDescent="0.2">
      <c r="A47" s="173">
        <v>10</v>
      </c>
      <c r="B47" s="173" t="s">
        <v>196</v>
      </c>
      <c r="C47" s="173">
        <v>34</v>
      </c>
      <c r="D47" s="173" t="s">
        <v>197</v>
      </c>
    </row>
    <row r="48" spans="1:4" x14ac:dyDescent="0.2">
      <c r="A48" s="173"/>
      <c r="B48" s="173"/>
      <c r="C48" s="173">
        <v>35</v>
      </c>
      <c r="D48" s="173" t="s">
        <v>198</v>
      </c>
    </row>
    <row r="49" spans="1:4" x14ac:dyDescent="0.2">
      <c r="A49" s="173"/>
      <c r="B49" s="173"/>
      <c r="C49" s="173">
        <v>36</v>
      </c>
      <c r="D49" s="173" t="s">
        <v>199</v>
      </c>
    </row>
    <row r="50" spans="1:4" x14ac:dyDescent="0.2">
      <c r="A50" s="173"/>
      <c r="B50" s="173"/>
      <c r="C50" s="173">
        <v>37</v>
      </c>
      <c r="D50" s="173" t="s">
        <v>200</v>
      </c>
    </row>
    <row r="51" spans="1:4" x14ac:dyDescent="0.2">
      <c r="A51" s="173"/>
      <c r="B51" s="173"/>
      <c r="C51" s="173">
        <v>38</v>
      </c>
      <c r="D51" s="173" t="s">
        <v>201</v>
      </c>
    </row>
    <row r="52" spans="1:4" x14ac:dyDescent="0.2">
      <c r="A52" s="173"/>
      <c r="B52" s="173"/>
      <c r="C52" s="173"/>
      <c r="D52" s="173"/>
    </row>
    <row r="53" spans="1:4" x14ac:dyDescent="0.2">
      <c r="A53" s="173">
        <v>11</v>
      </c>
      <c r="B53" s="173" t="s">
        <v>202</v>
      </c>
      <c r="C53" s="173">
        <v>39</v>
      </c>
      <c r="D53" s="173" t="s">
        <v>203</v>
      </c>
    </row>
    <row r="54" spans="1:4" x14ac:dyDescent="0.2">
      <c r="A54" s="173"/>
      <c r="B54" s="173"/>
      <c r="C54" s="173">
        <v>40</v>
      </c>
      <c r="D54" s="173" t="s">
        <v>204</v>
      </c>
    </row>
    <row r="55" spans="1:4" x14ac:dyDescent="0.2">
      <c r="A55" s="173"/>
      <c r="B55" s="173"/>
      <c r="C55" s="173"/>
      <c r="D55" s="173"/>
    </row>
    <row r="56" spans="1:4" x14ac:dyDescent="0.2">
      <c r="A56" s="173">
        <v>12</v>
      </c>
      <c r="B56" s="173" t="s">
        <v>94</v>
      </c>
      <c r="C56" s="173">
        <v>41</v>
      </c>
      <c r="D56" s="173" t="s">
        <v>124</v>
      </c>
    </row>
    <row r="57" spans="1:4" x14ac:dyDescent="0.2">
      <c r="A57" s="173"/>
      <c r="B57" s="173"/>
      <c r="C57" s="173">
        <v>42</v>
      </c>
      <c r="D57" s="173" t="s">
        <v>205</v>
      </c>
    </row>
    <row r="58" spans="1:4" x14ac:dyDescent="0.2">
      <c r="A58" s="173"/>
      <c r="B58" s="173"/>
      <c r="C58" s="173">
        <v>43</v>
      </c>
      <c r="D58" s="173" t="s">
        <v>206</v>
      </c>
    </row>
    <row r="59" spans="1:4" x14ac:dyDescent="0.2">
      <c r="A59" s="173"/>
      <c r="B59" s="173"/>
      <c r="C59" s="173"/>
      <c r="D59" s="173"/>
    </row>
    <row r="60" spans="1:4" x14ac:dyDescent="0.2">
      <c r="A60" s="173">
        <v>13</v>
      </c>
      <c r="B60" s="173" t="s">
        <v>207</v>
      </c>
      <c r="C60" s="173">
        <v>44</v>
      </c>
      <c r="D60" s="173" t="s">
        <v>92</v>
      </c>
    </row>
    <row r="61" spans="1:4" x14ac:dyDescent="0.2">
      <c r="A61" s="173"/>
      <c r="B61" s="173"/>
      <c r="C61" s="173">
        <v>45</v>
      </c>
      <c r="D61" s="173" t="s">
        <v>208</v>
      </c>
    </row>
    <row r="62" spans="1:4" x14ac:dyDescent="0.2">
      <c r="A62" s="173"/>
      <c r="B62" s="173"/>
      <c r="C62" s="173">
        <v>46</v>
      </c>
      <c r="D62" s="173" t="s">
        <v>209</v>
      </c>
    </row>
    <row r="63" spans="1:4" x14ac:dyDescent="0.2">
      <c r="A63" s="173"/>
      <c r="B63" s="173"/>
      <c r="C63" s="173"/>
      <c r="D63" s="173"/>
    </row>
    <row r="64" spans="1:4" x14ac:dyDescent="0.2">
      <c r="A64" s="173">
        <v>14</v>
      </c>
      <c r="B64" s="173" t="s">
        <v>210</v>
      </c>
      <c r="C64" s="173">
        <v>47</v>
      </c>
      <c r="D64" s="173" t="s">
        <v>125</v>
      </c>
    </row>
    <row r="65" spans="1:4" x14ac:dyDescent="0.2">
      <c r="A65" s="173"/>
      <c r="B65" s="173"/>
      <c r="C65" s="173">
        <v>48</v>
      </c>
      <c r="D65" s="173" t="s">
        <v>211</v>
      </c>
    </row>
    <row r="66" spans="1:4" x14ac:dyDescent="0.2">
      <c r="A66" s="173"/>
      <c r="B66" s="173"/>
      <c r="C66" s="173">
        <v>49</v>
      </c>
      <c r="D66" s="173" t="s">
        <v>212</v>
      </c>
    </row>
    <row r="67" spans="1:4" x14ac:dyDescent="0.2">
      <c r="A67" s="173"/>
      <c r="B67" s="173"/>
      <c r="C67" s="173"/>
      <c r="D67" s="173"/>
    </row>
    <row r="68" spans="1:4" x14ac:dyDescent="0.2">
      <c r="A68" s="173">
        <v>15</v>
      </c>
      <c r="B68" s="173" t="s">
        <v>213</v>
      </c>
      <c r="C68" s="173">
        <v>50</v>
      </c>
      <c r="D68" s="173" t="s">
        <v>213</v>
      </c>
    </row>
    <row r="69" spans="1:4" x14ac:dyDescent="0.2">
      <c r="A69" s="173"/>
      <c r="B69" s="173"/>
      <c r="C69" s="173"/>
      <c r="D69" s="173"/>
    </row>
    <row r="70" spans="1:4" x14ac:dyDescent="0.2">
      <c r="A70" s="173">
        <v>16</v>
      </c>
      <c r="B70" s="173" t="s">
        <v>214</v>
      </c>
      <c r="C70" s="173">
        <v>51</v>
      </c>
      <c r="D70" s="173" t="s">
        <v>215</v>
      </c>
    </row>
    <row r="71" spans="1:4" x14ac:dyDescent="0.2">
      <c r="A71" s="173"/>
      <c r="B71" s="173"/>
      <c r="C71" s="173">
        <v>52</v>
      </c>
      <c r="D71" s="173" t="s">
        <v>216</v>
      </c>
    </row>
    <row r="72" spans="1:4" x14ac:dyDescent="0.2">
      <c r="A72" s="173"/>
      <c r="B72" s="173"/>
      <c r="C72" s="173">
        <v>53</v>
      </c>
      <c r="D72" s="173" t="s">
        <v>217</v>
      </c>
    </row>
    <row r="73" spans="1:4" x14ac:dyDescent="0.2">
      <c r="A73" s="173"/>
      <c r="B73" s="173"/>
      <c r="C73" s="173">
        <v>54</v>
      </c>
      <c r="D73" s="173" t="s">
        <v>218</v>
      </c>
    </row>
    <row r="74" spans="1:4" x14ac:dyDescent="0.2">
      <c r="A74" s="173"/>
      <c r="B74" s="173"/>
      <c r="C74" s="173">
        <v>55</v>
      </c>
      <c r="D74" s="173" t="s">
        <v>219</v>
      </c>
    </row>
    <row r="75" spans="1:4" x14ac:dyDescent="0.2">
      <c r="A75" s="173"/>
      <c r="B75" s="173"/>
      <c r="C75" s="173">
        <v>56</v>
      </c>
      <c r="D75" s="173" t="s">
        <v>220</v>
      </c>
    </row>
    <row r="76" spans="1:4" x14ac:dyDescent="0.2">
      <c r="A76" s="173"/>
      <c r="B76" s="173"/>
      <c r="C76" s="173">
        <v>57</v>
      </c>
      <c r="D76" s="173" t="s">
        <v>221</v>
      </c>
    </row>
    <row r="77" spans="1:4" x14ac:dyDescent="0.2">
      <c r="A77" s="173"/>
      <c r="B77" s="173"/>
      <c r="C77" s="173"/>
      <c r="D77" s="173"/>
    </row>
    <row r="78" spans="1:4" x14ac:dyDescent="0.2">
      <c r="A78" s="173">
        <v>17</v>
      </c>
      <c r="B78" s="173" t="s">
        <v>222</v>
      </c>
      <c r="C78" s="173">
        <v>58</v>
      </c>
      <c r="D78" s="173" t="s">
        <v>223</v>
      </c>
    </row>
    <row r="79" spans="1:4" x14ac:dyDescent="0.2">
      <c r="A79" s="173"/>
      <c r="B79" s="173"/>
      <c r="C79" s="173">
        <v>59</v>
      </c>
      <c r="D79" s="173" t="s">
        <v>126</v>
      </c>
    </row>
    <row r="80" spans="1:4" x14ac:dyDescent="0.2">
      <c r="A80" s="173"/>
      <c r="B80" s="173"/>
      <c r="C80" s="173">
        <v>60</v>
      </c>
      <c r="D80" s="173" t="s">
        <v>224</v>
      </c>
    </row>
    <row r="81" spans="1:4" x14ac:dyDescent="0.2">
      <c r="A81" s="173"/>
      <c r="B81" s="173"/>
      <c r="C81" s="173">
        <v>61</v>
      </c>
      <c r="D81" s="173" t="s">
        <v>225</v>
      </c>
    </row>
    <row r="82" spans="1:4" x14ac:dyDescent="0.2">
      <c r="A82" s="173"/>
      <c r="B82" s="173"/>
      <c r="C82" s="173">
        <v>62</v>
      </c>
      <c r="D82" s="173" t="s">
        <v>226</v>
      </c>
    </row>
    <row r="83" spans="1:4" x14ac:dyDescent="0.2">
      <c r="A83" s="173"/>
      <c r="B83" s="173"/>
      <c r="C83" s="173">
        <v>63</v>
      </c>
      <c r="D83" s="173" t="s">
        <v>227</v>
      </c>
    </row>
    <row r="84" spans="1:4" x14ac:dyDescent="0.2">
      <c r="A84" s="173"/>
      <c r="B84" s="173"/>
      <c r="C84" s="173"/>
      <c r="D84" s="173"/>
    </row>
    <row r="85" spans="1:4" x14ac:dyDescent="0.2">
      <c r="A85" s="173">
        <v>18</v>
      </c>
      <c r="B85" s="173" t="s">
        <v>228</v>
      </c>
      <c r="C85" s="173">
        <v>64</v>
      </c>
      <c r="D85" s="173" t="s">
        <v>229</v>
      </c>
    </row>
    <row r="86" spans="1:4" x14ac:dyDescent="0.2">
      <c r="A86" s="173"/>
      <c r="B86" s="173"/>
      <c r="C86" s="173"/>
      <c r="D86" s="173"/>
    </row>
    <row r="87" spans="1:4" x14ac:dyDescent="0.2">
      <c r="A87" s="173">
        <v>19</v>
      </c>
      <c r="B87" s="173" t="s">
        <v>66</v>
      </c>
      <c r="C87" s="173">
        <v>65</v>
      </c>
      <c r="D87" s="173" t="s">
        <v>66</v>
      </c>
    </row>
    <row r="88" spans="1:4" x14ac:dyDescent="0.2">
      <c r="A88" s="173"/>
      <c r="B88" s="173"/>
      <c r="C88" s="173"/>
      <c r="D88" s="173"/>
    </row>
    <row r="89" spans="1:4" x14ac:dyDescent="0.2">
      <c r="A89" s="173">
        <v>20</v>
      </c>
      <c r="B89" s="173" t="s">
        <v>67</v>
      </c>
      <c r="C89" s="173">
        <v>66</v>
      </c>
      <c r="D89" s="173" t="s">
        <v>230</v>
      </c>
    </row>
    <row r="90" spans="1:4" x14ac:dyDescent="0.2">
      <c r="A90" s="173"/>
      <c r="B90" s="173"/>
      <c r="C90" s="173">
        <v>67</v>
      </c>
      <c r="D90" s="173" t="s">
        <v>231</v>
      </c>
    </row>
    <row r="91" spans="1:4" x14ac:dyDescent="0.2">
      <c r="A91" s="173"/>
      <c r="B91" s="173"/>
      <c r="C91" s="173">
        <v>68</v>
      </c>
      <c r="D91" s="173" t="s">
        <v>232</v>
      </c>
    </row>
    <row r="92" spans="1:4" x14ac:dyDescent="0.2">
      <c r="A92" s="173"/>
      <c r="B92" s="173"/>
      <c r="C92" s="173"/>
      <c r="D92" s="173"/>
    </row>
    <row r="93" spans="1:4" x14ac:dyDescent="0.2">
      <c r="A93" s="173">
        <v>21</v>
      </c>
      <c r="B93" s="173" t="s">
        <v>93</v>
      </c>
      <c r="C93" s="173">
        <v>69</v>
      </c>
      <c r="D93" s="173" t="s">
        <v>233</v>
      </c>
    </row>
    <row r="94" spans="1:4" x14ac:dyDescent="0.2">
      <c r="A94" s="173"/>
      <c r="B94" s="173"/>
      <c r="C94" s="173">
        <v>70</v>
      </c>
      <c r="D94" s="173" t="s">
        <v>234</v>
      </c>
    </row>
    <row r="95" spans="1:4" x14ac:dyDescent="0.2">
      <c r="A95" s="173"/>
      <c r="B95" s="173"/>
      <c r="C95" s="173">
        <v>71</v>
      </c>
      <c r="D95" s="173" t="s">
        <v>235</v>
      </c>
    </row>
    <row r="96" spans="1:4" x14ac:dyDescent="0.2">
      <c r="A96" s="173"/>
      <c r="B96" s="173"/>
      <c r="C96" s="173">
        <v>72</v>
      </c>
      <c r="D96" s="173" t="s">
        <v>236</v>
      </c>
    </row>
    <row r="97" spans="1:4" x14ac:dyDescent="0.2">
      <c r="A97" s="173"/>
      <c r="B97" s="173"/>
      <c r="C97" s="173"/>
      <c r="D97" s="173"/>
    </row>
    <row r="98" spans="1:4" x14ac:dyDescent="0.2">
      <c r="A98" s="173">
        <v>22</v>
      </c>
      <c r="B98" s="173" t="s">
        <v>237</v>
      </c>
      <c r="C98" s="173">
        <v>73</v>
      </c>
      <c r="D98" s="173" t="s">
        <v>127</v>
      </c>
    </row>
    <row r="99" spans="1:4" x14ac:dyDescent="0.2">
      <c r="A99" s="173"/>
      <c r="B99" s="173"/>
      <c r="C99" s="173">
        <v>74</v>
      </c>
      <c r="D99" s="173" t="s">
        <v>238</v>
      </c>
    </row>
    <row r="100" spans="1:4" x14ac:dyDescent="0.2">
      <c r="A100" s="173"/>
      <c r="B100" s="173"/>
      <c r="C100" s="173">
        <v>75</v>
      </c>
      <c r="D100" s="173" t="s">
        <v>239</v>
      </c>
    </row>
    <row r="101" spans="1:4" x14ac:dyDescent="0.2">
      <c r="A101" s="286"/>
      <c r="B101" s="286"/>
      <c r="C101" s="119"/>
      <c r="D101" s="286"/>
    </row>
    <row r="102" spans="1:4" x14ac:dyDescent="0.2">
      <c r="A102" s="20" t="s">
        <v>240</v>
      </c>
      <c r="B102" s="119"/>
      <c r="C102" s="119"/>
      <c r="D102" s="286"/>
    </row>
    <row r="103" spans="1:4" x14ac:dyDescent="0.2">
      <c r="A103" s="119"/>
      <c r="B103" s="119"/>
      <c r="C103" s="119"/>
      <c r="D103" s="286"/>
    </row>
    <row r="104" spans="1:4" x14ac:dyDescent="0.2">
      <c r="A104" s="328"/>
      <c r="B104" s="173" t="s">
        <v>382</v>
      </c>
      <c r="C104" s="328"/>
      <c r="D104" s="173" t="s">
        <v>381</v>
      </c>
    </row>
    <row r="105" spans="1:4" x14ac:dyDescent="0.2">
      <c r="A105" s="328"/>
      <c r="B105" s="328"/>
      <c r="C105" s="328"/>
      <c r="D105" s="328"/>
    </row>
    <row r="106" spans="1:4" x14ac:dyDescent="0.2">
      <c r="A106" s="328">
        <v>1</v>
      </c>
      <c r="B106" s="328" t="s">
        <v>241</v>
      </c>
      <c r="C106" s="328">
        <v>1</v>
      </c>
      <c r="D106" s="328" t="s">
        <v>164</v>
      </c>
    </row>
    <row r="107" spans="1:4" x14ac:dyDescent="0.2">
      <c r="A107" s="328"/>
      <c r="B107" s="328"/>
      <c r="C107" s="328">
        <v>2</v>
      </c>
      <c r="D107" s="328" t="s">
        <v>165</v>
      </c>
    </row>
    <row r="108" spans="1:4" x14ac:dyDescent="0.2">
      <c r="A108" s="328"/>
      <c r="B108" s="328"/>
      <c r="C108" s="328">
        <v>24</v>
      </c>
      <c r="D108" s="328" t="s">
        <v>185</v>
      </c>
    </row>
    <row r="109" spans="1:4" x14ac:dyDescent="0.2">
      <c r="A109" s="328"/>
      <c r="B109" s="328"/>
      <c r="C109" s="328">
        <v>25</v>
      </c>
      <c r="D109" s="328" t="s">
        <v>187</v>
      </c>
    </row>
    <row r="110" spans="1:4" x14ac:dyDescent="0.2">
      <c r="A110" s="328"/>
      <c r="B110" s="328"/>
      <c r="C110" s="328">
        <v>26</v>
      </c>
      <c r="D110" s="328" t="s">
        <v>188</v>
      </c>
    </row>
    <row r="111" spans="1:4" x14ac:dyDescent="0.2">
      <c r="A111" s="328"/>
      <c r="B111" s="328"/>
      <c r="C111" s="328">
        <v>27</v>
      </c>
      <c r="D111" s="328" t="s">
        <v>189</v>
      </c>
    </row>
    <row r="112" spans="1:4" x14ac:dyDescent="0.2">
      <c r="A112" s="328"/>
      <c r="B112" s="328"/>
      <c r="C112" s="328"/>
      <c r="D112" s="328"/>
    </row>
    <row r="113" spans="1:4" x14ac:dyDescent="0.2">
      <c r="A113" s="328">
        <v>2</v>
      </c>
      <c r="B113" s="328" t="s">
        <v>95</v>
      </c>
      <c r="C113" s="328">
        <v>3</v>
      </c>
      <c r="D113" s="328" t="s">
        <v>167</v>
      </c>
    </row>
    <row r="114" spans="1:4" x14ac:dyDescent="0.2">
      <c r="A114" s="328"/>
      <c r="B114" s="328"/>
      <c r="C114" s="328">
        <v>4</v>
      </c>
      <c r="D114" s="328" t="s">
        <v>168</v>
      </c>
    </row>
    <row r="115" spans="1:4" x14ac:dyDescent="0.2">
      <c r="A115" s="328"/>
      <c r="B115" s="328"/>
      <c r="C115" s="328">
        <v>5</v>
      </c>
      <c r="D115" s="328" t="s">
        <v>171</v>
      </c>
    </row>
    <row r="116" spans="1:4" x14ac:dyDescent="0.2">
      <c r="A116" s="328"/>
      <c r="B116" s="328"/>
      <c r="C116" s="328">
        <v>6</v>
      </c>
      <c r="D116" s="328" t="s">
        <v>172</v>
      </c>
    </row>
    <row r="117" spans="1:4" x14ac:dyDescent="0.2">
      <c r="A117" s="328"/>
      <c r="B117" s="328"/>
      <c r="C117" s="328">
        <v>7</v>
      </c>
      <c r="D117" s="328" t="s">
        <v>173</v>
      </c>
    </row>
    <row r="118" spans="1:4" x14ac:dyDescent="0.2">
      <c r="A118" s="328"/>
      <c r="B118" s="328"/>
      <c r="C118" s="328">
        <v>8</v>
      </c>
      <c r="D118" s="328" t="s">
        <v>174</v>
      </c>
    </row>
    <row r="119" spans="1:4" x14ac:dyDescent="0.2">
      <c r="A119" s="328"/>
      <c r="B119" s="328"/>
      <c r="C119" s="328">
        <v>9</v>
      </c>
      <c r="D119" s="328" t="s">
        <v>175</v>
      </c>
    </row>
    <row r="120" spans="1:4" x14ac:dyDescent="0.2">
      <c r="A120" s="328"/>
      <c r="B120" s="328"/>
      <c r="C120" s="328">
        <v>10</v>
      </c>
      <c r="D120" s="328" t="s">
        <v>176</v>
      </c>
    </row>
    <row r="121" spans="1:4" x14ac:dyDescent="0.2">
      <c r="A121" s="328"/>
      <c r="B121" s="328"/>
      <c r="C121" s="328">
        <v>11</v>
      </c>
      <c r="D121" s="328" t="s">
        <v>64</v>
      </c>
    </row>
    <row r="122" spans="1:4" x14ac:dyDescent="0.2">
      <c r="A122" s="328"/>
      <c r="B122" s="328"/>
      <c r="C122" s="328">
        <v>12</v>
      </c>
      <c r="D122" s="328" t="s">
        <v>177</v>
      </c>
    </row>
    <row r="123" spans="1:4" x14ac:dyDescent="0.2">
      <c r="A123" s="328"/>
      <c r="B123" s="328"/>
      <c r="C123" s="328">
        <v>13</v>
      </c>
      <c r="D123" s="328" t="s">
        <v>178</v>
      </c>
    </row>
    <row r="124" spans="1:4" x14ac:dyDescent="0.2">
      <c r="A124" s="328"/>
      <c r="B124" s="328"/>
      <c r="C124" s="328">
        <v>14</v>
      </c>
      <c r="D124" s="328" t="s">
        <v>122</v>
      </c>
    </row>
    <row r="125" spans="1:4" x14ac:dyDescent="0.2">
      <c r="A125" s="328"/>
      <c r="B125" s="328"/>
      <c r="C125" s="328">
        <v>15</v>
      </c>
      <c r="D125" s="328" t="s">
        <v>123</v>
      </c>
    </row>
    <row r="126" spans="1:4" x14ac:dyDescent="0.2">
      <c r="A126" s="328"/>
      <c r="B126" s="328"/>
      <c r="C126" s="328">
        <v>16</v>
      </c>
      <c r="D126" s="328" t="s">
        <v>169</v>
      </c>
    </row>
    <row r="127" spans="1:4" x14ac:dyDescent="0.2">
      <c r="A127" s="328"/>
      <c r="B127" s="328"/>
      <c r="C127" s="328">
        <v>17</v>
      </c>
      <c r="D127" s="328" t="s">
        <v>89</v>
      </c>
    </row>
    <row r="128" spans="1:4" x14ac:dyDescent="0.2">
      <c r="A128" s="328"/>
      <c r="B128" s="328"/>
      <c r="C128" s="328">
        <v>18</v>
      </c>
      <c r="D128" s="328" t="s">
        <v>170</v>
      </c>
    </row>
    <row r="129" spans="1:4" x14ac:dyDescent="0.2">
      <c r="A129" s="328"/>
      <c r="B129" s="328"/>
      <c r="C129" s="328">
        <v>19</v>
      </c>
      <c r="D129" s="328" t="s">
        <v>179</v>
      </c>
    </row>
    <row r="130" spans="1:4" x14ac:dyDescent="0.2">
      <c r="A130" s="328"/>
      <c r="B130" s="328"/>
      <c r="C130" s="328">
        <v>20</v>
      </c>
      <c r="D130" s="328" t="s">
        <v>180</v>
      </c>
    </row>
    <row r="131" spans="1:4" x14ac:dyDescent="0.2">
      <c r="A131" s="328"/>
      <c r="B131" s="328"/>
      <c r="C131" s="328">
        <v>21</v>
      </c>
      <c r="D131" s="328" t="s">
        <v>181</v>
      </c>
    </row>
    <row r="132" spans="1:4" x14ac:dyDescent="0.2">
      <c r="A132" s="328"/>
      <c r="B132" s="328"/>
      <c r="C132" s="328">
        <v>22</v>
      </c>
      <c r="D132" s="328" t="s">
        <v>182</v>
      </c>
    </row>
    <row r="133" spans="1:4" x14ac:dyDescent="0.2">
      <c r="A133" s="328"/>
      <c r="B133" s="328"/>
      <c r="C133" s="328">
        <v>23</v>
      </c>
      <c r="D133" s="328" t="s">
        <v>183</v>
      </c>
    </row>
    <row r="134" spans="1:4" x14ac:dyDescent="0.2">
      <c r="A134" s="328"/>
      <c r="B134" s="328"/>
      <c r="C134" s="328"/>
      <c r="D134" s="328"/>
    </row>
    <row r="135" spans="1:4" x14ac:dyDescent="0.2">
      <c r="A135" s="328">
        <v>3</v>
      </c>
      <c r="B135" s="328" t="s">
        <v>65</v>
      </c>
      <c r="C135" s="328">
        <v>28</v>
      </c>
      <c r="D135" s="328" t="s">
        <v>190</v>
      </c>
    </row>
    <row r="136" spans="1:4" x14ac:dyDescent="0.2">
      <c r="A136" s="328"/>
      <c r="B136" s="328"/>
      <c r="C136" s="328">
        <v>29</v>
      </c>
      <c r="D136" s="328" t="s">
        <v>191</v>
      </c>
    </row>
    <row r="137" spans="1:4" x14ac:dyDescent="0.2">
      <c r="A137" s="328"/>
      <c r="B137" s="328"/>
      <c r="C137" s="328">
        <v>30</v>
      </c>
      <c r="D137" s="328" t="s">
        <v>192</v>
      </c>
    </row>
    <row r="138" spans="1:4" x14ac:dyDescent="0.2">
      <c r="A138" s="328"/>
      <c r="B138" s="328"/>
      <c r="C138" s="328"/>
      <c r="D138" s="328"/>
    </row>
    <row r="139" spans="1:4" x14ac:dyDescent="0.2">
      <c r="A139" s="328">
        <v>4</v>
      </c>
      <c r="B139" s="328" t="s">
        <v>242</v>
      </c>
      <c r="C139" s="328">
        <v>31</v>
      </c>
      <c r="D139" s="328" t="s">
        <v>193</v>
      </c>
    </row>
    <row r="140" spans="1:4" x14ac:dyDescent="0.2">
      <c r="A140" s="328"/>
      <c r="B140" s="328"/>
      <c r="C140" s="328">
        <v>32</v>
      </c>
      <c r="D140" s="328" t="s">
        <v>194</v>
      </c>
    </row>
    <row r="141" spans="1:4" x14ac:dyDescent="0.2">
      <c r="A141" s="328"/>
      <c r="B141" s="328"/>
      <c r="C141" s="328">
        <v>33</v>
      </c>
      <c r="D141" s="328" t="s">
        <v>195</v>
      </c>
    </row>
    <row r="142" spans="1:4" x14ac:dyDescent="0.2">
      <c r="A142" s="328"/>
      <c r="B142" s="328"/>
      <c r="C142" s="328">
        <v>34</v>
      </c>
      <c r="D142" s="328" t="s">
        <v>197</v>
      </c>
    </row>
    <row r="143" spans="1:4" x14ac:dyDescent="0.2">
      <c r="A143" s="328"/>
      <c r="B143" s="328"/>
      <c r="C143" s="328">
        <v>35</v>
      </c>
      <c r="D143" s="328" t="s">
        <v>198</v>
      </c>
    </row>
    <row r="144" spans="1:4" x14ac:dyDescent="0.2">
      <c r="A144" s="328"/>
      <c r="B144" s="328"/>
      <c r="C144" s="328">
        <v>36</v>
      </c>
      <c r="D144" s="328" t="s">
        <v>199</v>
      </c>
    </row>
    <row r="145" spans="1:4" x14ac:dyDescent="0.2">
      <c r="A145" s="328"/>
      <c r="B145" s="328"/>
      <c r="C145" s="328">
        <v>37</v>
      </c>
      <c r="D145" s="328" t="s">
        <v>200</v>
      </c>
    </row>
    <row r="146" spans="1:4" x14ac:dyDescent="0.2">
      <c r="A146" s="328"/>
      <c r="B146" s="328"/>
      <c r="C146" s="328">
        <v>38</v>
      </c>
      <c r="D146" s="328" t="s">
        <v>201</v>
      </c>
    </row>
    <row r="147" spans="1:4" x14ac:dyDescent="0.2">
      <c r="A147" s="328"/>
      <c r="B147" s="328"/>
      <c r="C147" s="328">
        <v>39</v>
      </c>
      <c r="D147" s="328" t="s">
        <v>203</v>
      </c>
    </row>
    <row r="148" spans="1:4" x14ac:dyDescent="0.2">
      <c r="A148" s="328"/>
      <c r="B148" s="328"/>
      <c r="C148" s="328">
        <v>40</v>
      </c>
      <c r="D148" s="328" t="s">
        <v>204</v>
      </c>
    </row>
    <row r="149" spans="1:4" x14ac:dyDescent="0.2">
      <c r="A149" s="328"/>
      <c r="B149" s="328"/>
      <c r="C149" s="328"/>
      <c r="D149" s="328"/>
    </row>
    <row r="150" spans="1:4" x14ac:dyDescent="0.2">
      <c r="A150" s="328">
        <v>5</v>
      </c>
      <c r="B150" s="328" t="s">
        <v>243</v>
      </c>
      <c r="C150" s="328">
        <v>41</v>
      </c>
      <c r="D150" s="328" t="s">
        <v>124</v>
      </c>
    </row>
    <row r="151" spans="1:4" x14ac:dyDescent="0.2">
      <c r="A151" s="328"/>
      <c r="B151" s="328"/>
      <c r="C151" s="328">
        <v>42</v>
      </c>
      <c r="D151" s="328" t="s">
        <v>205</v>
      </c>
    </row>
    <row r="152" spans="1:4" x14ac:dyDescent="0.2">
      <c r="A152" s="328"/>
      <c r="B152" s="328"/>
      <c r="C152" s="328">
        <v>43</v>
      </c>
      <c r="D152" s="328" t="s">
        <v>206</v>
      </c>
    </row>
    <row r="153" spans="1:4" x14ac:dyDescent="0.2">
      <c r="A153" s="328"/>
      <c r="B153" s="328"/>
      <c r="C153" s="328">
        <v>44</v>
      </c>
      <c r="D153" s="328" t="s">
        <v>92</v>
      </c>
    </row>
    <row r="154" spans="1:4" x14ac:dyDescent="0.2">
      <c r="A154" s="328"/>
      <c r="B154" s="328"/>
      <c r="C154" s="328">
        <v>45</v>
      </c>
      <c r="D154" s="328" t="s">
        <v>208</v>
      </c>
    </row>
    <row r="155" spans="1:4" x14ac:dyDescent="0.2">
      <c r="A155" s="328"/>
      <c r="B155" s="328"/>
      <c r="C155" s="328">
        <v>46</v>
      </c>
      <c r="D155" s="328" t="s">
        <v>209</v>
      </c>
    </row>
    <row r="156" spans="1:4" x14ac:dyDescent="0.2">
      <c r="A156" s="328"/>
      <c r="B156" s="328"/>
      <c r="C156" s="328">
        <v>47</v>
      </c>
      <c r="D156" s="328" t="s">
        <v>125</v>
      </c>
    </row>
    <row r="157" spans="1:4" x14ac:dyDescent="0.2">
      <c r="A157" s="328"/>
      <c r="B157" s="328"/>
      <c r="C157" s="328">
        <v>48</v>
      </c>
      <c r="D157" s="328" t="s">
        <v>211</v>
      </c>
    </row>
    <row r="158" spans="1:4" x14ac:dyDescent="0.2">
      <c r="A158" s="328"/>
      <c r="B158" s="328"/>
      <c r="C158" s="328">
        <v>49</v>
      </c>
      <c r="D158" s="328" t="s">
        <v>212</v>
      </c>
    </row>
    <row r="159" spans="1:4" x14ac:dyDescent="0.2">
      <c r="A159" s="328"/>
      <c r="B159" s="328"/>
      <c r="C159" s="328">
        <v>50</v>
      </c>
      <c r="D159" s="328" t="s">
        <v>213</v>
      </c>
    </row>
    <row r="160" spans="1:4" x14ac:dyDescent="0.2">
      <c r="A160" s="328"/>
      <c r="B160" s="328"/>
      <c r="C160" s="328">
        <v>51</v>
      </c>
      <c r="D160" s="328" t="s">
        <v>215</v>
      </c>
    </row>
    <row r="161" spans="1:4" x14ac:dyDescent="0.2">
      <c r="A161" s="328"/>
      <c r="B161" s="328"/>
      <c r="C161" s="328">
        <v>52</v>
      </c>
      <c r="D161" s="328" t="s">
        <v>216</v>
      </c>
    </row>
    <row r="162" spans="1:4" x14ac:dyDescent="0.2">
      <c r="A162" s="328"/>
      <c r="B162" s="328"/>
      <c r="C162" s="328">
        <v>53</v>
      </c>
      <c r="D162" s="328" t="s">
        <v>217</v>
      </c>
    </row>
    <row r="163" spans="1:4" x14ac:dyDescent="0.2">
      <c r="A163" s="328"/>
      <c r="B163" s="328"/>
      <c r="C163" s="328">
        <v>54</v>
      </c>
      <c r="D163" s="328" t="s">
        <v>218</v>
      </c>
    </row>
    <row r="164" spans="1:4" x14ac:dyDescent="0.2">
      <c r="A164" s="328"/>
      <c r="B164" s="328"/>
      <c r="C164" s="328">
        <v>55</v>
      </c>
      <c r="D164" s="328" t="s">
        <v>219</v>
      </c>
    </row>
    <row r="165" spans="1:4" x14ac:dyDescent="0.2">
      <c r="A165" s="328"/>
      <c r="B165" s="328"/>
      <c r="C165" s="328">
        <v>56</v>
      </c>
      <c r="D165" s="328" t="s">
        <v>220</v>
      </c>
    </row>
    <row r="166" spans="1:4" x14ac:dyDescent="0.2">
      <c r="A166" s="328"/>
      <c r="B166" s="328"/>
      <c r="C166" s="328">
        <v>57</v>
      </c>
      <c r="D166" s="328" t="s">
        <v>221</v>
      </c>
    </row>
    <row r="167" spans="1:4" x14ac:dyDescent="0.2">
      <c r="A167" s="328"/>
      <c r="B167" s="328"/>
      <c r="C167" s="328">
        <v>58</v>
      </c>
      <c r="D167" s="328" t="s">
        <v>223</v>
      </c>
    </row>
    <row r="168" spans="1:4" x14ac:dyDescent="0.2">
      <c r="A168" s="328"/>
      <c r="B168" s="328"/>
      <c r="C168" s="328">
        <v>59</v>
      </c>
      <c r="D168" s="328" t="s">
        <v>126</v>
      </c>
    </row>
    <row r="169" spans="1:4" x14ac:dyDescent="0.2">
      <c r="A169" s="328"/>
      <c r="B169" s="328"/>
      <c r="C169" s="328">
        <v>60</v>
      </c>
      <c r="D169" s="328" t="s">
        <v>224</v>
      </c>
    </row>
    <row r="170" spans="1:4" x14ac:dyDescent="0.2">
      <c r="A170" s="328"/>
      <c r="B170" s="328"/>
      <c r="C170" s="328">
        <v>61</v>
      </c>
      <c r="D170" s="328" t="s">
        <v>225</v>
      </c>
    </row>
    <row r="171" spans="1:4" x14ac:dyDescent="0.2">
      <c r="A171" s="328"/>
      <c r="B171" s="328"/>
      <c r="C171" s="328">
        <v>62</v>
      </c>
      <c r="D171" s="328" t="s">
        <v>226</v>
      </c>
    </row>
    <row r="172" spans="1:4" x14ac:dyDescent="0.2">
      <c r="A172" s="328"/>
      <c r="B172" s="328"/>
      <c r="C172" s="328">
        <v>63</v>
      </c>
      <c r="D172" s="328" t="s">
        <v>227</v>
      </c>
    </row>
    <row r="173" spans="1:4" x14ac:dyDescent="0.2">
      <c r="A173" s="328"/>
      <c r="B173" s="328"/>
      <c r="C173" s="328">
        <v>69</v>
      </c>
      <c r="D173" s="328" t="s">
        <v>233</v>
      </c>
    </row>
    <row r="174" spans="1:4" x14ac:dyDescent="0.2">
      <c r="A174" s="328"/>
      <c r="B174" s="328"/>
      <c r="C174" s="328">
        <v>70</v>
      </c>
      <c r="D174" s="328" t="s">
        <v>234</v>
      </c>
    </row>
    <row r="175" spans="1:4" x14ac:dyDescent="0.2">
      <c r="A175" s="328"/>
      <c r="B175" s="328"/>
      <c r="C175" s="328">
        <v>71</v>
      </c>
      <c r="D175" s="328" t="s">
        <v>235</v>
      </c>
    </row>
    <row r="176" spans="1:4" x14ac:dyDescent="0.2">
      <c r="A176" s="328"/>
      <c r="B176" s="328"/>
      <c r="C176" s="328">
        <v>72</v>
      </c>
      <c r="D176" s="328" t="s">
        <v>236</v>
      </c>
    </row>
    <row r="177" spans="1:4" x14ac:dyDescent="0.2">
      <c r="A177" s="328"/>
      <c r="B177" s="328"/>
      <c r="C177" s="328">
        <v>73</v>
      </c>
      <c r="D177" s="328" t="s">
        <v>127</v>
      </c>
    </row>
    <row r="178" spans="1:4" x14ac:dyDescent="0.2">
      <c r="A178" s="328"/>
      <c r="B178" s="328"/>
      <c r="C178" s="328">
        <v>74</v>
      </c>
      <c r="D178" s="328" t="s">
        <v>238</v>
      </c>
    </row>
    <row r="179" spans="1:4" x14ac:dyDescent="0.2">
      <c r="A179" s="328"/>
      <c r="B179" s="328"/>
      <c r="C179" s="328">
        <v>75</v>
      </c>
      <c r="D179" s="328" t="s">
        <v>239</v>
      </c>
    </row>
    <row r="180" spans="1:4" x14ac:dyDescent="0.2">
      <c r="A180" s="328"/>
      <c r="B180" s="328"/>
      <c r="C180" s="328"/>
      <c r="D180" s="328"/>
    </row>
    <row r="181" spans="1:4" x14ac:dyDescent="0.2">
      <c r="A181" s="328">
        <v>6</v>
      </c>
      <c r="B181" s="328" t="s">
        <v>244</v>
      </c>
      <c r="C181" s="328">
        <v>64</v>
      </c>
      <c r="D181" s="328" t="s">
        <v>229</v>
      </c>
    </row>
    <row r="182" spans="1:4" x14ac:dyDescent="0.2">
      <c r="A182" s="328"/>
      <c r="B182" s="328"/>
      <c r="C182" s="328">
        <v>65</v>
      </c>
      <c r="D182" s="328" t="s">
        <v>66</v>
      </c>
    </row>
    <row r="183" spans="1:4" x14ac:dyDescent="0.2">
      <c r="A183" s="328"/>
      <c r="B183" s="328"/>
      <c r="C183" s="328">
        <v>66</v>
      </c>
      <c r="D183" s="328" t="s">
        <v>230</v>
      </c>
    </row>
    <row r="184" spans="1:4" x14ac:dyDescent="0.2">
      <c r="A184" s="328"/>
      <c r="B184" s="328"/>
      <c r="C184" s="328">
        <v>67</v>
      </c>
      <c r="D184" s="328" t="s">
        <v>231</v>
      </c>
    </row>
    <row r="185" spans="1:4" x14ac:dyDescent="0.2">
      <c r="A185" s="328"/>
      <c r="B185" s="328"/>
      <c r="C185" s="328">
        <v>68</v>
      </c>
      <c r="D185" s="328" t="s">
        <v>232</v>
      </c>
    </row>
    <row r="186" spans="1:4" x14ac:dyDescent="0.2">
      <c r="A186" s="286"/>
      <c r="B186" s="286"/>
      <c r="C186" s="119"/>
      <c r="D186" s="286"/>
    </row>
    <row r="187" spans="1:4" x14ac:dyDescent="0.2">
      <c r="A187" s="17" t="s">
        <v>383</v>
      </c>
      <c r="B187" s="119"/>
      <c r="C187" s="173"/>
      <c r="D187" s="173"/>
    </row>
    <row r="188" spans="1:4" x14ac:dyDescent="0.2">
      <c r="A188" s="119" t="s">
        <v>11</v>
      </c>
      <c r="B188" s="119"/>
      <c r="C188" s="173"/>
      <c r="D188" s="173"/>
    </row>
    <row r="189" spans="1:4" x14ac:dyDescent="0.2">
      <c r="A189" s="119" t="s">
        <v>11</v>
      </c>
      <c r="B189" s="119"/>
      <c r="C189" s="173"/>
      <c r="D189" s="173"/>
    </row>
    <row r="190" spans="1:4" x14ac:dyDescent="0.2">
      <c r="A190" s="119"/>
      <c r="B190" s="119" t="s">
        <v>384</v>
      </c>
      <c r="C190" s="119"/>
      <c r="D190" s="119" t="s">
        <v>385</v>
      </c>
    </row>
    <row r="191" spans="1:4" x14ac:dyDescent="0.2">
      <c r="A191" s="119" t="s">
        <v>11</v>
      </c>
      <c r="B191" s="119"/>
      <c r="C191" s="119"/>
      <c r="D191" s="119"/>
    </row>
    <row r="192" spans="1:4" x14ac:dyDescent="0.2">
      <c r="A192" s="119">
        <v>1</v>
      </c>
      <c r="B192" s="173" t="s">
        <v>350</v>
      </c>
      <c r="C192" s="119">
        <v>1</v>
      </c>
      <c r="D192" s="173" t="s">
        <v>323</v>
      </c>
    </row>
    <row r="193" spans="1:4" x14ac:dyDescent="0.2">
      <c r="A193" s="119"/>
      <c r="C193" s="119">
        <v>2</v>
      </c>
      <c r="D193" s="173" t="s">
        <v>324</v>
      </c>
    </row>
    <row r="194" spans="1:4" x14ac:dyDescent="0.2">
      <c r="A194" s="119"/>
      <c r="C194" s="119"/>
      <c r="D194" s="173"/>
    </row>
    <row r="195" spans="1:4" x14ac:dyDescent="0.2">
      <c r="A195" s="119">
        <v>2</v>
      </c>
      <c r="B195" s="173" t="s">
        <v>351</v>
      </c>
      <c r="C195" s="119">
        <v>3</v>
      </c>
      <c r="D195" s="173" t="s">
        <v>325</v>
      </c>
    </row>
    <row r="196" spans="1:4" x14ac:dyDescent="0.2">
      <c r="A196" s="119"/>
      <c r="C196" s="119">
        <v>4</v>
      </c>
      <c r="D196" s="173" t="s">
        <v>326</v>
      </c>
    </row>
    <row r="197" spans="1:4" x14ac:dyDescent="0.2">
      <c r="A197" s="119"/>
      <c r="C197" s="119">
        <v>5</v>
      </c>
      <c r="D197" s="173" t="s">
        <v>327</v>
      </c>
    </row>
    <row r="198" spans="1:4" x14ac:dyDescent="0.2">
      <c r="A198" s="119"/>
      <c r="C198" s="119">
        <v>6</v>
      </c>
      <c r="D198" s="173" t="s">
        <v>328</v>
      </c>
    </row>
    <row r="199" spans="1:4" x14ac:dyDescent="0.2">
      <c r="A199" s="119"/>
      <c r="C199" s="119"/>
      <c r="D199" s="173"/>
    </row>
    <row r="200" spans="1:4" x14ac:dyDescent="0.2">
      <c r="A200" s="119">
        <v>3</v>
      </c>
      <c r="B200" s="173" t="s">
        <v>352</v>
      </c>
      <c r="C200" s="119">
        <v>7</v>
      </c>
      <c r="D200" s="173" t="s">
        <v>329</v>
      </c>
    </row>
    <row r="201" spans="1:4" x14ac:dyDescent="0.2">
      <c r="A201" s="119"/>
      <c r="C201" s="119">
        <v>8</v>
      </c>
      <c r="D201" s="173" t="s">
        <v>330</v>
      </c>
    </row>
    <row r="202" spans="1:4" x14ac:dyDescent="0.2">
      <c r="A202" s="119"/>
      <c r="C202" s="119">
        <v>9</v>
      </c>
      <c r="D202" s="173" t="s">
        <v>331</v>
      </c>
    </row>
    <row r="203" spans="1:4" x14ac:dyDescent="0.2">
      <c r="A203" s="119"/>
      <c r="B203" s="119"/>
      <c r="C203" s="119">
        <v>10</v>
      </c>
      <c r="D203" s="173" t="s">
        <v>332</v>
      </c>
    </row>
    <row r="204" spans="1:4" x14ac:dyDescent="0.2">
      <c r="A204" s="119"/>
      <c r="B204" s="119"/>
      <c r="C204" s="119">
        <v>11</v>
      </c>
      <c r="D204" s="173" t="s">
        <v>333</v>
      </c>
    </row>
    <row r="205" spans="1:4" x14ac:dyDescent="0.2">
      <c r="A205" s="119"/>
      <c r="B205" s="119"/>
      <c r="C205" s="119"/>
      <c r="D205" s="173"/>
    </row>
    <row r="206" spans="1:4" x14ac:dyDescent="0.2">
      <c r="A206" s="119">
        <v>4</v>
      </c>
      <c r="B206" s="173" t="s">
        <v>353</v>
      </c>
      <c r="C206" s="119">
        <v>12</v>
      </c>
      <c r="D206" s="173" t="s">
        <v>334</v>
      </c>
    </row>
    <row r="207" spans="1:4" x14ac:dyDescent="0.2">
      <c r="A207" s="119"/>
      <c r="B207" s="119"/>
      <c r="C207" s="119">
        <v>13</v>
      </c>
      <c r="D207" s="173" t="s">
        <v>335</v>
      </c>
    </row>
    <row r="208" spans="1:4" x14ac:dyDescent="0.2">
      <c r="A208" s="119"/>
      <c r="B208" s="119"/>
      <c r="C208" s="119"/>
      <c r="D208" s="286"/>
    </row>
    <row r="209" spans="1:4" x14ac:dyDescent="0.2">
      <c r="A209" s="119">
        <v>5</v>
      </c>
      <c r="B209" s="173" t="s">
        <v>354</v>
      </c>
      <c r="C209" s="119">
        <v>14</v>
      </c>
      <c r="D209" s="173" t="s">
        <v>336</v>
      </c>
    </row>
    <row r="210" spans="1:4" x14ac:dyDescent="0.2">
      <c r="A210" s="119"/>
      <c r="B210" s="119"/>
      <c r="C210" s="119">
        <v>15</v>
      </c>
      <c r="D210" s="173" t="s">
        <v>337</v>
      </c>
    </row>
    <row r="211" spans="1:4" x14ac:dyDescent="0.2">
      <c r="A211" s="119"/>
      <c r="B211" s="119"/>
      <c r="C211" s="119">
        <v>16</v>
      </c>
      <c r="D211" s="173" t="s">
        <v>338</v>
      </c>
    </row>
    <row r="212" spans="1:4" x14ac:dyDescent="0.2">
      <c r="C212" s="119">
        <v>17</v>
      </c>
      <c r="D212" s="173" t="s">
        <v>339</v>
      </c>
    </row>
    <row r="213" spans="1:4" x14ac:dyDescent="0.2">
      <c r="C213" s="119"/>
      <c r="D213" s="286"/>
    </row>
    <row r="214" spans="1:4" x14ac:dyDescent="0.2">
      <c r="A214" s="119">
        <v>6</v>
      </c>
      <c r="B214" s="173" t="s">
        <v>355</v>
      </c>
      <c r="C214" s="119">
        <v>18</v>
      </c>
      <c r="D214" s="173" t="s">
        <v>340</v>
      </c>
    </row>
    <row r="215" spans="1:4" x14ac:dyDescent="0.2">
      <c r="A215" s="119"/>
      <c r="B215" s="119"/>
      <c r="C215" s="119">
        <v>19</v>
      </c>
      <c r="D215" s="173" t="s">
        <v>341</v>
      </c>
    </row>
    <row r="216" spans="1:4" x14ac:dyDescent="0.2">
      <c r="A216" s="119"/>
      <c r="B216" s="119"/>
      <c r="C216" s="119"/>
      <c r="D216" s="119"/>
    </row>
    <row r="217" spans="1:4" x14ac:dyDescent="0.2">
      <c r="A217" s="119">
        <v>7</v>
      </c>
      <c r="B217" s="173" t="s">
        <v>356</v>
      </c>
      <c r="C217" s="119">
        <v>20</v>
      </c>
      <c r="D217" s="173" t="s">
        <v>342</v>
      </c>
    </row>
    <row r="218" spans="1:4" x14ac:dyDescent="0.2">
      <c r="A218" s="119"/>
      <c r="B218" s="119"/>
      <c r="C218" s="119">
        <v>21</v>
      </c>
      <c r="D218" s="173" t="s">
        <v>343</v>
      </c>
    </row>
    <row r="219" spans="1:4" x14ac:dyDescent="0.2">
      <c r="A219" s="119"/>
      <c r="B219" s="119"/>
      <c r="C219" s="119"/>
      <c r="D219" s="173"/>
    </row>
    <row r="220" spans="1:4" x14ac:dyDescent="0.2">
      <c r="A220" s="119">
        <v>8</v>
      </c>
      <c r="B220" s="173" t="s">
        <v>357</v>
      </c>
      <c r="C220" s="119">
        <v>22</v>
      </c>
      <c r="D220" s="173" t="s">
        <v>344</v>
      </c>
    </row>
    <row r="221" spans="1:4" x14ac:dyDescent="0.2">
      <c r="A221" s="119"/>
      <c r="B221" s="119"/>
      <c r="C221" s="119">
        <v>23</v>
      </c>
      <c r="D221" s="173" t="s">
        <v>345</v>
      </c>
    </row>
    <row r="222" spans="1:4" ht="12" customHeight="1" x14ac:dyDescent="0.2">
      <c r="A222" s="119"/>
      <c r="B222" s="119"/>
      <c r="C222" s="119"/>
      <c r="D222" s="119"/>
    </row>
    <row r="223" spans="1:4" x14ac:dyDescent="0.2">
      <c r="A223" s="119">
        <v>9</v>
      </c>
      <c r="B223" s="173" t="s">
        <v>9</v>
      </c>
      <c r="C223" s="119">
        <v>24</v>
      </c>
      <c r="D223" s="173" t="s">
        <v>346</v>
      </c>
    </row>
    <row r="224" spans="1:4" x14ac:dyDescent="0.2">
      <c r="A224" s="119"/>
      <c r="B224" s="119"/>
      <c r="C224" s="119">
        <v>25</v>
      </c>
      <c r="D224" s="173" t="s">
        <v>347</v>
      </c>
    </row>
    <row r="225" spans="1:4" x14ac:dyDescent="0.2">
      <c r="A225" s="119"/>
      <c r="B225" s="286"/>
      <c r="C225" s="119"/>
      <c r="D225" s="286"/>
    </row>
    <row r="226" spans="1:4" x14ac:dyDescent="0.2">
      <c r="A226" s="17" t="s">
        <v>386</v>
      </c>
      <c r="B226" s="119"/>
      <c r="C226" s="119"/>
      <c r="D226" s="286"/>
    </row>
    <row r="227" spans="1:4" x14ac:dyDescent="0.2">
      <c r="A227" s="119"/>
      <c r="B227" s="119"/>
      <c r="C227" s="119"/>
      <c r="D227" s="286"/>
    </row>
    <row r="228" spans="1:4" x14ac:dyDescent="0.2">
      <c r="B228" s="119" t="s">
        <v>508</v>
      </c>
      <c r="D228" s="119" t="s">
        <v>509</v>
      </c>
    </row>
    <row r="230" spans="1:4" x14ac:dyDescent="0.2">
      <c r="A230" s="16">
        <v>1</v>
      </c>
      <c r="B230" s="173" t="s">
        <v>506</v>
      </c>
      <c r="C230" s="16">
        <v>1</v>
      </c>
      <c r="D230" s="173" t="s">
        <v>498</v>
      </c>
    </row>
    <row r="231" spans="1:4" x14ac:dyDescent="0.2">
      <c r="C231" s="16">
        <v>2</v>
      </c>
      <c r="D231" s="173" t="s">
        <v>499</v>
      </c>
    </row>
    <row r="233" spans="1:4" x14ac:dyDescent="0.2">
      <c r="A233" s="16">
        <v>2</v>
      </c>
      <c r="B233" s="173" t="s">
        <v>507</v>
      </c>
      <c r="C233" s="16">
        <v>3</v>
      </c>
      <c r="D233" s="173" t="s">
        <v>500</v>
      </c>
    </row>
    <row r="234" spans="1:4" x14ac:dyDescent="0.2">
      <c r="C234" s="16">
        <v>4</v>
      </c>
      <c r="D234" s="173" t="s">
        <v>501</v>
      </c>
    </row>
    <row r="235" spans="1:4" x14ac:dyDescent="0.2">
      <c r="C235" s="16">
        <v>5</v>
      </c>
      <c r="D235" s="173" t="s">
        <v>502</v>
      </c>
    </row>
    <row r="237" spans="1:4" x14ac:dyDescent="0.2">
      <c r="A237" s="16">
        <v>3</v>
      </c>
      <c r="B237" s="173" t="s">
        <v>503</v>
      </c>
      <c r="C237" s="16">
        <v>6</v>
      </c>
      <c r="D237" s="173" t="s">
        <v>503</v>
      </c>
    </row>
    <row r="239" spans="1:4" x14ac:dyDescent="0.2">
      <c r="A239" s="16">
        <v>4</v>
      </c>
      <c r="B239" s="173" t="s">
        <v>504</v>
      </c>
      <c r="C239" s="16">
        <v>7</v>
      </c>
      <c r="D239" s="173" t="s">
        <v>504</v>
      </c>
    </row>
    <row r="241" spans="1:4" x14ac:dyDescent="0.2">
      <c r="A241" s="16">
        <v>5</v>
      </c>
      <c r="B241" s="173" t="s">
        <v>505</v>
      </c>
      <c r="C241" s="16">
        <v>8</v>
      </c>
      <c r="D241" s="173" t="s">
        <v>505</v>
      </c>
    </row>
    <row r="243" spans="1:4" x14ac:dyDescent="0.2">
      <c r="A243" s="16">
        <v>6</v>
      </c>
      <c r="B243" s="173" t="s">
        <v>359</v>
      </c>
      <c r="C243" s="16">
        <v>9</v>
      </c>
      <c r="D243" s="173" t="s">
        <v>359</v>
      </c>
    </row>
  </sheetData>
  <phoneticPr fontId="5" type="noConversion"/>
  <pageMargins left="0.35433070866141736" right="0.35433070866141736" top="0.78740157480314965" bottom="0.59055118110236227" header="0.51181102362204722" footer="0.51181102362204722"/>
  <pageSetup paperSize="9" scale="75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32"/>
  <sheetViews>
    <sheetView showGridLines="0" workbookViewId="0"/>
  </sheetViews>
  <sheetFormatPr defaultColWidth="9.140625" defaultRowHeight="12.75" x14ac:dyDescent="0.2"/>
  <cols>
    <col min="1" max="1" width="14.140625" style="286" customWidth="1"/>
    <col min="2" max="2" width="100.85546875" style="286" customWidth="1"/>
    <col min="3" max="3" width="9.140625" style="286" customWidth="1"/>
    <col min="4" max="16384" width="9.140625" style="286"/>
  </cols>
  <sheetData>
    <row r="1" spans="1:2" ht="15" x14ac:dyDescent="0.25">
      <c r="A1" s="311" t="s">
        <v>144</v>
      </c>
    </row>
    <row r="2" spans="1:2" x14ac:dyDescent="0.2">
      <c r="A2" s="106" t="s">
        <v>142</v>
      </c>
    </row>
    <row r="3" spans="1:2" s="1" customFormat="1" x14ac:dyDescent="0.2">
      <c r="A3" s="306"/>
      <c r="B3" s="306"/>
    </row>
    <row r="4" spans="1:2" s="106" customFormat="1" x14ac:dyDescent="0.2">
      <c r="A4" s="307" t="s">
        <v>143</v>
      </c>
      <c r="B4" s="307" t="s">
        <v>144</v>
      </c>
    </row>
    <row r="5" spans="1:2" x14ac:dyDescent="0.2">
      <c r="A5" s="308" t="s">
        <v>418</v>
      </c>
      <c r="B5" s="309" t="s">
        <v>421</v>
      </c>
    </row>
    <row r="6" spans="1:2" x14ac:dyDescent="0.2">
      <c r="A6" s="308" t="s">
        <v>419</v>
      </c>
      <c r="B6" s="309" t="s">
        <v>422</v>
      </c>
    </row>
    <row r="7" spans="1:2" x14ac:dyDescent="0.2">
      <c r="A7" s="308" t="s">
        <v>423</v>
      </c>
      <c r="B7" s="309" t="s">
        <v>425</v>
      </c>
    </row>
    <row r="8" spans="1:2" x14ac:dyDescent="0.2">
      <c r="A8" s="308" t="s">
        <v>426</v>
      </c>
      <c r="B8" s="309" t="s">
        <v>430</v>
      </c>
    </row>
    <row r="9" spans="1:2" x14ac:dyDescent="0.2">
      <c r="A9" s="308" t="s">
        <v>429</v>
      </c>
      <c r="B9" s="310" t="s">
        <v>431</v>
      </c>
    </row>
    <row r="10" spans="1:2" x14ac:dyDescent="0.2">
      <c r="A10" s="308" t="s">
        <v>427</v>
      </c>
      <c r="B10" s="310" t="s">
        <v>432</v>
      </c>
    </row>
    <row r="11" spans="1:2" x14ac:dyDescent="0.2">
      <c r="A11" s="308" t="s">
        <v>433</v>
      </c>
      <c r="B11" s="309" t="s">
        <v>445</v>
      </c>
    </row>
    <row r="12" spans="1:2" x14ac:dyDescent="0.2">
      <c r="A12" s="308" t="s">
        <v>435</v>
      </c>
      <c r="B12" s="309" t="s">
        <v>438</v>
      </c>
    </row>
    <row r="13" spans="1:2" x14ac:dyDescent="0.2">
      <c r="A13" s="308" t="s">
        <v>437</v>
      </c>
      <c r="B13" s="309" t="s">
        <v>439</v>
      </c>
    </row>
    <row r="14" spans="1:2" x14ac:dyDescent="0.2">
      <c r="A14" s="308" t="s">
        <v>463</v>
      </c>
      <c r="B14" s="309" t="s">
        <v>440</v>
      </c>
    </row>
    <row r="15" spans="1:2" x14ac:dyDescent="0.2">
      <c r="A15" s="308" t="s">
        <v>441</v>
      </c>
      <c r="B15" s="309" t="s">
        <v>482</v>
      </c>
    </row>
    <row r="16" spans="1:2" x14ac:dyDescent="0.2">
      <c r="A16" s="308" t="s">
        <v>420</v>
      </c>
      <c r="B16" s="309" t="s">
        <v>442</v>
      </c>
    </row>
    <row r="17" spans="1:2" x14ac:dyDescent="0.2">
      <c r="A17" s="308" t="s">
        <v>424</v>
      </c>
      <c r="B17" s="309" t="s">
        <v>443</v>
      </c>
    </row>
    <row r="18" spans="1:2" x14ac:dyDescent="0.2">
      <c r="A18" s="308" t="s">
        <v>428</v>
      </c>
      <c r="B18" s="309" t="s">
        <v>444</v>
      </c>
    </row>
    <row r="19" spans="1:2" x14ac:dyDescent="0.2">
      <c r="A19" s="308" t="s">
        <v>483</v>
      </c>
      <c r="B19" s="309" t="s">
        <v>484</v>
      </c>
    </row>
    <row r="20" spans="1:2" x14ac:dyDescent="0.2">
      <c r="A20" s="308" t="s">
        <v>434</v>
      </c>
      <c r="B20" s="309" t="s">
        <v>446</v>
      </c>
    </row>
    <row r="21" spans="1:2" x14ac:dyDescent="0.2">
      <c r="A21" s="308" t="s">
        <v>436</v>
      </c>
      <c r="B21" s="309" t="s">
        <v>447</v>
      </c>
    </row>
    <row r="22" spans="1:2" x14ac:dyDescent="0.2">
      <c r="A22" s="308" t="s">
        <v>474</v>
      </c>
      <c r="B22" s="309" t="s">
        <v>476</v>
      </c>
    </row>
    <row r="23" spans="1:2" x14ac:dyDescent="0.2">
      <c r="A23" s="308" t="s">
        <v>475</v>
      </c>
      <c r="B23" s="309" t="s">
        <v>477</v>
      </c>
    </row>
    <row r="24" spans="1:2" x14ac:dyDescent="0.2">
      <c r="A24" s="308" t="s">
        <v>480</v>
      </c>
      <c r="B24" s="309" t="s">
        <v>481</v>
      </c>
    </row>
    <row r="25" spans="1:2" x14ac:dyDescent="0.2">
      <c r="A25" s="308" t="s">
        <v>448</v>
      </c>
      <c r="B25" s="309" t="s">
        <v>449</v>
      </c>
    </row>
    <row r="26" spans="1:2" x14ac:dyDescent="0.2">
      <c r="A26" s="308" t="s">
        <v>450</v>
      </c>
      <c r="B26" s="309" t="s">
        <v>451</v>
      </c>
    </row>
    <row r="27" spans="1:2" x14ac:dyDescent="0.2">
      <c r="A27" s="308" t="s">
        <v>452</v>
      </c>
      <c r="B27" s="309" t="s">
        <v>453</v>
      </c>
    </row>
    <row r="28" spans="1:2" x14ac:dyDescent="0.2">
      <c r="A28" s="308" t="s">
        <v>455</v>
      </c>
      <c r="B28" s="309" t="s">
        <v>456</v>
      </c>
    </row>
    <row r="29" spans="1:2" x14ac:dyDescent="0.2">
      <c r="A29" s="308" t="s">
        <v>454</v>
      </c>
      <c r="B29" s="309" t="s">
        <v>485</v>
      </c>
    </row>
    <row r="30" spans="1:2" x14ac:dyDescent="0.2">
      <c r="A30" s="308" t="s">
        <v>457</v>
      </c>
      <c r="B30" s="309" t="s">
        <v>460</v>
      </c>
    </row>
    <row r="31" spans="1:2" x14ac:dyDescent="0.2">
      <c r="A31" s="308" t="s">
        <v>458</v>
      </c>
      <c r="B31" s="309" t="s">
        <v>461</v>
      </c>
    </row>
    <row r="32" spans="1:2" x14ac:dyDescent="0.2">
      <c r="A32" s="308" t="s">
        <v>459</v>
      </c>
      <c r="B32" s="309" t="s">
        <v>462</v>
      </c>
    </row>
  </sheetData>
  <hyperlinks>
    <hyperlink ref="A5" location="'Ind T1'!A1" display="Ind T1"/>
    <hyperlink ref="A6" location="'Ind T2'!A1" display="Ind T2"/>
    <hyperlink ref="A7" location="'Ind T3'!A1" display="Ind T3"/>
    <hyperlink ref="A8" location="'Ind T4'!A1" display="Ind T4"/>
    <hyperlink ref="A9" location="'Ind T5'!A1" display="Ind T5"/>
    <hyperlink ref="A10" location="'Ind T6'!A1" display="Ind T6"/>
    <hyperlink ref="A11" location="'Ind F1'!A1" display="Ind F1"/>
    <hyperlink ref="A12" location="'Ind F2'!A1" display="Ind F2"/>
    <hyperlink ref="A13" location="'Ind Occ T1'!A1" display="IndOcc T1"/>
    <hyperlink ref="A14" location="'Ind Occ T2'!A1" display="IndOcc T2"/>
    <hyperlink ref="A15" location="'Occ T1'!A1" display="Occ T1"/>
    <hyperlink ref="A16" location="'Occ T2'!A1" display="Occ T2"/>
    <hyperlink ref="A17" location="'Occ T3'!A1" display="Occ T3"/>
    <hyperlink ref="A18" location="'Occ T4'!A1" display="Occ T4"/>
    <hyperlink ref="A20" location="'Occ F1'!A1" display="Occ F1"/>
    <hyperlink ref="A21" location="'Occ F2'!A1" display="Occ F2"/>
    <hyperlink ref="A25" location="'Qual T1'!A1" display="Qual T1"/>
    <hyperlink ref="A26" location="'Qual F1'!A1" display="Qual F1"/>
    <hyperlink ref="A27" location="'ShiftShare T1'!A1" display="ShiftShare T1"/>
    <hyperlink ref="A28" location="'RD T1'!A1" display="RD T1"/>
    <hyperlink ref="A29" location="'RD F1'!A1" display="RD F1"/>
    <hyperlink ref="A30" location="'Basic T1'!A1" display="Basic T1"/>
    <hyperlink ref="A31" location="'Basic T2'!A1" display="Basic T2"/>
    <hyperlink ref="A32" location="'Basic T3'!A1" display="Basic T3"/>
    <hyperlink ref="A22" location="'Occ F3'!A1" display="Occ F3"/>
    <hyperlink ref="A23" location="'Occ F4'!A1" display="Occ F3"/>
    <hyperlink ref="A24" location="'Occ F5'!A1" display="Occ F5"/>
    <hyperlink ref="A19" location="'Occ T5'!A1" display="Occ T5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52"/>
  <sheetViews>
    <sheetView showGridLines="0" zoomScale="85" zoomScaleNormal="85" workbookViewId="0"/>
  </sheetViews>
  <sheetFormatPr defaultRowHeight="12.75" x14ac:dyDescent="0.2"/>
  <cols>
    <col min="1" max="1" width="26.7109375" customWidth="1"/>
    <col min="2" max="6" width="11.7109375" customWidth="1"/>
    <col min="7" max="7" width="4.85546875" style="286" customWidth="1"/>
    <col min="8" max="11" width="11.7109375" style="286" customWidth="1"/>
    <col min="12" max="12" width="26.7109375" customWidth="1"/>
    <col min="13" max="17" width="11.7109375" customWidth="1"/>
    <col min="18" max="19" width="10.7109375" customWidth="1"/>
  </cols>
  <sheetData>
    <row r="1" spans="1:19" ht="15.75" x14ac:dyDescent="0.25">
      <c r="A1" s="23" t="str">
        <f>CONCATENATE("Industry Table 1  Employment by Industry Sector (SIC 2007), ",B$5,"-",F$5)</f>
        <v>Industry Table 1  Employment by Industry Sector (SIC 2007), 2007-2027</v>
      </c>
      <c r="L1" s="23" t="str">
        <f>CONCATENATE("Industry Table 1.1  Employment by Industry Sector (SIC 2007), ",B$5,"-",F$5)</f>
        <v>Industry Table 1.1  Employment by Industry Sector (SIC 2007), 2007-2027</v>
      </c>
    </row>
    <row r="2" spans="1:19" x14ac:dyDescent="0.2">
      <c r="F2" s="19"/>
      <c r="J2" s="19" t="s">
        <v>35</v>
      </c>
    </row>
    <row r="3" spans="1:19" x14ac:dyDescent="0.2">
      <c r="A3" s="41"/>
      <c r="B3" s="41"/>
      <c r="C3" s="41"/>
      <c r="D3" s="41"/>
      <c r="E3" s="41"/>
      <c r="F3" s="41"/>
      <c r="G3" s="498"/>
      <c r="H3" s="32" t="str">
        <f>CONCATENATE(D5,"-",F5)</f>
        <v>2017-2027</v>
      </c>
      <c r="I3" s="41"/>
      <c r="J3" s="41"/>
      <c r="K3" s="498"/>
      <c r="O3" s="1" t="s">
        <v>13</v>
      </c>
      <c r="R3" s="95" t="s">
        <v>41</v>
      </c>
    </row>
    <row r="4" spans="1:19" x14ac:dyDescent="0.2">
      <c r="A4" s="2"/>
      <c r="B4" s="2"/>
      <c r="C4" s="2"/>
      <c r="D4" s="2"/>
      <c r="E4" s="2"/>
      <c r="F4" s="2"/>
      <c r="G4" s="12"/>
      <c r="H4" s="19" t="s">
        <v>29</v>
      </c>
      <c r="I4" s="19" t="s">
        <v>30</v>
      </c>
      <c r="J4" s="19" t="s">
        <v>32</v>
      </c>
      <c r="K4" s="12"/>
      <c r="L4" s="26"/>
      <c r="M4" s="27">
        <f>B5</f>
        <v>2007</v>
      </c>
      <c r="N4" s="27">
        <f>C5</f>
        <v>2012</v>
      </c>
      <c r="O4" s="27">
        <f>D5</f>
        <v>2017</v>
      </c>
      <c r="P4" s="27">
        <f>E5</f>
        <v>2022</v>
      </c>
      <c r="Q4" s="27">
        <f>F5</f>
        <v>2027</v>
      </c>
      <c r="R4" s="94" t="str">
        <f>CONCATENATE(B$5,"-",D$5)</f>
        <v>2007-2017</v>
      </c>
      <c r="S4" s="94" t="str">
        <f>F33</f>
        <v>2017-2027</v>
      </c>
    </row>
    <row r="5" spans="1:19" x14ac:dyDescent="0.2">
      <c r="A5" s="37"/>
      <c r="B5" s="40">
        <f>'Ind T3'!B3</f>
        <v>2007</v>
      </c>
      <c r="C5" s="40">
        <f>'Ind T3'!C3</f>
        <v>2012</v>
      </c>
      <c r="D5" s="40">
        <f>'Ind T3'!D3</f>
        <v>2017</v>
      </c>
      <c r="E5" s="40">
        <f>'Ind T3'!E3</f>
        <v>2022</v>
      </c>
      <c r="F5" s="40">
        <f>'Ind T3'!F3</f>
        <v>2027</v>
      </c>
      <c r="G5" s="13"/>
      <c r="H5" s="75" t="s">
        <v>18</v>
      </c>
      <c r="I5" s="75" t="s">
        <v>31</v>
      </c>
      <c r="J5" s="75" t="s">
        <v>33</v>
      </c>
      <c r="K5" s="13"/>
      <c r="L5" t="str">
        <f t="shared" ref="L5:Q10" si="0">A7</f>
        <v>Primary sector and utilities</v>
      </c>
      <c r="M5" s="13">
        <f t="shared" si="0"/>
        <v>52.324999999974622</v>
      </c>
      <c r="N5" s="13">
        <f t="shared" si="0"/>
        <v>58.374999999603304</v>
      </c>
      <c r="O5" s="13">
        <f t="shared" si="0"/>
        <v>81.569000000387007</v>
      </c>
      <c r="P5" s="13">
        <f t="shared" si="0"/>
        <v>82.016000000124336</v>
      </c>
      <c r="Q5" s="13">
        <f t="shared" si="0"/>
        <v>82.742000000101328</v>
      </c>
      <c r="R5" s="49">
        <f>IF(D$5-B$5 &lt;&gt; 0,(EXP(LN(D7/B7)/(D$5-B$5))-1)*100,0)</f>
        <v>4.539781998099679</v>
      </c>
      <c r="S5" s="49">
        <f>F34</f>
        <v>0.14288242996218781</v>
      </c>
    </row>
    <row r="6" spans="1:19" x14ac:dyDescent="0.2">
      <c r="A6" s="21" t="s">
        <v>13</v>
      </c>
      <c r="B6" s="18"/>
      <c r="C6" s="12"/>
      <c r="D6" s="12"/>
      <c r="E6" s="12"/>
      <c r="F6" s="12"/>
      <c r="G6" s="13"/>
      <c r="H6" s="13"/>
      <c r="I6" s="13"/>
      <c r="J6" s="13"/>
      <c r="K6" s="13"/>
      <c r="L6" t="str">
        <f t="shared" si="0"/>
        <v>Manufacturing</v>
      </c>
      <c r="M6" s="13">
        <f t="shared" si="0"/>
        <v>172.16099999939226</v>
      </c>
      <c r="N6" s="13">
        <f t="shared" si="0"/>
        <v>142.28299999790551</v>
      </c>
      <c r="O6" s="13">
        <f t="shared" si="0"/>
        <v>146.81800000036867</v>
      </c>
      <c r="P6" s="13">
        <f t="shared" si="0"/>
        <v>140.71099999892368</v>
      </c>
      <c r="Q6" s="13">
        <f t="shared" si="0"/>
        <v>134.30699999879781</v>
      </c>
      <c r="R6" s="49">
        <f t="shared" ref="R6:R10" si="1">IF(D$5-B$5 &lt;&gt; 0,(EXP(LN(D8/B8)/(D$5-B$5))-1)*100,0)</f>
        <v>-1.5797525278207991</v>
      </c>
      <c r="S6" s="49">
        <f t="shared" ref="S6:S12" si="2">F35</f>
        <v>-0.88670041954280743</v>
      </c>
    </row>
    <row r="7" spans="1:19" x14ac:dyDescent="0.2">
      <c r="A7" s="18" t="str">
        <f>name!C4</f>
        <v>Primary sector and utilities</v>
      </c>
      <c r="B7" s="13">
        <f t="array" ref="B7:B12">MMULT(aggregation!$B$28:$BX$33,'Ind T3'!B5:B79)</f>
        <v>52.324999999974622</v>
      </c>
      <c r="C7" s="13">
        <f t="array" ref="C7:C12">MMULT(aggregation!$B$28:$BX$33,'Ind T3'!C5:C79)</f>
        <v>58.374999999603304</v>
      </c>
      <c r="D7" s="13">
        <f t="array" ref="D7:D12">MMULT(aggregation!$B$28:$BX$33,'Ind T3'!D5:D79)</f>
        <v>81.569000000387007</v>
      </c>
      <c r="E7" s="13">
        <f t="array" ref="E7:E12">MMULT(aggregation!$B$28:$BX$33,'Ind T3'!E5:E79)</f>
        <v>82.016000000124336</v>
      </c>
      <c r="F7" s="13">
        <f t="array" ref="F7:F12">MMULT(aggregation!$B$28:$BX$33,'Ind T3'!F5:F79)</f>
        <v>82.742000000101328</v>
      </c>
      <c r="G7" s="13"/>
      <c r="H7" s="13">
        <f>F7-D7</f>
        <v>1.172999999714321</v>
      </c>
      <c r="I7" s="13">
        <f t="array" ref="I7:I12">MMULT(aggregation!$B$28:$BX$33,'RD T1'!AB7:AB81)</f>
        <v>26.811305925466669</v>
      </c>
      <c r="J7" s="13">
        <f>SUM(H7:I7)</f>
        <v>27.98430592518099</v>
      </c>
      <c r="K7" s="13"/>
      <c r="L7" t="str">
        <f t="shared" si="0"/>
        <v>Construction</v>
      </c>
      <c r="M7" s="13">
        <f t="shared" si="0"/>
        <v>114.4310000013799</v>
      </c>
      <c r="N7" s="13">
        <f t="shared" si="0"/>
        <v>85.689999998545673</v>
      </c>
      <c r="O7" s="13">
        <f t="shared" si="0"/>
        <v>107.09400000055047</v>
      </c>
      <c r="P7" s="13">
        <f t="shared" si="0"/>
        <v>107.3900000006698</v>
      </c>
      <c r="Q7" s="13">
        <f t="shared" si="0"/>
        <v>108.10400000028811</v>
      </c>
      <c r="R7" s="49">
        <f t="shared" si="1"/>
        <v>-0.66045998983590426</v>
      </c>
      <c r="S7" s="49">
        <f t="shared" si="2"/>
        <v>9.3911802122881305E-2</v>
      </c>
    </row>
    <row r="8" spans="1:19" x14ac:dyDescent="0.2">
      <c r="A8" s="18" t="str">
        <f>name!C5</f>
        <v>Manufacturing</v>
      </c>
      <c r="B8" s="13">
        <v>172.16099999939226</v>
      </c>
      <c r="C8" s="13">
        <v>142.28299999790551</v>
      </c>
      <c r="D8" s="13">
        <v>146.81800000036867</v>
      </c>
      <c r="E8" s="13">
        <v>140.71099999892368</v>
      </c>
      <c r="F8" s="13">
        <v>134.30699999879781</v>
      </c>
      <c r="G8" s="13"/>
      <c r="H8" s="13">
        <f t="shared" ref="H8:H12" si="3">F8-D8</f>
        <v>-12.511000001570864</v>
      </c>
      <c r="I8" s="13">
        <v>40.109093934209582</v>
      </c>
      <c r="J8" s="13">
        <f t="shared" ref="J8:J12" si="4">SUM(H8:I8)</f>
        <v>27.598093932638719</v>
      </c>
      <c r="K8" s="13"/>
      <c r="L8" t="str">
        <f t="shared" si="0"/>
        <v>Trade, accomod. and transport</v>
      </c>
      <c r="M8" s="13">
        <f t="shared" si="0"/>
        <v>358.10299999951656</v>
      </c>
      <c r="N8" s="13">
        <f t="shared" si="0"/>
        <v>345.20099999769513</v>
      </c>
      <c r="O8" s="13">
        <f t="shared" si="0"/>
        <v>380.49400000702138</v>
      </c>
      <c r="P8" s="13">
        <f t="shared" si="0"/>
        <v>381.17300000228772</v>
      </c>
      <c r="Q8" s="13">
        <f t="shared" si="0"/>
        <v>387.86900000181913</v>
      </c>
      <c r="R8" s="49">
        <f t="shared" si="1"/>
        <v>0.60834045974265116</v>
      </c>
      <c r="S8" s="49">
        <f t="shared" si="2"/>
        <v>0.19215683790405613</v>
      </c>
    </row>
    <row r="9" spans="1:19" x14ac:dyDescent="0.2">
      <c r="A9" s="18" t="str">
        <f>name!C6</f>
        <v>Construction</v>
      </c>
      <c r="B9" s="13">
        <v>114.4310000013799</v>
      </c>
      <c r="C9" s="13">
        <v>85.689999998545673</v>
      </c>
      <c r="D9" s="13">
        <v>107.09400000055047</v>
      </c>
      <c r="E9" s="13">
        <v>107.3900000006698</v>
      </c>
      <c r="F9" s="13">
        <v>108.10400000028811</v>
      </c>
      <c r="G9" s="13"/>
      <c r="H9" s="13">
        <f t="shared" si="3"/>
        <v>1.0099999997376443</v>
      </c>
      <c r="I9" s="13">
        <v>30.235878597107195</v>
      </c>
      <c r="J9" s="13">
        <f t="shared" si="4"/>
        <v>31.24587859684484</v>
      </c>
      <c r="K9" s="13"/>
      <c r="L9" t="str">
        <f t="shared" si="0"/>
        <v>Business and other services</v>
      </c>
      <c r="M9" s="13">
        <f t="shared" si="0"/>
        <v>307.14199999844817</v>
      </c>
      <c r="N9" s="13">
        <f t="shared" si="0"/>
        <v>299.01900000024375</v>
      </c>
      <c r="O9" s="13">
        <f t="shared" si="0"/>
        <v>336.15199999851632</v>
      </c>
      <c r="P9" s="13">
        <f t="shared" si="0"/>
        <v>350.05099999922072</v>
      </c>
      <c r="Q9" s="13">
        <f t="shared" si="0"/>
        <v>358.32199999962603</v>
      </c>
      <c r="R9" s="49">
        <f t="shared" si="1"/>
        <v>0.9066176783572466</v>
      </c>
      <c r="S9" s="49">
        <f t="shared" si="2"/>
        <v>0.64072979589373524</v>
      </c>
    </row>
    <row r="10" spans="1:19" x14ac:dyDescent="0.2">
      <c r="A10" s="18" t="str">
        <f>name!C7</f>
        <v>Trade, accomod. and transport</v>
      </c>
      <c r="B10" s="13">
        <v>358.10299999951656</v>
      </c>
      <c r="C10" s="13">
        <v>345.20099999769513</v>
      </c>
      <c r="D10" s="13">
        <v>380.49400000702138</v>
      </c>
      <c r="E10" s="13">
        <v>381.17300000228772</v>
      </c>
      <c r="F10" s="13">
        <v>387.86900000181913</v>
      </c>
      <c r="G10" s="13"/>
      <c r="H10" s="13">
        <f t="shared" si="3"/>
        <v>7.3749999947977471</v>
      </c>
      <c r="I10" s="13">
        <v>122.67515859297721</v>
      </c>
      <c r="J10" s="13">
        <f t="shared" si="4"/>
        <v>130.05015858777494</v>
      </c>
      <c r="K10" s="13"/>
      <c r="L10" t="str">
        <f t="shared" si="0"/>
        <v>Non-marketed services</v>
      </c>
      <c r="M10" s="13">
        <f t="shared" si="0"/>
        <v>404.80500000323286</v>
      </c>
      <c r="N10" s="13">
        <f t="shared" si="0"/>
        <v>427.3100000069918</v>
      </c>
      <c r="O10" s="13">
        <f t="shared" si="0"/>
        <v>477.63299999399914</v>
      </c>
      <c r="P10" s="13">
        <f t="shared" si="0"/>
        <v>484.94600000094147</v>
      </c>
      <c r="Q10" s="13">
        <f t="shared" si="0"/>
        <v>497.82900000125358</v>
      </c>
      <c r="R10" s="49">
        <f t="shared" si="1"/>
        <v>1.6681323644970325</v>
      </c>
      <c r="S10" s="49">
        <f t="shared" si="2"/>
        <v>0.41499863842566764</v>
      </c>
    </row>
    <row r="11" spans="1:19" x14ac:dyDescent="0.2">
      <c r="A11" s="18" t="str">
        <f>name!C8</f>
        <v>Business and other services</v>
      </c>
      <c r="B11" s="13">
        <v>307.14199999844817</v>
      </c>
      <c r="C11" s="13">
        <v>299.01900000024375</v>
      </c>
      <c r="D11" s="13">
        <v>336.15199999851632</v>
      </c>
      <c r="E11" s="13">
        <v>350.05099999922072</v>
      </c>
      <c r="F11" s="13">
        <v>358.32199999962603</v>
      </c>
      <c r="G11" s="13"/>
      <c r="H11" s="13">
        <f t="shared" si="3"/>
        <v>22.170000001109713</v>
      </c>
      <c r="I11" s="13">
        <v>112.19954869453085</v>
      </c>
      <c r="J11" s="13">
        <f t="shared" si="4"/>
        <v>134.36954869564056</v>
      </c>
      <c r="K11" s="13"/>
      <c r="M11" s="13"/>
      <c r="N11" s="13"/>
      <c r="O11" s="13"/>
      <c r="P11" s="13"/>
      <c r="Q11" s="13"/>
      <c r="R11" s="49"/>
      <c r="S11" s="49"/>
    </row>
    <row r="12" spans="1:19" x14ac:dyDescent="0.2">
      <c r="A12" s="18" t="str">
        <f>name!C9</f>
        <v>Non-marketed services</v>
      </c>
      <c r="B12" s="13">
        <v>404.80500000323286</v>
      </c>
      <c r="C12" s="13">
        <v>427.3100000069918</v>
      </c>
      <c r="D12" s="13">
        <v>477.63299999399914</v>
      </c>
      <c r="E12" s="13">
        <v>484.94600000094147</v>
      </c>
      <c r="F12" s="13">
        <v>497.82900000125358</v>
      </c>
      <c r="G12" s="13"/>
      <c r="H12" s="13">
        <f t="shared" si="3"/>
        <v>20.19600000725444</v>
      </c>
      <c r="I12" s="13">
        <v>171.43665506543994</v>
      </c>
      <c r="J12" s="13">
        <f t="shared" si="4"/>
        <v>191.63265507269438</v>
      </c>
      <c r="K12" s="13"/>
      <c r="L12" s="37" t="str">
        <f t="shared" ref="L12:Q12" si="5">A14</f>
        <v>All industries</v>
      </c>
      <c r="M12" s="39">
        <f t="shared" si="5"/>
        <v>1408.9670000019444</v>
      </c>
      <c r="N12" s="39">
        <f t="shared" si="5"/>
        <v>1357.8780000009851</v>
      </c>
      <c r="O12" s="39">
        <f t="shared" si="5"/>
        <v>1529.7600000008431</v>
      </c>
      <c r="P12" s="39">
        <f t="shared" si="5"/>
        <v>1546.2870000021678</v>
      </c>
      <c r="Q12" s="39">
        <f t="shared" si="5"/>
        <v>1569.1730000018861</v>
      </c>
      <c r="R12" s="52">
        <f>IF(D$5-B$5 &lt;&gt; 0,(EXP(LN(D14/B14)/(D$5-B$5))-1)*100,0)</f>
        <v>0.82593264427839319</v>
      </c>
      <c r="S12" s="52">
        <f t="shared" si="2"/>
        <v>0.25470250340746681</v>
      </c>
    </row>
    <row r="13" spans="1:19" x14ac:dyDescent="0.2">
      <c r="A13" s="44"/>
      <c r="B13" s="47"/>
      <c r="C13" s="47"/>
      <c r="D13" s="47"/>
      <c r="E13" s="47"/>
      <c r="F13" s="47"/>
      <c r="G13" s="47"/>
      <c r="H13" s="47"/>
      <c r="I13" s="47"/>
      <c r="J13" s="47"/>
      <c r="K13" s="13"/>
      <c r="L13" s="13"/>
    </row>
    <row r="14" spans="1:19" x14ac:dyDescent="0.2">
      <c r="A14" s="28" t="str">
        <f>name!C3</f>
        <v>All industries</v>
      </c>
      <c r="B14" s="39">
        <f>SUM(B7:B12)</f>
        <v>1408.9670000019444</v>
      </c>
      <c r="C14" s="39">
        <f t="shared" ref="C14:F14" si="6">SUM(C7:C12)</f>
        <v>1357.8780000009851</v>
      </c>
      <c r="D14" s="39">
        <f t="shared" si="6"/>
        <v>1529.7600000008431</v>
      </c>
      <c r="E14" s="39">
        <f t="shared" si="6"/>
        <v>1546.2870000021678</v>
      </c>
      <c r="F14" s="39">
        <f t="shared" si="6"/>
        <v>1569.1730000018861</v>
      </c>
      <c r="G14" s="39"/>
      <c r="H14" s="39">
        <f>SUM(H7:H12)</f>
        <v>39.413000001043002</v>
      </c>
      <c r="I14" s="39">
        <f t="shared" ref="I14:J14" si="7">SUM(I7:I12)</f>
        <v>503.46764080973145</v>
      </c>
      <c r="J14" s="39">
        <f t="shared" si="7"/>
        <v>542.88064081077437</v>
      </c>
      <c r="K14" s="13"/>
      <c r="L14" s="13"/>
    </row>
    <row r="15" spans="1:19" x14ac:dyDescent="0.2">
      <c r="A15" s="18"/>
      <c r="B15" s="13"/>
      <c r="C15" s="13"/>
      <c r="D15" s="13"/>
      <c r="E15" s="13"/>
      <c r="F15" s="13"/>
      <c r="G15" s="20"/>
      <c r="H15" s="13"/>
      <c r="I15" s="13"/>
      <c r="J15" s="13"/>
      <c r="K15" s="20"/>
      <c r="L15" s="13"/>
    </row>
    <row r="16" spans="1:19" x14ac:dyDescent="0.2">
      <c r="A16" s="18"/>
      <c r="B16" s="13"/>
      <c r="C16" s="13"/>
      <c r="D16" s="13"/>
      <c r="E16" s="13"/>
      <c r="F16" s="13"/>
      <c r="G16" s="22"/>
      <c r="H16" s="20"/>
      <c r="I16" s="20"/>
      <c r="J16" s="500" t="s">
        <v>34</v>
      </c>
      <c r="K16" s="22"/>
      <c r="L16" s="13"/>
    </row>
    <row r="17" spans="1:12" s="286" customFormat="1" x14ac:dyDescent="0.2">
      <c r="A17" s="79"/>
      <c r="B17" s="80"/>
      <c r="C17" s="80"/>
      <c r="D17" s="80"/>
      <c r="E17" s="80"/>
      <c r="F17" s="80"/>
      <c r="G17" s="45"/>
      <c r="H17" s="32" t="str">
        <f>CONCATENATE(D19,"-",F19)</f>
        <v>2017-2027</v>
      </c>
      <c r="I17" s="41"/>
      <c r="J17" s="41"/>
      <c r="K17" s="22"/>
      <c r="L17" s="13"/>
    </row>
    <row r="18" spans="1:12" s="286" customFormat="1" x14ac:dyDescent="0.2">
      <c r="A18" s="18"/>
      <c r="B18" s="13"/>
      <c r="C18" s="13"/>
      <c r="D18" s="13"/>
      <c r="E18" s="13"/>
      <c r="F18" s="13"/>
      <c r="G18" s="45"/>
      <c r="H18" s="19" t="s">
        <v>29</v>
      </c>
      <c r="I18" s="19" t="s">
        <v>30</v>
      </c>
      <c r="J18" s="19" t="s">
        <v>32</v>
      </c>
      <c r="K18" s="22"/>
      <c r="L18" s="13"/>
    </row>
    <row r="19" spans="1:12" x14ac:dyDescent="0.2">
      <c r="A19" s="78" t="s">
        <v>511</v>
      </c>
      <c r="B19" s="40">
        <f>B$5</f>
        <v>2007</v>
      </c>
      <c r="C19" s="40">
        <f>C$5</f>
        <v>2012</v>
      </c>
      <c r="D19" s="40">
        <f>D$5</f>
        <v>2017</v>
      </c>
      <c r="E19" s="40">
        <f>E$5</f>
        <v>2022</v>
      </c>
      <c r="F19" s="40">
        <f>F$5</f>
        <v>2027</v>
      </c>
      <c r="G19" s="45"/>
      <c r="H19" s="75" t="s">
        <v>18</v>
      </c>
      <c r="I19" s="75" t="s">
        <v>31</v>
      </c>
      <c r="J19" s="75" t="s">
        <v>33</v>
      </c>
      <c r="K19" s="22"/>
      <c r="L19" s="13"/>
    </row>
    <row r="20" spans="1:12" x14ac:dyDescent="0.2">
      <c r="A20" s="18" t="str">
        <f>$A$7</f>
        <v>Primary sector and utilities</v>
      </c>
      <c r="B20" s="22">
        <f>B7/B$14*100</f>
        <v>3.7137136639752684</v>
      </c>
      <c r="C20" s="22">
        <f>C7/C$14*100</f>
        <v>4.2989870960101682</v>
      </c>
      <c r="D20" s="22">
        <f>D7/D$14*100</f>
        <v>5.3321436042478592</v>
      </c>
      <c r="E20" s="22">
        <f>E7/E$14*100</f>
        <v>5.3040606304010414</v>
      </c>
      <c r="F20" s="22">
        <f>F7/F$14*100</f>
        <v>5.2729686274236096</v>
      </c>
      <c r="G20" s="22"/>
      <c r="H20" s="49">
        <f>IF(D7&gt;0,(H7/D7)*100,0)</f>
        <v>1.4380463162583281</v>
      </c>
      <c r="I20" s="49">
        <f>IF(D7&gt;0,(I7/D7)*100,0)</f>
        <v>32.869479735364493</v>
      </c>
      <c r="J20" s="49">
        <f>IF(D7&gt;0,(J7/D7)*100,0)</f>
        <v>34.307526051622823</v>
      </c>
      <c r="K20" s="22"/>
      <c r="L20" s="13"/>
    </row>
    <row r="21" spans="1:12" x14ac:dyDescent="0.2">
      <c r="A21" s="18" t="str">
        <f>$A$8</f>
        <v>Manufacturing</v>
      </c>
      <c r="B21" s="22">
        <f t="shared" ref="B21:F27" si="8">B8/B$14*100</f>
        <v>12.218951898742461</v>
      </c>
      <c r="C21" s="22">
        <f t="shared" si="8"/>
        <v>10.478334577760467</v>
      </c>
      <c r="D21" s="22">
        <f t="shared" si="8"/>
        <v>9.5974531952912709</v>
      </c>
      <c r="E21" s="22">
        <f t="shared" si="8"/>
        <v>9.0999277623575967</v>
      </c>
      <c r="F21" s="22">
        <f t="shared" si="8"/>
        <v>8.5590945038333164</v>
      </c>
      <c r="G21" s="22"/>
      <c r="H21" s="49">
        <f t="shared" ref="H21:H25" si="9">IF(D8&gt;0,(H8/D8)*100,0)</f>
        <v>-8.5214347025156645</v>
      </c>
      <c r="I21" s="49">
        <f t="shared" ref="I21:I25" si="10">IF(D8&gt;0,(I8/D8)*100,0)</f>
        <v>27.318921340781692</v>
      </c>
      <c r="J21" s="49">
        <f t="shared" ref="J21:J25" si="11">IF(D8&gt;0,(J8/D8)*100,0)</f>
        <v>18.79748663826603</v>
      </c>
      <c r="K21" s="22"/>
      <c r="L21" s="13"/>
    </row>
    <row r="22" spans="1:12" x14ac:dyDescent="0.2">
      <c r="A22" s="18" t="str">
        <f>$A$9</f>
        <v>Construction</v>
      </c>
      <c r="B22" s="22">
        <f t="shared" si="8"/>
        <v>8.121623856429709</v>
      </c>
      <c r="C22" s="22">
        <f t="shared" si="8"/>
        <v>6.3105816574451827</v>
      </c>
      <c r="D22" s="22">
        <f t="shared" si="8"/>
        <v>7.000705993129082</v>
      </c>
      <c r="E22" s="22">
        <f t="shared" si="8"/>
        <v>6.9450237892783973</v>
      </c>
      <c r="F22" s="22">
        <f t="shared" si="8"/>
        <v>6.8892340105366445</v>
      </c>
      <c r="G22" s="22"/>
      <c r="H22" s="49">
        <f t="shared" si="9"/>
        <v>0.9430967185206014</v>
      </c>
      <c r="I22" s="49">
        <f t="shared" si="10"/>
        <v>28.233027617748689</v>
      </c>
      <c r="J22" s="49">
        <f t="shared" si="11"/>
        <v>29.176124336269293</v>
      </c>
      <c r="K22" s="22"/>
      <c r="L22" s="13"/>
    </row>
    <row r="23" spans="1:12" x14ac:dyDescent="0.2">
      <c r="A23" s="18" t="str">
        <f>$A$10</f>
        <v>Trade, accomod. and transport</v>
      </c>
      <c r="B23" s="22">
        <f t="shared" si="8"/>
        <v>25.415996258182226</v>
      </c>
      <c r="C23" s="22">
        <f t="shared" si="8"/>
        <v>25.422092411648521</v>
      </c>
      <c r="D23" s="22">
        <f t="shared" si="8"/>
        <v>24.87279050353073</v>
      </c>
      <c r="E23" s="22">
        <f t="shared" si="8"/>
        <v>24.650857182512258</v>
      </c>
      <c r="F23" s="22">
        <f t="shared" si="8"/>
        <v>24.718052120534377</v>
      </c>
      <c r="G23" s="22"/>
      <c r="H23" s="49">
        <f t="shared" si="9"/>
        <v>1.938269721641249</v>
      </c>
      <c r="I23" s="49">
        <f t="shared" si="10"/>
        <v>32.24102314115688</v>
      </c>
      <c r="J23" s="49">
        <f t="shared" si="11"/>
        <v>34.179292862798121</v>
      </c>
      <c r="K23" s="22"/>
      <c r="L23" s="13"/>
    </row>
    <row r="24" spans="1:12" x14ac:dyDescent="0.2">
      <c r="A24" s="18" t="str">
        <f>$A$11</f>
        <v>Business and other services</v>
      </c>
      <c r="B24" s="22">
        <f t="shared" si="8"/>
        <v>21.799091107032623</v>
      </c>
      <c r="C24" s="22">
        <f t="shared" si="8"/>
        <v>22.021050492019668</v>
      </c>
      <c r="D24" s="22">
        <f t="shared" si="8"/>
        <v>21.974165882120793</v>
      </c>
      <c r="E24" s="22">
        <f t="shared" si="8"/>
        <v>22.638164842537638</v>
      </c>
      <c r="F24" s="22">
        <f t="shared" si="8"/>
        <v>22.835085742566012</v>
      </c>
      <c r="G24" s="22"/>
      <c r="H24" s="49">
        <f t="shared" si="9"/>
        <v>6.5952307293151806</v>
      </c>
      <c r="I24" s="49">
        <f t="shared" si="10"/>
        <v>33.377623424827476</v>
      </c>
      <c r="J24" s="49">
        <f t="shared" si="11"/>
        <v>39.972854154142659</v>
      </c>
      <c r="K24" s="22"/>
    </row>
    <row r="25" spans="1:12" x14ac:dyDescent="0.2">
      <c r="A25" s="18" t="str">
        <f>$A$12</f>
        <v>Non-marketed services</v>
      </c>
      <c r="B25" s="22">
        <f t="shared" si="8"/>
        <v>28.730623215637713</v>
      </c>
      <c r="C25" s="22">
        <f t="shared" si="8"/>
        <v>31.468953765115998</v>
      </c>
      <c r="D25" s="22">
        <f t="shared" si="8"/>
        <v>31.222740821680254</v>
      </c>
      <c r="E25" s="22">
        <f t="shared" si="8"/>
        <v>31.361965792913061</v>
      </c>
      <c r="F25" s="22">
        <f t="shared" si="8"/>
        <v>31.72556499510603</v>
      </c>
      <c r="G25" s="45"/>
      <c r="H25" s="49">
        <f t="shared" si="9"/>
        <v>4.2283510577175738</v>
      </c>
      <c r="I25" s="49">
        <f t="shared" si="10"/>
        <v>35.892966999263834</v>
      </c>
      <c r="J25" s="49">
        <f t="shared" si="11"/>
        <v>40.121318056981409</v>
      </c>
      <c r="K25" s="45"/>
      <c r="L25" s="13"/>
    </row>
    <row r="26" spans="1:12" s="286" customFormat="1" x14ac:dyDescent="0.2">
      <c r="A26" s="18"/>
      <c r="B26" s="22"/>
      <c r="C26" s="22"/>
      <c r="D26" s="22"/>
      <c r="E26" s="22"/>
      <c r="F26" s="22"/>
      <c r="G26" s="22"/>
      <c r="H26" s="49"/>
      <c r="I26" s="49"/>
      <c r="J26" s="49"/>
      <c r="K26" s="22"/>
      <c r="L26" s="13"/>
    </row>
    <row r="27" spans="1:12" s="286" customFormat="1" x14ac:dyDescent="0.2">
      <c r="A27" s="28" t="str">
        <f>$A$14</f>
        <v>All industries</v>
      </c>
      <c r="B27" s="30">
        <f t="shared" si="8"/>
        <v>100</v>
      </c>
      <c r="C27" s="30">
        <f t="shared" si="8"/>
        <v>100</v>
      </c>
      <c r="D27" s="30">
        <f t="shared" si="8"/>
        <v>100</v>
      </c>
      <c r="E27" s="30">
        <f t="shared" si="8"/>
        <v>100</v>
      </c>
      <c r="F27" s="30">
        <f t="shared" si="8"/>
        <v>100</v>
      </c>
      <c r="G27" s="22"/>
      <c r="H27" s="52">
        <f>IF(D14&gt;0,(H14/D14)*100,0)</f>
        <v>2.5764172158391698</v>
      </c>
      <c r="I27" s="52">
        <f>IF(D14&gt;0,(I14/D14)*100,0)</f>
        <v>32.911544347443652</v>
      </c>
      <c r="J27" s="52">
        <f>IF(D14&gt;0,(J14/D14)*100,0)</f>
        <v>35.487961563282816</v>
      </c>
      <c r="K27" s="22"/>
      <c r="L27" s="13"/>
    </row>
    <row r="28" spans="1:12" s="286" customFormat="1" x14ac:dyDescent="0.2">
      <c r="A28" s="18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13"/>
    </row>
    <row r="29" spans="1:12" x14ac:dyDescent="0.2">
      <c r="A29" s="18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13"/>
    </row>
    <row r="30" spans="1:12" x14ac:dyDescent="0.2">
      <c r="A30" s="18"/>
      <c r="B30" s="22"/>
      <c r="C30" s="22"/>
      <c r="D30" s="22"/>
      <c r="E30" s="22"/>
      <c r="F30" s="22"/>
      <c r="H30" s="22"/>
      <c r="I30" s="22"/>
      <c r="J30" s="22"/>
    </row>
    <row r="31" spans="1:12" ht="15.75" x14ac:dyDescent="0.25">
      <c r="A31" s="287" t="str">
        <f>CONCATENATE(A1," (Continued)")</f>
        <v>Industry Table 1  Employment by Industry Sector (SIC 2007), 2007-2027 (Continued)</v>
      </c>
      <c r="B31" s="22"/>
      <c r="C31" s="22"/>
      <c r="D31" s="22"/>
      <c r="E31" s="22"/>
      <c r="F31" s="22"/>
      <c r="G31" s="77"/>
      <c r="K31" s="77"/>
    </row>
    <row r="32" spans="1:12" x14ac:dyDescent="0.2">
      <c r="G32" s="22"/>
      <c r="H32" s="77"/>
      <c r="I32" s="77"/>
      <c r="J32" s="77"/>
      <c r="K32" s="22"/>
    </row>
    <row r="33" spans="1:11" x14ac:dyDescent="0.2">
      <c r="A33" s="288" t="s">
        <v>14</v>
      </c>
      <c r="B33" s="29" t="str">
        <f>CONCATENATE(B$5,"-",C$5)</f>
        <v>2007-2012</v>
      </c>
      <c r="C33" s="29" t="str">
        <f>CONCATENATE(C$5,"-",D$5)</f>
        <v>2012-2017</v>
      </c>
      <c r="D33" s="29" t="str">
        <f>CONCATENATE(D$5,"-",E$5)</f>
        <v>2017-2022</v>
      </c>
      <c r="E33" s="29" t="str">
        <f>CONCATENATE(E$5,"-",F$5)</f>
        <v>2022-2027</v>
      </c>
      <c r="F33" s="29" t="str">
        <f>CONCATENATE(D$5,"-",F$5)</f>
        <v>2017-2027</v>
      </c>
      <c r="G33" s="22"/>
      <c r="H33" s="22"/>
      <c r="I33" s="22"/>
      <c r="J33" s="22"/>
      <c r="K33" s="22"/>
    </row>
    <row r="34" spans="1:11" x14ac:dyDescent="0.2">
      <c r="A34" s="18" t="str">
        <f>$A$7</f>
        <v>Primary sector and utilities</v>
      </c>
      <c r="B34" s="22">
        <f>IF(C$5-B$5 &lt;&gt; 0,(EXP(LN(C7/B7)/(C$5-B$5))-1)*100,0)</f>
        <v>2.212387160542284</v>
      </c>
      <c r="C34" s="22">
        <f>IF(D$5-C$5 &lt;&gt; 0,(EXP(LN(D7/C7)/(D$5-C$5))-1)*100,0)</f>
        <v>6.9201720437758407</v>
      </c>
      <c r="D34" s="22">
        <f>IF(E$5-D$5 &lt;&gt; 0,(EXP(LN(E7/D7)/(E$5-D$5))-1)*100,0)</f>
        <v>0.10936100258593928</v>
      </c>
      <c r="E34" s="22">
        <f>IF(F$5-E$5 &lt;&gt; 0,(EXP(LN(F7/E7)/(F$5-E$5))-1)*100,0)</f>
        <v>0.17641508192407507</v>
      </c>
      <c r="F34" s="22">
        <f>IF(F$5-D$5 &lt;&gt; 0,(EXP(LN(F7/D7)/(F$5-D$5))-1)*100,0)</f>
        <v>0.14288242996218781</v>
      </c>
      <c r="G34" s="22"/>
      <c r="H34" s="22"/>
      <c r="I34" s="22"/>
      <c r="J34" s="22"/>
      <c r="K34" s="22"/>
    </row>
    <row r="35" spans="1:11" x14ac:dyDescent="0.2">
      <c r="A35" s="18" t="str">
        <f>$A$8</f>
        <v>Manufacturing</v>
      </c>
      <c r="B35" s="22">
        <f t="shared" ref="B35:B41" si="12">IF(C$5-B$5 &lt;&gt; 0,(EXP(LN(C8/B8)/(C$5-B$5))-1)*100,0)</f>
        <v>-3.7404898256604646</v>
      </c>
      <c r="C35" s="22">
        <f t="shared" ref="C35:C41" si="13">IF(D$5-C$5 &lt;&gt; 0,(EXP(LN(D8/C8)/(D$5-C$5))-1)*100,0)</f>
        <v>0.62948684178112391</v>
      </c>
      <c r="D35" s="22">
        <f t="shared" ref="D35:E39" si="14">IF(E$5-D$5 &lt;&gt; 0,(EXP(LN(E8/D8)/(E$5-D$5))-1)*100,0)</f>
        <v>-0.84611181156017956</v>
      </c>
      <c r="E35" s="22">
        <f t="shared" si="14"/>
        <v>-0.92727241259354942</v>
      </c>
      <c r="F35" s="22">
        <f t="shared" ref="F35:F41" si="15">IF(F$5-D$5 &lt;&gt; 0,(EXP(LN(F8/D8)/(F$5-D$5))-1)*100,0)</f>
        <v>-0.88670041954280743</v>
      </c>
      <c r="G35" s="22"/>
      <c r="H35" s="22"/>
      <c r="I35" s="22"/>
      <c r="J35" s="22"/>
      <c r="K35" s="22"/>
    </row>
    <row r="36" spans="1:11" x14ac:dyDescent="0.2">
      <c r="A36" s="18" t="str">
        <f>$A$9</f>
        <v>Construction</v>
      </c>
      <c r="B36" s="22">
        <f t="shared" si="12"/>
        <v>-5.6205830808070401</v>
      </c>
      <c r="C36" s="22">
        <f t="shared" si="13"/>
        <v>4.5603430447149762</v>
      </c>
      <c r="D36" s="22">
        <f t="shared" si="14"/>
        <v>5.5217527182893633E-2</v>
      </c>
      <c r="E36" s="22">
        <f t="shared" si="14"/>
        <v>0.13262104126914309</v>
      </c>
      <c r="F36" s="22">
        <f t="shared" si="15"/>
        <v>9.3911802122881305E-2</v>
      </c>
      <c r="G36" s="22"/>
      <c r="H36" s="22"/>
      <c r="I36" s="22"/>
      <c r="J36" s="22"/>
      <c r="K36" s="22"/>
    </row>
    <row r="37" spans="1:11" x14ac:dyDescent="0.2">
      <c r="A37" s="18" t="str">
        <f>$A$10</f>
        <v>Trade, accomod. and transport</v>
      </c>
      <c r="B37" s="22">
        <f t="shared" si="12"/>
        <v>-0.73118967461088813</v>
      </c>
      <c r="C37" s="22">
        <f t="shared" si="13"/>
        <v>1.9659461706540204</v>
      </c>
      <c r="D37" s="22">
        <f t="shared" si="14"/>
        <v>3.5664995365269903E-2</v>
      </c>
      <c r="E37" s="22">
        <f t="shared" si="14"/>
        <v>0.34889349009932236</v>
      </c>
      <c r="F37" s="22">
        <f t="shared" si="15"/>
        <v>0.19215683790405613</v>
      </c>
      <c r="G37" s="22"/>
      <c r="H37" s="22"/>
      <c r="I37" s="22"/>
      <c r="J37" s="22"/>
      <c r="K37" s="22"/>
    </row>
    <row r="38" spans="1:11" x14ac:dyDescent="0.2">
      <c r="A38" s="18" t="str">
        <f>$A$11</f>
        <v>Business and other services</v>
      </c>
      <c r="B38" s="22">
        <f t="shared" si="12"/>
        <v>-0.5346270521188301</v>
      </c>
      <c r="C38" s="22">
        <f t="shared" si="13"/>
        <v>2.3687459214725815</v>
      </c>
      <c r="D38" s="22">
        <f t="shared" si="14"/>
        <v>0.81360027458112771</v>
      </c>
      <c r="E38" s="22">
        <f t="shared" si="14"/>
        <v>0.46815574747289812</v>
      </c>
      <c r="F38" s="22">
        <f t="shared" si="15"/>
        <v>0.64072979589373524</v>
      </c>
      <c r="G38" s="22"/>
      <c r="H38" s="22"/>
      <c r="I38" s="22"/>
      <c r="J38" s="22"/>
      <c r="K38" s="22"/>
    </row>
    <row r="39" spans="1:11" x14ac:dyDescent="0.2">
      <c r="A39" s="18" t="str">
        <f>$A$12</f>
        <v>Non-marketed services</v>
      </c>
      <c r="B39" s="22">
        <f t="shared" si="12"/>
        <v>1.0879612289685259</v>
      </c>
      <c r="C39" s="22">
        <f t="shared" si="13"/>
        <v>2.2516332590038379</v>
      </c>
      <c r="D39" s="22">
        <f t="shared" si="14"/>
        <v>0.30436002501545989</v>
      </c>
      <c r="E39" s="22">
        <f t="shared" si="14"/>
        <v>0.52575928943001671</v>
      </c>
      <c r="F39" s="22">
        <f t="shared" si="15"/>
        <v>0.41499863842566764</v>
      </c>
      <c r="G39" s="22"/>
      <c r="H39" s="22"/>
      <c r="I39" s="22"/>
      <c r="J39" s="22"/>
      <c r="K39" s="22"/>
    </row>
    <row r="40" spans="1:11" x14ac:dyDescent="0.2">
      <c r="A40" s="18"/>
      <c r="B40" s="22"/>
      <c r="C40" s="22"/>
      <c r="D40" s="22"/>
      <c r="E40" s="22"/>
      <c r="F40" s="22"/>
      <c r="G40" s="22"/>
      <c r="H40" s="22"/>
      <c r="I40" s="22"/>
      <c r="J40" s="22"/>
      <c r="K40" s="22"/>
    </row>
    <row r="41" spans="1:11" x14ac:dyDescent="0.2">
      <c r="A41" s="18" t="str">
        <f>$A$14</f>
        <v>All industries</v>
      </c>
      <c r="B41" s="22">
        <f t="shared" si="12"/>
        <v>-0.73595101326741075</v>
      </c>
      <c r="C41" s="22">
        <f t="shared" si="13"/>
        <v>2.4123919723173071</v>
      </c>
      <c r="D41" s="22">
        <f>IF(E$5-D$5 &lt;&gt; 0,(EXP(LN(E14/D14)/(E$5-D$5))-1)*100,0)</f>
        <v>0.21514536510913729</v>
      </c>
      <c r="E41" s="22">
        <f>IF(F$5-E$5 &lt;&gt; 0,(EXP(LN(F14/E14)/(F$5-E$5))-1)*100,0)</f>
        <v>0.29427525578473723</v>
      </c>
      <c r="F41" s="22">
        <f t="shared" si="15"/>
        <v>0.25470250340746681</v>
      </c>
      <c r="H41" s="22"/>
      <c r="I41" s="22"/>
      <c r="J41" s="22"/>
    </row>
    <row r="42" spans="1:11" x14ac:dyDescent="0.2">
      <c r="A42" s="18"/>
      <c r="B42" s="22"/>
      <c r="C42" s="22"/>
      <c r="D42" s="22"/>
      <c r="E42" s="22"/>
      <c r="F42" s="22"/>
      <c r="G42" s="24"/>
      <c r="K42" s="24"/>
    </row>
    <row r="43" spans="1:11" x14ac:dyDescent="0.2">
      <c r="G43" s="31"/>
      <c r="H43" s="24"/>
      <c r="I43" s="24"/>
      <c r="J43" s="24"/>
      <c r="K43" s="31"/>
    </row>
    <row r="44" spans="1:11" x14ac:dyDescent="0.2">
      <c r="A44" s="1" t="s">
        <v>15</v>
      </c>
      <c r="B44" s="24" t="str">
        <f>CONCATENATE(B$5,"-",C$5)</f>
        <v>2007-2012</v>
      </c>
      <c r="C44" s="24" t="str">
        <f>CONCATENATE(C$5,"-",D$5)</f>
        <v>2012-2017</v>
      </c>
      <c r="D44" s="24" t="str">
        <f>CONCATENATE(D$5,"-",E$5)</f>
        <v>2017-2022</v>
      </c>
      <c r="E44" s="24" t="str">
        <f>CONCATENATE(E$5,"-",F$5)</f>
        <v>2022-2027</v>
      </c>
      <c r="F44" s="24" t="str">
        <f>CONCATENATE(D$5,"-",F$5)</f>
        <v>2017-2027</v>
      </c>
      <c r="G44" s="31"/>
      <c r="H44" s="31"/>
      <c r="I44" s="31"/>
      <c r="J44" s="31"/>
      <c r="K44" s="31"/>
    </row>
    <row r="45" spans="1:11" x14ac:dyDescent="0.2">
      <c r="A45" s="18" t="str">
        <f>$A$7</f>
        <v>Primary sector and utilities</v>
      </c>
      <c r="B45" s="31">
        <f>C7-B7</f>
        <v>6.0499999996286817</v>
      </c>
      <c r="C45" s="31">
        <f>D7-C7</f>
        <v>23.194000000783703</v>
      </c>
      <c r="D45" s="31">
        <f>E7-D7</f>
        <v>0.44699999973732929</v>
      </c>
      <c r="E45" s="31">
        <f>F7-E7</f>
        <v>0.72599999997699172</v>
      </c>
      <c r="F45" s="31">
        <f>F7-D7</f>
        <v>1.172999999714321</v>
      </c>
      <c r="G45" s="31"/>
      <c r="H45" s="31"/>
      <c r="I45" s="31"/>
      <c r="J45" s="31"/>
      <c r="K45" s="31"/>
    </row>
    <row r="46" spans="1:11" x14ac:dyDescent="0.2">
      <c r="A46" s="18" t="str">
        <f>$A$8</f>
        <v>Manufacturing</v>
      </c>
      <c r="B46" s="31">
        <f t="shared" ref="B46:E52" si="16">C8-B8</f>
        <v>-29.878000001486754</v>
      </c>
      <c r="C46" s="31">
        <f>D8-C8</f>
        <v>4.535000002463164</v>
      </c>
      <c r="D46" s="31">
        <f t="shared" si="16"/>
        <v>-6.1070000014449874</v>
      </c>
      <c r="E46" s="31">
        <f t="shared" si="16"/>
        <v>-6.4040000001258761</v>
      </c>
      <c r="F46" s="31">
        <f t="shared" ref="F46:F52" si="17">F8-D8</f>
        <v>-12.511000001570864</v>
      </c>
      <c r="G46" s="31"/>
      <c r="H46" s="31"/>
      <c r="I46" s="31"/>
      <c r="J46" s="31"/>
      <c r="K46" s="31"/>
    </row>
    <row r="47" spans="1:11" x14ac:dyDescent="0.2">
      <c r="A47" s="18" t="str">
        <f>$A$9</f>
        <v>Construction</v>
      </c>
      <c r="B47" s="31">
        <f t="shared" si="16"/>
        <v>-28.741000002834227</v>
      </c>
      <c r="C47" s="31">
        <f t="shared" ref="C47:C50" si="18">D9-C9</f>
        <v>21.404000002004793</v>
      </c>
      <c r="D47" s="31">
        <f t="shared" si="16"/>
        <v>0.29600000011933503</v>
      </c>
      <c r="E47" s="31">
        <f t="shared" si="16"/>
        <v>0.71399999961830929</v>
      </c>
      <c r="F47" s="31">
        <f t="shared" si="17"/>
        <v>1.0099999997376443</v>
      </c>
      <c r="G47" s="31"/>
      <c r="H47" s="31"/>
      <c r="I47" s="31"/>
      <c r="J47" s="31"/>
      <c r="K47" s="31"/>
    </row>
    <row r="48" spans="1:11" x14ac:dyDescent="0.2">
      <c r="A48" s="18" t="str">
        <f>$A$10</f>
        <v>Trade, accomod. and transport</v>
      </c>
      <c r="B48" s="31">
        <f t="shared" si="16"/>
        <v>-12.90200000182142</v>
      </c>
      <c r="C48" s="31">
        <f t="shared" si="18"/>
        <v>35.293000009326249</v>
      </c>
      <c r="D48" s="31">
        <f t="shared" si="16"/>
        <v>0.67899999526633792</v>
      </c>
      <c r="E48" s="31">
        <f t="shared" si="16"/>
        <v>6.6959999995314092</v>
      </c>
      <c r="F48" s="31">
        <f t="shared" si="17"/>
        <v>7.3749999947977471</v>
      </c>
      <c r="G48" s="31"/>
      <c r="H48" s="31"/>
      <c r="I48" s="31"/>
      <c r="J48" s="31"/>
      <c r="K48" s="31"/>
    </row>
    <row r="49" spans="1:11" x14ac:dyDescent="0.2">
      <c r="A49" s="18" t="str">
        <f>$A$11</f>
        <v>Business and other services</v>
      </c>
      <c r="B49" s="31">
        <f t="shared" si="16"/>
        <v>-8.1229999982044205</v>
      </c>
      <c r="C49" s="31">
        <f t="shared" si="18"/>
        <v>37.132999998272567</v>
      </c>
      <c r="D49" s="31">
        <f t="shared" si="16"/>
        <v>13.899000000704405</v>
      </c>
      <c r="E49" s="31">
        <f t="shared" si="16"/>
        <v>8.2710000004053086</v>
      </c>
      <c r="F49" s="31">
        <f t="shared" si="17"/>
        <v>22.170000001109713</v>
      </c>
      <c r="G49" s="31"/>
      <c r="H49" s="31"/>
      <c r="I49" s="31"/>
      <c r="J49" s="31"/>
      <c r="K49" s="31"/>
    </row>
    <row r="50" spans="1:11" x14ac:dyDescent="0.2">
      <c r="A50" s="18" t="str">
        <f>$A$12</f>
        <v>Non-marketed services</v>
      </c>
      <c r="B50" s="31">
        <f t="shared" si="16"/>
        <v>22.505000003758937</v>
      </c>
      <c r="C50" s="31">
        <f t="shared" si="18"/>
        <v>50.322999987007336</v>
      </c>
      <c r="D50" s="31">
        <f t="shared" si="16"/>
        <v>7.3130000069423318</v>
      </c>
      <c r="E50" s="31">
        <f t="shared" si="16"/>
        <v>12.883000000312109</v>
      </c>
      <c r="F50" s="31">
        <f t="shared" si="17"/>
        <v>20.19600000725444</v>
      </c>
      <c r="G50" s="499"/>
      <c r="H50" s="31"/>
      <c r="I50" s="31"/>
      <c r="J50" s="31"/>
      <c r="K50" s="499"/>
    </row>
    <row r="51" spans="1:11" x14ac:dyDescent="0.2">
      <c r="A51" s="18"/>
      <c r="B51" s="31"/>
      <c r="C51" s="31"/>
      <c r="D51" s="31"/>
      <c r="E51" s="31"/>
      <c r="F51" s="31"/>
      <c r="H51" s="499"/>
      <c r="I51" s="499"/>
      <c r="J51" s="499"/>
    </row>
    <row r="52" spans="1:11" x14ac:dyDescent="0.2">
      <c r="A52" s="28" t="str">
        <f>$A$14</f>
        <v>All industries</v>
      </c>
      <c r="B52" s="33">
        <f>C14-B14</f>
        <v>-51.089000000959231</v>
      </c>
      <c r="C52" s="33">
        <f>D14-C14</f>
        <v>171.88199999985795</v>
      </c>
      <c r="D52" s="33">
        <f t="shared" si="16"/>
        <v>16.527000001324723</v>
      </c>
      <c r="E52" s="33">
        <f t="shared" si="16"/>
        <v>22.885999999718251</v>
      </c>
      <c r="F52" s="33">
        <f t="shared" si="17"/>
        <v>39.413000001042974</v>
      </c>
    </row>
  </sheetData>
  <phoneticPr fontId="5" type="noConversion"/>
  <pageMargins left="0.74803149606299213" right="0.74803149606299213" top="0.78740157480314965" bottom="0.78740157480314965" header="0.51181102362204722" footer="0.51181102362204722"/>
  <pageSetup paperSize="9" scale="69" orientation="portrait" r:id="rId1"/>
  <headerFooter alignWithMargins="0"/>
  <ignoredErrors>
    <ignoredError sqref="C32 C42:C43 C51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113"/>
  <sheetViews>
    <sheetView showGridLines="0" zoomScale="85" zoomScaleNormal="85" workbookViewId="0"/>
  </sheetViews>
  <sheetFormatPr defaultRowHeight="12.75" x14ac:dyDescent="0.2"/>
  <cols>
    <col min="1" max="1" width="26.7109375" customWidth="1"/>
    <col min="2" max="6" width="11.7109375" customWidth="1"/>
  </cols>
  <sheetData>
    <row r="1" spans="1:8" ht="15.75" x14ac:dyDescent="0.25">
      <c r="A1" s="23" t="str">
        <f>CONCATENATE("Industry Table 2  Employment by Industry Group (SIC 2007), ",B$3,"-",F$3)</f>
        <v>Industry Table 2  Employment by Industry Group (SIC 2007), 2007-2027</v>
      </c>
    </row>
    <row r="3" spans="1:8" x14ac:dyDescent="0.2">
      <c r="A3" s="26"/>
      <c r="B3" s="27">
        <f>'Ind T3'!B3</f>
        <v>2007</v>
      </c>
      <c r="C3" s="27">
        <f>'Ind T3'!C3</f>
        <v>2012</v>
      </c>
      <c r="D3" s="27">
        <f>'Ind T3'!D3</f>
        <v>2017</v>
      </c>
      <c r="E3" s="27">
        <f>'Ind T3'!E3</f>
        <v>2022</v>
      </c>
      <c r="F3" s="27">
        <f>'Ind T3'!F3</f>
        <v>2027</v>
      </c>
    </row>
    <row r="4" spans="1:8" x14ac:dyDescent="0.2">
      <c r="A4" s="21" t="s">
        <v>13</v>
      </c>
    </row>
    <row r="5" spans="1:8" x14ac:dyDescent="0.2">
      <c r="A5" s="12" t="str">
        <f>name!B4</f>
        <v>Agriculture</v>
      </c>
      <c r="B5" s="13">
        <f t="array" ref="B5:B26">MMULT(aggregation!$B$3:$BX$24,'Ind T3'!B5:B79)</f>
        <v>37.118000000003256</v>
      </c>
      <c r="C5" s="13">
        <f t="array" ref="C5:C26">MMULT(aggregation!$B$3:$BX$24,'Ind T3'!C5:C79)</f>
        <v>35.296999999794295</v>
      </c>
      <c r="D5" s="13">
        <f t="array" ref="D5:D26">MMULT(aggregation!$B$3:$BX$24,'Ind T3'!D5:D79)</f>
        <v>59.821000000532997</v>
      </c>
      <c r="E5" s="13">
        <f t="array" ref="E5:E26">MMULT(aggregation!$B$3:$BX$24,'Ind T3'!E5:E79)</f>
        <v>59.688000000333112</v>
      </c>
      <c r="F5" s="13">
        <f t="array" ref="F5:F26">MMULT(aggregation!$B$3:$BX$24,'Ind T3'!F5:F79)</f>
        <v>60.006000000325777</v>
      </c>
      <c r="G5" s="12"/>
    </row>
    <row r="6" spans="1:8" x14ac:dyDescent="0.2">
      <c r="A6" s="12" t="str">
        <f>name!B5</f>
        <v>Mining and quarrying</v>
      </c>
      <c r="B6" s="13">
        <v>1.6279999999962358</v>
      </c>
      <c r="C6" s="13">
        <v>3.007999999987867</v>
      </c>
      <c r="D6" s="13">
        <v>2.7239999999940552</v>
      </c>
      <c r="E6" s="13">
        <v>2.5589999999895552</v>
      </c>
      <c r="F6" s="13">
        <v>2.2159999999892799</v>
      </c>
    </row>
    <row r="7" spans="1:8" x14ac:dyDescent="0.2">
      <c r="A7" s="12" t="str">
        <f>name!B6</f>
        <v>Food drink and tobacco</v>
      </c>
      <c r="B7" s="13">
        <v>23.866999999866046</v>
      </c>
      <c r="C7" s="13">
        <v>22.471999999568489</v>
      </c>
      <c r="D7" s="13">
        <v>20.183000000104787</v>
      </c>
      <c r="E7" s="13">
        <v>19.041999999850926</v>
      </c>
      <c r="F7" s="13">
        <v>18.083999999831089</v>
      </c>
      <c r="G7" s="13"/>
    </row>
    <row r="8" spans="1:8" x14ac:dyDescent="0.2">
      <c r="A8" s="12" t="str">
        <f>name!B7</f>
        <v>Engineering</v>
      </c>
      <c r="B8" s="13">
        <v>24.827999999803495</v>
      </c>
      <c r="C8" s="13">
        <v>17.482999999787033</v>
      </c>
      <c r="D8" s="13">
        <v>16.82200000003898</v>
      </c>
      <c r="E8" s="13">
        <v>17.10699999993539</v>
      </c>
      <c r="F8" s="13">
        <v>16.008999999931152</v>
      </c>
      <c r="G8" s="13"/>
    </row>
    <row r="9" spans="1:8" x14ac:dyDescent="0.2">
      <c r="A9" s="12" t="str">
        <f>name!B8</f>
        <v>Rest of manufacturing</v>
      </c>
      <c r="B9" s="13">
        <v>123.46599999972271</v>
      </c>
      <c r="C9" s="13">
        <v>102.32799999854998</v>
      </c>
      <c r="D9" s="13">
        <v>109.81300000022487</v>
      </c>
      <c r="E9" s="13">
        <v>104.56199999913737</v>
      </c>
      <c r="F9" s="13">
        <v>100.21399999903558</v>
      </c>
      <c r="G9" s="13"/>
    </row>
    <row r="10" spans="1:8" x14ac:dyDescent="0.2">
      <c r="A10" s="12" t="str">
        <f>name!B9</f>
        <v>Electricity and gas</v>
      </c>
      <c r="B10" s="13">
        <v>4.5729999999731454</v>
      </c>
      <c r="C10" s="13">
        <v>7.6879999999825621</v>
      </c>
      <c r="D10" s="13">
        <v>7.7169999999830905</v>
      </c>
      <c r="E10" s="13">
        <v>7.5720000000105081</v>
      </c>
      <c r="F10" s="13">
        <v>7.5420000000170146</v>
      </c>
      <c r="G10" s="13"/>
    </row>
    <row r="11" spans="1:8" x14ac:dyDescent="0.2">
      <c r="A11" s="12" t="str">
        <f>name!B10</f>
        <v>Water and sewerage</v>
      </c>
      <c r="B11" s="13">
        <v>9.0060000000019933</v>
      </c>
      <c r="C11" s="13">
        <v>12.381999999838591</v>
      </c>
      <c r="D11" s="13">
        <v>11.306999999876865</v>
      </c>
      <c r="E11" s="13">
        <v>12.196999999791158</v>
      </c>
      <c r="F11" s="13">
        <v>12.977999999769249</v>
      </c>
      <c r="G11" s="13"/>
    </row>
    <row r="12" spans="1:8" x14ac:dyDescent="0.2">
      <c r="A12" s="12" t="str">
        <f>name!B11</f>
        <v>Construction</v>
      </c>
      <c r="B12" s="13">
        <v>114.4310000013799</v>
      </c>
      <c r="C12" s="13">
        <v>85.689999998545673</v>
      </c>
      <c r="D12" s="13">
        <v>107.09400000055047</v>
      </c>
      <c r="E12" s="13">
        <v>107.3900000006698</v>
      </c>
      <c r="F12" s="13">
        <v>108.10400000028811</v>
      </c>
      <c r="G12" s="13"/>
      <c r="H12" s="18"/>
    </row>
    <row r="13" spans="1:8" x14ac:dyDescent="0.2">
      <c r="A13" s="12" t="str">
        <f>name!B12</f>
        <v>Wholesale and retail trade</v>
      </c>
      <c r="B13" s="13">
        <v>212.9010000000618</v>
      </c>
      <c r="C13" s="13">
        <v>200.64199999911983</v>
      </c>
      <c r="D13" s="13">
        <v>201.97900000434541</v>
      </c>
      <c r="E13" s="13">
        <v>202.46000000162195</v>
      </c>
      <c r="F13" s="13">
        <v>203.89500000126878</v>
      </c>
      <c r="G13" s="13"/>
    </row>
    <row r="14" spans="1:8" x14ac:dyDescent="0.2">
      <c r="A14" s="12" t="str">
        <f>name!B13</f>
        <v>Transport and storage</v>
      </c>
      <c r="B14" s="13">
        <v>49.102000000026393</v>
      </c>
      <c r="C14" s="13">
        <v>44.793999999704823</v>
      </c>
      <c r="D14" s="13">
        <v>40.442000000595684</v>
      </c>
      <c r="E14" s="13">
        <v>39.508999999785857</v>
      </c>
      <c r="F14" s="13">
        <v>40.036999999636876</v>
      </c>
      <c r="G14" s="13"/>
    </row>
    <row r="15" spans="1:8" x14ac:dyDescent="0.2">
      <c r="A15" s="12" t="str">
        <f>name!B14</f>
        <v>Accommodation and food</v>
      </c>
      <c r="B15" s="13">
        <v>96.09999999942832</v>
      </c>
      <c r="C15" s="13">
        <v>99.764999998870479</v>
      </c>
      <c r="D15" s="13">
        <v>138.07300000208031</v>
      </c>
      <c r="E15" s="13">
        <v>139.20400000087989</v>
      </c>
      <c r="F15" s="13">
        <v>143.93700000091351</v>
      </c>
      <c r="G15" s="13"/>
    </row>
    <row r="16" spans="1:8" x14ac:dyDescent="0.2">
      <c r="A16" s="12" t="str">
        <f>name!B15</f>
        <v>Media</v>
      </c>
      <c r="B16" s="13">
        <v>11.754999999961093</v>
      </c>
      <c r="C16" s="13">
        <v>6.8449999999778317</v>
      </c>
      <c r="D16" s="13">
        <v>8.7239999999658</v>
      </c>
      <c r="E16" s="13">
        <v>8.6489999999559277</v>
      </c>
      <c r="F16" s="13">
        <v>8.8549999999627378</v>
      </c>
      <c r="G16" s="13"/>
    </row>
    <row r="17" spans="1:7" x14ac:dyDescent="0.2">
      <c r="A17" s="12" t="str">
        <f>name!B16</f>
        <v>Information technology</v>
      </c>
      <c r="B17" s="13">
        <v>21.024999999846447</v>
      </c>
      <c r="C17" s="13">
        <v>20.421000000217287</v>
      </c>
      <c r="D17" s="13">
        <v>28.974999999652741</v>
      </c>
      <c r="E17" s="13">
        <v>29.542000000157682</v>
      </c>
      <c r="F17" s="13">
        <v>30.173000000246173</v>
      </c>
      <c r="G17" s="13"/>
    </row>
    <row r="18" spans="1:7" x14ac:dyDescent="0.2">
      <c r="A18" s="12" t="str">
        <f>name!B17</f>
        <v>Finance and insurance</v>
      </c>
      <c r="B18" s="13">
        <v>37.085999999674023</v>
      </c>
      <c r="C18" s="13">
        <v>31.358000000035776</v>
      </c>
      <c r="D18" s="13">
        <v>32.219999999786531</v>
      </c>
      <c r="E18" s="13">
        <v>34.034999999877684</v>
      </c>
      <c r="F18" s="13">
        <v>35.385999999912187</v>
      </c>
      <c r="G18" s="13"/>
    </row>
    <row r="19" spans="1:7" x14ac:dyDescent="0.2">
      <c r="A19" s="12" t="str">
        <f>name!B18</f>
        <v>Real estate</v>
      </c>
      <c r="B19" s="13">
        <v>13.451999999970582</v>
      </c>
      <c r="C19" s="13">
        <v>17.004999999951604</v>
      </c>
      <c r="D19" s="13">
        <v>22.313000000007275</v>
      </c>
      <c r="E19" s="13">
        <v>23.22400000005284</v>
      </c>
      <c r="F19" s="13">
        <v>24.245000000057065</v>
      </c>
      <c r="G19" s="13"/>
    </row>
    <row r="20" spans="1:7" x14ac:dyDescent="0.2">
      <c r="A20" s="12" t="str">
        <f>name!B19</f>
        <v>Professional services</v>
      </c>
      <c r="B20" s="13">
        <v>69.732999999341118</v>
      </c>
      <c r="C20" s="13">
        <v>56.251000000647601</v>
      </c>
      <c r="D20" s="13">
        <v>71.550999998979776</v>
      </c>
      <c r="E20" s="13">
        <v>75.140999999684212</v>
      </c>
      <c r="F20" s="13">
        <v>76.769999999921225</v>
      </c>
      <c r="G20" s="13"/>
    </row>
    <row r="21" spans="1:7" s="286" customFormat="1" x14ac:dyDescent="0.2">
      <c r="A21" s="12" t="str">
        <f>name!B20</f>
        <v>Support services</v>
      </c>
      <c r="B21" s="13">
        <v>80.051999999719968</v>
      </c>
      <c r="C21" s="13">
        <v>88.461999999298598</v>
      </c>
      <c r="D21" s="13">
        <v>86.802000000201048</v>
      </c>
      <c r="E21" s="13">
        <v>90.184999999776252</v>
      </c>
      <c r="F21" s="13">
        <v>92.315999999748016</v>
      </c>
      <c r="G21" s="13"/>
    </row>
    <row r="22" spans="1:7" s="286" customFormat="1" x14ac:dyDescent="0.2">
      <c r="A22" s="12" t="str">
        <f>name!B21</f>
        <v>Public admin. and defence</v>
      </c>
      <c r="B22" s="13">
        <v>95.69900000025271</v>
      </c>
      <c r="C22" s="13">
        <v>84.479000000545554</v>
      </c>
      <c r="D22" s="13">
        <v>83.569999999351111</v>
      </c>
      <c r="E22" s="13">
        <v>82.748000000022728</v>
      </c>
      <c r="F22" s="13">
        <v>82.666000000152565</v>
      </c>
      <c r="G22" s="13"/>
    </row>
    <row r="23" spans="1:7" s="286" customFormat="1" x14ac:dyDescent="0.2">
      <c r="A23" s="12" t="str">
        <f>name!B22</f>
        <v>Education</v>
      </c>
      <c r="B23" s="13">
        <v>121.45400000386623</v>
      </c>
      <c r="C23" s="13">
        <v>140.01000000615451</v>
      </c>
      <c r="D23" s="13">
        <v>139.44299999864344</v>
      </c>
      <c r="E23" s="13">
        <v>135.1790000018849</v>
      </c>
      <c r="F23" s="13">
        <v>136.8230000014685</v>
      </c>
      <c r="G23" s="13"/>
    </row>
    <row r="24" spans="1:7" s="286" customFormat="1" x14ac:dyDescent="0.2">
      <c r="A24" s="12" t="str">
        <f>name!B23</f>
        <v>Health and social work</v>
      </c>
      <c r="B24" s="13">
        <v>187.65199999911385</v>
      </c>
      <c r="C24" s="13">
        <v>202.82100000029169</v>
      </c>
      <c r="D24" s="13">
        <v>254.61999999600462</v>
      </c>
      <c r="E24" s="13">
        <v>267.01899999903384</v>
      </c>
      <c r="F24" s="13">
        <v>278.33999999963254</v>
      </c>
      <c r="G24" s="13"/>
    </row>
    <row r="25" spans="1:7" s="286" customFormat="1" x14ac:dyDescent="0.2">
      <c r="A25" s="12" t="str">
        <f>name!B24</f>
        <v>Arts and entertainment</v>
      </c>
      <c r="B25" s="13">
        <v>37.150999999954934</v>
      </c>
      <c r="C25" s="13">
        <v>40.745000000021477</v>
      </c>
      <c r="D25" s="13">
        <v>41.617999999771428</v>
      </c>
      <c r="E25" s="13">
        <v>44.214999999691379</v>
      </c>
      <c r="F25" s="13">
        <v>45.592999999764032</v>
      </c>
      <c r="G25" s="13"/>
    </row>
    <row r="26" spans="1:7" s="286" customFormat="1" x14ac:dyDescent="0.2">
      <c r="A26" s="12" t="str">
        <f>name!B25</f>
        <v>Other services</v>
      </c>
      <c r="B26" s="13">
        <v>36.887999999980025</v>
      </c>
      <c r="C26" s="13">
        <v>37.932000000093566</v>
      </c>
      <c r="D26" s="13">
        <v>43.949000000151678</v>
      </c>
      <c r="E26" s="13">
        <v>45.060000000024743</v>
      </c>
      <c r="F26" s="13">
        <v>44.98400000001466</v>
      </c>
      <c r="G26" s="13"/>
    </row>
    <row r="27" spans="1:7" s="286" customFormat="1" x14ac:dyDescent="0.2">
      <c r="A27" s="18"/>
      <c r="B27" s="13"/>
      <c r="C27" s="13"/>
      <c r="D27" s="13"/>
      <c r="E27" s="13"/>
      <c r="F27" s="13"/>
      <c r="G27" s="13"/>
    </row>
    <row r="28" spans="1:7" x14ac:dyDescent="0.2">
      <c r="A28" s="12" t="str">
        <f>name!B3</f>
        <v>All industries</v>
      </c>
      <c r="B28" s="13">
        <f>SUM(B5:B26)</f>
        <v>1408.9670000019441</v>
      </c>
      <c r="C28" s="13">
        <f t="shared" ref="C28:F28" si="0">SUM(C5:C26)</f>
        <v>1357.8780000009851</v>
      </c>
      <c r="D28" s="13">
        <f t="shared" si="0"/>
        <v>1529.7600000008431</v>
      </c>
      <c r="E28" s="13">
        <f t="shared" si="0"/>
        <v>1546.2870000021674</v>
      </c>
      <c r="F28" s="13">
        <f t="shared" si="0"/>
        <v>1569.1730000018861</v>
      </c>
      <c r="G28" s="13"/>
    </row>
    <row r="29" spans="1:7" x14ac:dyDescent="0.2">
      <c r="A29" s="18"/>
      <c r="B29" s="13"/>
      <c r="C29" s="13"/>
      <c r="D29" s="13"/>
      <c r="E29" s="13"/>
      <c r="F29" s="13"/>
      <c r="G29" s="13"/>
    </row>
    <row r="31" spans="1:7" x14ac:dyDescent="0.2">
      <c r="A31" s="78" t="s">
        <v>511</v>
      </c>
      <c r="B31" s="20">
        <f>B$3</f>
        <v>2007</v>
      </c>
      <c r="C31" s="20">
        <f>C$3</f>
        <v>2012</v>
      </c>
      <c r="D31" s="20">
        <f>D$3</f>
        <v>2017</v>
      </c>
      <c r="E31" s="20">
        <f>E$3</f>
        <v>2022</v>
      </c>
      <c r="F31" s="20">
        <f>F$3</f>
        <v>2027</v>
      </c>
      <c r="G31" s="13"/>
    </row>
    <row r="32" spans="1:7" x14ac:dyDescent="0.2">
      <c r="A32" s="18" t="str">
        <f>$A$5</f>
        <v>Agriculture</v>
      </c>
      <c r="B32" s="22">
        <f>B5/B$28*100</f>
        <v>2.6344123034785087</v>
      </c>
      <c r="C32" s="22">
        <f t="shared" ref="C32:E32" si="1">C5/C$28*100</f>
        <v>2.5994235122572635</v>
      </c>
      <c r="D32" s="22">
        <f t="shared" si="1"/>
        <v>3.9104826901278651</v>
      </c>
      <c r="E32" s="22">
        <f t="shared" si="1"/>
        <v>3.8600854822066961</v>
      </c>
      <c r="F32" s="22">
        <f>F5/F$28*100</f>
        <v>3.8240525423426006</v>
      </c>
    </row>
    <row r="33" spans="1:6" x14ac:dyDescent="0.2">
      <c r="A33" s="18" t="str">
        <f>$A$6</f>
        <v>Mining and quarrying</v>
      </c>
      <c r="B33" s="22">
        <f t="shared" ref="B33:F53" si="2">B6/B$28*100</f>
        <v>0.11554564443269355</v>
      </c>
      <c r="C33" s="22">
        <f t="shared" si="2"/>
        <v>0.22152211023270754</v>
      </c>
      <c r="D33" s="22">
        <f t="shared" si="2"/>
        <v>0.17806714778740154</v>
      </c>
      <c r="E33" s="22">
        <f t="shared" si="2"/>
        <v>0.16549321050917251</v>
      </c>
      <c r="F33" s="22">
        <f t="shared" si="2"/>
        <v>0.14122088514055597</v>
      </c>
    </row>
    <row r="34" spans="1:6" x14ac:dyDescent="0.2">
      <c r="A34" s="18" t="str">
        <f>$A$7</f>
        <v>Food drink and tobacco</v>
      </c>
      <c r="B34" s="22">
        <f t="shared" si="2"/>
        <v>1.6939360538488917</v>
      </c>
      <c r="C34" s="22">
        <f t="shared" si="2"/>
        <v>1.6549351266868</v>
      </c>
      <c r="D34" s="22">
        <f t="shared" si="2"/>
        <v>1.3193572848089676</v>
      </c>
      <c r="E34" s="22">
        <f t="shared" si="2"/>
        <v>1.2314660861679776</v>
      </c>
      <c r="F34" s="22">
        <f t="shared" si="2"/>
        <v>1.1524541908259542</v>
      </c>
    </row>
    <row r="35" spans="1:6" x14ac:dyDescent="0.2">
      <c r="A35" s="18" t="str">
        <f>$A$8</f>
        <v>Engineering</v>
      </c>
      <c r="B35" s="22">
        <f t="shared" si="2"/>
        <v>1.762142051571771</v>
      </c>
      <c r="C35" s="22">
        <f t="shared" si="2"/>
        <v>1.2875236213985608</v>
      </c>
      <c r="D35" s="22">
        <f t="shared" si="2"/>
        <v>1.0996496182427118</v>
      </c>
      <c r="E35" s="22">
        <f t="shared" si="2"/>
        <v>1.1063276092931915</v>
      </c>
      <c r="F35" s="22">
        <f t="shared" si="2"/>
        <v>1.0202189306030571</v>
      </c>
    </row>
    <row r="36" spans="1:6" x14ac:dyDescent="0.2">
      <c r="A36" s="18" t="str">
        <f>$A$9</f>
        <v>Rest of manufacturing</v>
      </c>
      <c r="B36" s="22">
        <f t="shared" si="2"/>
        <v>8.7628737933217984</v>
      </c>
      <c r="C36" s="22">
        <f t="shared" si="2"/>
        <v>7.5358758296751063</v>
      </c>
      <c r="D36" s="22">
        <f t="shared" si="2"/>
        <v>7.17844629223959</v>
      </c>
      <c r="E36" s="22">
        <f t="shared" si="2"/>
        <v>6.7621340668964303</v>
      </c>
      <c r="F36" s="22">
        <f t="shared" si="2"/>
        <v>6.3864213824043059</v>
      </c>
    </row>
    <row r="37" spans="1:6" x14ac:dyDescent="0.2">
      <c r="A37" s="18" t="str">
        <f>$A$10</f>
        <v>Electricity and gas</v>
      </c>
      <c r="B37" s="22">
        <f t="shared" si="2"/>
        <v>0.32456402456316119</v>
      </c>
      <c r="C37" s="22">
        <f t="shared" si="2"/>
        <v>0.56617752110108455</v>
      </c>
      <c r="D37" s="22">
        <f t="shared" si="2"/>
        <v>0.50445821566643378</v>
      </c>
      <c r="E37" s="22">
        <f t="shared" si="2"/>
        <v>0.48968917154447361</v>
      </c>
      <c r="F37" s="22">
        <f t="shared" si="2"/>
        <v>0.48063534103683592</v>
      </c>
    </row>
    <row r="38" spans="1:6" x14ac:dyDescent="0.2">
      <c r="A38" s="18" t="str">
        <f>$A$11</f>
        <v>Water and sewerage</v>
      </c>
      <c r="B38" s="22">
        <f t="shared" si="2"/>
        <v>0.63919169150090571</v>
      </c>
      <c r="C38" s="22">
        <f t="shared" si="2"/>
        <v>0.91186395241911322</v>
      </c>
      <c r="D38" s="22">
        <f t="shared" si="2"/>
        <v>0.73913555066615899</v>
      </c>
      <c r="E38" s="22">
        <f t="shared" si="2"/>
        <v>0.78879276614070104</v>
      </c>
      <c r="F38" s="22">
        <f t="shared" si="2"/>
        <v>0.82705985890361677</v>
      </c>
    </row>
    <row r="39" spans="1:6" x14ac:dyDescent="0.2">
      <c r="A39" s="18" t="str">
        <f>$A$12</f>
        <v>Construction</v>
      </c>
      <c r="B39" s="22">
        <f t="shared" si="2"/>
        <v>8.1216238564297107</v>
      </c>
      <c r="C39" s="22">
        <f t="shared" si="2"/>
        <v>6.3105816574451827</v>
      </c>
      <c r="D39" s="22">
        <f t="shared" si="2"/>
        <v>7.000705993129082</v>
      </c>
      <c r="E39" s="22">
        <f t="shared" si="2"/>
        <v>6.9450237892783981</v>
      </c>
      <c r="F39" s="22">
        <f t="shared" si="2"/>
        <v>6.8892340105366445</v>
      </c>
    </row>
    <row r="40" spans="1:6" x14ac:dyDescent="0.2">
      <c r="A40" s="18" t="str">
        <f>$A$13</f>
        <v>Wholesale and retail trade</v>
      </c>
      <c r="B40" s="22">
        <f t="shared" si="2"/>
        <v>15.110431968936677</v>
      </c>
      <c r="C40" s="22">
        <f t="shared" si="2"/>
        <v>14.77614336479229</v>
      </c>
      <c r="D40" s="22">
        <f t="shared" si="2"/>
        <v>13.20331293825398</v>
      </c>
      <c r="E40" s="22">
        <f t="shared" si="2"/>
        <v>13.0933002735804</v>
      </c>
      <c r="F40" s="22">
        <f t="shared" si="2"/>
        <v>12.993787173308725</v>
      </c>
    </row>
    <row r="41" spans="1:6" x14ac:dyDescent="0.2">
      <c r="A41" s="18" t="str">
        <f>$A$14</f>
        <v>Transport and storage</v>
      </c>
      <c r="B41" s="22">
        <f t="shared" si="2"/>
        <v>3.4849645165542302</v>
      </c>
      <c r="C41" s="22">
        <f t="shared" si="2"/>
        <v>3.2988236056311635</v>
      </c>
      <c r="D41" s="22">
        <f t="shared" si="2"/>
        <v>2.6436826692143471</v>
      </c>
      <c r="E41" s="22">
        <f t="shared" si="2"/>
        <v>2.5550884150051365</v>
      </c>
      <c r="F41" s="22">
        <f t="shared" si="2"/>
        <v>2.551471380121169</v>
      </c>
    </row>
    <row r="42" spans="1:6" x14ac:dyDescent="0.2">
      <c r="A42" s="18" t="str">
        <f>$A$15</f>
        <v>Accommodation and food</v>
      </c>
      <c r="B42" s="22">
        <f t="shared" si="2"/>
        <v>6.8205997726913203</v>
      </c>
      <c r="C42" s="22">
        <f t="shared" si="2"/>
        <v>7.3471254412250664</v>
      </c>
      <c r="D42" s="22">
        <f t="shared" si="2"/>
        <v>9.0257948960624024</v>
      </c>
      <c r="E42" s="22">
        <f t="shared" si="2"/>
        <v>9.0024684939267274</v>
      </c>
      <c r="F42" s="22">
        <f t="shared" si="2"/>
        <v>9.1727935671044882</v>
      </c>
    </row>
    <row r="43" spans="1:6" x14ac:dyDescent="0.2">
      <c r="A43" s="18" t="str">
        <f>$A$16</f>
        <v>Media</v>
      </c>
      <c r="B43" s="22">
        <f t="shared" si="2"/>
        <v>0.8342991709489912</v>
      </c>
      <c r="C43" s="22">
        <f t="shared" si="2"/>
        <v>0.50409536055322091</v>
      </c>
      <c r="D43" s="22">
        <f t="shared" si="2"/>
        <v>0.57028553498333023</v>
      </c>
      <c r="E43" s="22">
        <f t="shared" si="2"/>
        <v>0.55933988968049297</v>
      </c>
      <c r="F43" s="22">
        <f t="shared" si="2"/>
        <v>0.56430999003628624</v>
      </c>
    </row>
    <row r="44" spans="1:6" x14ac:dyDescent="0.2">
      <c r="A44" s="18" t="str">
        <f>$A$17</f>
        <v>Information technology</v>
      </c>
      <c r="B44" s="22">
        <f t="shared" si="2"/>
        <v>1.4922279939712879</v>
      </c>
      <c r="C44" s="22">
        <f t="shared" si="2"/>
        <v>1.5038906293645284</v>
      </c>
      <c r="D44" s="22">
        <f t="shared" si="2"/>
        <v>1.8940879614865582</v>
      </c>
      <c r="E44" s="22">
        <f t="shared" si="2"/>
        <v>1.9105120847628074</v>
      </c>
      <c r="F44" s="22">
        <f t="shared" si="2"/>
        <v>1.9228600033399699</v>
      </c>
    </row>
    <row r="45" spans="1:6" x14ac:dyDescent="0.2">
      <c r="A45" s="18" t="str">
        <f>$A$18</f>
        <v>Finance and insurance</v>
      </c>
      <c r="B45" s="22">
        <f t="shared" si="2"/>
        <v>2.6321411359970002</v>
      </c>
      <c r="C45" s="22">
        <f t="shared" si="2"/>
        <v>2.3093385414605017</v>
      </c>
      <c r="D45" s="22">
        <f t="shared" si="2"/>
        <v>2.1062127392381012</v>
      </c>
      <c r="E45" s="22">
        <f t="shared" si="2"/>
        <v>2.2010791010873132</v>
      </c>
      <c r="F45" s="22">
        <f t="shared" si="2"/>
        <v>2.2550732137163751</v>
      </c>
    </row>
    <row r="46" spans="1:6" x14ac:dyDescent="0.2">
      <c r="A46" s="18" t="str">
        <f>$A$19</f>
        <v>Real estate</v>
      </c>
      <c r="B46" s="22">
        <f t="shared" si="2"/>
        <v>0.95474202021424359</v>
      </c>
      <c r="C46" s="22">
        <f t="shared" si="2"/>
        <v>1.2523216371381867</v>
      </c>
      <c r="D46" s="22">
        <f t="shared" si="2"/>
        <v>1.4585948122578036</v>
      </c>
      <c r="E46" s="22">
        <f t="shared" si="2"/>
        <v>1.5019204067563323</v>
      </c>
      <c r="F46" s="22">
        <f t="shared" si="2"/>
        <v>1.5450813900078528</v>
      </c>
    </row>
    <row r="47" spans="1:6" s="286" customFormat="1" x14ac:dyDescent="0.2">
      <c r="A47" s="12" t="str">
        <f>$A$20</f>
        <v>Professional services</v>
      </c>
      <c r="B47" s="22">
        <f t="shared" si="2"/>
        <v>4.9492287611594099</v>
      </c>
      <c r="C47" s="22">
        <f t="shared" si="2"/>
        <v>4.1425665634620188</v>
      </c>
      <c r="D47" s="22">
        <f t="shared" si="2"/>
        <v>4.6772696369979823</v>
      </c>
      <c r="E47" s="22">
        <f t="shared" si="2"/>
        <v>4.8594471789246692</v>
      </c>
      <c r="F47" s="22">
        <f t="shared" si="2"/>
        <v>4.8923859892968427</v>
      </c>
    </row>
    <row r="48" spans="1:6" x14ac:dyDescent="0.2">
      <c r="A48" s="12" t="str">
        <f>$A$21</f>
        <v>Support services</v>
      </c>
      <c r="B48" s="22">
        <f t="shared" si="2"/>
        <v>5.6816092924539401</v>
      </c>
      <c r="C48" s="22">
        <f t="shared" si="2"/>
        <v>6.5147237085536709</v>
      </c>
      <c r="D48" s="22">
        <f t="shared" si="2"/>
        <v>5.6742234076033631</v>
      </c>
      <c r="E48" s="22">
        <f t="shared" si="2"/>
        <v>5.8323584172698757</v>
      </c>
      <c r="F48" s="22">
        <f t="shared" si="2"/>
        <v>5.8830989317071518</v>
      </c>
    </row>
    <row r="49" spans="1:6" s="286" customFormat="1" x14ac:dyDescent="0.2">
      <c r="A49" s="12" t="str">
        <f>$A$22</f>
        <v>Public admin. and defence</v>
      </c>
      <c r="B49" s="22">
        <f t="shared" si="2"/>
        <v>6.7921392055399918</v>
      </c>
      <c r="C49" s="22">
        <f t="shared" si="2"/>
        <v>6.2213983878142409</v>
      </c>
      <c r="D49" s="22">
        <f t="shared" si="2"/>
        <v>5.4629484363106009</v>
      </c>
      <c r="E49" s="22">
        <f t="shared" si="2"/>
        <v>5.3513998371522717</v>
      </c>
      <c r="F49" s="22">
        <f t="shared" si="2"/>
        <v>5.268125311871489</v>
      </c>
    </row>
    <row r="50" spans="1:6" s="286" customFormat="1" x14ac:dyDescent="0.2">
      <c r="A50" s="12" t="str">
        <f>$A$23</f>
        <v>Education</v>
      </c>
      <c r="B50" s="22">
        <f t="shared" si="2"/>
        <v>8.6200741396852187</v>
      </c>
      <c r="C50" s="22">
        <f t="shared" si="2"/>
        <v>10.310941042277211</v>
      </c>
      <c r="D50" s="22">
        <f t="shared" si="2"/>
        <v>9.1153514275812277</v>
      </c>
      <c r="E50" s="22">
        <f t="shared" si="2"/>
        <v>8.7421675278713078</v>
      </c>
      <c r="F50" s="22">
        <f t="shared" si="2"/>
        <v>8.7194337400212749</v>
      </c>
    </row>
    <row r="51" spans="1:6" s="286" customFormat="1" x14ac:dyDescent="0.2">
      <c r="A51" s="12" t="str">
        <f>$A$24</f>
        <v>Health and social work</v>
      </c>
      <c r="B51" s="22">
        <f t="shared" si="2"/>
        <v>13.318409870412504</v>
      </c>
      <c r="C51" s="22">
        <f t="shared" si="2"/>
        <v>14.936614335024542</v>
      </c>
      <c r="D51" s="22">
        <f t="shared" si="2"/>
        <v>16.644440957788433</v>
      </c>
      <c r="E51" s="22">
        <f t="shared" si="2"/>
        <v>17.26839842788949</v>
      </c>
      <c r="F51" s="22">
        <f t="shared" si="2"/>
        <v>17.738005943213274</v>
      </c>
    </row>
    <row r="52" spans="1:6" s="286" customFormat="1" x14ac:dyDescent="0.2">
      <c r="A52" s="12" t="str">
        <f>$A$25</f>
        <v>Arts and entertainment</v>
      </c>
      <c r="B52" s="22">
        <f t="shared" si="2"/>
        <v>2.6367544449162876</v>
      </c>
      <c r="C52" s="22">
        <f t="shared" si="2"/>
        <v>3.0006377597981495</v>
      </c>
      <c r="D52" s="22">
        <f t="shared" si="2"/>
        <v>2.7205574730512296</v>
      </c>
      <c r="E52" s="22">
        <f t="shared" si="2"/>
        <v>2.8594303644555898</v>
      </c>
      <c r="F52" s="22">
        <f t="shared" si="2"/>
        <v>2.9055432383624518</v>
      </c>
    </row>
    <row r="53" spans="1:6" s="286" customFormat="1" x14ac:dyDescent="0.2">
      <c r="A53" s="12" t="str">
        <f>$A$26</f>
        <v>Other services</v>
      </c>
      <c r="B53" s="22">
        <f t="shared" si="2"/>
        <v>2.6180882873714664</v>
      </c>
      <c r="C53" s="22">
        <f t="shared" si="2"/>
        <v>2.7934762916893892</v>
      </c>
      <c r="D53" s="22">
        <f t="shared" si="2"/>
        <v>2.8729343165024224</v>
      </c>
      <c r="E53" s="22">
        <f t="shared" si="2"/>
        <v>2.9140773996005649</v>
      </c>
      <c r="F53" s="22">
        <f t="shared" si="2"/>
        <v>2.8667329860990844</v>
      </c>
    </row>
    <row r="54" spans="1:6" x14ac:dyDescent="0.2">
      <c r="B54" s="22"/>
      <c r="C54" s="22"/>
      <c r="D54" s="22"/>
      <c r="E54" s="22"/>
      <c r="F54" s="22"/>
    </row>
    <row r="55" spans="1:6" x14ac:dyDescent="0.2">
      <c r="A55" s="28" t="str">
        <f>$A$28</f>
        <v>All industries</v>
      </c>
      <c r="B55" s="30">
        <f>B28/B$28*100</f>
        <v>100</v>
      </c>
      <c r="C55" s="30">
        <f>C28/C$28*100</f>
        <v>100</v>
      </c>
      <c r="D55" s="30">
        <f>D28/D$28*100</f>
        <v>100</v>
      </c>
      <c r="E55" s="30">
        <f>E28/E$28*100</f>
        <v>100</v>
      </c>
      <c r="F55" s="30">
        <f>F28/F$28*100</f>
        <v>100</v>
      </c>
    </row>
    <row r="56" spans="1:6" x14ac:dyDescent="0.2">
      <c r="A56" s="44"/>
      <c r="B56" s="45"/>
      <c r="C56" s="45"/>
      <c r="D56" s="45"/>
      <c r="E56" s="45"/>
      <c r="F56" s="45"/>
    </row>
    <row r="57" spans="1:6" x14ac:dyDescent="0.2">
      <c r="A57" s="44"/>
      <c r="B57" s="45"/>
      <c r="C57" s="45"/>
      <c r="D57" s="45"/>
      <c r="E57" s="45"/>
      <c r="F57" s="45"/>
    </row>
    <row r="58" spans="1:6" x14ac:dyDescent="0.2">
      <c r="A58" s="44"/>
      <c r="B58" s="45"/>
      <c r="C58" s="45"/>
      <c r="D58" s="45"/>
      <c r="E58" s="45"/>
      <c r="F58" s="45"/>
    </row>
    <row r="59" spans="1:6" ht="15.75" x14ac:dyDescent="0.25">
      <c r="A59" s="23" t="str">
        <f>CONCATENATE(A1," (Continued)")</f>
        <v>Industry Table 2  Employment by Industry Group (SIC 2007), 2007-2027 (Continued)</v>
      </c>
      <c r="B59" s="22"/>
      <c r="C59" s="22"/>
      <c r="D59" s="22"/>
      <c r="E59" s="22"/>
      <c r="F59" s="22"/>
    </row>
    <row r="61" spans="1:6" x14ac:dyDescent="0.2">
      <c r="A61" s="26"/>
      <c r="B61" s="29" t="str">
        <f>CONCATENATE(B$3,"-",C$3)</f>
        <v>2007-2012</v>
      </c>
      <c r="C61" s="29" t="str">
        <f>CONCATENATE(C$3,"-",D$3)</f>
        <v>2012-2017</v>
      </c>
      <c r="D61" s="29" t="str">
        <f>CONCATENATE(D$3,"-",E$3)</f>
        <v>2017-2022</v>
      </c>
      <c r="E61" s="29" t="str">
        <f>CONCATENATE(E$3,"-",F$3)</f>
        <v>2022-2027</v>
      </c>
      <c r="F61" s="29" t="str">
        <f>CONCATENATE(C$3,"-",F$3)</f>
        <v>2012-2027</v>
      </c>
    </row>
    <row r="62" spans="1:6" x14ac:dyDescent="0.2">
      <c r="A62" s="32" t="s">
        <v>14</v>
      </c>
    </row>
    <row r="63" spans="1:6" x14ac:dyDescent="0.2">
      <c r="A63" s="18" t="str">
        <f>$A$5</f>
        <v>Agriculture</v>
      </c>
      <c r="B63" s="22">
        <f>IF(AND(C$3-B$3 &lt;&gt; 0,B5&lt;&gt;0,C5&lt;&gt;0),(EXP(LN(C5/B5)/(C$3-B$3))-1)*100,0)</f>
        <v>-1.0010369879377312</v>
      </c>
      <c r="C63" s="22">
        <f>IF(AND(D$3-C$3 &lt;&gt; 0,C5&lt;&gt;0,D5&lt;&gt;0),(EXP(LN(D5/C5)/(D$3-C$3))-1)*100,0)</f>
        <v>11.127917206712468</v>
      </c>
      <c r="D63" s="22">
        <f t="shared" ref="B63:E78" si="3">IF(AND(E$3-D$3 &lt;&gt; 0,D5&lt;&gt;0,E5&lt;&gt;0),(EXP(LN(E5/D5)/(E$3-D$3))-1)*100,0)</f>
        <v>-4.4505587590137896E-2</v>
      </c>
      <c r="E63" s="22">
        <f t="shared" si="3"/>
        <v>0.10632772895311504</v>
      </c>
      <c r="F63" s="22">
        <f>IF(AND(F$3-C$3 &lt;&gt; 0,C5&lt;&gt;0,F5&lt;&gt;0),(EXP(LN(F5/C5)/(F$3-C$3))-1)*100,0)</f>
        <v>3.6009629677342447</v>
      </c>
    </row>
    <row r="64" spans="1:6" x14ac:dyDescent="0.2">
      <c r="A64" s="18" t="str">
        <f>$A$6</f>
        <v>Mining and quarrying</v>
      </c>
      <c r="B64" s="22">
        <f t="shared" si="3"/>
        <v>13.064088599624757</v>
      </c>
      <c r="C64" s="22">
        <f t="shared" ref="C64:C78" si="4">IF(AND(D$3-C$3 &lt;&gt; 0,C6&lt;&gt;0,D6&lt;&gt;0),(EXP(LN(D6/C6)/(D$3-C$3))-1)*100,0)</f>
        <v>-1.9639387986142287</v>
      </c>
      <c r="D64" s="22">
        <f t="shared" si="3"/>
        <v>-1.2419203410068302</v>
      </c>
      <c r="E64" s="22">
        <f t="shared" si="3"/>
        <v>-2.8372285496439997</v>
      </c>
      <c r="F64" s="22">
        <f t="shared" ref="F64:F78" si="5">IF(AND(F$3-C$3 &lt;&gt; 0,C6&lt;&gt;0,F6&lt;&gt;0),(EXP(LN(F6/C6)/(F$3-C$3))-1)*100,0)</f>
        <v>-2.0165346509173121</v>
      </c>
    </row>
    <row r="65" spans="1:6" x14ac:dyDescent="0.2">
      <c r="A65" s="18" t="str">
        <f>$A$7</f>
        <v>Food drink and tobacco</v>
      </c>
      <c r="B65" s="22">
        <f t="shared" si="3"/>
        <v>-1.1973077763811069</v>
      </c>
      <c r="C65" s="22">
        <f t="shared" si="4"/>
        <v>-2.1256707443541467</v>
      </c>
      <c r="D65" s="22">
        <f t="shared" si="3"/>
        <v>-1.1571252112065</v>
      </c>
      <c r="E65" s="22">
        <f t="shared" si="3"/>
        <v>-1.0270790757785364</v>
      </c>
      <c r="F65" s="22">
        <f t="shared" si="5"/>
        <v>-1.4378462914234502</v>
      </c>
    </row>
    <row r="66" spans="1:6" x14ac:dyDescent="0.2">
      <c r="A66" s="18" t="str">
        <f>$A$8</f>
        <v>Engineering</v>
      </c>
      <c r="B66" s="22">
        <f t="shared" si="3"/>
        <v>-6.7744736263753218</v>
      </c>
      <c r="C66" s="22">
        <f t="shared" si="4"/>
        <v>-0.7678652688613008</v>
      </c>
      <c r="D66" s="22">
        <f t="shared" si="3"/>
        <v>0.33656878353853781</v>
      </c>
      <c r="E66" s="22">
        <f t="shared" si="3"/>
        <v>-1.3179711329489807</v>
      </c>
      <c r="F66" s="22">
        <f t="shared" si="5"/>
        <v>-0.58546553908076504</v>
      </c>
    </row>
    <row r="67" spans="1:6" x14ac:dyDescent="0.2">
      <c r="A67" s="18" t="str">
        <f>$A$9</f>
        <v>Rest of manufacturing</v>
      </c>
      <c r="B67" s="22">
        <f t="shared" si="3"/>
        <v>-3.6859996263587824</v>
      </c>
      <c r="C67" s="22">
        <f t="shared" si="4"/>
        <v>1.4219261256291027</v>
      </c>
      <c r="D67" s="22">
        <f t="shared" si="3"/>
        <v>-0.97518834251582032</v>
      </c>
      <c r="E67" s="22">
        <f t="shared" si="3"/>
        <v>-0.84584835082095466</v>
      </c>
      <c r="F67" s="22">
        <f t="shared" si="5"/>
        <v>-0.13907280963247892</v>
      </c>
    </row>
    <row r="68" spans="1:6" x14ac:dyDescent="0.2">
      <c r="A68" s="18" t="str">
        <f>$A$10</f>
        <v>Electricity and gas</v>
      </c>
      <c r="B68" s="22">
        <f t="shared" si="3"/>
        <v>10.948755370837947</v>
      </c>
      <c r="C68" s="22">
        <f t="shared" si="4"/>
        <v>7.5328673956476244E-2</v>
      </c>
      <c r="D68" s="22">
        <f t="shared" si="3"/>
        <v>-0.37865038711570875</v>
      </c>
      <c r="E68" s="22">
        <f t="shared" si="3"/>
        <v>-7.9365179368851013E-2</v>
      </c>
      <c r="F68" s="22">
        <f t="shared" si="5"/>
        <v>-0.12774016155746581</v>
      </c>
    </row>
    <row r="69" spans="1:6" x14ac:dyDescent="0.2">
      <c r="A69" s="18" t="str">
        <f>$A$11</f>
        <v>Water and sewerage</v>
      </c>
      <c r="B69" s="22">
        <f t="shared" si="3"/>
        <v>6.5741239547237207</v>
      </c>
      <c r="C69" s="22">
        <f t="shared" si="4"/>
        <v>-1.8000382784199243</v>
      </c>
      <c r="D69" s="22">
        <f t="shared" si="3"/>
        <v>1.5269001389784709</v>
      </c>
      <c r="E69" s="22">
        <f t="shared" si="3"/>
        <v>1.2490481804486642</v>
      </c>
      <c r="F69" s="22">
        <f t="shared" si="5"/>
        <v>0.31390372311694836</v>
      </c>
    </row>
    <row r="70" spans="1:6" x14ac:dyDescent="0.2">
      <c r="A70" s="18" t="str">
        <f>$A$12</f>
        <v>Construction</v>
      </c>
      <c r="B70" s="22">
        <f t="shared" si="3"/>
        <v>-5.6205830808070401</v>
      </c>
      <c r="C70" s="22">
        <f t="shared" si="4"/>
        <v>4.5603430447149762</v>
      </c>
      <c r="D70" s="22">
        <f t="shared" si="3"/>
        <v>5.5217527182893633E-2</v>
      </c>
      <c r="E70" s="22">
        <f t="shared" si="3"/>
        <v>0.13262104126914309</v>
      </c>
      <c r="F70" s="22">
        <f t="shared" si="5"/>
        <v>1.5611106076567127</v>
      </c>
    </row>
    <row r="71" spans="1:6" x14ac:dyDescent="0.2">
      <c r="A71" s="18" t="str">
        <f>$A$13</f>
        <v>Wholesale and retail trade</v>
      </c>
      <c r="B71" s="22">
        <f t="shared" si="3"/>
        <v>-1.1790944209239207</v>
      </c>
      <c r="C71" s="22">
        <f t="shared" si="4"/>
        <v>0.13291838087809982</v>
      </c>
      <c r="D71" s="22">
        <f t="shared" si="3"/>
        <v>4.7583408437712471E-2</v>
      </c>
      <c r="E71" s="22">
        <f t="shared" si="3"/>
        <v>0.14135619948325573</v>
      </c>
      <c r="F71" s="22">
        <f t="shared" si="5"/>
        <v>0.10727703381678833</v>
      </c>
    </row>
    <row r="72" spans="1:6" x14ac:dyDescent="0.2">
      <c r="A72" s="18" t="str">
        <f>$A$14</f>
        <v>Transport and storage</v>
      </c>
      <c r="B72" s="22">
        <f t="shared" si="3"/>
        <v>-1.8197502003942323</v>
      </c>
      <c r="C72" s="22">
        <f t="shared" si="4"/>
        <v>-2.0233568167991489</v>
      </c>
      <c r="D72" s="22">
        <f t="shared" si="3"/>
        <v>-0.46571924662398567</v>
      </c>
      <c r="E72" s="22">
        <f t="shared" si="3"/>
        <v>0.26586344182104593</v>
      </c>
      <c r="F72" s="22">
        <f t="shared" si="5"/>
        <v>-0.74567379013692481</v>
      </c>
    </row>
    <row r="73" spans="1:6" x14ac:dyDescent="0.2">
      <c r="A73" s="18" t="str">
        <f>$A$15</f>
        <v>Accommodation and food</v>
      </c>
      <c r="B73" s="22">
        <f t="shared" si="3"/>
        <v>0.75137081844747211</v>
      </c>
      <c r="C73" s="22">
        <f t="shared" si="4"/>
        <v>6.7151577864747347</v>
      </c>
      <c r="D73" s="22">
        <f t="shared" si="3"/>
        <v>0.16329222299107382</v>
      </c>
      <c r="E73" s="22">
        <f t="shared" si="3"/>
        <v>0.67094523451276533</v>
      </c>
      <c r="F73" s="22">
        <f t="shared" si="5"/>
        <v>2.4738254889955735</v>
      </c>
    </row>
    <row r="74" spans="1:6" x14ac:dyDescent="0.2">
      <c r="A74" s="18" t="str">
        <f>$A$16</f>
        <v>Media</v>
      </c>
      <c r="B74" s="22">
        <f t="shared" si="3"/>
        <v>-10.250887266861175</v>
      </c>
      <c r="C74" s="22">
        <f t="shared" si="4"/>
        <v>4.9707840091665068</v>
      </c>
      <c r="D74" s="22">
        <f t="shared" si="3"/>
        <v>-0.17253380932595874</v>
      </c>
      <c r="E74" s="22">
        <f t="shared" si="3"/>
        <v>0.47188114717280349</v>
      </c>
      <c r="F74" s="22">
        <f t="shared" si="5"/>
        <v>1.7312406403844127</v>
      </c>
    </row>
    <row r="75" spans="1:6" x14ac:dyDescent="0.2">
      <c r="A75" s="18" t="str">
        <f>$A$17</f>
        <v>Information technology</v>
      </c>
      <c r="B75" s="22">
        <f t="shared" si="3"/>
        <v>-0.58127249029541472</v>
      </c>
      <c r="C75" s="22">
        <f t="shared" si="4"/>
        <v>7.248021190742171</v>
      </c>
      <c r="D75" s="22">
        <f t="shared" si="3"/>
        <v>0.38834391663684631</v>
      </c>
      <c r="E75" s="22">
        <f t="shared" si="3"/>
        <v>0.42358469739007809</v>
      </c>
      <c r="F75" s="22">
        <f t="shared" si="5"/>
        <v>2.6367202721364835</v>
      </c>
    </row>
    <row r="76" spans="1:6" x14ac:dyDescent="0.2">
      <c r="A76" s="18" t="str">
        <f>$A$18</f>
        <v>Finance and insurance</v>
      </c>
      <c r="B76" s="22">
        <f t="shared" si="3"/>
        <v>-3.2997331910412431</v>
      </c>
      <c r="C76" s="22">
        <f t="shared" si="4"/>
        <v>0.54383262610055993</v>
      </c>
      <c r="D76" s="22">
        <f t="shared" si="3"/>
        <v>1.1020691127936022</v>
      </c>
      <c r="E76" s="22">
        <f t="shared" si="3"/>
        <v>0.78157557600146976</v>
      </c>
      <c r="F76" s="22">
        <f t="shared" si="5"/>
        <v>0.80889968221133923</v>
      </c>
    </row>
    <row r="77" spans="1:6" x14ac:dyDescent="0.2">
      <c r="A77" s="18" t="str">
        <f>$A$19</f>
        <v>Real estate</v>
      </c>
      <c r="B77" s="22">
        <f t="shared" si="3"/>
        <v>4.7991971320826554</v>
      </c>
      <c r="C77" s="22">
        <f t="shared" si="4"/>
        <v>5.5835514068774961</v>
      </c>
      <c r="D77" s="22">
        <f t="shared" si="3"/>
        <v>0.80354641254136716</v>
      </c>
      <c r="E77" s="22">
        <f t="shared" si="3"/>
        <v>0.86419647920310538</v>
      </c>
      <c r="F77" s="22">
        <f t="shared" si="5"/>
        <v>2.3928670155921816</v>
      </c>
    </row>
    <row r="78" spans="1:6" x14ac:dyDescent="0.2">
      <c r="A78" s="18" t="str">
        <f>$A$20</f>
        <v>Professional services</v>
      </c>
      <c r="B78" s="22">
        <f t="shared" si="3"/>
        <v>-4.2059842401076741</v>
      </c>
      <c r="C78" s="22">
        <f t="shared" si="4"/>
        <v>4.9293764554638519</v>
      </c>
      <c r="D78" s="22">
        <f t="shared" si="3"/>
        <v>0.98392636452602211</v>
      </c>
      <c r="E78" s="22">
        <f t="shared" si="3"/>
        <v>0.42987312101852027</v>
      </c>
      <c r="F78" s="22">
        <f t="shared" si="5"/>
        <v>2.0949089606997484</v>
      </c>
    </row>
    <row r="79" spans="1:6" s="286" customFormat="1" x14ac:dyDescent="0.2">
      <c r="A79" s="12" t="str">
        <f>$A$21</f>
        <v>Support services</v>
      </c>
      <c r="B79" s="22">
        <f t="shared" ref="B79:B84" si="6">IF(AND(C$3-B$3 &lt;&gt; 0,B21&lt;&gt;0,C21&lt;&gt;0),(EXP(LN(C21/B21)/(C$3-B$3))-1)*100,0)</f>
        <v>2.0180254265018682</v>
      </c>
      <c r="C79" s="22">
        <f t="shared" ref="C79:C84" si="7">IF(AND(D$3-C$3 &lt;&gt; 0,C21&lt;&gt;0,D21&lt;&gt;0),(EXP(LN(D21/C21)/(D$3-C$3))-1)*100,0)</f>
        <v>-0.37815156708297382</v>
      </c>
      <c r="D79" s="22">
        <f t="shared" ref="D79:D84" si="8">IF(AND(E$3-D$3 &lt;&gt; 0,D21&lt;&gt;0,E21&lt;&gt;0),(EXP(LN(E21/D21)/(E$3-D$3))-1)*100,0)</f>
        <v>0.76760012493757301</v>
      </c>
      <c r="E79" s="22">
        <f t="shared" ref="E79:E84" si="9">IF(AND(F$3-E$3 &lt;&gt; 0,E21&lt;&gt;0,F21&lt;&gt;0),(EXP(LN(F21/E21)/(F$3-E$3))-1)*100,0)</f>
        <v>0.46817971533135161</v>
      </c>
      <c r="F79" s="22">
        <f t="shared" ref="F79:F84" si="10">IF(AND(F$3-C$3 &lt;&gt; 0,C21&lt;&gt;0,F21&lt;&gt;0),(EXP(LN(F21/C21)/(F$3-C$3))-1)*100,0)</f>
        <v>0.28470045749449113</v>
      </c>
    </row>
    <row r="80" spans="1:6" s="286" customFormat="1" x14ac:dyDescent="0.2">
      <c r="A80" s="12" t="str">
        <f>$A$22</f>
        <v>Public admin. and defence</v>
      </c>
      <c r="B80" s="22">
        <f t="shared" si="6"/>
        <v>-2.4632516910511604</v>
      </c>
      <c r="C80" s="22">
        <f t="shared" si="7"/>
        <v>-0.21613366944209789</v>
      </c>
      <c r="D80" s="22">
        <f t="shared" si="8"/>
        <v>-0.19749989627320108</v>
      </c>
      <c r="E80" s="22">
        <f t="shared" si="9"/>
        <v>-1.9827070796607504E-2</v>
      </c>
      <c r="F80" s="22">
        <f t="shared" si="10"/>
        <v>-0.14452605917472106</v>
      </c>
    </row>
    <row r="81" spans="1:6" s="286" customFormat="1" x14ac:dyDescent="0.2">
      <c r="A81" s="12" t="str">
        <f>$A$23</f>
        <v>Education</v>
      </c>
      <c r="B81" s="22">
        <f t="shared" si="6"/>
        <v>2.884380432825151</v>
      </c>
      <c r="C81" s="22">
        <f t="shared" si="7"/>
        <v>-8.1125736730891518E-2</v>
      </c>
      <c r="D81" s="22">
        <f t="shared" si="8"/>
        <v>-0.61919681586657394</v>
      </c>
      <c r="E81" s="22">
        <f t="shared" si="9"/>
        <v>0.24205836149713278</v>
      </c>
      <c r="F81" s="22">
        <f t="shared" si="10"/>
        <v>-0.15338710123080634</v>
      </c>
    </row>
    <row r="82" spans="1:6" s="286" customFormat="1" x14ac:dyDescent="0.2">
      <c r="A82" s="12" t="str">
        <f>$A$24</f>
        <v>Health and social work</v>
      </c>
      <c r="B82" s="22">
        <f t="shared" si="6"/>
        <v>1.5668408803896083</v>
      </c>
      <c r="C82" s="22">
        <f t="shared" si="7"/>
        <v>4.6540208651338011</v>
      </c>
      <c r="D82" s="22">
        <f t="shared" si="8"/>
        <v>0.95548749721299231</v>
      </c>
      <c r="E82" s="22">
        <f t="shared" si="9"/>
        <v>0.83392940133073523</v>
      </c>
      <c r="F82" s="22">
        <f t="shared" si="10"/>
        <v>2.1325511528490049</v>
      </c>
    </row>
    <row r="83" spans="1:6" s="286" customFormat="1" x14ac:dyDescent="0.2">
      <c r="A83" s="12" t="str">
        <f>$A$25</f>
        <v>Arts and entertainment</v>
      </c>
      <c r="B83" s="22">
        <f>IF(AND(C$3-B$3 &lt;&gt; 0,B25&lt;&gt;0,C25&lt;&gt;0),(EXP(LN(C25/B25)/(C$3-B$3))-1)*100,0)</f>
        <v>1.8640086107031495</v>
      </c>
      <c r="C83" s="22">
        <f t="shared" si="7"/>
        <v>0.42489278484321158</v>
      </c>
      <c r="D83" s="22">
        <f t="shared" si="8"/>
        <v>1.217984386660631</v>
      </c>
      <c r="E83" s="22">
        <f t="shared" si="9"/>
        <v>0.61568958311521982</v>
      </c>
      <c r="F83" s="22">
        <f t="shared" si="10"/>
        <v>0.75228933874909032</v>
      </c>
    </row>
    <row r="84" spans="1:6" s="286" customFormat="1" x14ac:dyDescent="0.2">
      <c r="A84" s="12" t="str">
        <f>$A$26</f>
        <v>Other services</v>
      </c>
      <c r="B84" s="22">
        <f t="shared" si="6"/>
        <v>0.55973646578182379</v>
      </c>
      <c r="C84" s="22">
        <f t="shared" si="7"/>
        <v>2.9884806404220976</v>
      </c>
      <c r="D84" s="22">
        <f t="shared" si="8"/>
        <v>0.50054987121901373</v>
      </c>
      <c r="E84" s="22">
        <f t="shared" si="9"/>
        <v>-3.3755581809502555E-2</v>
      </c>
      <c r="F84" s="22">
        <f t="shared" si="10"/>
        <v>1.1432307532022179</v>
      </c>
    </row>
    <row r="85" spans="1:6" x14ac:dyDescent="0.2">
      <c r="B85" s="22"/>
      <c r="C85" s="22"/>
      <c r="D85" s="22"/>
      <c r="E85" s="22"/>
      <c r="F85" s="22"/>
    </row>
    <row r="86" spans="1:6" x14ac:dyDescent="0.2">
      <c r="A86" s="18" t="str">
        <f>$A$28</f>
        <v>All industries</v>
      </c>
      <c r="B86" s="22">
        <f>IF(AND(C$3-B$3 &lt;&gt; 0,B28&lt;&gt;0,C28&lt;&gt;0),(EXP(LN(C28/B28)/(C$3-B$3))-1)*100,0)</f>
        <v>-0.73595101326741075</v>
      </c>
      <c r="C86" s="22">
        <f>IF(AND(D$3-C$3 &lt;&gt; 0,C28&lt;&gt;0,D28&lt;&gt;0),(EXP(LN(D28/C28)/(D$3-C$3))-1)*100,0)</f>
        <v>2.4123919723173071</v>
      </c>
      <c r="D86" s="22">
        <f>IF(AND(E$3-D$3 &lt;&gt; 0,D28&lt;&gt;0,E28&lt;&gt;0),(EXP(LN(E28/D28)/(E$3-D$3))-1)*100,0)</f>
        <v>0.21514536510911508</v>
      </c>
      <c r="E86" s="22">
        <f>IF(AND(F$3-E$3 &lt;&gt; 0,E28&lt;&gt;0,F28&lt;&gt;0),(EXP(LN(F28/E28)/(F$3-E$3))-1)*100,0)</f>
        <v>0.29427525578473723</v>
      </c>
      <c r="F86" s="22">
        <f>IF(AND(F$3-C$3 &lt;&gt; 0,C28&lt;&gt;0,F28&lt;&gt;0),(EXP(LN(F28/C28)/(F$3-C$3))-1)*100,0)</f>
        <v>0.9688333755316858</v>
      </c>
    </row>
    <row r="89" spans="1:6" x14ac:dyDescent="0.2">
      <c r="A89" s="1" t="s">
        <v>15</v>
      </c>
      <c r="B89" s="24" t="str">
        <f>CONCATENATE(B$3,"-",C$3)</f>
        <v>2007-2012</v>
      </c>
      <c r="C89" s="24" t="str">
        <f>CONCATENATE(C$3,"-",D$3)</f>
        <v>2012-2017</v>
      </c>
      <c r="D89" s="24" t="str">
        <f>CONCATENATE(D$3,"-",E$3)</f>
        <v>2017-2022</v>
      </c>
      <c r="E89" s="24" t="str">
        <f>CONCATENATE(E$3,"-",F$3)</f>
        <v>2022-2027</v>
      </c>
      <c r="F89" s="24" t="str">
        <f>CONCATENATE(C$3,"-",F$3)</f>
        <v>2012-2027</v>
      </c>
    </row>
    <row r="90" spans="1:6" x14ac:dyDescent="0.2">
      <c r="A90" s="18" t="str">
        <f>$A$5</f>
        <v>Agriculture</v>
      </c>
      <c r="B90" s="31">
        <f t="shared" ref="B90:E105" si="11">C5-B5</f>
        <v>-1.8210000002089615</v>
      </c>
      <c r="C90" s="31">
        <f>D5-C5</f>
        <v>24.524000000738702</v>
      </c>
      <c r="D90" s="31">
        <f t="shared" si="11"/>
        <v>-0.13300000019988545</v>
      </c>
      <c r="E90" s="31">
        <f t="shared" si="11"/>
        <v>0.31799999999266504</v>
      </c>
      <c r="F90" s="31">
        <f>F5-C5</f>
        <v>24.709000000531482</v>
      </c>
    </row>
    <row r="91" spans="1:6" x14ac:dyDescent="0.2">
      <c r="A91" s="18" t="str">
        <f>$A$6</f>
        <v>Mining and quarrying</v>
      </c>
      <c r="B91" s="31">
        <f t="shared" si="11"/>
        <v>1.3799999999916313</v>
      </c>
      <c r="C91" s="31">
        <f t="shared" ref="C91:C105" si="12">D6-C6</f>
        <v>-0.28399999999381187</v>
      </c>
      <c r="D91" s="31">
        <f t="shared" si="11"/>
        <v>-0.16500000000449999</v>
      </c>
      <c r="E91" s="31">
        <f t="shared" si="11"/>
        <v>-0.34300000000027531</v>
      </c>
      <c r="F91" s="31">
        <f t="shared" ref="F91:F104" si="13">F6-C6</f>
        <v>-0.79199999999858717</v>
      </c>
    </row>
    <row r="92" spans="1:6" x14ac:dyDescent="0.2">
      <c r="A92" s="18" t="str">
        <f>$A$7</f>
        <v>Food drink and tobacco</v>
      </c>
      <c r="B92" s="31">
        <f t="shared" si="11"/>
        <v>-1.3950000002975571</v>
      </c>
      <c r="C92" s="31">
        <f t="shared" si="12"/>
        <v>-2.2889999994637016</v>
      </c>
      <c r="D92" s="31">
        <f t="shared" si="11"/>
        <v>-1.1410000002538609</v>
      </c>
      <c r="E92" s="31">
        <f t="shared" si="11"/>
        <v>-0.95800000001983676</v>
      </c>
      <c r="F92" s="31">
        <f t="shared" si="13"/>
        <v>-4.3879999997373993</v>
      </c>
    </row>
    <row r="93" spans="1:6" x14ac:dyDescent="0.2">
      <c r="A93" s="18" t="str">
        <f>$A$8</f>
        <v>Engineering</v>
      </c>
      <c r="B93" s="31">
        <f t="shared" si="11"/>
        <v>-7.3450000000164621</v>
      </c>
      <c r="C93" s="31">
        <f t="shared" si="12"/>
        <v>-0.66099999974805357</v>
      </c>
      <c r="D93" s="31">
        <f t="shared" si="11"/>
        <v>0.28499999989641012</v>
      </c>
      <c r="E93" s="31">
        <f t="shared" si="11"/>
        <v>-1.0980000000042374</v>
      </c>
      <c r="F93" s="31">
        <f t="shared" si="13"/>
        <v>-1.4739999998558808</v>
      </c>
    </row>
    <row r="94" spans="1:6" x14ac:dyDescent="0.2">
      <c r="A94" s="18" t="str">
        <f>$A$9</f>
        <v>Rest of manufacturing</v>
      </c>
      <c r="B94" s="31">
        <f t="shared" si="11"/>
        <v>-21.138000001172728</v>
      </c>
      <c r="C94" s="31">
        <f t="shared" si="12"/>
        <v>7.4850000016748908</v>
      </c>
      <c r="D94" s="31">
        <f t="shared" si="11"/>
        <v>-5.2510000010875046</v>
      </c>
      <c r="E94" s="31">
        <f t="shared" si="11"/>
        <v>-4.3480000001017913</v>
      </c>
      <c r="F94" s="31">
        <f t="shared" si="13"/>
        <v>-2.1139999995144052</v>
      </c>
    </row>
    <row r="95" spans="1:6" x14ac:dyDescent="0.2">
      <c r="A95" s="18" t="str">
        <f>$A$10</f>
        <v>Electricity and gas</v>
      </c>
      <c r="B95" s="31">
        <f t="shared" si="11"/>
        <v>3.1150000000094167</v>
      </c>
      <c r="C95" s="31">
        <f t="shared" si="12"/>
        <v>2.9000000000528381E-2</v>
      </c>
      <c r="D95" s="31">
        <f t="shared" si="11"/>
        <v>-0.14499999997258239</v>
      </c>
      <c r="E95" s="31">
        <f t="shared" si="11"/>
        <v>-2.9999999993493454E-2</v>
      </c>
      <c r="F95" s="31">
        <f t="shared" si="13"/>
        <v>-0.14599999996554747</v>
      </c>
    </row>
    <row r="96" spans="1:6" x14ac:dyDescent="0.2">
      <c r="A96" s="18" t="str">
        <f>$A$11</f>
        <v>Water and sewerage</v>
      </c>
      <c r="B96" s="31">
        <f t="shared" si="11"/>
        <v>3.3759999998365977</v>
      </c>
      <c r="C96" s="31">
        <f t="shared" si="12"/>
        <v>-1.0749999999617259</v>
      </c>
      <c r="D96" s="31">
        <f t="shared" si="11"/>
        <v>0.88999999991429313</v>
      </c>
      <c r="E96" s="31">
        <f t="shared" si="11"/>
        <v>0.780999999978091</v>
      </c>
      <c r="F96" s="31">
        <f t="shared" si="13"/>
        <v>0.59599999993065822</v>
      </c>
    </row>
    <row r="97" spans="1:6" x14ac:dyDescent="0.2">
      <c r="A97" s="18" t="str">
        <f>$A$12</f>
        <v>Construction</v>
      </c>
      <c r="B97" s="31">
        <f t="shared" si="11"/>
        <v>-28.741000002834227</v>
      </c>
      <c r="C97" s="31">
        <f t="shared" si="12"/>
        <v>21.404000002004793</v>
      </c>
      <c r="D97" s="31">
        <f t="shared" si="11"/>
        <v>0.29600000011933503</v>
      </c>
      <c r="E97" s="31">
        <f t="shared" si="11"/>
        <v>0.71399999961830929</v>
      </c>
      <c r="F97" s="31">
        <f t="shared" si="13"/>
        <v>22.414000001742437</v>
      </c>
    </row>
    <row r="98" spans="1:6" x14ac:dyDescent="0.2">
      <c r="A98" s="18" t="str">
        <f>$A$13</f>
        <v>Wholesale and retail trade</v>
      </c>
      <c r="B98" s="31">
        <f t="shared" si="11"/>
        <v>-12.259000000941967</v>
      </c>
      <c r="C98" s="31">
        <f t="shared" si="12"/>
        <v>1.3370000052255762</v>
      </c>
      <c r="D98" s="31">
        <f t="shared" si="11"/>
        <v>0.48099999727654108</v>
      </c>
      <c r="E98" s="31">
        <f t="shared" si="11"/>
        <v>1.4349999996468341</v>
      </c>
      <c r="F98" s="31">
        <f t="shared" si="13"/>
        <v>3.2530000021489514</v>
      </c>
    </row>
    <row r="99" spans="1:6" x14ac:dyDescent="0.2">
      <c r="A99" s="18" t="str">
        <f>$A$14</f>
        <v>Transport and storage</v>
      </c>
      <c r="B99" s="31">
        <f t="shared" si="11"/>
        <v>-4.3080000003215702</v>
      </c>
      <c r="C99" s="31">
        <f t="shared" si="12"/>
        <v>-4.3519999991091396</v>
      </c>
      <c r="D99" s="31">
        <f t="shared" si="11"/>
        <v>-0.9330000008098267</v>
      </c>
      <c r="E99" s="31">
        <f t="shared" si="11"/>
        <v>0.5279999998510192</v>
      </c>
      <c r="F99" s="31">
        <f t="shared" si="13"/>
        <v>-4.7570000000679471</v>
      </c>
    </row>
    <row r="100" spans="1:6" x14ac:dyDescent="0.2">
      <c r="A100" s="18" t="str">
        <f>$A$15</f>
        <v>Accommodation and food</v>
      </c>
      <c r="B100" s="31">
        <f t="shared" si="11"/>
        <v>3.6649999994421592</v>
      </c>
      <c r="C100" s="31">
        <f t="shared" si="12"/>
        <v>38.308000003209827</v>
      </c>
      <c r="D100" s="31">
        <f t="shared" si="11"/>
        <v>1.1309999987995809</v>
      </c>
      <c r="E100" s="31">
        <f t="shared" si="11"/>
        <v>4.733000000033627</v>
      </c>
      <c r="F100" s="31">
        <f t="shared" si="13"/>
        <v>44.172000002043035</v>
      </c>
    </row>
    <row r="101" spans="1:6" x14ac:dyDescent="0.2">
      <c r="A101" s="18" t="str">
        <f>$A$16</f>
        <v>Media</v>
      </c>
      <c r="B101" s="31">
        <f t="shared" si="11"/>
        <v>-4.9099999999832615</v>
      </c>
      <c r="C101" s="31">
        <f t="shared" si="12"/>
        <v>1.8789999999879683</v>
      </c>
      <c r="D101" s="31">
        <f t="shared" si="11"/>
        <v>-7.5000000009872281E-2</v>
      </c>
      <c r="E101" s="31">
        <f t="shared" si="11"/>
        <v>0.20600000000681007</v>
      </c>
      <c r="F101" s="31">
        <f t="shared" si="13"/>
        <v>2.0099999999849061</v>
      </c>
    </row>
    <row r="102" spans="1:6" x14ac:dyDescent="0.2">
      <c r="A102" s="18" t="str">
        <f>$A$17</f>
        <v>Information technology</v>
      </c>
      <c r="B102" s="31">
        <f t="shared" si="11"/>
        <v>-0.60399999962915984</v>
      </c>
      <c r="C102" s="31">
        <f t="shared" si="12"/>
        <v>8.5539999994354545</v>
      </c>
      <c r="D102" s="31">
        <f t="shared" si="11"/>
        <v>0.56700000050494026</v>
      </c>
      <c r="E102" s="31">
        <f t="shared" si="11"/>
        <v>0.63100000008849122</v>
      </c>
      <c r="F102" s="31">
        <f t="shared" si="13"/>
        <v>9.752000000028886</v>
      </c>
    </row>
    <row r="103" spans="1:6" x14ac:dyDescent="0.2">
      <c r="A103" s="18" t="str">
        <f>$A$18</f>
        <v>Finance and insurance</v>
      </c>
      <c r="B103" s="31">
        <f t="shared" si="11"/>
        <v>-5.7279999996382465</v>
      </c>
      <c r="C103" s="31">
        <f t="shared" si="12"/>
        <v>0.86199999975075414</v>
      </c>
      <c r="D103" s="31">
        <f t="shared" si="11"/>
        <v>1.8150000000911533</v>
      </c>
      <c r="E103" s="31">
        <f t="shared" si="11"/>
        <v>1.351000000034503</v>
      </c>
      <c r="F103" s="31">
        <f t="shared" si="13"/>
        <v>4.0279999998764104</v>
      </c>
    </row>
    <row r="104" spans="1:6" x14ac:dyDescent="0.2">
      <c r="A104" s="18" t="str">
        <f>$A$19</f>
        <v>Real estate</v>
      </c>
      <c r="B104" s="31">
        <f t="shared" si="11"/>
        <v>3.5529999999810222</v>
      </c>
      <c r="C104" s="31">
        <f t="shared" si="12"/>
        <v>5.3080000000556709</v>
      </c>
      <c r="D104" s="31">
        <f t="shared" si="11"/>
        <v>0.91100000004556492</v>
      </c>
      <c r="E104" s="31">
        <f t="shared" si="11"/>
        <v>1.021000000004225</v>
      </c>
      <c r="F104" s="31">
        <f t="shared" si="13"/>
        <v>7.2400000001054607</v>
      </c>
    </row>
    <row r="105" spans="1:6" x14ac:dyDescent="0.2">
      <c r="A105" s="18" t="str">
        <f>$A$20</f>
        <v>Professional services</v>
      </c>
      <c r="B105" s="31">
        <f t="shared" si="11"/>
        <v>-13.481999998693517</v>
      </c>
      <c r="C105" s="31">
        <f t="shared" si="12"/>
        <v>15.299999998332176</v>
      </c>
      <c r="D105" s="31">
        <f t="shared" si="11"/>
        <v>3.5900000007044355</v>
      </c>
      <c r="E105" s="31">
        <f t="shared" si="11"/>
        <v>1.6290000002370135</v>
      </c>
      <c r="F105" s="31">
        <f>F20-C20</f>
        <v>20.518999999273625</v>
      </c>
    </row>
    <row r="106" spans="1:6" s="286" customFormat="1" x14ac:dyDescent="0.2">
      <c r="A106" s="12" t="str">
        <f>$A$21</f>
        <v>Support services</v>
      </c>
      <c r="B106" s="31">
        <f t="shared" ref="B106:B111" si="14">C21-B21</f>
        <v>8.4099999995786305</v>
      </c>
      <c r="C106" s="31">
        <f t="shared" ref="C106:C111" si="15">D21-C21</f>
        <v>-1.6599999990975505</v>
      </c>
      <c r="D106" s="31">
        <f t="shared" ref="D106:D111" si="16">E21-D21</f>
        <v>3.3829999995752047</v>
      </c>
      <c r="E106" s="31">
        <f t="shared" ref="E106:E111" si="17">F21-E21</f>
        <v>2.1309999999717633</v>
      </c>
      <c r="F106" s="31">
        <f t="shared" ref="F106:F111" si="18">F21-C21</f>
        <v>3.8540000004494175</v>
      </c>
    </row>
    <row r="107" spans="1:6" s="286" customFormat="1" x14ac:dyDescent="0.2">
      <c r="A107" s="12" t="str">
        <f>$A$22</f>
        <v>Public admin. and defence</v>
      </c>
      <c r="B107" s="31">
        <f t="shared" si="14"/>
        <v>-11.219999999707156</v>
      </c>
      <c r="C107" s="31">
        <f t="shared" si="15"/>
        <v>-0.90900000119444258</v>
      </c>
      <c r="D107" s="31">
        <f t="shared" si="16"/>
        <v>-0.82199999932838352</v>
      </c>
      <c r="E107" s="31">
        <f t="shared" si="17"/>
        <v>-8.1999999870163265E-2</v>
      </c>
      <c r="F107" s="31">
        <f t="shared" si="18"/>
        <v>-1.8130000003929894</v>
      </c>
    </row>
    <row r="108" spans="1:6" s="286" customFormat="1" x14ac:dyDescent="0.2">
      <c r="A108" s="12" t="str">
        <f>$A$23</f>
        <v>Education</v>
      </c>
      <c r="B108" s="31">
        <f t="shared" si="14"/>
        <v>18.556000002288286</v>
      </c>
      <c r="C108" s="31">
        <f t="shared" si="15"/>
        <v>-0.56700000751106927</v>
      </c>
      <c r="D108" s="31">
        <f t="shared" si="16"/>
        <v>-4.2639999967585425</v>
      </c>
      <c r="E108" s="31">
        <f t="shared" si="17"/>
        <v>1.643999999583599</v>
      </c>
      <c r="F108" s="31">
        <f t="shared" si="18"/>
        <v>-3.1870000046860127</v>
      </c>
    </row>
    <row r="109" spans="1:6" s="286" customFormat="1" x14ac:dyDescent="0.2">
      <c r="A109" s="12" t="str">
        <f>$A$24</f>
        <v>Health and social work</v>
      </c>
      <c r="B109" s="31">
        <f t="shared" si="14"/>
        <v>15.169000001177835</v>
      </c>
      <c r="C109" s="31">
        <f t="shared" si="15"/>
        <v>51.798999995712933</v>
      </c>
      <c r="D109" s="31">
        <f t="shared" si="16"/>
        <v>12.399000003029215</v>
      </c>
      <c r="E109" s="31">
        <f t="shared" si="17"/>
        <v>11.321000000598701</v>
      </c>
      <c r="F109" s="31">
        <f t="shared" si="18"/>
        <v>75.518999999340849</v>
      </c>
    </row>
    <row r="110" spans="1:6" s="286" customFormat="1" x14ac:dyDescent="0.2">
      <c r="A110" s="12" t="str">
        <f>$A$25</f>
        <v>Arts and entertainment</v>
      </c>
      <c r="B110" s="31">
        <f t="shared" si="14"/>
        <v>3.5940000000665435</v>
      </c>
      <c r="C110" s="31">
        <f t="shared" si="15"/>
        <v>0.87299999974995046</v>
      </c>
      <c r="D110" s="31">
        <f t="shared" si="16"/>
        <v>2.5969999999199516</v>
      </c>
      <c r="E110" s="31">
        <f t="shared" si="17"/>
        <v>1.3780000000726531</v>
      </c>
      <c r="F110" s="31">
        <f t="shared" si="18"/>
        <v>4.8479999997425551</v>
      </c>
    </row>
    <row r="111" spans="1:6" s="286" customFormat="1" x14ac:dyDescent="0.2">
      <c r="A111" s="12" t="str">
        <f>$A$26</f>
        <v>Other services</v>
      </c>
      <c r="B111" s="31">
        <f t="shared" si="14"/>
        <v>1.0440000001135417</v>
      </c>
      <c r="C111" s="31">
        <f t="shared" si="15"/>
        <v>6.0170000000581112</v>
      </c>
      <c r="D111" s="31">
        <f t="shared" si="16"/>
        <v>1.1109999998730657</v>
      </c>
      <c r="E111" s="31">
        <f t="shared" si="17"/>
        <v>-7.6000000010083113E-2</v>
      </c>
      <c r="F111" s="31">
        <f t="shared" si="18"/>
        <v>7.0519999999210938</v>
      </c>
    </row>
    <row r="112" spans="1:6" x14ac:dyDescent="0.2">
      <c r="B112" s="31"/>
      <c r="C112" s="31"/>
      <c r="D112" s="31"/>
      <c r="E112" s="31"/>
      <c r="F112" s="31"/>
    </row>
    <row r="113" spans="1:6" x14ac:dyDescent="0.2">
      <c r="A113" s="28" t="str">
        <f>$A$28</f>
        <v>All industries</v>
      </c>
      <c r="B113" s="33">
        <f>C28-B28</f>
        <v>-51.089000000959004</v>
      </c>
      <c r="C113" s="33">
        <f>D28-C28</f>
        <v>171.88199999985795</v>
      </c>
      <c r="D113" s="33">
        <f>E28-D28</f>
        <v>16.527000001324268</v>
      </c>
      <c r="E113" s="33">
        <f>F28-E28</f>
        <v>22.885999999718706</v>
      </c>
      <c r="F113" s="33">
        <f>F28-C28</f>
        <v>211.29500000090093</v>
      </c>
    </row>
  </sheetData>
  <phoneticPr fontId="5" type="noConversion"/>
  <pageMargins left="0.74803149606299213" right="0.74803149606299213" top="0.78740157480314965" bottom="0.78740157480314965" header="0.51181102362204722" footer="0.51181102362204722"/>
  <pageSetup paperSize="9" scale="93" orientation="portrait" r:id="rId1"/>
  <headerFooter alignWithMargins="0"/>
  <rowBreaks count="1" manualBreakCount="1">
    <brk id="58" max="6" man="1"/>
  </rowBreaks>
  <ignoredErrors>
    <ignoredError sqref="C62 C87:C88 C11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33"/>
  <sheetViews>
    <sheetView showGridLines="0" zoomScale="85" zoomScaleNormal="85" workbookViewId="0"/>
  </sheetViews>
  <sheetFormatPr defaultColWidth="9.140625" defaultRowHeight="12.75" x14ac:dyDescent="0.2"/>
  <cols>
    <col min="1" max="1" width="26.7109375" style="286" customWidth="1"/>
    <col min="2" max="6" width="11.7109375" style="286" customWidth="1"/>
    <col min="7" max="16384" width="9.140625" style="286"/>
  </cols>
  <sheetData>
    <row r="1" spans="1:8" ht="15.75" x14ac:dyDescent="0.25">
      <c r="A1" s="23" t="str">
        <f>CONCATENATE("Industry Table 3  Employment by Industry (SIC 2007), ",B$3,"-",F$3)</f>
        <v>Industry Table 3  Employment by Industry (SIC 2007), 2007-2027</v>
      </c>
    </row>
    <row r="3" spans="1:8" x14ac:dyDescent="0.2">
      <c r="A3" s="26"/>
      <c r="B3" s="27">
        <v>2007</v>
      </c>
      <c r="C3" s="27">
        <v>2012</v>
      </c>
      <c r="D3" s="27">
        <v>2017</v>
      </c>
      <c r="E3" s="27">
        <v>2022</v>
      </c>
      <c r="F3" s="27">
        <v>2027</v>
      </c>
    </row>
    <row r="4" spans="1:8" x14ac:dyDescent="0.2">
      <c r="A4" s="21" t="s">
        <v>13</v>
      </c>
    </row>
    <row r="5" spans="1:8" x14ac:dyDescent="0.2">
      <c r="A5" s="18" t="str">
        <f>name!A4</f>
        <v>Agriculture, etc</v>
      </c>
      <c r="B5" s="13">
        <v>37.118000000003256</v>
      </c>
      <c r="C5" s="13">
        <v>35.296999999794295</v>
      </c>
      <c r="D5" s="13">
        <v>59.821000000532997</v>
      </c>
      <c r="E5" s="13">
        <v>59.688000000333112</v>
      </c>
      <c r="F5" s="13">
        <v>60.006000000325777</v>
      </c>
      <c r="G5" s="12"/>
      <c r="H5" s="18"/>
    </row>
    <row r="6" spans="1:8" x14ac:dyDescent="0.2">
      <c r="A6" s="18" t="str">
        <f>name!A5</f>
        <v>Coal, oil &amp; gas; Mining &amp; related</v>
      </c>
      <c r="B6" s="13">
        <v>1.6279999999962358</v>
      </c>
      <c r="C6" s="13">
        <v>3.007999999987867</v>
      </c>
      <c r="D6" s="13">
        <v>2.7239999999940552</v>
      </c>
      <c r="E6" s="13">
        <v>2.5589999999895552</v>
      </c>
      <c r="F6" s="13">
        <v>2.2159999999892799</v>
      </c>
      <c r="H6" s="18"/>
    </row>
    <row r="7" spans="1:8" x14ac:dyDescent="0.2">
      <c r="A7" s="18" t="str">
        <f>name!A6</f>
        <v>Food products</v>
      </c>
      <c r="B7" s="13">
        <v>21.730999999874523</v>
      </c>
      <c r="C7" s="13">
        <v>20.510999999593341</v>
      </c>
      <c r="D7" s="13">
        <v>18.271000000106142</v>
      </c>
      <c r="E7" s="13">
        <v>17.238999999865943</v>
      </c>
      <c r="F7" s="13">
        <v>16.370999999845807</v>
      </c>
      <c r="G7" s="13"/>
      <c r="H7" s="18"/>
    </row>
    <row r="8" spans="1:8" x14ac:dyDescent="0.2">
      <c r="A8" s="18" t="str">
        <f>name!A7</f>
        <v>Beverages and tobacco</v>
      </c>
      <c r="B8" s="13">
        <v>2.1359999999915233</v>
      </c>
      <c r="C8" s="13">
        <v>1.9609999999751468</v>
      </c>
      <c r="D8" s="13">
        <v>1.9119999999986448</v>
      </c>
      <c r="E8" s="13">
        <v>1.8029999999849824</v>
      </c>
      <c r="F8" s="13">
        <v>1.7129999999852827</v>
      </c>
      <c r="G8" s="13"/>
      <c r="H8" s="18"/>
    </row>
    <row r="9" spans="1:8" x14ac:dyDescent="0.2">
      <c r="A9" s="18" t="str">
        <f>name!A8</f>
        <v>Textiles</v>
      </c>
      <c r="B9" s="13">
        <v>1.7509999999930903</v>
      </c>
      <c r="C9" s="13">
        <v>2.8989999999787495</v>
      </c>
      <c r="D9" s="13">
        <v>1.7500000000208531</v>
      </c>
      <c r="E9" s="13">
        <v>1.4480000000046476</v>
      </c>
      <c r="F9" s="13">
        <v>1.3650000000022802</v>
      </c>
      <c r="G9" s="13"/>
      <c r="H9" s="18"/>
    </row>
    <row r="10" spans="1:8" x14ac:dyDescent="0.2">
      <c r="A10" s="18" t="str">
        <f>name!A9</f>
        <v>Wearing apparel; Leather, etc</v>
      </c>
      <c r="B10" s="13">
        <v>0.58599999999824548</v>
      </c>
      <c r="C10" s="13">
        <v>0.91599999999790005</v>
      </c>
      <c r="D10" s="13">
        <v>1.2990000000068029</v>
      </c>
      <c r="E10" s="13">
        <v>1.0710000000004538</v>
      </c>
      <c r="F10" s="13">
        <v>1.0179999999991838</v>
      </c>
      <c r="G10" s="13"/>
      <c r="H10" s="18"/>
    </row>
    <row r="11" spans="1:8" x14ac:dyDescent="0.2">
      <c r="A11" s="18" t="str">
        <f>name!A10</f>
        <v xml:space="preserve">Wood and cork </v>
      </c>
      <c r="B11" s="13">
        <v>3.5350000000018649</v>
      </c>
      <c r="C11" s="13">
        <v>3.7889999999294002</v>
      </c>
      <c r="D11" s="13">
        <v>4.0510000000094317</v>
      </c>
      <c r="E11" s="13">
        <v>3.8109999999455493</v>
      </c>
      <c r="F11" s="13">
        <v>3.5509999999401929</v>
      </c>
      <c r="G11" s="13"/>
      <c r="H11" s="18"/>
    </row>
    <row r="12" spans="1:8" x14ac:dyDescent="0.2">
      <c r="A12" s="18" t="str">
        <f>name!A11</f>
        <v>Paper, etc</v>
      </c>
      <c r="B12" s="13">
        <v>5.7119999999751014</v>
      </c>
      <c r="C12" s="13">
        <v>4.6699999999215711</v>
      </c>
      <c r="D12" s="13">
        <v>2.9050000000066611</v>
      </c>
      <c r="E12" s="13">
        <v>2.7579999999700955</v>
      </c>
      <c r="F12" s="13">
        <v>2.5919999999667689</v>
      </c>
      <c r="G12" s="13"/>
      <c r="H12" s="18"/>
    </row>
    <row r="13" spans="1:8" x14ac:dyDescent="0.2">
      <c r="A13" s="18" t="str">
        <f>name!A12</f>
        <v>Printing and recording</v>
      </c>
      <c r="B13" s="13">
        <v>4.7629999999839168</v>
      </c>
      <c r="C13" s="13">
        <v>4.7269999999484336</v>
      </c>
      <c r="D13" s="13">
        <v>5.6890000000003482</v>
      </c>
      <c r="E13" s="13">
        <v>5.6629999999592453</v>
      </c>
      <c r="F13" s="13">
        <v>5.4799999999577711</v>
      </c>
      <c r="G13" s="13"/>
      <c r="H13" s="18"/>
    </row>
    <row r="14" spans="1:8" x14ac:dyDescent="0.2">
      <c r="A14" s="18" t="str">
        <f>name!A13</f>
        <v>Coke and petroleum; Chemicals, etc</v>
      </c>
      <c r="B14" s="13">
        <v>9.2049999999337757</v>
      </c>
      <c r="C14" s="13">
        <v>4.9389999999600596</v>
      </c>
      <c r="D14" s="13">
        <v>4.941999999991654</v>
      </c>
      <c r="E14" s="13">
        <v>4.7099999999936228</v>
      </c>
      <c r="F14" s="13">
        <v>4.5770000000000435</v>
      </c>
      <c r="G14" s="13"/>
      <c r="H14" s="18"/>
    </row>
    <row r="15" spans="1:8" x14ac:dyDescent="0.2">
      <c r="A15" s="18" t="str">
        <f>name!A14</f>
        <v>Pharmaceuticals</v>
      </c>
      <c r="B15" s="13">
        <v>2.783999999985892</v>
      </c>
      <c r="C15" s="13">
        <v>3.5439999999972027</v>
      </c>
      <c r="D15" s="13">
        <v>3.308999999998854</v>
      </c>
      <c r="E15" s="13">
        <v>3.253000000003611</v>
      </c>
      <c r="F15" s="13">
        <v>3.224000000003223</v>
      </c>
      <c r="G15" s="13"/>
      <c r="H15" s="18"/>
    </row>
    <row r="16" spans="1:8" x14ac:dyDescent="0.2">
      <c r="A16" s="18" t="str">
        <f>name!A15</f>
        <v>Rubber and plastic</v>
      </c>
      <c r="B16" s="13">
        <v>11.599999999947519</v>
      </c>
      <c r="C16" s="13">
        <v>9.735999999859434</v>
      </c>
      <c r="D16" s="13">
        <v>8.9430000000373209</v>
      </c>
      <c r="E16" s="13">
        <v>7.9039999999559116</v>
      </c>
      <c r="F16" s="13">
        <v>7.1599999999467112</v>
      </c>
      <c r="G16" s="13"/>
      <c r="H16" s="18"/>
    </row>
    <row r="17" spans="1:8" x14ac:dyDescent="0.2">
      <c r="A17" s="18" t="str">
        <f>name!A16</f>
        <v>Other non-metallic</v>
      </c>
      <c r="B17" s="13">
        <v>5.8200000000061447</v>
      </c>
      <c r="C17" s="13">
        <v>4.2989999999433248</v>
      </c>
      <c r="D17" s="13">
        <v>3.0830000000161841</v>
      </c>
      <c r="E17" s="13">
        <v>2.7009999999821144</v>
      </c>
      <c r="F17" s="13">
        <v>2.4189999999779355</v>
      </c>
      <c r="G17" s="13"/>
      <c r="H17" s="18"/>
    </row>
    <row r="18" spans="1:8" x14ac:dyDescent="0.2">
      <c r="A18" s="18" t="str">
        <f>name!A17</f>
        <v>Basic metals</v>
      </c>
      <c r="B18" s="13">
        <v>12.040000000013828</v>
      </c>
      <c r="C18" s="13">
        <v>9.3619999998516708</v>
      </c>
      <c r="D18" s="13">
        <v>12.277000000007014</v>
      </c>
      <c r="E18" s="13">
        <v>10.880999999852314</v>
      </c>
      <c r="F18" s="13">
        <v>9.9749999998433587</v>
      </c>
      <c r="G18" s="13"/>
      <c r="H18" s="18"/>
    </row>
    <row r="19" spans="1:8" x14ac:dyDescent="0.2">
      <c r="A19" s="18" t="str">
        <f>name!A18</f>
        <v>Metal products</v>
      </c>
      <c r="B19" s="13">
        <v>20.986999999963516</v>
      </c>
      <c r="C19" s="13">
        <v>15.332999999743988</v>
      </c>
      <c r="D19" s="13">
        <v>19.45300000003375</v>
      </c>
      <c r="E19" s="13">
        <v>17.520999999821495</v>
      </c>
      <c r="F19" s="13">
        <v>16.382999999808042</v>
      </c>
      <c r="G19" s="13"/>
      <c r="H19" s="18"/>
    </row>
    <row r="20" spans="1:8" x14ac:dyDescent="0.2">
      <c r="A20" s="18" t="str">
        <f>name!A19</f>
        <v>Computer, etc</v>
      </c>
      <c r="B20" s="13">
        <v>8.7929999999102773</v>
      </c>
      <c r="C20" s="13">
        <v>6.7779999999371681</v>
      </c>
      <c r="D20" s="13">
        <v>7.3150000000252309</v>
      </c>
      <c r="E20" s="13">
        <v>7.7709999999906234</v>
      </c>
      <c r="F20" s="13">
        <v>7.0939999999865044</v>
      </c>
      <c r="G20" s="13"/>
      <c r="H20" s="18"/>
    </row>
    <row r="21" spans="1:8" x14ac:dyDescent="0.2">
      <c r="A21" s="18" t="str">
        <f>name!A20</f>
        <v>Electrical equipment</v>
      </c>
      <c r="B21" s="13">
        <v>7.8509999999360431</v>
      </c>
      <c r="C21" s="13">
        <v>5.5829999999169893</v>
      </c>
      <c r="D21" s="13">
        <v>5.0290000000083994</v>
      </c>
      <c r="E21" s="13">
        <v>4.8879999999708845</v>
      </c>
      <c r="F21" s="13">
        <v>4.7269999999687116</v>
      </c>
      <c r="G21" s="13"/>
      <c r="H21" s="18"/>
    </row>
    <row r="22" spans="1:8" x14ac:dyDescent="0.2">
      <c r="A22" s="18" t="str">
        <f>name!A21</f>
        <v>Machinery n.e.c.</v>
      </c>
      <c r="B22" s="13">
        <v>8.1839999999571749</v>
      </c>
      <c r="C22" s="13">
        <v>5.1219999999328749</v>
      </c>
      <c r="D22" s="13">
        <v>4.4780000000053484</v>
      </c>
      <c r="E22" s="13">
        <v>4.4479999999738826</v>
      </c>
      <c r="F22" s="13">
        <v>4.1879999999759372</v>
      </c>
      <c r="G22" s="13"/>
      <c r="H22" s="18"/>
    </row>
    <row r="23" spans="1:8" x14ac:dyDescent="0.2">
      <c r="A23" s="18" t="str">
        <f>name!A22</f>
        <v>Motor vehicles, etc</v>
      </c>
      <c r="B23" s="13">
        <v>14.447999999975654</v>
      </c>
      <c r="C23" s="13">
        <v>9.5619999998254492</v>
      </c>
      <c r="D23" s="13">
        <v>9.3310000000174771</v>
      </c>
      <c r="E23" s="13">
        <v>9.4169999998938554</v>
      </c>
      <c r="F23" s="13">
        <v>9.6459999998830011</v>
      </c>
      <c r="G23" s="13"/>
      <c r="H23" s="18"/>
    </row>
    <row r="24" spans="1:8" x14ac:dyDescent="0.2">
      <c r="A24" s="18" t="str">
        <f>name!A23</f>
        <v>Other transport equipment</v>
      </c>
      <c r="B24" s="13">
        <v>10.423000000007345</v>
      </c>
      <c r="C24" s="13">
        <v>11.865999999847251</v>
      </c>
      <c r="D24" s="13">
        <v>10.098999999998405</v>
      </c>
      <c r="E24" s="13">
        <v>11.137999999901393</v>
      </c>
      <c r="F24" s="13">
        <v>11.486999999879929</v>
      </c>
      <c r="G24" s="13"/>
      <c r="H24" s="18"/>
    </row>
    <row r="25" spans="1:8" x14ac:dyDescent="0.2">
      <c r="A25" s="18" t="str">
        <f>name!A24</f>
        <v>Furniture</v>
      </c>
      <c r="B25" s="13">
        <v>6.0509999999767237</v>
      </c>
      <c r="C25" s="13">
        <v>4.7609999999216495</v>
      </c>
      <c r="D25" s="13">
        <v>6.8550000000181548</v>
      </c>
      <c r="E25" s="13">
        <v>6.7399999999376297</v>
      </c>
      <c r="F25" s="13">
        <v>6.4579999999301805</v>
      </c>
      <c r="G25" s="13"/>
      <c r="H25" s="18"/>
    </row>
    <row r="26" spans="1:8" x14ac:dyDescent="0.2">
      <c r="A26" s="18" t="str">
        <f>name!A25</f>
        <v>Other manufacturing</v>
      </c>
      <c r="B26" s="13">
        <v>7.2879999999962806</v>
      </c>
      <c r="C26" s="13">
        <v>4.6439999999313892</v>
      </c>
      <c r="D26" s="13">
        <v>5.7310000000166568</v>
      </c>
      <c r="E26" s="13">
        <v>5.5959999999484422</v>
      </c>
      <c r="F26" s="13">
        <v>5.3179999999408754</v>
      </c>
      <c r="G26" s="13"/>
      <c r="H26" s="18"/>
    </row>
    <row r="27" spans="1:8" x14ac:dyDescent="0.2">
      <c r="A27" s="18" t="str">
        <f>name!A26</f>
        <v>Repair and installation</v>
      </c>
      <c r="B27" s="13">
        <v>6.4729999999638146</v>
      </c>
      <c r="C27" s="13">
        <v>7.2809999998925194</v>
      </c>
      <c r="D27" s="13">
        <v>10.096000000045327</v>
      </c>
      <c r="E27" s="13">
        <v>9.9499999999669964</v>
      </c>
      <c r="F27" s="13">
        <v>9.5609999999560777</v>
      </c>
      <c r="G27" s="13"/>
      <c r="H27" s="18"/>
    </row>
    <row r="28" spans="1:8" x14ac:dyDescent="0.2">
      <c r="A28" s="18" t="str">
        <f>name!A27</f>
        <v>Electricity, gas, etc</v>
      </c>
      <c r="B28" s="13">
        <v>4.5729999999731454</v>
      </c>
      <c r="C28" s="13">
        <v>7.6879999999825621</v>
      </c>
      <c r="D28" s="13">
        <v>7.7169999999830905</v>
      </c>
      <c r="E28" s="13">
        <v>7.5720000000105081</v>
      </c>
      <c r="F28" s="13">
        <v>7.5420000000170146</v>
      </c>
      <c r="G28" s="13"/>
      <c r="H28" s="18"/>
    </row>
    <row r="29" spans="1:8" x14ac:dyDescent="0.2">
      <c r="A29" s="18" t="str">
        <f>name!A28</f>
        <v>Water</v>
      </c>
      <c r="B29" s="13">
        <v>2.0560000000007657</v>
      </c>
      <c r="C29" s="13">
        <v>2.4649999999892955</v>
      </c>
      <c r="D29" s="13">
        <v>2.583999999985727</v>
      </c>
      <c r="E29" s="13">
        <v>2.7559999999837399</v>
      </c>
      <c r="F29" s="13">
        <v>3.034999999985132</v>
      </c>
      <c r="G29" s="13"/>
      <c r="H29" s="18"/>
    </row>
    <row r="30" spans="1:8" x14ac:dyDescent="0.2">
      <c r="A30" s="18" t="str">
        <f>name!A29</f>
        <v>Sewerage</v>
      </c>
      <c r="B30" s="13">
        <v>0.57000000000011941</v>
      </c>
      <c r="C30" s="13">
        <v>1.0509999999859077</v>
      </c>
      <c r="D30" s="13">
        <v>0.77999999999666014</v>
      </c>
      <c r="E30" s="13">
        <v>0.82699999998955132</v>
      </c>
      <c r="F30" s="13">
        <v>0.79099999998916959</v>
      </c>
      <c r="G30" s="13"/>
      <c r="H30" s="18"/>
    </row>
    <row r="31" spans="1:8" x14ac:dyDescent="0.2">
      <c r="A31" s="18" t="str">
        <f>name!A30</f>
        <v>Waste management</v>
      </c>
      <c r="B31" s="13">
        <v>6.3800000000011075</v>
      </c>
      <c r="C31" s="13">
        <v>8.8659999998633872</v>
      </c>
      <c r="D31" s="13">
        <v>7.9429999998944778</v>
      </c>
      <c r="E31" s="13">
        <v>8.6139999998178673</v>
      </c>
      <c r="F31" s="13">
        <v>9.1519999997949473</v>
      </c>
      <c r="G31" s="13"/>
      <c r="H31" s="18"/>
    </row>
    <row r="32" spans="1:8" x14ac:dyDescent="0.2">
      <c r="A32" s="18" t="str">
        <f>name!A31</f>
        <v>Construction</v>
      </c>
      <c r="B32" s="13">
        <v>30.341000000356484</v>
      </c>
      <c r="C32" s="13">
        <v>28.582999999519338</v>
      </c>
      <c r="D32" s="13">
        <v>38.566000000226701</v>
      </c>
      <c r="E32" s="13">
        <v>38.72500000025876</v>
      </c>
      <c r="F32" s="13">
        <v>39.025000000123981</v>
      </c>
      <c r="G32" s="13"/>
      <c r="H32" s="18"/>
    </row>
    <row r="33" spans="1:8" x14ac:dyDescent="0.2">
      <c r="A33" s="18" t="str">
        <f>name!A32</f>
        <v>Civil engineering</v>
      </c>
      <c r="B33" s="13">
        <v>22.395000000295276</v>
      </c>
      <c r="C33" s="13">
        <v>17.941999999689639</v>
      </c>
      <c r="D33" s="13">
        <v>18.483000000082917</v>
      </c>
      <c r="E33" s="13">
        <v>18.514000000109416</v>
      </c>
      <c r="F33" s="13">
        <v>18.622000000038462</v>
      </c>
      <c r="G33" s="13"/>
      <c r="H33" s="18"/>
    </row>
    <row r="34" spans="1:8" x14ac:dyDescent="0.2">
      <c r="A34" s="18" t="str">
        <f>name!A33</f>
        <v>Specialised construction</v>
      </c>
      <c r="B34" s="13">
        <v>61.695000000728143</v>
      </c>
      <c r="C34" s="13">
        <v>39.1649999993367</v>
      </c>
      <c r="D34" s="13">
        <v>50.04500000024084</v>
      </c>
      <c r="E34" s="13">
        <v>50.151000000301615</v>
      </c>
      <c r="F34" s="13">
        <v>50.457000000125667</v>
      </c>
      <c r="G34" s="13"/>
      <c r="H34" s="18"/>
    </row>
    <row r="35" spans="1:8" x14ac:dyDescent="0.2">
      <c r="A35" s="18" t="str">
        <f>name!A34</f>
        <v>Motor vehicle trade</v>
      </c>
      <c r="B35" s="13">
        <v>24.269999999972519</v>
      </c>
      <c r="C35" s="13">
        <v>23.508999999675627</v>
      </c>
      <c r="D35" s="13">
        <v>26.342000000122503</v>
      </c>
      <c r="E35" s="13">
        <v>26.201999999835252</v>
      </c>
      <c r="F35" s="13">
        <v>26.301999999799683</v>
      </c>
      <c r="G35" s="13"/>
      <c r="H35" s="18"/>
    </row>
    <row r="36" spans="1:8" x14ac:dyDescent="0.2">
      <c r="A36" s="18" t="str">
        <f>name!A35</f>
        <v>Wholesale trade</v>
      </c>
      <c r="B36" s="13">
        <v>37.999999999867633</v>
      </c>
      <c r="C36" s="13">
        <v>34.258999999473573</v>
      </c>
      <c r="D36" s="13">
        <v>39.269000000241626</v>
      </c>
      <c r="E36" s="13">
        <v>37.691999999802213</v>
      </c>
      <c r="F36" s="13">
        <v>36.425999999772792</v>
      </c>
      <c r="G36" s="13"/>
      <c r="H36" s="18"/>
    </row>
    <row r="37" spans="1:8" x14ac:dyDescent="0.2">
      <c r="A37" s="18" t="str">
        <f>name!A36</f>
        <v>Retail trade</v>
      </c>
      <c r="B37" s="13">
        <v>150.63100000022163</v>
      </c>
      <c r="C37" s="13">
        <v>142.87399999997064</v>
      </c>
      <c r="D37" s="13">
        <v>136.36800000398128</v>
      </c>
      <c r="E37" s="13">
        <v>138.56600000198449</v>
      </c>
      <c r="F37" s="13">
        <v>141.16700000169629</v>
      </c>
      <c r="G37" s="13"/>
      <c r="H37" s="18"/>
    </row>
    <row r="38" spans="1:8" x14ac:dyDescent="0.2">
      <c r="A38" s="18" t="str">
        <f>name!A37</f>
        <v>Land transport, etc</v>
      </c>
      <c r="B38" s="13">
        <v>24.89200000006511</v>
      </c>
      <c r="C38" s="13">
        <v>23.193999999983635</v>
      </c>
      <c r="D38" s="13">
        <v>20.550000000470707</v>
      </c>
      <c r="E38" s="13">
        <v>19.873999999909117</v>
      </c>
      <c r="F38" s="13">
        <v>20.594999999789213</v>
      </c>
      <c r="G38" s="13"/>
      <c r="H38" s="18"/>
    </row>
    <row r="39" spans="1:8" x14ac:dyDescent="0.2">
      <c r="A39" s="18" t="str">
        <f>name!A38</f>
        <v>Water transport</v>
      </c>
      <c r="B39" s="13">
        <v>1.2859999999969285</v>
      </c>
      <c r="C39" s="13">
        <v>1.1179999999936077</v>
      </c>
      <c r="D39" s="13">
        <v>0.8910000000010716</v>
      </c>
      <c r="E39" s="13">
        <v>0.72999999999944132</v>
      </c>
      <c r="F39" s="13">
        <v>0.66400000000034132</v>
      </c>
      <c r="G39" s="13"/>
      <c r="H39" s="18"/>
    </row>
    <row r="40" spans="1:8" x14ac:dyDescent="0.2">
      <c r="A40" s="18" t="str">
        <f>name!A39</f>
        <v>Air transport</v>
      </c>
      <c r="B40" s="13">
        <v>0.67399999999514681</v>
      </c>
      <c r="C40" s="13">
        <v>0.488999999994779</v>
      </c>
      <c r="D40" s="13">
        <v>0.31600000000123668</v>
      </c>
      <c r="E40" s="13">
        <v>0.34599999999877434</v>
      </c>
      <c r="F40" s="13">
        <v>0.39299999999815527</v>
      </c>
      <c r="G40" s="13"/>
      <c r="H40" s="18"/>
    </row>
    <row r="41" spans="1:8" x14ac:dyDescent="0.2">
      <c r="A41" s="18" t="str">
        <f>name!A40</f>
        <v>Warehousing, etc</v>
      </c>
      <c r="B41" s="13">
        <v>10.017000000000646</v>
      </c>
      <c r="C41" s="13">
        <v>10.342999999863661</v>
      </c>
      <c r="D41" s="13">
        <v>10.852000000041834</v>
      </c>
      <c r="E41" s="13">
        <v>10.675999999903269</v>
      </c>
      <c r="F41" s="13">
        <v>10.497999999889243</v>
      </c>
      <c r="G41" s="13"/>
      <c r="H41" s="18"/>
    </row>
    <row r="42" spans="1:8" x14ac:dyDescent="0.2">
      <c r="A42" s="18" t="str">
        <f>name!A41</f>
        <v>Postal and courier</v>
      </c>
      <c r="B42" s="13">
        <v>12.232999999968559</v>
      </c>
      <c r="C42" s="13">
        <v>9.6499999998691397</v>
      </c>
      <c r="D42" s="13">
        <v>7.8330000000808342</v>
      </c>
      <c r="E42" s="13">
        <v>7.8829999999752527</v>
      </c>
      <c r="F42" s="13">
        <v>7.8869999999599152</v>
      </c>
      <c r="G42" s="13"/>
      <c r="H42" s="18"/>
    </row>
    <row r="43" spans="1:8" x14ac:dyDescent="0.2">
      <c r="A43" s="18" t="str">
        <f>name!A42</f>
        <v>Accommodation</v>
      </c>
      <c r="B43" s="13">
        <v>26.814999999834733</v>
      </c>
      <c r="C43" s="13">
        <v>30.219999999647762</v>
      </c>
      <c r="D43" s="13">
        <v>42.580000000583091</v>
      </c>
      <c r="E43" s="13">
        <v>44.764000000245673</v>
      </c>
      <c r="F43" s="13">
        <v>47.133000000252594</v>
      </c>
      <c r="G43" s="13"/>
      <c r="H43" s="18"/>
    </row>
    <row r="44" spans="1:8" x14ac:dyDescent="0.2">
      <c r="A44" s="18" t="str">
        <f>name!A43</f>
        <v>Food and beverage services</v>
      </c>
      <c r="B44" s="13">
        <v>69.284999999593595</v>
      </c>
      <c r="C44" s="13">
        <v>69.544999999222725</v>
      </c>
      <c r="D44" s="13">
        <v>95.493000001497208</v>
      </c>
      <c r="E44" s="13">
        <v>94.4400000006342</v>
      </c>
      <c r="F44" s="13">
        <v>96.80400000066092</v>
      </c>
      <c r="G44" s="13"/>
      <c r="H44" s="18"/>
    </row>
    <row r="45" spans="1:8" x14ac:dyDescent="0.2">
      <c r="A45" s="18" t="str">
        <f>name!A44</f>
        <v>Publishing activities</v>
      </c>
      <c r="B45" s="13">
        <v>5.3859999999756516</v>
      </c>
      <c r="C45" s="13">
        <v>3.9989999999837993</v>
      </c>
      <c r="D45" s="13">
        <v>3.6849999999861462</v>
      </c>
      <c r="E45" s="13">
        <v>3.6129999999876055</v>
      </c>
      <c r="F45" s="13">
        <v>3.666999999992373</v>
      </c>
      <c r="G45" s="13"/>
      <c r="H45" s="18"/>
    </row>
    <row r="46" spans="1:8" x14ac:dyDescent="0.2">
      <c r="A46" s="18" t="str">
        <f>name!A45</f>
        <v>Film and music</v>
      </c>
      <c r="B46" s="13">
        <v>5.4979999999865035</v>
      </c>
      <c r="C46" s="13">
        <v>2.1439999999930359</v>
      </c>
      <c r="D46" s="13">
        <v>3.4969999999898898</v>
      </c>
      <c r="E46" s="13">
        <v>3.541999999976706</v>
      </c>
      <c r="F46" s="13">
        <v>3.6869999999772252</v>
      </c>
      <c r="G46" s="13"/>
      <c r="H46" s="18"/>
    </row>
    <row r="47" spans="1:8" x14ac:dyDescent="0.2">
      <c r="A47" s="18" t="str">
        <f>name!A46</f>
        <v>Broadcasting</v>
      </c>
      <c r="B47" s="13">
        <v>0.87099999999893785</v>
      </c>
      <c r="C47" s="13">
        <v>0.70200000000099683</v>
      </c>
      <c r="D47" s="13">
        <v>1.5419999999897644</v>
      </c>
      <c r="E47" s="13">
        <v>1.493999999991616</v>
      </c>
      <c r="F47" s="13">
        <v>1.5009999999931396</v>
      </c>
      <c r="G47" s="13"/>
      <c r="H47" s="18"/>
    </row>
    <row r="48" spans="1:8" x14ac:dyDescent="0.2">
      <c r="A48" s="18" t="str">
        <f>name!A47</f>
        <v>Telecommunications</v>
      </c>
      <c r="B48" s="13">
        <v>8.015999999946164</v>
      </c>
      <c r="C48" s="13">
        <v>7.4590000000688752</v>
      </c>
      <c r="D48" s="13">
        <v>4.5559999999520491</v>
      </c>
      <c r="E48" s="13">
        <v>4.5690000000212931</v>
      </c>
      <c r="F48" s="13">
        <v>4.6020000000350452</v>
      </c>
      <c r="G48" s="13"/>
      <c r="H48" s="18"/>
    </row>
    <row r="49" spans="1:8" x14ac:dyDescent="0.2">
      <c r="A49" s="18" t="str">
        <f>name!A48</f>
        <v>Computing services</v>
      </c>
      <c r="B49" s="13">
        <v>12.110999999905717</v>
      </c>
      <c r="C49" s="13">
        <v>11.507000000150914</v>
      </c>
      <c r="D49" s="13">
        <v>23.62199999970305</v>
      </c>
      <c r="E49" s="13">
        <v>24.168000000138004</v>
      </c>
      <c r="F49" s="13">
        <v>24.754000000212795</v>
      </c>
      <c r="G49" s="13"/>
      <c r="H49" s="18"/>
    </row>
    <row r="50" spans="1:8" x14ac:dyDescent="0.2">
      <c r="A50" s="18" t="str">
        <f>name!A49</f>
        <v>Information services</v>
      </c>
      <c r="B50" s="13">
        <v>0.89799999999456348</v>
      </c>
      <c r="C50" s="13">
        <v>1.4549999999974967</v>
      </c>
      <c r="D50" s="13">
        <v>0.79699999999764215</v>
      </c>
      <c r="E50" s="13">
        <v>0.8049999999983829</v>
      </c>
      <c r="F50" s="13">
        <v>0.81699999999833306</v>
      </c>
      <c r="G50" s="13"/>
      <c r="H50" s="18"/>
    </row>
    <row r="51" spans="1:8" x14ac:dyDescent="0.2">
      <c r="A51" s="18" t="str">
        <f>name!A50</f>
        <v>Financial services</v>
      </c>
      <c r="B51" s="13">
        <v>19.391999999830642</v>
      </c>
      <c r="C51" s="13">
        <v>14.665000000019761</v>
      </c>
      <c r="D51" s="13">
        <v>14.902999999921763</v>
      </c>
      <c r="E51" s="13">
        <v>15.783999999967188</v>
      </c>
      <c r="F51" s="13">
        <v>16.442999999983439</v>
      </c>
      <c r="G51" s="13"/>
      <c r="H51" s="18"/>
    </row>
    <row r="52" spans="1:8" x14ac:dyDescent="0.2">
      <c r="A52" s="18" t="str">
        <f>name!A51</f>
        <v>Insurance and pensions</v>
      </c>
      <c r="B52" s="13">
        <v>5.3249999999607081</v>
      </c>
      <c r="C52" s="13">
        <v>5.2260000000222933</v>
      </c>
      <c r="D52" s="13">
        <v>7.1559999999391248</v>
      </c>
      <c r="E52" s="13">
        <v>7.4809999999827506</v>
      </c>
      <c r="F52" s="13">
        <v>7.699999999997666</v>
      </c>
      <c r="G52" s="13"/>
      <c r="H52" s="18"/>
    </row>
    <row r="53" spans="1:8" x14ac:dyDescent="0.2">
      <c r="A53" s="18" t="str">
        <f>name!A52</f>
        <v>Auxiliary financial services</v>
      </c>
      <c r="B53" s="13">
        <v>12.368999999882675</v>
      </c>
      <c r="C53" s="13">
        <v>11.466999999993721</v>
      </c>
      <c r="D53" s="13">
        <v>10.160999999925643</v>
      </c>
      <c r="E53" s="13">
        <v>10.769999999927741</v>
      </c>
      <c r="F53" s="13">
        <v>11.242999999931085</v>
      </c>
      <c r="G53" s="13"/>
      <c r="H53" s="18"/>
    </row>
    <row r="54" spans="1:8" x14ac:dyDescent="0.2">
      <c r="A54" s="18" t="str">
        <f>name!A53</f>
        <v>Real estate</v>
      </c>
      <c r="B54" s="13">
        <v>13.451999999970582</v>
      </c>
      <c r="C54" s="13">
        <v>17.004999999951604</v>
      </c>
      <c r="D54" s="13">
        <v>22.313000000007275</v>
      </c>
      <c r="E54" s="13">
        <v>23.22400000005284</v>
      </c>
      <c r="F54" s="13">
        <v>24.245000000057065</v>
      </c>
      <c r="G54" s="13"/>
      <c r="H54" s="18"/>
    </row>
    <row r="55" spans="1:8" x14ac:dyDescent="0.2">
      <c r="A55" s="18" t="str">
        <f>name!A54</f>
        <v>Legal and accounting</v>
      </c>
      <c r="B55" s="13">
        <v>24.031999999796835</v>
      </c>
      <c r="C55" s="13">
        <v>18.359000000177645</v>
      </c>
      <c r="D55" s="13">
        <v>21.387999999698977</v>
      </c>
      <c r="E55" s="13">
        <v>20.952999999822431</v>
      </c>
      <c r="F55" s="13">
        <v>21.030999999883729</v>
      </c>
      <c r="G55" s="13"/>
      <c r="H55" s="18"/>
    </row>
    <row r="56" spans="1:8" x14ac:dyDescent="0.2">
      <c r="A56" s="18" t="str">
        <f>name!A55</f>
        <v>Head offices, etc</v>
      </c>
      <c r="B56" s="13">
        <v>10.791999999901289</v>
      </c>
      <c r="C56" s="13">
        <v>10.847000000122982</v>
      </c>
      <c r="D56" s="13">
        <v>14.5259999997817</v>
      </c>
      <c r="E56" s="13">
        <v>15.313999999898593</v>
      </c>
      <c r="F56" s="13">
        <v>15.456999999946403</v>
      </c>
      <c r="G56" s="13"/>
      <c r="H56" s="18"/>
    </row>
    <row r="57" spans="1:8" x14ac:dyDescent="0.2">
      <c r="A57" s="18" t="str">
        <f>name!A56</f>
        <v>Architectural and related</v>
      </c>
      <c r="B57" s="13">
        <v>17.123999999796762</v>
      </c>
      <c r="C57" s="13">
        <v>14.632000000220645</v>
      </c>
      <c r="D57" s="13">
        <v>22.637999999651431</v>
      </c>
      <c r="E57" s="13">
        <v>24.719000000015388</v>
      </c>
      <c r="F57" s="13">
        <v>24.995000000111219</v>
      </c>
      <c r="G57" s="13"/>
      <c r="H57" s="18"/>
    </row>
    <row r="58" spans="1:8" x14ac:dyDescent="0.2">
      <c r="A58" s="18" t="str">
        <f>name!A57</f>
        <v>Scientific research and development</v>
      </c>
      <c r="B58" s="13">
        <v>2.8509999999943871</v>
      </c>
      <c r="C58" s="13">
        <v>2.6590000000808609</v>
      </c>
      <c r="D58" s="13">
        <v>4.1039999999692283</v>
      </c>
      <c r="E58" s="13">
        <v>4.4700000000279321</v>
      </c>
      <c r="F58" s="13">
        <v>4.830000000038428</v>
      </c>
      <c r="G58" s="13"/>
      <c r="H58" s="18"/>
    </row>
    <row r="59" spans="1:8" x14ac:dyDescent="0.2">
      <c r="A59" s="18" t="str">
        <f>name!A58</f>
        <v>Advertising, etc</v>
      </c>
      <c r="B59" s="13">
        <v>2.6369999999764979</v>
      </c>
      <c r="C59" s="13">
        <v>1.8490000000178211</v>
      </c>
      <c r="D59" s="13">
        <v>1.7449999999816519</v>
      </c>
      <c r="E59" s="13">
        <v>1.8989999999890361</v>
      </c>
      <c r="F59" s="13">
        <v>2.0489999999923727</v>
      </c>
      <c r="G59" s="13"/>
      <c r="H59" s="18"/>
    </row>
    <row r="60" spans="1:8" x14ac:dyDescent="0.2">
      <c r="A60" s="18" t="str">
        <f>name!A59</f>
        <v>Other professional</v>
      </c>
      <c r="B60" s="13">
        <v>9.2339999999147135</v>
      </c>
      <c r="C60" s="13">
        <v>5.3060000000197753</v>
      </c>
      <c r="D60" s="13">
        <v>5.1499999999488661</v>
      </c>
      <c r="E60" s="13">
        <v>5.6109999999637035</v>
      </c>
      <c r="F60" s="13">
        <v>6.0619999999739402</v>
      </c>
      <c r="G60" s="13"/>
      <c r="H60" s="18"/>
    </row>
    <row r="61" spans="1:8" x14ac:dyDescent="0.2">
      <c r="A61" s="18" t="str">
        <f>name!A60</f>
        <v>Veterinary</v>
      </c>
      <c r="B61" s="13">
        <v>3.0629999999606317</v>
      </c>
      <c r="C61" s="13">
        <v>2.5990000000078721</v>
      </c>
      <c r="D61" s="13">
        <v>1.999999999947931</v>
      </c>
      <c r="E61" s="13">
        <v>2.1749999999671248</v>
      </c>
      <c r="F61" s="13">
        <v>2.3459999999751311</v>
      </c>
      <c r="G61" s="13"/>
      <c r="H61" s="18"/>
    </row>
    <row r="62" spans="1:8" x14ac:dyDescent="0.2">
      <c r="A62" s="18" t="str">
        <f>name!A61</f>
        <v>Rental and leasing</v>
      </c>
      <c r="B62" s="13">
        <v>5.8529999999952151</v>
      </c>
      <c r="C62" s="13">
        <v>8.1459999999785921</v>
      </c>
      <c r="D62" s="13">
        <v>9.5129999999987618</v>
      </c>
      <c r="E62" s="13">
        <v>9.9169999999655332</v>
      </c>
      <c r="F62" s="13">
        <v>10.206999999973224</v>
      </c>
      <c r="G62" s="13"/>
      <c r="H62" s="18"/>
    </row>
    <row r="63" spans="1:8" x14ac:dyDescent="0.2">
      <c r="A63" s="18" t="str">
        <f>name!A62</f>
        <v>Employment activities</v>
      </c>
      <c r="B63" s="13">
        <v>32.434999999884127</v>
      </c>
      <c r="C63" s="13">
        <v>28.523999999759248</v>
      </c>
      <c r="D63" s="13">
        <v>29.942000000052293</v>
      </c>
      <c r="E63" s="13">
        <v>31.081999999885806</v>
      </c>
      <c r="F63" s="13">
        <v>31.802999999876032</v>
      </c>
      <c r="G63" s="13"/>
      <c r="H63" s="18"/>
    </row>
    <row r="64" spans="1:8" x14ac:dyDescent="0.2">
      <c r="A64" s="18" t="str">
        <f>name!A63</f>
        <v>Travel, etc</v>
      </c>
      <c r="B64" s="13">
        <v>3.4869999999858505</v>
      </c>
      <c r="C64" s="13">
        <v>3.5609999999617941</v>
      </c>
      <c r="D64" s="13">
        <v>2.7650000000128512</v>
      </c>
      <c r="E64" s="13">
        <v>2.8789999999898188</v>
      </c>
      <c r="F64" s="13">
        <v>2.9549999999868981</v>
      </c>
      <c r="G64" s="13"/>
      <c r="H64" s="18"/>
    </row>
    <row r="65" spans="1:8" x14ac:dyDescent="0.2">
      <c r="A65" s="18" t="str">
        <f>name!A64</f>
        <v>Security, etc</v>
      </c>
      <c r="B65" s="13">
        <v>5.4099999999780595</v>
      </c>
      <c r="C65" s="13">
        <v>6.477999999941904</v>
      </c>
      <c r="D65" s="13">
        <v>5.6090000000076996</v>
      </c>
      <c r="E65" s="13">
        <v>5.8109999999775459</v>
      </c>
      <c r="F65" s="13">
        <v>5.9439999999766302</v>
      </c>
      <c r="G65" s="13"/>
      <c r="H65" s="18"/>
    </row>
    <row r="66" spans="1:8" x14ac:dyDescent="0.2">
      <c r="A66" s="18" t="str">
        <f>name!A65</f>
        <v>Services to buildings</v>
      </c>
      <c r="B66" s="13">
        <v>19.365999999916259</v>
      </c>
      <c r="C66" s="13">
        <v>27.916999999783204</v>
      </c>
      <c r="D66" s="13">
        <v>20.302000000071402</v>
      </c>
      <c r="E66" s="13">
        <v>21.043000000016146</v>
      </c>
      <c r="F66" s="13">
        <v>21.413000000006512</v>
      </c>
      <c r="G66" s="13"/>
      <c r="H66" s="18"/>
    </row>
    <row r="67" spans="1:8" x14ac:dyDescent="0.2">
      <c r="A67" s="18" t="str">
        <f>name!A66</f>
        <v>Office administrative</v>
      </c>
      <c r="B67" s="13">
        <v>13.50099999996046</v>
      </c>
      <c r="C67" s="13">
        <v>13.835999999873856</v>
      </c>
      <c r="D67" s="13">
        <v>18.671000000058029</v>
      </c>
      <c r="E67" s="13">
        <v>19.452999999941412</v>
      </c>
      <c r="F67" s="13">
        <v>19.993999999928711</v>
      </c>
      <c r="G67" s="13"/>
      <c r="H67" s="18"/>
    </row>
    <row r="68" spans="1:8" x14ac:dyDescent="0.2">
      <c r="A68" s="18" t="str">
        <f>name!A67</f>
        <v>Public administration and defence</v>
      </c>
      <c r="B68" s="13">
        <v>95.69900000025271</v>
      </c>
      <c r="C68" s="13">
        <v>84.479000000545554</v>
      </c>
      <c r="D68" s="13">
        <v>83.569999999351111</v>
      </c>
      <c r="E68" s="13">
        <v>82.748000000022728</v>
      </c>
      <c r="F68" s="13">
        <v>82.666000000152565</v>
      </c>
      <c r="G68" s="13"/>
      <c r="H68" s="18"/>
    </row>
    <row r="69" spans="1:8" x14ac:dyDescent="0.2">
      <c r="A69" s="18" t="str">
        <f>name!A68</f>
        <v xml:space="preserve">Education </v>
      </c>
      <c r="B69" s="13">
        <v>121.45400000386623</v>
      </c>
      <c r="C69" s="13">
        <v>140.01000000615451</v>
      </c>
      <c r="D69" s="13">
        <v>139.44299999864344</v>
      </c>
      <c r="E69" s="13">
        <v>135.1790000018849</v>
      </c>
      <c r="F69" s="13">
        <v>136.8230000014685</v>
      </c>
      <c r="G69" s="13"/>
      <c r="H69" s="18"/>
    </row>
    <row r="70" spans="1:8" x14ac:dyDescent="0.2">
      <c r="A70" s="18" t="str">
        <f>name!A69</f>
        <v>Health</v>
      </c>
      <c r="B70" s="13">
        <v>103.88799999944382</v>
      </c>
      <c r="C70" s="13">
        <v>109.64700000035059</v>
      </c>
      <c r="D70" s="13">
        <v>145.84599999771933</v>
      </c>
      <c r="E70" s="13">
        <v>153.59699999954296</v>
      </c>
      <c r="F70" s="13">
        <v>161.86899999992463</v>
      </c>
      <c r="G70" s="13"/>
      <c r="H70" s="18"/>
    </row>
    <row r="71" spans="1:8" x14ac:dyDescent="0.2">
      <c r="A71" s="18" t="str">
        <f>name!A70</f>
        <v>Residential care</v>
      </c>
      <c r="B71" s="13">
        <v>36.402999999881303</v>
      </c>
      <c r="C71" s="13">
        <v>38.814000000034063</v>
      </c>
      <c r="D71" s="13">
        <v>47.32299999927249</v>
      </c>
      <c r="E71" s="13">
        <v>49.232999999814879</v>
      </c>
      <c r="F71" s="13">
        <v>50.45399999991804</v>
      </c>
      <c r="G71" s="13"/>
      <c r="H71" s="18"/>
    </row>
    <row r="72" spans="1:8" x14ac:dyDescent="0.2">
      <c r="A72" s="18" t="str">
        <f>name!A71</f>
        <v>Social work</v>
      </c>
      <c r="B72" s="13">
        <v>47.360999999788739</v>
      </c>
      <c r="C72" s="13">
        <v>54.359999999907046</v>
      </c>
      <c r="D72" s="13">
        <v>61.450999999012787</v>
      </c>
      <c r="E72" s="13">
        <v>64.188999999676</v>
      </c>
      <c r="F72" s="13">
        <v>66.016999999789874</v>
      </c>
      <c r="G72" s="13"/>
      <c r="H72" s="18"/>
    </row>
    <row r="73" spans="1:8" x14ac:dyDescent="0.2">
      <c r="A73" s="18" t="str">
        <f>name!A72</f>
        <v>Arts and entertainment</v>
      </c>
      <c r="B73" s="13">
        <v>2.6139999999985566</v>
      </c>
      <c r="C73" s="13">
        <v>3.3150000000114122</v>
      </c>
      <c r="D73" s="13">
        <v>6.1829999999488265</v>
      </c>
      <c r="E73" s="13">
        <v>7.0929999999332098</v>
      </c>
      <c r="F73" s="13">
        <v>7.5029999999469146</v>
      </c>
      <c r="G73" s="13"/>
      <c r="H73" s="18"/>
    </row>
    <row r="74" spans="1:8" x14ac:dyDescent="0.2">
      <c r="A74" s="18" t="str">
        <f>name!A73</f>
        <v>Libraries, etc</v>
      </c>
      <c r="B74" s="13">
        <v>7.8609999999876425</v>
      </c>
      <c r="C74" s="13">
        <v>5.3490000000174405</v>
      </c>
      <c r="D74" s="13">
        <v>5.2649999999601258</v>
      </c>
      <c r="E74" s="13">
        <v>6.0349999999492203</v>
      </c>
      <c r="F74" s="13">
        <v>6.3869999999607003</v>
      </c>
      <c r="G74" s="13"/>
      <c r="H74" s="18"/>
    </row>
    <row r="75" spans="1:8" x14ac:dyDescent="0.2">
      <c r="A75" s="18" t="str">
        <f>name!A74</f>
        <v>Gambling and betting</v>
      </c>
      <c r="B75" s="13">
        <v>5.5229999999992039</v>
      </c>
      <c r="C75" s="13">
        <v>5.1860000000017656</v>
      </c>
      <c r="D75" s="13">
        <v>4.388999999975014</v>
      </c>
      <c r="E75" s="13">
        <v>4.5539999999701291</v>
      </c>
      <c r="F75" s="13">
        <v>4.6769999999766823</v>
      </c>
      <c r="G75" s="13"/>
      <c r="H75" s="18"/>
    </row>
    <row r="76" spans="1:8" x14ac:dyDescent="0.2">
      <c r="A76" s="18" t="str">
        <f>name!A75</f>
        <v>Sport and recreation</v>
      </c>
      <c r="B76" s="13">
        <v>21.152999999969527</v>
      </c>
      <c r="C76" s="13">
        <v>26.894999999990862</v>
      </c>
      <c r="D76" s="13">
        <v>25.780999999887463</v>
      </c>
      <c r="E76" s="13">
        <v>26.532999999838822</v>
      </c>
      <c r="F76" s="13">
        <v>27.02599999987973</v>
      </c>
      <c r="G76" s="13"/>
      <c r="H76" s="18"/>
    </row>
    <row r="77" spans="1:8" x14ac:dyDescent="0.2">
      <c r="A77" s="18" t="str">
        <f>name!A76</f>
        <v>Membership organisations</v>
      </c>
      <c r="B77" s="13">
        <v>19.073000000001766</v>
      </c>
      <c r="C77" s="13">
        <v>20.282000000131138</v>
      </c>
      <c r="D77" s="13">
        <v>16.198999999866661</v>
      </c>
      <c r="E77" s="13">
        <v>16.532999999900575</v>
      </c>
      <c r="F77" s="13">
        <v>16.431999999938817</v>
      </c>
      <c r="G77" s="13"/>
      <c r="H77" s="18"/>
    </row>
    <row r="78" spans="1:8" x14ac:dyDescent="0.2">
      <c r="A78" s="18" t="str">
        <f>name!A77</f>
        <v>Repair of goods</v>
      </c>
      <c r="B78" s="13">
        <v>2.1010000000020175</v>
      </c>
      <c r="C78" s="13">
        <v>1.353999999997811</v>
      </c>
      <c r="D78" s="13">
        <v>1.8819999999875199</v>
      </c>
      <c r="E78" s="13">
        <v>1.9259999999891038</v>
      </c>
      <c r="F78" s="13">
        <v>1.9239999999946482</v>
      </c>
      <c r="G78" s="13"/>
      <c r="H78" s="18"/>
    </row>
    <row r="79" spans="1:8" x14ac:dyDescent="0.2">
      <c r="A79" s="18" t="str">
        <f>name!A78</f>
        <v>Other personal service</v>
      </c>
      <c r="B79" s="13">
        <v>15.71399999997624</v>
      </c>
      <c r="C79" s="13">
        <v>16.295999999964621</v>
      </c>
      <c r="D79" s="13">
        <v>25.868000000297496</v>
      </c>
      <c r="E79" s="13">
        <v>26.60100000013507</v>
      </c>
      <c r="F79" s="13">
        <v>26.62800000008119</v>
      </c>
      <c r="G79" s="13"/>
      <c r="H79" s="18"/>
    </row>
    <row r="80" spans="1:8" x14ac:dyDescent="0.2">
      <c r="A80" s="18"/>
      <c r="B80" s="13"/>
      <c r="C80" s="13"/>
      <c r="D80" s="13"/>
      <c r="E80" s="13"/>
      <c r="F80" s="13"/>
      <c r="G80" s="13"/>
      <c r="H80" s="18"/>
    </row>
    <row r="81" spans="1:7" x14ac:dyDescent="0.2">
      <c r="A81" s="28" t="str">
        <f>name!A3</f>
        <v>All industries</v>
      </c>
      <c r="B81" s="39">
        <f>SUM(B5:B79)</f>
        <v>1408.9670000019441</v>
      </c>
      <c r="C81" s="39">
        <f t="shared" ref="C81:F81" si="0">SUM(C5:C79)</f>
        <v>1357.8780000009847</v>
      </c>
      <c r="D81" s="39">
        <f t="shared" si="0"/>
        <v>1529.7600000008431</v>
      </c>
      <c r="E81" s="39">
        <f t="shared" si="0"/>
        <v>1546.2870000021678</v>
      </c>
      <c r="F81" s="39">
        <f t="shared" si="0"/>
        <v>1569.1730000018867</v>
      </c>
      <c r="G81" s="13"/>
    </row>
    <row r="82" spans="1:7" x14ac:dyDescent="0.2">
      <c r="A82" s="44"/>
      <c r="B82" s="47"/>
      <c r="C82" s="47"/>
      <c r="D82" s="47"/>
      <c r="E82" s="47"/>
      <c r="F82" s="47"/>
      <c r="G82" s="13"/>
    </row>
    <row r="83" spans="1:7" x14ac:dyDescent="0.2">
      <c r="A83" s="44"/>
      <c r="B83" s="47"/>
      <c r="C83" s="47"/>
      <c r="D83" s="47"/>
      <c r="E83" s="47"/>
      <c r="F83" s="47"/>
      <c r="G83" s="13"/>
    </row>
    <row r="84" spans="1:7" x14ac:dyDescent="0.2">
      <c r="A84" s="18"/>
      <c r="B84" s="13"/>
      <c r="C84" s="13"/>
      <c r="D84" s="13"/>
      <c r="E84" s="13"/>
      <c r="F84" s="13"/>
      <c r="G84" s="13"/>
    </row>
    <row r="85" spans="1:7" ht="15.75" x14ac:dyDescent="0.25">
      <c r="A85" s="23" t="str">
        <f>CONCATENATE($A$1," (Continued)")</f>
        <v>Industry Table 3  Employment by Industry (SIC 2007), 2007-2027 (Continued)</v>
      </c>
      <c r="B85" s="22"/>
      <c r="C85" s="22"/>
      <c r="D85" s="22"/>
      <c r="E85" s="22"/>
      <c r="F85" s="22"/>
      <c r="G85" s="13"/>
    </row>
    <row r="87" spans="1:7" x14ac:dyDescent="0.2">
      <c r="A87" s="41"/>
      <c r="B87" s="27">
        <f>B$3</f>
        <v>2007</v>
      </c>
      <c r="C87" s="27">
        <f>C$3</f>
        <v>2012</v>
      </c>
      <c r="D87" s="27">
        <f>D$3</f>
        <v>2017</v>
      </c>
      <c r="E87" s="27">
        <f>E$3</f>
        <v>2022</v>
      </c>
      <c r="F87" s="27">
        <f>F$3</f>
        <v>2027</v>
      </c>
      <c r="G87" s="13"/>
    </row>
    <row r="88" spans="1:7" x14ac:dyDescent="0.2">
      <c r="A88" s="78" t="s">
        <v>511</v>
      </c>
    </row>
    <row r="89" spans="1:7" x14ac:dyDescent="0.2">
      <c r="A89" s="18" t="str">
        <f>$A$5</f>
        <v>Agriculture, etc</v>
      </c>
      <c r="B89" s="22">
        <f t="shared" ref="B89:F98" si="1">B5/B$81*100</f>
        <v>2.6344123034785087</v>
      </c>
      <c r="C89" s="22">
        <f t="shared" si="1"/>
        <v>2.5994235122572644</v>
      </c>
      <c r="D89" s="22">
        <f t="shared" si="1"/>
        <v>3.9104826901278651</v>
      </c>
      <c r="E89" s="22">
        <f t="shared" si="1"/>
        <v>3.8600854822066948</v>
      </c>
      <c r="F89" s="22">
        <f t="shared" si="1"/>
        <v>3.8240525423425984</v>
      </c>
    </row>
    <row r="90" spans="1:7" x14ac:dyDescent="0.2">
      <c r="A90" s="18" t="str">
        <f>$A$6</f>
        <v>Coal, oil &amp; gas; Mining &amp; related</v>
      </c>
      <c r="B90" s="22">
        <f t="shared" si="1"/>
        <v>0.11554564443269355</v>
      </c>
      <c r="C90" s="22">
        <f t="shared" si="1"/>
        <v>0.22152211023270763</v>
      </c>
      <c r="D90" s="22">
        <f t="shared" si="1"/>
        <v>0.17806714778740154</v>
      </c>
      <c r="E90" s="22">
        <f t="shared" si="1"/>
        <v>0.16549321050917246</v>
      </c>
      <c r="F90" s="22">
        <f t="shared" si="1"/>
        <v>0.14122088514055592</v>
      </c>
    </row>
    <row r="91" spans="1:7" x14ac:dyDescent="0.2">
      <c r="A91" s="18" t="str">
        <f>$A$7</f>
        <v>Food products</v>
      </c>
      <c r="B91" s="22">
        <f t="shared" si="1"/>
        <v>1.5423356260185326</v>
      </c>
      <c r="C91" s="22">
        <f t="shared" si="1"/>
        <v>1.5105186179891321</v>
      </c>
      <c r="D91" s="22">
        <f t="shared" si="1"/>
        <v>1.1943703587553649</v>
      </c>
      <c r="E91" s="22">
        <f t="shared" si="1"/>
        <v>1.1148641875564997</v>
      </c>
      <c r="F91" s="22">
        <f t="shared" si="1"/>
        <v>1.0432884073219537</v>
      </c>
    </row>
    <row r="92" spans="1:7" x14ac:dyDescent="0.2">
      <c r="A92" s="18" t="str">
        <f>$A$8</f>
        <v>Beverages and tobacco</v>
      </c>
      <c r="B92" s="22">
        <f t="shared" si="1"/>
        <v>0.15160042783035912</v>
      </c>
      <c r="C92" s="22">
        <f t="shared" si="1"/>
        <v>0.14441650869766834</v>
      </c>
      <c r="D92" s="22">
        <f t="shared" si="1"/>
        <v>0.12498692605360259</v>
      </c>
      <c r="E92" s="22">
        <f t="shared" si="1"/>
        <v>0.11660189861147734</v>
      </c>
      <c r="F92" s="22">
        <f t="shared" si="1"/>
        <v>0.10916578350400007</v>
      </c>
    </row>
    <row r="93" spans="1:7" x14ac:dyDescent="0.2">
      <c r="A93" s="18" t="str">
        <f>$A$9</f>
        <v>Textiles</v>
      </c>
      <c r="B93" s="22">
        <f t="shared" si="1"/>
        <v>0.1242754443497026</v>
      </c>
      <c r="C93" s="22">
        <f t="shared" si="1"/>
        <v>0.21349487950881058</v>
      </c>
      <c r="D93" s="22">
        <f t="shared" si="1"/>
        <v>0.11439702960071439</v>
      </c>
      <c r="E93" s="22">
        <f t="shared" si="1"/>
        <v>9.3643676756166055E-2</v>
      </c>
      <c r="F93" s="22">
        <f t="shared" si="1"/>
        <v>8.6988496488318301E-2</v>
      </c>
    </row>
    <row r="94" spans="1:7" x14ac:dyDescent="0.2">
      <c r="A94" s="18" t="str">
        <f>$A$10</f>
        <v>Wearing apparel; Leather, etc</v>
      </c>
      <c r="B94" s="22">
        <f t="shared" si="1"/>
        <v>4.1590754077095976E-2</v>
      </c>
      <c r="C94" s="22">
        <f t="shared" si="1"/>
        <v>6.7458195802364854E-2</v>
      </c>
      <c r="D94" s="22">
        <f t="shared" si="1"/>
        <v>8.4915280828763137E-2</v>
      </c>
      <c r="E94" s="22">
        <f t="shared" si="1"/>
        <v>6.9262691854678482E-2</v>
      </c>
      <c r="F94" s="22">
        <f t="shared" si="1"/>
        <v>6.4874937307611055E-2</v>
      </c>
    </row>
    <row r="95" spans="1:7" x14ac:dyDescent="0.2">
      <c r="A95" s="18" t="str">
        <f>$A$11</f>
        <v xml:space="preserve">Wood and cork </v>
      </c>
      <c r="B95" s="22">
        <f t="shared" si="1"/>
        <v>0.25089303014172704</v>
      </c>
      <c r="C95" s="22">
        <f t="shared" si="1"/>
        <v>0.27903832302509157</v>
      </c>
      <c r="D95" s="22">
        <f t="shared" si="1"/>
        <v>0.26481278109031475</v>
      </c>
      <c r="E95" s="22">
        <f t="shared" si="1"/>
        <v>0.24646136195545887</v>
      </c>
      <c r="F95" s="22">
        <f t="shared" si="1"/>
        <v>0.22629754653794854</v>
      </c>
    </row>
    <row r="96" spans="1:7" x14ac:dyDescent="0.2">
      <c r="A96" s="18" t="str">
        <f>$A$12</f>
        <v>Paper, etc</v>
      </c>
      <c r="B96" s="22">
        <f t="shared" si="1"/>
        <v>0.40540339127653235</v>
      </c>
      <c r="C96" s="22">
        <f t="shared" si="1"/>
        <v>0.3439189676773749</v>
      </c>
      <c r="D96" s="22">
        <f t="shared" si="1"/>
        <v>0.18989906913535851</v>
      </c>
      <c r="E96" s="22">
        <f t="shared" si="1"/>
        <v>0.17836274895709714</v>
      </c>
      <c r="F96" s="22">
        <f t="shared" si="1"/>
        <v>0.16518255157102832</v>
      </c>
    </row>
    <row r="97" spans="1:6" x14ac:dyDescent="0.2">
      <c r="A97" s="18" t="str">
        <f>$A$13</f>
        <v>Printing and recording</v>
      </c>
      <c r="B97" s="22">
        <f t="shared" si="1"/>
        <v>0.33804908134664219</v>
      </c>
      <c r="C97" s="22">
        <f t="shared" si="1"/>
        <v>0.34811669383737021</v>
      </c>
      <c r="D97" s="22">
        <f t="shared" si="1"/>
        <v>0.37188840079471375</v>
      </c>
      <c r="E97" s="22">
        <f t="shared" si="1"/>
        <v>0.36623214189547648</v>
      </c>
      <c r="F97" s="22">
        <f t="shared" si="1"/>
        <v>0.34922854267510223</v>
      </c>
    </row>
    <row r="98" spans="1:6" x14ac:dyDescent="0.2">
      <c r="A98" s="18" t="str">
        <f>$A$14</f>
        <v>Coke and petroleum; Chemicals, etc</v>
      </c>
      <c r="B98" s="22">
        <f t="shared" si="1"/>
        <v>0.65331551412638289</v>
      </c>
      <c r="C98" s="22">
        <f t="shared" si="1"/>
        <v>0.36372928937330729</v>
      </c>
      <c r="D98" s="22">
        <f t="shared" si="1"/>
        <v>0.32305721158802231</v>
      </c>
      <c r="E98" s="22">
        <f t="shared" si="1"/>
        <v>0.30460063364608381</v>
      </c>
      <c r="F98" s="22">
        <f t="shared" si="1"/>
        <v>0.29168230653946636</v>
      </c>
    </row>
    <row r="99" spans="1:6" x14ac:dyDescent="0.2">
      <c r="A99" s="18" t="str">
        <f>$A$15</f>
        <v>Pharmaceuticals</v>
      </c>
      <c r="B99" s="22">
        <f t="shared" ref="B99:F108" si="2">B15/B$81*100</f>
        <v>0.19759156885732956</v>
      </c>
      <c r="C99" s="22">
        <f t="shared" si="2"/>
        <v>0.26099546498246767</v>
      </c>
      <c r="D99" s="22">
        <f t="shared" si="2"/>
        <v>0.21630844053949835</v>
      </c>
      <c r="E99" s="22">
        <f t="shared" si="2"/>
        <v>0.21037491746351425</v>
      </c>
      <c r="F99" s="22">
        <f t="shared" si="2"/>
        <v>0.20545854408655684</v>
      </c>
    </row>
    <row r="100" spans="1:6" x14ac:dyDescent="0.2">
      <c r="A100" s="18" t="str">
        <f>$A$16</f>
        <v>Rubber and plastic</v>
      </c>
      <c r="B100" s="22">
        <f t="shared" si="2"/>
        <v>0.82329820357265382</v>
      </c>
      <c r="C100" s="22">
        <f t="shared" si="2"/>
        <v>0.71700108550638375</v>
      </c>
      <c r="D100" s="22">
        <f t="shared" si="2"/>
        <v>0.58460150612072426</v>
      </c>
      <c r="E100" s="22">
        <f t="shared" si="2"/>
        <v>0.51115995930540903</v>
      </c>
      <c r="F100" s="22">
        <f t="shared" si="2"/>
        <v>0.45629130758291797</v>
      </c>
    </row>
    <row r="101" spans="1:6" x14ac:dyDescent="0.2">
      <c r="A101" s="18" t="str">
        <f>$A$17</f>
        <v>Other non-metallic</v>
      </c>
      <c r="B101" s="22">
        <f t="shared" si="2"/>
        <v>0.413068581449964</v>
      </c>
      <c r="C101" s="22">
        <f t="shared" si="2"/>
        <v>0.31659692549258528</v>
      </c>
      <c r="D101" s="22">
        <f t="shared" si="2"/>
        <v>0.20153488128951502</v>
      </c>
      <c r="E101" s="22">
        <f t="shared" si="2"/>
        <v>0.17467649925132447</v>
      </c>
      <c r="F101" s="22">
        <f t="shared" si="2"/>
        <v>0.15415763589961254</v>
      </c>
    </row>
    <row r="102" spans="1:6" x14ac:dyDescent="0.2">
      <c r="A102" s="18" t="str">
        <f>$A$18</f>
        <v>Basic metals</v>
      </c>
      <c r="B102" s="22">
        <f t="shared" si="2"/>
        <v>0.85452675612680884</v>
      </c>
      <c r="C102" s="22">
        <f t="shared" si="2"/>
        <v>0.68945811036373539</v>
      </c>
      <c r="D102" s="22">
        <f t="shared" si="2"/>
        <v>0.80254418993830712</v>
      </c>
      <c r="E102" s="22">
        <f t="shared" si="2"/>
        <v>0.70368566765659024</v>
      </c>
      <c r="F102" s="22">
        <f t="shared" si="2"/>
        <v>0.63568516663435859</v>
      </c>
    </row>
    <row r="103" spans="1:6" x14ac:dyDescent="0.2">
      <c r="A103" s="18" t="str">
        <f>$A$19</f>
        <v>Metal products</v>
      </c>
      <c r="B103" s="22">
        <f t="shared" si="2"/>
        <v>1.4895309826230534</v>
      </c>
      <c r="C103" s="22">
        <f t="shared" si="2"/>
        <v>1.1291883364877309</v>
      </c>
      <c r="D103" s="22">
        <f t="shared" si="2"/>
        <v>1.2716373810285946</v>
      </c>
      <c r="E103" s="22">
        <f t="shared" si="2"/>
        <v>1.1331014229439251</v>
      </c>
      <c r="F103" s="22">
        <f t="shared" si="2"/>
        <v>1.0440531413546081</v>
      </c>
    </row>
    <row r="104" spans="1:6" x14ac:dyDescent="0.2">
      <c r="A104" s="18" t="str">
        <f>$A$20</f>
        <v>Computer, etc</v>
      </c>
      <c r="B104" s="22">
        <f t="shared" si="2"/>
        <v>0.62407423310114041</v>
      </c>
      <c r="C104" s="22">
        <f t="shared" si="2"/>
        <v>0.49916119120659247</v>
      </c>
      <c r="D104" s="22">
        <f t="shared" si="2"/>
        <v>0.47817958372693753</v>
      </c>
      <c r="E104" s="22">
        <f t="shared" si="2"/>
        <v>0.50255870999237073</v>
      </c>
      <c r="F104" s="22">
        <f t="shared" si="2"/>
        <v>0.4520852703926192</v>
      </c>
    </row>
    <row r="105" spans="1:6" x14ac:dyDescent="0.2">
      <c r="A105" s="18" t="str">
        <f>$A$21</f>
        <v>Electrical equipment</v>
      </c>
      <c r="B105" s="22">
        <f t="shared" si="2"/>
        <v>0.55721674105392172</v>
      </c>
      <c r="C105" s="22">
        <f t="shared" si="2"/>
        <v>0.4111562305238719</v>
      </c>
      <c r="D105" s="22">
        <f t="shared" si="2"/>
        <v>0.32874437820348473</v>
      </c>
      <c r="E105" s="22">
        <f t="shared" si="2"/>
        <v>0.31611208009664643</v>
      </c>
      <c r="F105" s="22">
        <f t="shared" si="2"/>
        <v>0.30124148197573036</v>
      </c>
    </row>
    <row r="106" spans="1:6" x14ac:dyDescent="0.2">
      <c r="A106" s="18" t="str">
        <f>$A$22</f>
        <v>Machinery n.e.c.</v>
      </c>
      <c r="B106" s="22">
        <f t="shared" si="2"/>
        <v>0.58085107741670905</v>
      </c>
      <c r="C106" s="22">
        <f t="shared" si="2"/>
        <v>0.37720619966809688</v>
      </c>
      <c r="D106" s="22">
        <f t="shared" si="2"/>
        <v>0.29272565631228958</v>
      </c>
      <c r="E106" s="22">
        <f t="shared" si="2"/>
        <v>0.28765681920417407</v>
      </c>
      <c r="F106" s="22">
        <f t="shared" si="2"/>
        <v>0.26689217823470718</v>
      </c>
    </row>
    <row r="107" spans="1:6" x14ac:dyDescent="0.2">
      <c r="A107" s="18" t="str">
        <f>$A$23</f>
        <v>Motor vehicles, etc</v>
      </c>
      <c r="B107" s="22">
        <f t="shared" si="2"/>
        <v>1.0254321073492649</v>
      </c>
      <c r="C107" s="22">
        <f t="shared" si="2"/>
        <v>0.70418697407414477</v>
      </c>
      <c r="D107" s="22">
        <f t="shared" si="2"/>
        <v>0.60996496182488325</v>
      </c>
      <c r="E107" s="22">
        <f t="shared" si="2"/>
        <v>0.60900725414367796</v>
      </c>
      <c r="F107" s="22">
        <f t="shared" si="2"/>
        <v>0.61471870850896637</v>
      </c>
    </row>
    <row r="108" spans="1:6" x14ac:dyDescent="0.2">
      <c r="A108" s="18" t="str">
        <f>$A$24</f>
        <v>Other transport equipment</v>
      </c>
      <c r="B108" s="22">
        <f t="shared" si="2"/>
        <v>0.73976182550712422</v>
      </c>
      <c r="C108" s="22">
        <f t="shared" si="2"/>
        <v>0.87386348404191283</v>
      </c>
      <c r="D108" s="22">
        <f t="shared" si="2"/>
        <v>0.66016891538495182</v>
      </c>
      <c r="E108" s="22">
        <f t="shared" si="2"/>
        <v>0.72030612686298068</v>
      </c>
      <c r="F108" s="22">
        <f t="shared" si="2"/>
        <v>0.7320416550543577</v>
      </c>
    </row>
    <row r="109" spans="1:6" x14ac:dyDescent="0.2">
      <c r="A109" s="18" t="str">
        <f>$A$25</f>
        <v>Furniture</v>
      </c>
      <c r="B109" s="22">
        <f t="shared" ref="B109:F118" si="3">B25/B$81*100</f>
        <v>0.42946357153633646</v>
      </c>
      <c r="C109" s="22">
        <f t="shared" si="3"/>
        <v>0.35062060066649559</v>
      </c>
      <c r="D109" s="22">
        <f t="shared" si="3"/>
        <v>0.4481095073746455</v>
      </c>
      <c r="E109" s="22">
        <f t="shared" si="3"/>
        <v>0.43588286003362769</v>
      </c>
      <c r="F109" s="22">
        <f t="shared" si="3"/>
        <v>0.41155436653080413</v>
      </c>
    </row>
    <row r="110" spans="1:6" x14ac:dyDescent="0.2">
      <c r="A110" s="18" t="str">
        <f>$A$26</f>
        <v>Other manufacturing</v>
      </c>
      <c r="B110" s="22">
        <f t="shared" si="3"/>
        <v>0.51725838859151596</v>
      </c>
      <c r="C110" s="22">
        <f t="shared" si="3"/>
        <v>0.34200421539549369</v>
      </c>
      <c r="D110" s="22">
        <f t="shared" si="3"/>
        <v>0.37463392950616425</v>
      </c>
      <c r="E110" s="22">
        <f t="shared" si="3"/>
        <v>0.36189918171339452</v>
      </c>
      <c r="F110" s="22">
        <f t="shared" si="3"/>
        <v>0.33890463320070385</v>
      </c>
    </row>
    <row r="111" spans="1:6" x14ac:dyDescent="0.2">
      <c r="A111" s="18" t="str">
        <f>$A$27</f>
        <v>Repair and installation</v>
      </c>
      <c r="B111" s="22">
        <f t="shared" si="3"/>
        <v>0.45941459238966442</v>
      </c>
      <c r="C111" s="22">
        <f t="shared" si="3"/>
        <v>0.53620428343984061</v>
      </c>
      <c r="D111" s="22">
        <f t="shared" si="3"/>
        <v>0.65997280619442023</v>
      </c>
      <c r="E111" s="22">
        <f t="shared" si="3"/>
        <v>0.64347692245702426</v>
      </c>
      <c r="F111" s="22">
        <f t="shared" si="3"/>
        <v>0.6093018424319423</v>
      </c>
    </row>
    <row r="112" spans="1:6" x14ac:dyDescent="0.2">
      <c r="A112" s="18" t="str">
        <f>$A$28</f>
        <v>Electricity, gas, etc</v>
      </c>
      <c r="B112" s="22">
        <f t="shared" si="3"/>
        <v>0.32456402456316119</v>
      </c>
      <c r="C112" s="22">
        <f t="shared" si="3"/>
        <v>0.56617752110108466</v>
      </c>
      <c r="D112" s="22">
        <f t="shared" si="3"/>
        <v>0.50445821566643378</v>
      </c>
      <c r="E112" s="22">
        <f t="shared" si="3"/>
        <v>0.4896891715444735</v>
      </c>
      <c r="F112" s="22">
        <f t="shared" si="3"/>
        <v>0.48063534103683575</v>
      </c>
    </row>
    <row r="113" spans="1:6" x14ac:dyDescent="0.2">
      <c r="A113" s="18" t="str">
        <f>$A$29</f>
        <v>Water</v>
      </c>
      <c r="B113" s="22">
        <f t="shared" si="3"/>
        <v>0.14592250918566077</v>
      </c>
      <c r="C113" s="22">
        <f t="shared" si="3"/>
        <v>0.18153324525380837</v>
      </c>
      <c r="D113" s="22">
        <f t="shared" si="3"/>
        <v>0.16891538541890905</v>
      </c>
      <c r="E113" s="22">
        <f t="shared" si="3"/>
        <v>0.17823340686301289</v>
      </c>
      <c r="F113" s="22">
        <f t="shared" si="3"/>
        <v>0.19341398303319537</v>
      </c>
    </row>
    <row r="114" spans="1:6" x14ac:dyDescent="0.2">
      <c r="A114" s="18" t="str">
        <f>$A$30</f>
        <v>Sewerage</v>
      </c>
      <c r="B114" s="22">
        <f t="shared" si="3"/>
        <v>4.0455170348158112E-2</v>
      </c>
      <c r="C114" s="22">
        <f t="shared" si="3"/>
        <v>7.7400178807311523E-2</v>
      </c>
      <c r="D114" s="22">
        <f t="shared" si="3"/>
        <v>5.098839033549251E-2</v>
      </c>
      <c r="E114" s="22">
        <f t="shared" si="3"/>
        <v>5.3482956268040269E-2</v>
      </c>
      <c r="F114" s="22">
        <f t="shared" si="3"/>
        <v>5.0408718477071582E-2</v>
      </c>
    </row>
    <row r="115" spans="1:6" x14ac:dyDescent="0.2">
      <c r="A115" s="18" t="str">
        <f>$A$31</f>
        <v>Waste management</v>
      </c>
      <c r="B115" s="22">
        <f t="shared" si="3"/>
        <v>0.45281401196708676</v>
      </c>
      <c r="C115" s="22">
        <f t="shared" si="3"/>
        <v>0.6529305283579937</v>
      </c>
      <c r="D115" s="22">
        <f t="shared" si="3"/>
        <v>0.51923177491175743</v>
      </c>
      <c r="E115" s="22">
        <f t="shared" si="3"/>
        <v>0.55707640300964767</v>
      </c>
      <c r="F115" s="22">
        <f t="shared" si="3"/>
        <v>0.58323715739334936</v>
      </c>
    </row>
    <row r="116" spans="1:6" x14ac:dyDescent="0.2">
      <c r="A116" s="18" t="str">
        <f>$A$32</f>
        <v>Construction</v>
      </c>
      <c r="B116" s="22">
        <f t="shared" si="3"/>
        <v>2.1534216202589995</v>
      </c>
      <c r="C116" s="22">
        <f t="shared" si="3"/>
        <v>2.104975557413745</v>
      </c>
      <c r="D116" s="22">
        <f t="shared" si="3"/>
        <v>2.5210490534597221</v>
      </c>
      <c r="E116" s="22">
        <f t="shared" si="3"/>
        <v>2.5043863138087863</v>
      </c>
      <c r="F116" s="22">
        <f t="shared" si="3"/>
        <v>2.4869788098620775</v>
      </c>
    </row>
    <row r="117" spans="1:6" x14ac:dyDescent="0.2">
      <c r="A117" s="18" t="str">
        <f>$A$33</f>
        <v>Civil engineering</v>
      </c>
      <c r="B117" s="22">
        <f t="shared" si="3"/>
        <v>1.589462350804836</v>
      </c>
      <c r="C117" s="22">
        <f t="shared" si="3"/>
        <v>1.3213263636112103</v>
      </c>
      <c r="D117" s="22">
        <f t="shared" si="3"/>
        <v>1.2082287417681683</v>
      </c>
      <c r="E117" s="22">
        <f t="shared" si="3"/>
        <v>1.1973197731134944</v>
      </c>
      <c r="F117" s="22">
        <f t="shared" si="3"/>
        <v>1.186739766744398</v>
      </c>
    </row>
    <row r="118" spans="1:6" x14ac:dyDescent="0.2">
      <c r="A118" s="18" t="str">
        <f>$A$34</f>
        <v>Specialised construction</v>
      </c>
      <c r="B118" s="22">
        <f t="shared" si="3"/>
        <v>4.3787398853658752</v>
      </c>
      <c r="C118" s="22">
        <f t="shared" si="3"/>
        <v>2.8842797364202308</v>
      </c>
      <c r="D118" s="22">
        <f t="shared" si="3"/>
        <v>3.2714281979011912</v>
      </c>
      <c r="E118" s="22">
        <f t="shared" si="3"/>
        <v>3.2433177023561153</v>
      </c>
      <c r="F118" s="22">
        <f t="shared" si="3"/>
        <v>3.2155154339301655</v>
      </c>
    </row>
    <row r="119" spans="1:6" x14ac:dyDescent="0.2">
      <c r="A119" s="18" t="str">
        <f>$A$35</f>
        <v>Motor vehicle trade</v>
      </c>
      <c r="B119" s="22">
        <f t="shared" ref="B119:F128" si="4">B35/B$81*100</f>
        <v>1.7225385690324211</v>
      </c>
      <c r="C119" s="22">
        <f t="shared" si="4"/>
        <v>1.7313042850431761</v>
      </c>
      <c r="D119" s="22">
        <f t="shared" si="4"/>
        <v>1.7219694592686425</v>
      </c>
      <c r="E119" s="22">
        <f t="shared" si="4"/>
        <v>1.6945107861476245</v>
      </c>
      <c r="F119" s="22">
        <f t="shared" si="4"/>
        <v>1.6761695491681323</v>
      </c>
    </row>
    <row r="120" spans="1:6" x14ac:dyDescent="0.2">
      <c r="A120" s="18" t="str">
        <f>$A$36</f>
        <v>Wholesale trade</v>
      </c>
      <c r="B120" s="22">
        <f t="shared" si="4"/>
        <v>2.6970113565339142</v>
      </c>
      <c r="C120" s="22">
        <f t="shared" si="4"/>
        <v>2.5229807095665984</v>
      </c>
      <c r="D120" s="22">
        <f t="shared" si="4"/>
        <v>2.5670039744940372</v>
      </c>
      <c r="E120" s="22">
        <f t="shared" si="4"/>
        <v>2.4375811217289787</v>
      </c>
      <c r="F120" s="22">
        <f t="shared" si="4"/>
        <v>2.3213501634127653</v>
      </c>
    </row>
    <row r="121" spans="1:6" x14ac:dyDescent="0.2">
      <c r="A121" s="18" t="str">
        <f>$A$37</f>
        <v>Retail trade</v>
      </c>
      <c r="B121" s="22">
        <f t="shared" si="4"/>
        <v>10.69088204337034</v>
      </c>
      <c r="C121" s="22">
        <f t="shared" si="4"/>
        <v>10.521858370182523</v>
      </c>
      <c r="D121" s="22">
        <f t="shared" si="4"/>
        <v>8.9143395044913003</v>
      </c>
      <c r="E121" s="22">
        <f t="shared" si="4"/>
        <v>8.9612083657037953</v>
      </c>
      <c r="F121" s="22">
        <f t="shared" si="4"/>
        <v>8.9962674607278199</v>
      </c>
    </row>
    <row r="122" spans="1:6" x14ac:dyDescent="0.2">
      <c r="A122" s="18" t="str">
        <f>$A$38</f>
        <v>Land transport, etc</v>
      </c>
      <c r="B122" s="22">
        <f t="shared" si="4"/>
        <v>1.7666843865066224</v>
      </c>
      <c r="C122" s="22">
        <f t="shared" si="4"/>
        <v>1.7081063247189228</v>
      </c>
      <c r="D122" s="22">
        <f t="shared" si="4"/>
        <v>1.3433479761831517</v>
      </c>
      <c r="E122" s="22">
        <f t="shared" si="4"/>
        <v>1.285272397677873</v>
      </c>
      <c r="F122" s="22">
        <f t="shared" si="4"/>
        <v>1.3124747876597704</v>
      </c>
    </row>
    <row r="123" spans="1:6" x14ac:dyDescent="0.2">
      <c r="A123" s="18" t="str">
        <f>$A$39</f>
        <v>Water transport</v>
      </c>
      <c r="B123" s="22">
        <f t="shared" si="4"/>
        <v>9.1272542223852934E-2</v>
      </c>
      <c r="C123" s="22">
        <f t="shared" si="4"/>
        <v>8.2334348151512651E-2</v>
      </c>
      <c r="D123" s="22">
        <f t="shared" si="4"/>
        <v>5.8244430498939737E-2</v>
      </c>
      <c r="E123" s="22">
        <f t="shared" si="4"/>
        <v>4.7209864662796613E-2</v>
      </c>
      <c r="F123" s="22">
        <f t="shared" si="4"/>
        <v>4.2315283273389417E-2</v>
      </c>
    </row>
    <row r="124" spans="1:6" x14ac:dyDescent="0.2">
      <c r="A124" s="18" t="str">
        <f>$A$40</f>
        <v>Air transport</v>
      </c>
      <c r="B124" s="22">
        <f t="shared" si="4"/>
        <v>4.7836464586765826E-2</v>
      </c>
      <c r="C124" s="22">
        <f t="shared" si="4"/>
        <v>3.6012071776288027E-2</v>
      </c>
      <c r="D124" s="22">
        <f t="shared" si="4"/>
        <v>2.0656835059163693E-2</v>
      </c>
      <c r="E124" s="22">
        <f t="shared" si="4"/>
        <v>2.237618242915379E-2</v>
      </c>
      <c r="F124" s="22">
        <f t="shared" si="4"/>
        <v>2.5045039648125652E-2</v>
      </c>
    </row>
    <row r="125" spans="1:6" x14ac:dyDescent="0.2">
      <c r="A125" s="18" t="str">
        <f>$A$41</f>
        <v>Warehousing, etc</v>
      </c>
      <c r="B125" s="22">
        <f t="shared" si="4"/>
        <v>0.71094638838147561</v>
      </c>
      <c r="C125" s="22">
        <f t="shared" si="4"/>
        <v>0.76170318687364857</v>
      </c>
      <c r="D125" s="22">
        <f t="shared" si="4"/>
        <v>0.70939232298111154</v>
      </c>
      <c r="E125" s="22">
        <f t="shared" si="4"/>
        <v>0.69042810292580237</v>
      </c>
      <c r="F125" s="22">
        <f t="shared" si="4"/>
        <v>0.66901482499868536</v>
      </c>
    </row>
    <row r="126" spans="1:6" x14ac:dyDescent="0.2">
      <c r="A126" s="18" t="str">
        <f>$A$42</f>
        <v>Postal and courier</v>
      </c>
      <c r="B126" s="22">
        <f t="shared" si="4"/>
        <v>0.86822473485551332</v>
      </c>
      <c r="C126" s="22">
        <f t="shared" si="4"/>
        <v>0.71066767411079212</v>
      </c>
      <c r="D126" s="22">
        <f t="shared" si="4"/>
        <v>0.51204110449198026</v>
      </c>
      <c r="E126" s="22">
        <f t="shared" si="4"/>
        <v>0.50980186730950994</v>
      </c>
      <c r="F126" s="22">
        <f t="shared" si="4"/>
        <v>0.50262144454119673</v>
      </c>
    </row>
    <row r="127" spans="1:6" x14ac:dyDescent="0.2">
      <c r="A127" s="18" t="str">
        <f>$A$43</f>
        <v>Accommodation</v>
      </c>
      <c r="B127" s="22">
        <f t="shared" si="4"/>
        <v>1.9031673559279765</v>
      </c>
      <c r="C127" s="22">
        <f t="shared" si="4"/>
        <v>2.2255313069087097</v>
      </c>
      <c r="D127" s="22">
        <f t="shared" si="4"/>
        <v>2.7834431545183311</v>
      </c>
      <c r="E127" s="22">
        <f t="shared" si="4"/>
        <v>2.8949347695597853</v>
      </c>
      <c r="F127" s="22">
        <f t="shared" si="4"/>
        <v>3.0036841062263959</v>
      </c>
    </row>
    <row r="128" spans="1:6" x14ac:dyDescent="0.2">
      <c r="A128" s="18" t="str">
        <f>$A$44</f>
        <v>Food and beverage services</v>
      </c>
      <c r="B128" s="22">
        <f t="shared" si="4"/>
        <v>4.9174324167633445</v>
      </c>
      <c r="C128" s="22">
        <f t="shared" si="4"/>
        <v>5.1215941343163598</v>
      </c>
      <c r="D128" s="22">
        <f t="shared" si="4"/>
        <v>6.2423517415440708</v>
      </c>
      <c r="E128" s="22">
        <f t="shared" si="4"/>
        <v>6.1075337243669381</v>
      </c>
      <c r="F128" s="22">
        <f t="shared" si="4"/>
        <v>6.1691094608780883</v>
      </c>
    </row>
    <row r="129" spans="1:6" x14ac:dyDescent="0.2">
      <c r="A129" s="18" t="str">
        <f>$A$45</f>
        <v>Publishing activities</v>
      </c>
      <c r="B129" s="22">
        <f t="shared" ref="B129:F129" si="5">B45/B$81*100</f>
        <v>0.3822658727967525</v>
      </c>
      <c r="C129" s="22">
        <f t="shared" si="5"/>
        <v>0.29450362992705525</v>
      </c>
      <c r="D129" s="22">
        <f t="shared" si="5"/>
        <v>0.24088745946972828</v>
      </c>
      <c r="E129" s="22">
        <f t="shared" si="5"/>
        <v>0.23365649455647886</v>
      </c>
      <c r="F129" s="22">
        <f t="shared" si="5"/>
        <v>0.23368997554686222</v>
      </c>
    </row>
    <row r="130" spans="1:6" x14ac:dyDescent="0.2">
      <c r="A130" s="18" t="str">
        <f>$A$46</f>
        <v>Film and music</v>
      </c>
      <c r="B130" s="22">
        <f t="shared" ref="B130:B154" si="6">B46/B$81*100</f>
        <v>0.39021495890101876</v>
      </c>
      <c r="C130" s="22">
        <f t="shared" ref="C130:F130" si="7">C46/C$81*100</f>
        <v>0.15789341899577733</v>
      </c>
      <c r="D130" s="22">
        <f t="shared" si="7"/>
        <v>0.22859795000444269</v>
      </c>
      <c r="E130" s="22">
        <f t="shared" si="7"/>
        <v>0.22906485018445738</v>
      </c>
      <c r="F130" s="22">
        <f t="shared" si="7"/>
        <v>0.23496453227099828</v>
      </c>
    </row>
    <row r="131" spans="1:6" x14ac:dyDescent="0.2">
      <c r="A131" s="18" t="str">
        <f>$A$47</f>
        <v>Broadcasting</v>
      </c>
      <c r="B131" s="22">
        <f t="shared" si="6"/>
        <v>6.1818339251219941E-2</v>
      </c>
      <c r="C131" s="22">
        <f t="shared" ref="C131:F131" si="8">C47/C$81*100</f>
        <v>5.1698311630388571E-2</v>
      </c>
      <c r="D131" s="22">
        <f t="shared" si="8"/>
        <v>0.10080012550915925</v>
      </c>
      <c r="E131" s="22">
        <f t="shared" si="8"/>
        <v>9.66185449395566E-2</v>
      </c>
      <c r="F131" s="22">
        <f t="shared" si="8"/>
        <v>9.5655482218425555E-2</v>
      </c>
    </row>
    <row r="132" spans="1:6" x14ac:dyDescent="0.2">
      <c r="A132" s="18" t="str">
        <f>$A$48</f>
        <v>Telecommunications</v>
      </c>
      <c r="B132" s="22">
        <f t="shared" si="6"/>
        <v>0.56892744826068342</v>
      </c>
      <c r="C132" s="22">
        <f t="shared" ref="C132:F132" si="9">C48/C$81*100</f>
        <v>0.5493129721568113</v>
      </c>
      <c r="D132" s="22">
        <f t="shared" si="9"/>
        <v>0.29782449534237643</v>
      </c>
      <c r="E132" s="22">
        <f t="shared" si="9"/>
        <v>0.29548201595272339</v>
      </c>
      <c r="F132" s="22">
        <f t="shared" si="9"/>
        <v>0.29327550244807371</v>
      </c>
    </row>
    <row r="133" spans="1:6" x14ac:dyDescent="0.2">
      <c r="A133" s="18" t="str">
        <f>$A$49</f>
        <v>Computing services</v>
      </c>
      <c r="B133" s="22">
        <f t="shared" si="6"/>
        <v>0.85956590891688778</v>
      </c>
      <c r="C133" s="22">
        <f t="shared" ref="C133:F133" si="10">C49/C$81*100</f>
        <v>0.84742517370062476</v>
      </c>
      <c r="D133" s="22">
        <f t="shared" si="10"/>
        <v>1.5441637903782313</v>
      </c>
      <c r="E133" s="22">
        <f t="shared" si="10"/>
        <v>1.5629698755861055</v>
      </c>
      <c r="F133" s="22">
        <f t="shared" si="10"/>
        <v>1.577518858671608</v>
      </c>
    </row>
    <row r="134" spans="1:6" x14ac:dyDescent="0.2">
      <c r="A134" s="18" t="str">
        <f>$A$50</f>
        <v>Information services</v>
      </c>
      <c r="B134" s="22">
        <f t="shared" si="6"/>
        <v>6.3734636793716548E-2</v>
      </c>
      <c r="C134" s="22">
        <f t="shared" ref="C134:F134" si="11">C50/C$81*100</f>
        <v>0.10715248350709281</v>
      </c>
      <c r="D134" s="22">
        <f t="shared" si="11"/>
        <v>5.2099675765950405E-2</v>
      </c>
      <c r="E134" s="22">
        <f t="shared" si="11"/>
        <v>5.2060193223978105E-2</v>
      </c>
      <c r="F134" s="22">
        <f t="shared" si="11"/>
        <v>5.2065642220287423E-2</v>
      </c>
    </row>
    <row r="135" spans="1:6" x14ac:dyDescent="0.2">
      <c r="A135" s="18" t="str">
        <f>$A$51</f>
        <v>Financial services</v>
      </c>
      <c r="B135" s="22">
        <f t="shared" si="6"/>
        <v>1.3763274796218707</v>
      </c>
      <c r="C135" s="22">
        <f t="shared" ref="C135:F135" si="12">C51/C$81*100</f>
        <v>1.0799939317088227</v>
      </c>
      <c r="D135" s="22">
        <f t="shared" si="12"/>
        <v>0.97420510406296068</v>
      </c>
      <c r="E135" s="22">
        <f t="shared" si="12"/>
        <v>1.0207678134747986</v>
      </c>
      <c r="F135" s="22">
        <f t="shared" si="12"/>
        <v>1.0478768115410899</v>
      </c>
    </row>
    <row r="136" spans="1:6" x14ac:dyDescent="0.2">
      <c r="A136" s="18" t="str">
        <f>$A$52</f>
        <v>Insurance and pensions</v>
      </c>
      <c r="B136" s="22">
        <f t="shared" si="6"/>
        <v>0.37793645982860918</v>
      </c>
      <c r="C136" s="22">
        <f t="shared" ref="C136:F136" si="13">C52/C$81*100</f>
        <v>0.38486520880509911</v>
      </c>
      <c r="D136" s="22">
        <f t="shared" si="13"/>
        <v>0.46778579646056773</v>
      </c>
      <c r="E136" s="22">
        <f t="shared" si="13"/>
        <v>0.48380410622169506</v>
      </c>
      <c r="F136" s="22">
        <f t="shared" si="13"/>
        <v>0.49070433916390405</v>
      </c>
    </row>
    <row r="137" spans="1:6" x14ac:dyDescent="0.2">
      <c r="A137" s="18" t="str">
        <f>$A$53</f>
        <v>Auxiliary financial services</v>
      </c>
      <c r="B137" s="22">
        <f t="shared" si="6"/>
        <v>0.87787719654652008</v>
      </c>
      <c r="C137" s="22">
        <f t="shared" ref="C137:F137" si="14">C53/C$81*100</f>
        <v>0.84447940094658036</v>
      </c>
      <c r="D137" s="22">
        <f t="shared" si="14"/>
        <v>0.66422183871457241</v>
      </c>
      <c r="E137" s="22">
        <f t="shared" si="14"/>
        <v>0.69650718139081824</v>
      </c>
      <c r="F137" s="22">
        <f t="shared" si="14"/>
        <v>0.71649206301138035</v>
      </c>
    </row>
    <row r="138" spans="1:6" x14ac:dyDescent="0.2">
      <c r="A138" s="18" t="str">
        <f>$A$54</f>
        <v>Real estate</v>
      </c>
      <c r="B138" s="22">
        <f t="shared" si="6"/>
        <v>0.95474202021424359</v>
      </c>
      <c r="C138" s="22">
        <f t="shared" ref="C138:F138" si="15">C54/C$81*100</f>
        <v>1.2523216371381871</v>
      </c>
      <c r="D138" s="22">
        <f t="shared" si="15"/>
        <v>1.4585948122578036</v>
      </c>
      <c r="E138" s="22">
        <f t="shared" si="15"/>
        <v>1.5019204067563319</v>
      </c>
      <c r="F138" s="22">
        <f t="shared" si="15"/>
        <v>1.5450813900078522</v>
      </c>
    </row>
    <row r="139" spans="1:6" x14ac:dyDescent="0.2">
      <c r="A139" s="18" t="str">
        <f>$A$55</f>
        <v>Legal and accounting</v>
      </c>
      <c r="B139" s="22">
        <f t="shared" si="6"/>
        <v>1.705646761050023</v>
      </c>
      <c r="C139" s="22">
        <f t="shared" ref="C139:F139" si="16">C55/C$81*100</f>
        <v>1.3520360444873789</v>
      </c>
      <c r="D139" s="22">
        <f t="shared" si="16"/>
        <v>1.3981278108779933</v>
      </c>
      <c r="E139" s="22">
        <f t="shared" si="16"/>
        <v>1.3550524579067829</v>
      </c>
      <c r="F139" s="22">
        <f t="shared" si="16"/>
        <v>1.3402601242730052</v>
      </c>
    </row>
    <row r="140" spans="1:6" x14ac:dyDescent="0.2">
      <c r="A140" s="18" t="str">
        <f>$A$56</f>
        <v>Head offices, etc</v>
      </c>
      <c r="B140" s="22">
        <f t="shared" si="6"/>
        <v>0.76595122525129389</v>
      </c>
      <c r="C140" s="22">
        <f t="shared" ref="C140:F140" si="17">C56/C$81*100</f>
        <v>0.79881992344784414</v>
      </c>
      <c r="D140" s="22">
        <f t="shared" si="17"/>
        <v>0.94956071539154474</v>
      </c>
      <c r="E140" s="22">
        <f t="shared" si="17"/>
        <v>0.99037242115319635</v>
      </c>
      <c r="F140" s="22">
        <f t="shared" si="17"/>
        <v>0.98504116499122907</v>
      </c>
    </row>
    <row r="141" spans="1:6" x14ac:dyDescent="0.2">
      <c r="A141" s="18" t="str">
        <f>$A$57</f>
        <v>Architectural and related</v>
      </c>
      <c r="B141" s="22">
        <f t="shared" si="6"/>
        <v>1.2153584860236708</v>
      </c>
      <c r="C141" s="22">
        <f t="shared" ref="C141:F141" si="18">C57/C$81*100</f>
        <v>1.0775636692110804</v>
      </c>
      <c r="D141" s="22">
        <f t="shared" si="18"/>
        <v>1.4798399748744218</v>
      </c>
      <c r="E141" s="22">
        <f t="shared" si="18"/>
        <v>1.5986036227414919</v>
      </c>
      <c r="F141" s="22">
        <f t="shared" si="18"/>
        <v>1.592877267202607</v>
      </c>
    </row>
    <row r="142" spans="1:6" x14ac:dyDescent="0.2">
      <c r="A142" s="18" t="str">
        <f>$A$58</f>
        <v>Scientific research and development</v>
      </c>
      <c r="B142" s="22">
        <f t="shared" si="6"/>
        <v>0.20234682572341675</v>
      </c>
      <c r="C142" s="22">
        <f t="shared" ref="C142:F142" si="19">C58/C$81*100</f>
        <v>0.19582024306152193</v>
      </c>
      <c r="D142" s="22">
        <f t="shared" si="19"/>
        <v>0.26827737684126701</v>
      </c>
      <c r="E142" s="22">
        <f t="shared" si="19"/>
        <v>0.28907958225230279</v>
      </c>
      <c r="F142" s="22">
        <f t="shared" si="19"/>
        <v>0.30780544911444563</v>
      </c>
    </row>
    <row r="143" spans="1:6" x14ac:dyDescent="0.2">
      <c r="A143" s="18" t="str">
        <f>$A$59</f>
        <v>Advertising, etc</v>
      </c>
      <c r="B143" s="22">
        <f t="shared" si="6"/>
        <v>0.18715839334582424</v>
      </c>
      <c r="C143" s="22">
        <f t="shared" ref="C143:F143" si="20">C59/C$81*100</f>
        <v>0.13616834502190037</v>
      </c>
      <c r="D143" s="22">
        <f t="shared" si="20"/>
        <v>0.11407018094215368</v>
      </c>
      <c r="E143" s="22">
        <f t="shared" si="20"/>
        <v>0.12281031917013943</v>
      </c>
      <c r="F143" s="22">
        <f t="shared" si="20"/>
        <v>0.13057833648615602</v>
      </c>
    </row>
    <row r="144" spans="1:6" x14ac:dyDescent="0.2">
      <c r="A144" s="18" t="str">
        <f>$A$60</f>
        <v>Other professional</v>
      </c>
      <c r="B144" s="22">
        <f t="shared" si="6"/>
        <v>0.65537375963397093</v>
      </c>
      <c r="C144" s="22">
        <f t="shared" ref="C144:F144" si="21">C60/C$81*100</f>
        <v>0.39075675428984985</v>
      </c>
      <c r="D144" s="22">
        <f t="shared" si="21"/>
        <v>0.33665411567474818</v>
      </c>
      <c r="E144" s="22">
        <f t="shared" si="21"/>
        <v>0.36286924742663146</v>
      </c>
      <c r="F144" s="22">
        <f t="shared" si="21"/>
        <v>0.38631814337658443</v>
      </c>
    </row>
    <row r="145" spans="1:6" x14ac:dyDescent="0.2">
      <c r="A145" s="18" t="str">
        <f>$A$61</f>
        <v>Veterinary</v>
      </c>
      <c r="B145" s="22">
        <f t="shared" si="6"/>
        <v>0.21739331013120997</v>
      </c>
      <c r="C145" s="22">
        <f t="shared" ref="C145:F145" si="22">C61/C$81*100</f>
        <v>0.19140158394244455</v>
      </c>
      <c r="D145" s="22">
        <f t="shared" si="22"/>
        <v>0.13073946239585482</v>
      </c>
      <c r="E145" s="22">
        <f t="shared" si="22"/>
        <v>0.14065952827412218</v>
      </c>
      <c r="F145" s="22">
        <f t="shared" si="22"/>
        <v>0.14950550385281355</v>
      </c>
    </row>
    <row r="146" spans="1:6" x14ac:dyDescent="0.2">
      <c r="A146" s="18" t="str">
        <f>$A$62</f>
        <v>Rental and leasing</v>
      </c>
      <c r="B146" s="22">
        <f t="shared" si="6"/>
        <v>0.41541072289039693</v>
      </c>
      <c r="C146" s="22">
        <f t="shared" ref="C146:F146" si="23">C62/C$81*100</f>
        <v>0.59990661900205211</v>
      </c>
      <c r="D146" s="22">
        <f t="shared" si="23"/>
        <v>0.62186225290199237</v>
      </c>
      <c r="E146" s="22">
        <f t="shared" si="23"/>
        <v>0.64134277788997962</v>
      </c>
      <c r="F146" s="22">
        <f t="shared" si="23"/>
        <v>0.65047002465381132</v>
      </c>
    </row>
    <row r="147" spans="1:6" x14ac:dyDescent="0.2">
      <c r="A147" s="18" t="str">
        <f>$A$63</f>
        <v>Employment activities</v>
      </c>
      <c r="B147" s="22">
        <f t="shared" si="6"/>
        <v>2.3020411407676242</v>
      </c>
      <c r="C147" s="22">
        <f t="shared" ref="C147:F147" si="24">C63/C$81*100</f>
        <v>2.1006305426362726</v>
      </c>
      <c r="D147" s="22">
        <f t="shared" si="24"/>
        <v>1.9573004915827183</v>
      </c>
      <c r="E147" s="22">
        <f t="shared" si="24"/>
        <v>2.0101054978695565</v>
      </c>
      <c r="F147" s="22">
        <f t="shared" si="24"/>
        <v>2.0267363764121478</v>
      </c>
    </row>
    <row r="148" spans="1:6" x14ac:dyDescent="0.2">
      <c r="A148" s="18" t="str">
        <f>$A$64</f>
        <v>Travel, etc</v>
      </c>
      <c r="B148" s="22">
        <f t="shared" si="6"/>
        <v>0.24748627895337783</v>
      </c>
      <c r="C148" s="22">
        <f t="shared" ref="C148:F148" si="25">C64/C$81*100</f>
        <v>0.26224741839540899</v>
      </c>
      <c r="D148" s="22">
        <f t="shared" si="25"/>
        <v>0.18074730676781503</v>
      </c>
      <c r="E148" s="22">
        <f t="shared" si="25"/>
        <v>0.18618794570385591</v>
      </c>
      <c r="F148" s="22">
        <f t="shared" si="25"/>
        <v>0.18831575613290219</v>
      </c>
    </row>
    <row r="149" spans="1:6" x14ac:dyDescent="0.2">
      <c r="A149" s="18" t="str">
        <f>$A$65</f>
        <v>Security, etc</v>
      </c>
      <c r="B149" s="22">
        <f t="shared" si="6"/>
        <v>0.3839692483905297</v>
      </c>
      <c r="C149" s="22">
        <f t="shared" ref="C149:F149" si="26">C65/C$81*100</f>
        <v>0.47706789563843044</v>
      </c>
      <c r="D149" s="22">
        <f t="shared" si="26"/>
        <v>0.36665882229922392</v>
      </c>
      <c r="E149" s="22">
        <f t="shared" si="26"/>
        <v>0.37580345692419315</v>
      </c>
      <c r="F149" s="22">
        <f t="shared" si="26"/>
        <v>0.37879825869865741</v>
      </c>
    </row>
    <row r="150" spans="1:6" x14ac:dyDescent="0.2">
      <c r="A150" s="18" t="str">
        <f>$A$66</f>
        <v>Services to buildings</v>
      </c>
      <c r="B150" s="22">
        <f t="shared" si="6"/>
        <v>1.374482156068207</v>
      </c>
      <c r="C150" s="22">
        <f t="shared" ref="C150:F150" si="27">C66/C$81*100</f>
        <v>2.055928441271083</v>
      </c>
      <c r="D150" s="22">
        <f t="shared" si="27"/>
        <v>1.3271362828195412</v>
      </c>
      <c r="E150" s="22">
        <f t="shared" si="27"/>
        <v>1.3608728521928106</v>
      </c>
      <c r="F150" s="22">
        <f t="shared" si="27"/>
        <v>1.3646041577302672</v>
      </c>
    </row>
    <row r="151" spans="1:6" x14ac:dyDescent="0.2">
      <c r="A151" s="18" t="str">
        <f>$A$67</f>
        <v>Office administrative</v>
      </c>
      <c r="B151" s="22">
        <f t="shared" si="6"/>
        <v>0.95821974538380461</v>
      </c>
      <c r="C151" s="22">
        <f t="shared" ref="C151:F151" si="28">C67/C$81*100</f>
        <v>1.0189427916104261</v>
      </c>
      <c r="D151" s="22">
        <f t="shared" si="28"/>
        <v>1.2205182512320718</v>
      </c>
      <c r="E151" s="22">
        <f t="shared" si="28"/>
        <v>1.2580458866894788</v>
      </c>
      <c r="F151" s="22">
        <f t="shared" si="28"/>
        <v>1.2741743580793621</v>
      </c>
    </row>
    <row r="152" spans="1:6" x14ac:dyDescent="0.2">
      <c r="A152" s="18" t="str">
        <f>$A$68</f>
        <v>Public administration and defence</v>
      </c>
      <c r="B152" s="22">
        <f t="shared" si="6"/>
        <v>6.7921392055399918</v>
      </c>
      <c r="C152" s="22">
        <f t="shared" ref="C152:F152" si="29">C68/C$81*100</f>
        <v>6.2213983878142436</v>
      </c>
      <c r="D152" s="22">
        <f t="shared" si="29"/>
        <v>5.4629484363106009</v>
      </c>
      <c r="E152" s="22">
        <f t="shared" si="29"/>
        <v>5.35139983715227</v>
      </c>
      <c r="F152" s="22">
        <f t="shared" si="29"/>
        <v>5.2681253118714872</v>
      </c>
    </row>
    <row r="153" spans="1:6" x14ac:dyDescent="0.2">
      <c r="A153" s="18" t="str">
        <f>$A$69</f>
        <v xml:space="preserve">Education </v>
      </c>
      <c r="B153" s="22">
        <f t="shared" si="6"/>
        <v>8.6200741396852187</v>
      </c>
      <c r="C153" s="22">
        <f t="shared" ref="C153:F153" si="30">C69/C$81*100</f>
        <v>10.310941042277214</v>
      </c>
      <c r="D153" s="22">
        <f t="shared" si="30"/>
        <v>9.1153514275812277</v>
      </c>
      <c r="E153" s="22">
        <f t="shared" si="30"/>
        <v>8.7421675278713078</v>
      </c>
      <c r="F153" s="22">
        <f t="shared" si="30"/>
        <v>8.7194337400212714</v>
      </c>
    </row>
    <row r="154" spans="1:6" x14ac:dyDescent="0.2">
      <c r="A154" s="18" t="str">
        <f>$A$70</f>
        <v>Health</v>
      </c>
      <c r="B154" s="22">
        <f t="shared" si="6"/>
        <v>7.3733451528176648</v>
      </c>
      <c r="C154" s="22">
        <f t="shared" ref="C154:F154" si="31">C70/C$81*100</f>
        <v>8.074878597360815</v>
      </c>
      <c r="D154" s="22">
        <f t="shared" si="31"/>
        <v>9.5339138163920456</v>
      </c>
      <c r="E154" s="22">
        <f t="shared" si="31"/>
        <v>9.9332788802678689</v>
      </c>
      <c r="F154" s="22">
        <f t="shared" si="31"/>
        <v>10.315561126767411</v>
      </c>
    </row>
    <row r="155" spans="1:6" x14ac:dyDescent="0.2">
      <c r="A155" s="18" t="str">
        <f>$A$71</f>
        <v>Residential care</v>
      </c>
      <c r="B155" s="22">
        <f t="shared" ref="B155:F155" si="32">B71/B$81*100</f>
        <v>2.5836659055769986</v>
      </c>
      <c r="C155" s="22">
        <f t="shared" si="32"/>
        <v>2.8584305806564299</v>
      </c>
      <c r="D155" s="22">
        <f t="shared" si="32"/>
        <v>3.0934917895124996</v>
      </c>
      <c r="E155" s="22">
        <f t="shared" si="32"/>
        <v>3.1839496807349383</v>
      </c>
      <c r="F155" s="22">
        <f t="shared" si="32"/>
        <v>3.2153242504081683</v>
      </c>
    </row>
    <row r="156" spans="1:6" x14ac:dyDescent="0.2">
      <c r="A156" s="18" t="str">
        <f>$A$72</f>
        <v>Social work</v>
      </c>
      <c r="B156" s="22">
        <f t="shared" ref="B156:F156" si="33">B72/B$81*100</f>
        <v>3.3613988120178391</v>
      </c>
      <c r="C156" s="22">
        <f t="shared" si="33"/>
        <v>4.0033051570073033</v>
      </c>
      <c r="D156" s="22">
        <f t="shared" si="33"/>
        <v>4.0170353518838855</v>
      </c>
      <c r="E156" s="22">
        <f t="shared" si="33"/>
        <v>4.1511698668866783</v>
      </c>
      <c r="F156" s="22">
        <f t="shared" si="33"/>
        <v>4.2071205660376831</v>
      </c>
    </row>
    <row r="157" spans="1:6" x14ac:dyDescent="0.2">
      <c r="A157" s="18" t="str">
        <f>$A$73</f>
        <v>Arts and entertainment</v>
      </c>
      <c r="B157" s="22">
        <f t="shared" ref="B157:F157" si="34">B73/B$81*100</f>
        <v>0.18552599173685044</v>
      </c>
      <c r="C157" s="22">
        <f t="shared" si="34"/>
        <v>0.24413091603288425</v>
      </c>
      <c r="D157" s="22">
        <f t="shared" si="34"/>
        <v>0.40418104800396271</v>
      </c>
      <c r="E157" s="22">
        <f t="shared" si="34"/>
        <v>0.45871173979495822</v>
      </c>
      <c r="F157" s="22">
        <f t="shared" si="34"/>
        <v>0.47814995541842059</v>
      </c>
    </row>
    <row r="158" spans="1:6" x14ac:dyDescent="0.2">
      <c r="A158" s="18" t="str">
        <f>$A$74</f>
        <v>Libraries, etc</v>
      </c>
      <c r="B158" s="22">
        <f t="shared" ref="B158:F158" si="35">B74/B$81*100</f>
        <v>0.55792648088825325</v>
      </c>
      <c r="C158" s="22">
        <f t="shared" si="35"/>
        <v>0.39392345998783107</v>
      </c>
      <c r="D158" s="22">
        <f t="shared" si="35"/>
        <v>0.34417163476344159</v>
      </c>
      <c r="E158" s="22">
        <f t="shared" si="35"/>
        <v>0.39028977155862782</v>
      </c>
      <c r="F158" s="22">
        <f t="shared" si="35"/>
        <v>0.40702969015863899</v>
      </c>
    </row>
    <row r="159" spans="1:6" x14ac:dyDescent="0.2">
      <c r="A159" s="18" t="str">
        <f>$A$75</f>
        <v>Gambling and betting</v>
      </c>
      <c r="B159" s="22">
        <f t="shared" ref="B159:F159" si="36">B75/B$81*100</f>
        <v>0.39198930847859342</v>
      </c>
      <c r="C159" s="22">
        <f t="shared" si="36"/>
        <v>0.38191943606111928</v>
      </c>
      <c r="D159" s="22">
        <f t="shared" si="36"/>
        <v>0.28690775023353959</v>
      </c>
      <c r="E159" s="22">
        <f t="shared" si="36"/>
        <v>0.29451195023716453</v>
      </c>
      <c r="F159" s="22">
        <f t="shared" si="36"/>
        <v>0.29805509016348475</v>
      </c>
    </row>
    <row r="160" spans="1:6" x14ac:dyDescent="0.2">
      <c r="A160" s="18" t="str">
        <f>$A$76</f>
        <v>Sport and recreation</v>
      </c>
      <c r="B160" s="22">
        <f t="shared" ref="B160:F160" si="37">B76/B$81*100</f>
        <v>1.5013126638125902</v>
      </c>
      <c r="C160" s="22">
        <f t="shared" si="37"/>
        <v>1.9806639477163162</v>
      </c>
      <c r="D160" s="22">
        <f t="shared" si="37"/>
        <v>1.6852970400502858</v>
      </c>
      <c r="E160" s="22">
        <f t="shared" si="37"/>
        <v>1.7159169028648384</v>
      </c>
      <c r="F160" s="22">
        <f t="shared" si="37"/>
        <v>1.7223085026219058</v>
      </c>
    </row>
    <row r="161" spans="1:6" x14ac:dyDescent="0.2">
      <c r="A161" s="18" t="str">
        <f>$A$77</f>
        <v>Membership organisations</v>
      </c>
      <c r="B161" s="22">
        <f t="shared" ref="B161:F161" si="38">B77/B$81*100</f>
        <v>1.3536867790356657</v>
      </c>
      <c r="C161" s="22">
        <f t="shared" si="38"/>
        <v>1.4936540690781079</v>
      </c>
      <c r="D161" s="22">
        <f t="shared" si="38"/>
        <v>1.0589242756940782</v>
      </c>
      <c r="E161" s="22">
        <f t="shared" si="38"/>
        <v>1.0692064280355069</v>
      </c>
      <c r="F161" s="22">
        <f t="shared" si="38"/>
        <v>1.0471758053394407</v>
      </c>
    </row>
    <row r="162" spans="1:6" x14ac:dyDescent="0.2">
      <c r="A162" s="18" t="str">
        <f>$A$78</f>
        <v>Repair of goods</v>
      </c>
      <c r="B162" s="22">
        <f t="shared" ref="B162:F162" si="39">B78/B$81*100</f>
        <v>0.14911633842376143</v>
      </c>
      <c r="C162" s="22">
        <f t="shared" si="39"/>
        <v>9.9714407332384E-2</v>
      </c>
      <c r="D162" s="22">
        <f t="shared" si="39"/>
        <v>0.12302583411688647</v>
      </c>
      <c r="E162" s="22">
        <f t="shared" si="39"/>
        <v>0.12455643745219377</v>
      </c>
      <c r="F162" s="22">
        <f t="shared" si="39"/>
        <v>0.12261235695441706</v>
      </c>
    </row>
    <row r="163" spans="1:6" x14ac:dyDescent="0.2">
      <c r="A163" s="18" t="str">
        <f>$A$79</f>
        <v>Other personal service</v>
      </c>
      <c r="B163" s="22">
        <f>B79/B$81*100</f>
        <v>1.1152851699120387</v>
      </c>
      <c r="C163" s="22">
        <f t="shared" ref="C163:F163" si="40">C79/C$81*100</f>
        <v>1.2001078152788986</v>
      </c>
      <c r="D163" s="22">
        <f t="shared" si="40"/>
        <v>1.6909842066914575</v>
      </c>
      <c r="E163" s="22">
        <f t="shared" si="40"/>
        <v>1.7203145341128636</v>
      </c>
      <c r="F163" s="22">
        <f t="shared" si="40"/>
        <v>1.6969448238052256</v>
      </c>
    </row>
    <row r="164" spans="1:6" x14ac:dyDescent="0.2">
      <c r="A164" s="44"/>
      <c r="B164" s="22"/>
      <c r="C164" s="22"/>
      <c r="D164" s="22"/>
      <c r="E164" s="22"/>
      <c r="F164" s="22"/>
    </row>
    <row r="165" spans="1:6" x14ac:dyDescent="0.2">
      <c r="A165" s="28" t="str">
        <f>$A$81</f>
        <v>All industries</v>
      </c>
      <c r="B165" s="30">
        <f>B81/B$81*100</f>
        <v>100</v>
      </c>
      <c r="C165" s="30">
        <f>C81/C$81*100</f>
        <v>100</v>
      </c>
      <c r="D165" s="30">
        <f>D81/D$81*100</f>
        <v>100</v>
      </c>
      <c r="E165" s="30">
        <f>E81/E$81*100</f>
        <v>100</v>
      </c>
      <c r="F165" s="30">
        <f>F81/F$81*100</f>
        <v>100</v>
      </c>
    </row>
    <row r="166" spans="1:6" x14ac:dyDescent="0.2">
      <c r="A166" s="44"/>
      <c r="B166" s="45"/>
      <c r="C166" s="45"/>
      <c r="D166" s="45"/>
      <c r="E166" s="45"/>
      <c r="F166" s="45"/>
    </row>
    <row r="167" spans="1:6" x14ac:dyDescent="0.2">
      <c r="A167" s="44"/>
      <c r="B167" s="45"/>
      <c r="C167" s="45"/>
      <c r="D167" s="45"/>
      <c r="E167" s="45"/>
      <c r="F167" s="45"/>
    </row>
    <row r="168" spans="1:6" x14ac:dyDescent="0.2">
      <c r="A168" s="44"/>
      <c r="B168" s="45"/>
      <c r="C168" s="45"/>
      <c r="D168" s="45"/>
      <c r="E168" s="45"/>
      <c r="F168" s="45"/>
    </row>
    <row r="169" spans="1:6" ht="15.75" x14ac:dyDescent="0.25">
      <c r="A169" s="23" t="str">
        <f>CONCATENATE($A$1," (Continued)")</f>
        <v>Industry Table 3  Employment by Industry (SIC 2007), 2007-2027 (Continued)</v>
      </c>
      <c r="B169" s="22"/>
      <c r="C169" s="22"/>
      <c r="D169" s="22"/>
      <c r="E169" s="22"/>
      <c r="F169" s="22"/>
    </row>
    <row r="171" spans="1:6" x14ac:dyDescent="0.2">
      <c r="A171" s="26"/>
      <c r="B171" s="29" t="str">
        <f>CONCATENATE(B$3,"-",C$3)</f>
        <v>2007-2012</v>
      </c>
      <c r="C171" s="29" t="str">
        <f>CONCATENATE(C$3,"-",D$3)</f>
        <v>2012-2017</v>
      </c>
      <c r="D171" s="29" t="str">
        <f>CONCATENATE(D$3,"-",E$3)</f>
        <v>2017-2022</v>
      </c>
      <c r="E171" s="29" t="str">
        <f>CONCATENATE(E$3,"-",F$3)</f>
        <v>2022-2027</v>
      </c>
      <c r="F171" s="29" t="str">
        <f>CONCATENATE(C$3,"-",F$3)</f>
        <v>2012-2027</v>
      </c>
    </row>
    <row r="172" spans="1:6" x14ac:dyDescent="0.2">
      <c r="A172" s="32" t="s">
        <v>14</v>
      </c>
    </row>
    <row r="173" spans="1:6" x14ac:dyDescent="0.2">
      <c r="A173" s="18" t="str">
        <f>$A$5</f>
        <v>Agriculture, etc</v>
      </c>
      <c r="B173" s="22">
        <f t="shared" ref="B173:E192" si="41">IF(AND(C$3-B$3 &lt;&gt; 0,B5&lt;&gt;0,C5&lt;&gt;0),(EXP(LN(C5/B5)/(C$3-B$3))-1)*100,0)</f>
        <v>-1.0010369879377312</v>
      </c>
      <c r="C173" s="22">
        <f t="shared" si="41"/>
        <v>11.127917206712468</v>
      </c>
      <c r="D173" s="22">
        <f t="shared" si="41"/>
        <v>-4.4505587590137896E-2</v>
      </c>
      <c r="E173" s="22">
        <f t="shared" si="41"/>
        <v>0.10632772895311504</v>
      </c>
      <c r="F173" s="22">
        <f t="shared" ref="F173:F204" si="42">IF(AND(F$3-C$3 &lt;&gt; 0,C5&lt;&gt;0,F5&lt;&gt;0),(EXP(LN(F5/C5)/(F$3-C$3))-1)*100,0)</f>
        <v>3.6009629677342447</v>
      </c>
    </row>
    <row r="174" spans="1:6" x14ac:dyDescent="0.2">
      <c r="A174" s="18" t="str">
        <f>$A$6</f>
        <v>Coal, oil &amp; gas; Mining &amp; related</v>
      </c>
      <c r="B174" s="22">
        <f t="shared" si="41"/>
        <v>13.064088599624757</v>
      </c>
      <c r="C174" s="22">
        <f t="shared" si="41"/>
        <v>-1.9639387986142287</v>
      </c>
      <c r="D174" s="22">
        <f t="shared" si="41"/>
        <v>-1.2419203410068302</v>
      </c>
      <c r="E174" s="22">
        <f t="shared" si="41"/>
        <v>-2.8372285496439997</v>
      </c>
      <c r="F174" s="22">
        <f t="shared" si="42"/>
        <v>-2.0165346509173121</v>
      </c>
    </row>
    <row r="175" spans="1:6" x14ac:dyDescent="0.2">
      <c r="A175" s="18" t="str">
        <f>$A$7</f>
        <v>Food products</v>
      </c>
      <c r="B175" s="22">
        <f t="shared" si="41"/>
        <v>-1.1489186362646953</v>
      </c>
      <c r="C175" s="22">
        <f t="shared" si="41"/>
        <v>-2.2863814187393694</v>
      </c>
      <c r="D175" s="22">
        <f t="shared" si="41"/>
        <v>-1.1560823039124202</v>
      </c>
      <c r="E175" s="22">
        <f t="shared" si="41"/>
        <v>-1.0279358927134941</v>
      </c>
      <c r="F175" s="22">
        <f t="shared" si="42"/>
        <v>-1.4917603508102673</v>
      </c>
    </row>
    <row r="176" spans="1:6" x14ac:dyDescent="0.2">
      <c r="A176" s="18" t="str">
        <f>$A$8</f>
        <v>Beverages and tobacco</v>
      </c>
      <c r="B176" s="22">
        <f t="shared" si="41"/>
        <v>-1.6950766139573137</v>
      </c>
      <c r="C176" s="22">
        <f t="shared" si="41"/>
        <v>-0.50481615019766224</v>
      </c>
      <c r="D176" s="22">
        <f t="shared" si="41"/>
        <v>-1.1670934147074208</v>
      </c>
      <c r="E176" s="22">
        <f t="shared" si="41"/>
        <v>-1.0188883010292749</v>
      </c>
      <c r="F176" s="22">
        <f t="shared" si="42"/>
        <v>-0.89733852201590025</v>
      </c>
    </row>
    <row r="177" spans="1:6" x14ac:dyDescent="0.2">
      <c r="A177" s="18" t="str">
        <f>$A$9</f>
        <v>Textiles</v>
      </c>
      <c r="B177" s="22">
        <f t="shared" si="41"/>
        <v>10.609496106277394</v>
      </c>
      <c r="C177" s="22">
        <f t="shared" si="41"/>
        <v>-9.6021780539147343</v>
      </c>
      <c r="D177" s="22">
        <f t="shared" si="41"/>
        <v>-3.7177783829698718</v>
      </c>
      <c r="E177" s="22">
        <f t="shared" si="41"/>
        <v>-1.1736358360075028</v>
      </c>
      <c r="F177" s="22">
        <f t="shared" si="42"/>
        <v>-4.8974206928893533</v>
      </c>
    </row>
    <row r="178" spans="1:6" x14ac:dyDescent="0.2">
      <c r="A178" s="18" t="str">
        <f>$A$10</f>
        <v>Wearing apparel; Leather, etc</v>
      </c>
      <c r="B178" s="22">
        <f t="shared" si="41"/>
        <v>9.3451617943481438</v>
      </c>
      <c r="C178" s="22">
        <f t="shared" si="41"/>
        <v>7.236525804263283</v>
      </c>
      <c r="D178" s="22">
        <f t="shared" si="41"/>
        <v>-3.7864888126525442</v>
      </c>
      <c r="E178" s="22">
        <f t="shared" si="41"/>
        <v>-1.0099231452553203</v>
      </c>
      <c r="F178" s="22">
        <f t="shared" si="42"/>
        <v>0.70634179152662124</v>
      </c>
    </row>
    <row r="179" spans="1:6" x14ac:dyDescent="0.2">
      <c r="A179" s="18" t="str">
        <f>$A$11</f>
        <v xml:space="preserve">Wood and cork </v>
      </c>
      <c r="B179" s="22">
        <f t="shared" si="41"/>
        <v>1.3974509744265173</v>
      </c>
      <c r="C179" s="22">
        <f t="shared" si="41"/>
        <v>1.3462135872077452</v>
      </c>
      <c r="D179" s="22">
        <f t="shared" si="41"/>
        <v>-1.2140135128877017</v>
      </c>
      <c r="E179" s="22">
        <f t="shared" si="41"/>
        <v>-1.4033078963373913</v>
      </c>
      <c r="F179" s="22">
        <f t="shared" si="42"/>
        <v>-0.43155198053105304</v>
      </c>
    </row>
    <row r="180" spans="1:6" x14ac:dyDescent="0.2">
      <c r="A180" s="18" t="str">
        <f>$A$12</f>
        <v>Paper, etc</v>
      </c>
      <c r="B180" s="22">
        <f t="shared" si="41"/>
        <v>-3.9481494732935052</v>
      </c>
      <c r="C180" s="22">
        <f t="shared" si="41"/>
        <v>-9.0577172573404923</v>
      </c>
      <c r="D180" s="22">
        <f t="shared" si="41"/>
        <v>-1.0331778865344532</v>
      </c>
      <c r="E180" s="22">
        <f t="shared" si="41"/>
        <v>-1.2338449532113382</v>
      </c>
      <c r="F180" s="22">
        <f t="shared" si="42"/>
        <v>-3.8488371156851775</v>
      </c>
    </row>
    <row r="181" spans="1:6" x14ac:dyDescent="0.2">
      <c r="A181" s="18" t="str">
        <f>$A$13</f>
        <v>Printing and recording</v>
      </c>
      <c r="B181" s="22">
        <f t="shared" si="41"/>
        <v>-0.15162433428262956</v>
      </c>
      <c r="C181" s="22">
        <f t="shared" si="41"/>
        <v>3.7743606278672237</v>
      </c>
      <c r="D181" s="22">
        <f t="shared" si="41"/>
        <v>-9.157202009438814E-2</v>
      </c>
      <c r="E181" s="22">
        <f t="shared" si="41"/>
        <v>-0.65482036931610033</v>
      </c>
      <c r="F181" s="22">
        <f t="shared" si="42"/>
        <v>0.9903003339101879</v>
      </c>
    </row>
    <row r="182" spans="1:6" x14ac:dyDescent="0.2">
      <c r="A182" s="18" t="str">
        <f>$A$14</f>
        <v>Coke and petroleum; Chemicals, etc</v>
      </c>
      <c r="B182" s="22">
        <f t="shared" si="41"/>
        <v>-11.707656006313416</v>
      </c>
      <c r="C182" s="22">
        <f t="shared" si="41"/>
        <v>1.2145257763296335E-2</v>
      </c>
      <c r="D182" s="22">
        <f t="shared" si="41"/>
        <v>-0.95703498085120131</v>
      </c>
      <c r="E182" s="22">
        <f t="shared" si="41"/>
        <v>-0.57124508200585566</v>
      </c>
      <c r="F182" s="22">
        <f t="shared" si="42"/>
        <v>-0.50617539211050833</v>
      </c>
    </row>
    <row r="183" spans="1:6" x14ac:dyDescent="0.2">
      <c r="A183" s="18" t="str">
        <f>$A$15</f>
        <v>Pharmaceuticals</v>
      </c>
      <c r="B183" s="22">
        <f t="shared" si="41"/>
        <v>4.9457598722929541</v>
      </c>
      <c r="C183" s="22">
        <f t="shared" si="41"/>
        <v>-1.3628283261738261</v>
      </c>
      <c r="D183" s="22">
        <f t="shared" si="41"/>
        <v>-0.34078563208362889</v>
      </c>
      <c r="E183" s="22">
        <f t="shared" si="41"/>
        <v>-0.17893617493516256</v>
      </c>
      <c r="F183" s="22">
        <f t="shared" si="42"/>
        <v>-0.62890213380027982</v>
      </c>
    </row>
    <row r="184" spans="1:6" x14ac:dyDescent="0.2">
      <c r="A184" s="18" t="str">
        <f>$A$16</f>
        <v>Rubber and plastic</v>
      </c>
      <c r="B184" s="22">
        <f t="shared" si="41"/>
        <v>-3.4428329601471463</v>
      </c>
      <c r="C184" s="22">
        <f t="shared" si="41"/>
        <v>-1.6848303164164413</v>
      </c>
      <c r="D184" s="22">
        <f t="shared" si="41"/>
        <v>-2.4397869233882319</v>
      </c>
      <c r="E184" s="22">
        <f t="shared" si="41"/>
        <v>-1.9577615807356064</v>
      </c>
      <c r="F184" s="22">
        <f t="shared" si="42"/>
        <v>-2.0279571424372533</v>
      </c>
    </row>
    <row r="185" spans="1:6" x14ac:dyDescent="0.2">
      <c r="A185" s="18" t="str">
        <f>$A$17</f>
        <v>Other non-metallic</v>
      </c>
      <c r="B185" s="22">
        <f t="shared" si="41"/>
        <v>-5.8784886766498401</v>
      </c>
      <c r="C185" s="22">
        <f t="shared" si="41"/>
        <v>-6.4333208356305294</v>
      </c>
      <c r="D185" s="22">
        <f t="shared" si="41"/>
        <v>-2.6109315120109833</v>
      </c>
      <c r="E185" s="22">
        <f t="shared" si="41"/>
        <v>-2.1812166541303912</v>
      </c>
      <c r="F185" s="22">
        <f t="shared" si="42"/>
        <v>-3.7609719617146986</v>
      </c>
    </row>
    <row r="186" spans="1:6" x14ac:dyDescent="0.2">
      <c r="A186" s="18" t="str">
        <f>$A$18</f>
        <v>Basic metals</v>
      </c>
      <c r="B186" s="22">
        <f t="shared" si="41"/>
        <v>-4.9070260106273018</v>
      </c>
      <c r="C186" s="22">
        <f t="shared" si="41"/>
        <v>5.5710215059560531</v>
      </c>
      <c r="D186" s="22">
        <f t="shared" si="41"/>
        <v>-2.385280447049809</v>
      </c>
      <c r="E186" s="22">
        <f t="shared" si="41"/>
        <v>-1.7236951508083131</v>
      </c>
      <c r="F186" s="22">
        <f t="shared" si="42"/>
        <v>0.42371527815128207</v>
      </c>
    </row>
    <row r="187" spans="1:6" x14ac:dyDescent="0.2">
      <c r="A187" s="18" t="str">
        <f>$A$19</f>
        <v>Metal products</v>
      </c>
      <c r="B187" s="22">
        <f t="shared" si="41"/>
        <v>-6.0849152766566998</v>
      </c>
      <c r="C187" s="22">
        <f t="shared" si="41"/>
        <v>4.874979809120128</v>
      </c>
      <c r="D187" s="22">
        <f t="shared" si="41"/>
        <v>-2.0702917731026393</v>
      </c>
      <c r="E187" s="22">
        <f t="shared" si="41"/>
        <v>-1.3341393973916649</v>
      </c>
      <c r="F187" s="22">
        <f t="shared" si="42"/>
        <v>0.44255535245545374</v>
      </c>
    </row>
    <row r="188" spans="1:6" x14ac:dyDescent="0.2">
      <c r="A188" s="18" t="str">
        <f>$A$20</f>
        <v>Computer, etc</v>
      </c>
      <c r="B188" s="22">
        <f t="shared" si="41"/>
        <v>-5.072313164146558</v>
      </c>
      <c r="C188" s="22">
        <f t="shared" si="41"/>
        <v>1.5365851381490492</v>
      </c>
      <c r="D188" s="22">
        <f t="shared" si="41"/>
        <v>1.2167796916049411</v>
      </c>
      <c r="E188" s="22">
        <f t="shared" si="41"/>
        <v>-1.8064740485173703</v>
      </c>
      <c r="F188" s="22">
        <f t="shared" si="42"/>
        <v>0.30424377259210544</v>
      </c>
    </row>
    <row r="189" spans="1:6" x14ac:dyDescent="0.2">
      <c r="A189" s="18" t="str">
        <f>$A$21</f>
        <v>Electrical equipment</v>
      </c>
      <c r="B189" s="22">
        <f t="shared" si="41"/>
        <v>-6.5910414293453119</v>
      </c>
      <c r="C189" s="22">
        <f t="shared" si="41"/>
        <v>-2.0684109327181122</v>
      </c>
      <c r="D189" s="22">
        <f t="shared" si="41"/>
        <v>-0.567144336305625</v>
      </c>
      <c r="E189" s="22">
        <f t="shared" si="41"/>
        <v>-0.66761091103556547</v>
      </c>
      <c r="F189" s="22">
        <f t="shared" si="42"/>
        <v>-1.1034370720890418</v>
      </c>
    </row>
    <row r="190" spans="1:6" x14ac:dyDescent="0.2">
      <c r="A190" s="18" t="str">
        <f>$A$22</f>
        <v>Machinery n.e.c.</v>
      </c>
      <c r="B190" s="22">
        <f t="shared" si="41"/>
        <v>-8.9468886191542474</v>
      </c>
      <c r="C190" s="22">
        <f t="shared" si="41"/>
        <v>-2.651580926573549</v>
      </c>
      <c r="D190" s="22">
        <f t="shared" si="41"/>
        <v>-0.13434889566501518</v>
      </c>
      <c r="E190" s="22">
        <f t="shared" si="41"/>
        <v>-1.1973987152621879</v>
      </c>
      <c r="F190" s="22">
        <f t="shared" si="42"/>
        <v>-1.3331780304278618</v>
      </c>
    </row>
    <row r="191" spans="1:6" x14ac:dyDescent="0.2">
      <c r="A191" s="18" t="str">
        <f>$A$23</f>
        <v>Motor vehicles, etc</v>
      </c>
      <c r="B191" s="22">
        <f t="shared" si="41"/>
        <v>-7.9236274867190311</v>
      </c>
      <c r="C191" s="22">
        <f t="shared" si="41"/>
        <v>-0.48790027956712168</v>
      </c>
      <c r="D191" s="22">
        <f t="shared" si="41"/>
        <v>0.1836559666247739</v>
      </c>
      <c r="E191" s="22">
        <f t="shared" si="41"/>
        <v>0.48169152387802505</v>
      </c>
      <c r="F191" s="22">
        <f t="shared" si="42"/>
        <v>5.8326412900910896E-2</v>
      </c>
    </row>
    <row r="192" spans="1:6" x14ac:dyDescent="0.2">
      <c r="A192" s="18" t="str">
        <f>$A$24</f>
        <v>Other transport equipment</v>
      </c>
      <c r="B192" s="22">
        <f t="shared" si="41"/>
        <v>2.6271624576216013</v>
      </c>
      <c r="C192" s="22">
        <f t="shared" si="41"/>
        <v>-3.1733724712201261</v>
      </c>
      <c r="D192" s="22">
        <f t="shared" si="41"/>
        <v>1.9778304581295814</v>
      </c>
      <c r="E192" s="22">
        <f t="shared" si="41"/>
        <v>0.61897329121065603</v>
      </c>
      <c r="F192" s="22">
        <f t="shared" si="42"/>
        <v>-0.21617405108713683</v>
      </c>
    </row>
    <row r="193" spans="1:6" x14ac:dyDescent="0.2">
      <c r="A193" s="18" t="str">
        <f>$A$25</f>
        <v>Furniture</v>
      </c>
      <c r="B193" s="22">
        <f t="shared" ref="B193:E212" si="43">IF(AND(C$3-B$3 &lt;&gt; 0,B25&lt;&gt;0,C25&lt;&gt;0),(EXP(LN(C25/B25)/(C$3-B$3))-1)*100,0)</f>
        <v>-4.6821570415076401</v>
      </c>
      <c r="C193" s="22">
        <f t="shared" si="43"/>
        <v>7.5627397119607309</v>
      </c>
      <c r="D193" s="22">
        <f t="shared" si="43"/>
        <v>-0.33779594345907382</v>
      </c>
      <c r="E193" s="22">
        <f t="shared" si="43"/>
        <v>-0.85116198118492248</v>
      </c>
      <c r="F193" s="22">
        <f t="shared" si="42"/>
        <v>2.0532070948713121</v>
      </c>
    </row>
    <row r="194" spans="1:6" x14ac:dyDescent="0.2">
      <c r="A194" s="18" t="str">
        <f>$A$26</f>
        <v>Other manufacturing</v>
      </c>
      <c r="B194" s="22">
        <f t="shared" si="43"/>
        <v>-8.6188183917831012</v>
      </c>
      <c r="C194" s="22">
        <f t="shared" si="43"/>
        <v>4.2959968688193628</v>
      </c>
      <c r="D194" s="22">
        <f t="shared" si="43"/>
        <v>-0.47562488107630863</v>
      </c>
      <c r="E194" s="22">
        <f t="shared" si="43"/>
        <v>-1.013920098668919</v>
      </c>
      <c r="F194" s="22">
        <f t="shared" si="42"/>
        <v>0.90756851312645548</v>
      </c>
    </row>
    <row r="195" spans="1:6" x14ac:dyDescent="0.2">
      <c r="A195" s="18" t="str">
        <f>$A$27</f>
        <v>Repair and installation</v>
      </c>
      <c r="B195" s="22">
        <f t="shared" si="43"/>
        <v>2.3804619525696458</v>
      </c>
      <c r="C195" s="22">
        <f t="shared" si="43"/>
        <v>6.7558449317888458</v>
      </c>
      <c r="D195" s="22">
        <f t="shared" si="43"/>
        <v>-0.2909111238652784</v>
      </c>
      <c r="E195" s="22">
        <f t="shared" si="43"/>
        <v>-0.79443211641897493</v>
      </c>
      <c r="F195" s="22">
        <f t="shared" si="42"/>
        <v>1.8327532201475094</v>
      </c>
    </row>
    <row r="196" spans="1:6" x14ac:dyDescent="0.2">
      <c r="A196" s="18" t="str">
        <f>$A$28</f>
        <v>Electricity, gas, etc</v>
      </c>
      <c r="B196" s="22">
        <f t="shared" si="43"/>
        <v>10.948755370837947</v>
      </c>
      <c r="C196" s="22">
        <f t="shared" si="43"/>
        <v>7.5328673956476244E-2</v>
      </c>
      <c r="D196" s="22">
        <f t="shared" si="43"/>
        <v>-0.37865038711570875</v>
      </c>
      <c r="E196" s="22">
        <f t="shared" si="43"/>
        <v>-7.9365179368851013E-2</v>
      </c>
      <c r="F196" s="22">
        <f t="shared" si="42"/>
        <v>-0.12774016155746581</v>
      </c>
    </row>
    <row r="197" spans="1:6" x14ac:dyDescent="0.2">
      <c r="A197" s="18" t="str">
        <f>$A$29</f>
        <v>Water</v>
      </c>
      <c r="B197" s="22">
        <f t="shared" si="43"/>
        <v>3.6952260452005836</v>
      </c>
      <c r="C197" s="22">
        <f t="shared" si="43"/>
        <v>0.9473952120892859</v>
      </c>
      <c r="D197" s="22">
        <f t="shared" si="43"/>
        <v>1.2971766239389337</v>
      </c>
      <c r="E197" s="22">
        <f t="shared" si="43"/>
        <v>1.9473394700171731</v>
      </c>
      <c r="F197" s="22">
        <f t="shared" si="42"/>
        <v>1.3964580887552147</v>
      </c>
    </row>
    <row r="198" spans="1:6" x14ac:dyDescent="0.2">
      <c r="A198" s="18" t="str">
        <f>$A$30</f>
        <v>Sewerage</v>
      </c>
      <c r="B198" s="22">
        <f t="shared" si="43"/>
        <v>13.017467678893425</v>
      </c>
      <c r="C198" s="22">
        <f t="shared" si="43"/>
        <v>-5.7897020424400925</v>
      </c>
      <c r="D198" s="22">
        <f t="shared" si="43"/>
        <v>1.1770893149163353</v>
      </c>
      <c r="E198" s="22">
        <f t="shared" si="43"/>
        <v>-0.88618457630050829</v>
      </c>
      <c r="F198" s="22">
        <f t="shared" si="42"/>
        <v>-1.8768267749873946</v>
      </c>
    </row>
    <row r="199" spans="1:6" x14ac:dyDescent="0.2">
      <c r="A199" s="18" t="str">
        <f>$A$31</f>
        <v>Waste management</v>
      </c>
      <c r="B199" s="22">
        <f t="shared" si="43"/>
        <v>6.8024977877337633</v>
      </c>
      <c r="C199" s="22">
        <f t="shared" si="43"/>
        <v>-2.1746597486345443</v>
      </c>
      <c r="D199" s="22">
        <f t="shared" si="43"/>
        <v>1.6351800741843059</v>
      </c>
      <c r="E199" s="22">
        <f t="shared" si="43"/>
        <v>1.2190434555806373</v>
      </c>
      <c r="F199" s="22">
        <f t="shared" si="42"/>
        <v>0.21188214235663416</v>
      </c>
    </row>
    <row r="200" spans="1:6" x14ac:dyDescent="0.2">
      <c r="A200" s="18" t="str">
        <f>$A$32</f>
        <v>Construction</v>
      </c>
      <c r="B200" s="22">
        <f t="shared" si="43"/>
        <v>-1.1866589558128138</v>
      </c>
      <c r="C200" s="22">
        <f t="shared" si="43"/>
        <v>6.1742880514780607</v>
      </c>
      <c r="D200" s="22">
        <f t="shared" si="43"/>
        <v>8.2320404787927792E-2</v>
      </c>
      <c r="E200" s="22">
        <f t="shared" si="43"/>
        <v>0.15446076985223822</v>
      </c>
      <c r="F200" s="22">
        <f t="shared" si="42"/>
        <v>2.0976329626919199</v>
      </c>
    </row>
    <row r="201" spans="1:6" x14ac:dyDescent="0.2">
      <c r="A201" s="18" t="str">
        <f>$A$33</f>
        <v>Civil engineering</v>
      </c>
      <c r="B201" s="22">
        <f t="shared" si="43"/>
        <v>-4.3370086243347705</v>
      </c>
      <c r="C201" s="22">
        <f t="shared" si="43"/>
        <v>0.59590967101095238</v>
      </c>
      <c r="D201" s="22">
        <f t="shared" si="43"/>
        <v>3.3521856236906622E-2</v>
      </c>
      <c r="E201" s="22">
        <f t="shared" si="43"/>
        <v>0.11639718535296772</v>
      </c>
      <c r="F201" s="22">
        <f t="shared" si="42"/>
        <v>0.24830339251149525</v>
      </c>
    </row>
    <row r="202" spans="1:6" x14ac:dyDescent="0.2">
      <c r="A202" s="18" t="str">
        <f>$A$34</f>
        <v>Specialised construction</v>
      </c>
      <c r="B202" s="22">
        <f t="shared" si="43"/>
        <v>-8.6876263248058638</v>
      </c>
      <c r="C202" s="22">
        <f t="shared" si="43"/>
        <v>5.0249570350533679</v>
      </c>
      <c r="D202" s="22">
        <f t="shared" si="43"/>
        <v>4.2326029313488611E-2</v>
      </c>
      <c r="E202" s="22">
        <f t="shared" si="43"/>
        <v>0.12173471705281269</v>
      </c>
      <c r="F202" s="22">
        <f t="shared" si="42"/>
        <v>1.7032628705058839</v>
      </c>
    </row>
    <row r="203" spans="1:6" x14ac:dyDescent="0.2">
      <c r="A203" s="18" t="str">
        <f>$A$35</f>
        <v>Motor vehicle trade</v>
      </c>
      <c r="B203" s="22">
        <f t="shared" si="43"/>
        <v>-0.63512834285275321</v>
      </c>
      <c r="C203" s="22">
        <f t="shared" si="43"/>
        <v>2.3017158348370481</v>
      </c>
      <c r="D203" s="22">
        <f t="shared" si="43"/>
        <v>-0.10652082337638813</v>
      </c>
      <c r="E203" s="22">
        <f t="shared" si="43"/>
        <v>7.6213791701618128E-2</v>
      </c>
      <c r="F203" s="22">
        <f t="shared" si="42"/>
        <v>0.75121863093980945</v>
      </c>
    </row>
    <row r="204" spans="1:6" x14ac:dyDescent="0.2">
      <c r="A204" s="18" t="str">
        <f>$A$36</f>
        <v>Wholesale trade</v>
      </c>
      <c r="B204" s="22">
        <f t="shared" si="43"/>
        <v>-2.0514035711031608</v>
      </c>
      <c r="C204" s="22">
        <f t="shared" si="43"/>
        <v>2.7673202331841562</v>
      </c>
      <c r="D204" s="22">
        <f t="shared" si="43"/>
        <v>-0.81639987057060548</v>
      </c>
      <c r="E204" s="22">
        <f t="shared" si="43"/>
        <v>-0.6809721042140171</v>
      </c>
      <c r="F204" s="22">
        <f t="shared" si="42"/>
        <v>0.40972710556932412</v>
      </c>
    </row>
    <row r="205" spans="1:6" x14ac:dyDescent="0.2">
      <c r="A205" s="18" t="str">
        <f>$A$37</f>
        <v>Retail trade</v>
      </c>
      <c r="B205" s="22">
        <f t="shared" si="43"/>
        <v>-1.0518294659799809</v>
      </c>
      <c r="C205" s="22">
        <f t="shared" si="43"/>
        <v>-0.9277894093926875</v>
      </c>
      <c r="D205" s="22">
        <f t="shared" si="43"/>
        <v>0.32030453465519138</v>
      </c>
      <c r="E205" s="22">
        <f t="shared" si="43"/>
        <v>0.37262934881781007</v>
      </c>
      <c r="F205" s="22">
        <f t="shared" ref="F205:F236" si="44">IF(AND(F$3-C$3 &lt;&gt; 0,C37&lt;&gt;0,F37&lt;&gt;0),(EXP(LN(F37/C37)/(F$3-C$3))-1)*100,0)</f>
        <v>-8.0098146007501203E-2</v>
      </c>
    </row>
    <row r="206" spans="1:6" x14ac:dyDescent="0.2">
      <c r="A206" s="18" t="str">
        <f>$A$38</f>
        <v>Land transport, etc</v>
      </c>
      <c r="B206" s="22">
        <f t="shared" si="43"/>
        <v>-1.4031200545216893</v>
      </c>
      <c r="C206" s="22">
        <f t="shared" si="43"/>
        <v>-2.391590826276857</v>
      </c>
      <c r="D206" s="22">
        <f t="shared" si="43"/>
        <v>-0.66673928738392174</v>
      </c>
      <c r="E206" s="22">
        <f t="shared" si="43"/>
        <v>0.71526555280543302</v>
      </c>
      <c r="F206" s="22">
        <f t="shared" si="44"/>
        <v>-0.78917153855344591</v>
      </c>
    </row>
    <row r="207" spans="1:6" x14ac:dyDescent="0.2">
      <c r="A207" s="18" t="str">
        <f>$A$39</f>
        <v>Water transport</v>
      </c>
      <c r="B207" s="22">
        <f t="shared" si="43"/>
        <v>-2.7610709640539577</v>
      </c>
      <c r="C207" s="22">
        <f t="shared" si="43"/>
        <v>-4.4375709980042473</v>
      </c>
      <c r="D207" s="22">
        <f t="shared" si="43"/>
        <v>-3.9076020409733014</v>
      </c>
      <c r="E207" s="22">
        <f t="shared" si="43"/>
        <v>-1.877400799658302</v>
      </c>
      <c r="F207" s="22">
        <f t="shared" si="44"/>
        <v>-3.4137988568664679</v>
      </c>
    </row>
    <row r="208" spans="1:6" x14ac:dyDescent="0.2">
      <c r="A208" s="18" t="str">
        <f>$A$40</f>
        <v>Air transport</v>
      </c>
      <c r="B208" s="22">
        <f t="shared" si="43"/>
        <v>-6.2157752997958777</v>
      </c>
      <c r="C208" s="22">
        <f t="shared" si="43"/>
        <v>-8.36199101974554</v>
      </c>
      <c r="D208" s="22">
        <f t="shared" si="43"/>
        <v>1.8304828889016633</v>
      </c>
      <c r="E208" s="22">
        <f t="shared" si="43"/>
        <v>2.5801406771847946</v>
      </c>
      <c r="F208" s="22">
        <f t="shared" si="44"/>
        <v>-1.4464560241366331</v>
      </c>
    </row>
    <row r="209" spans="1:6" x14ac:dyDescent="0.2">
      <c r="A209" s="18" t="str">
        <f>$A$41</f>
        <v>Warehousing, etc</v>
      </c>
      <c r="B209" s="22">
        <f t="shared" si="43"/>
        <v>0.64258201134870241</v>
      </c>
      <c r="C209" s="22">
        <f t="shared" si="43"/>
        <v>0.96541904004019408</v>
      </c>
      <c r="D209" s="22">
        <f t="shared" si="43"/>
        <v>-0.32648912667728736</v>
      </c>
      <c r="E209" s="22">
        <f t="shared" si="43"/>
        <v>-0.33570462201978346</v>
      </c>
      <c r="F209" s="22">
        <f t="shared" si="44"/>
        <v>9.9214521323554017E-2</v>
      </c>
    </row>
    <row r="210" spans="1:6" x14ac:dyDescent="0.2">
      <c r="A210" s="18" t="str">
        <f>$A$42</f>
        <v>Postal and courier</v>
      </c>
      <c r="B210" s="22">
        <f t="shared" si="43"/>
        <v>-4.6328360849764323</v>
      </c>
      <c r="C210" s="22">
        <f t="shared" si="43"/>
        <v>-4.0864064861534599</v>
      </c>
      <c r="D210" s="22">
        <f t="shared" si="43"/>
        <v>0.12734028255794172</v>
      </c>
      <c r="E210" s="22">
        <f t="shared" si="43"/>
        <v>1.0146361431218054E-2</v>
      </c>
      <c r="F210" s="22">
        <f t="shared" si="44"/>
        <v>-1.3359432028055784</v>
      </c>
    </row>
    <row r="211" spans="1:6" x14ac:dyDescent="0.2">
      <c r="A211" s="18" t="str">
        <f>$A$43</f>
        <v>Accommodation</v>
      </c>
      <c r="B211" s="22">
        <f t="shared" si="43"/>
        <v>2.4196604613153427</v>
      </c>
      <c r="C211" s="22">
        <f t="shared" si="43"/>
        <v>7.098216699559079</v>
      </c>
      <c r="D211" s="22">
        <f t="shared" si="43"/>
        <v>1.0054123555839123</v>
      </c>
      <c r="E211" s="22">
        <f t="shared" si="43"/>
        <v>1.0367200403575749</v>
      </c>
      <c r="F211" s="22">
        <f t="shared" si="44"/>
        <v>3.0074670989767904</v>
      </c>
    </row>
    <row r="212" spans="1:6" x14ac:dyDescent="0.2">
      <c r="A212" s="18" t="str">
        <f>$A$44</f>
        <v>Food and beverage services</v>
      </c>
      <c r="B212" s="22">
        <f t="shared" si="43"/>
        <v>7.493991599627492E-2</v>
      </c>
      <c r="C212" s="22">
        <f t="shared" si="43"/>
        <v>6.5469752707618456</v>
      </c>
      <c r="D212" s="22">
        <f t="shared" si="43"/>
        <v>-0.22151896704822871</v>
      </c>
      <c r="E212" s="22">
        <f t="shared" si="43"/>
        <v>0.49569660114405778</v>
      </c>
      <c r="F212" s="22">
        <f t="shared" si="44"/>
        <v>2.2292464244823895</v>
      </c>
    </row>
    <row r="213" spans="1:6" x14ac:dyDescent="0.2">
      <c r="A213" s="18" t="str">
        <f>$A$45</f>
        <v>Publishing activities</v>
      </c>
      <c r="B213" s="22">
        <f t="shared" ref="B213:C238" si="45">IF(AND(C$3-B$3 &lt;&gt; 0,B45&lt;&gt;0,C45&lt;&gt;0),(EXP(LN(C45/B45)/(C$3-B$3))-1)*100,0)</f>
        <v>-5.7813209729149051</v>
      </c>
      <c r="C213" s="22">
        <f t="shared" si="45"/>
        <v>-1.6221747862513625</v>
      </c>
      <c r="D213" s="22">
        <f t="shared" ref="D213:E213" si="46">IF(AND(E$3-D$3 &lt;&gt; 0,D45&lt;&gt;0,E45&lt;&gt;0),(EXP(LN(E45/D45)/(E$3-D$3))-1)*100,0)</f>
        <v>-0.39386378342235462</v>
      </c>
      <c r="E213" s="22">
        <f t="shared" si="46"/>
        <v>0.29714935455258384</v>
      </c>
      <c r="F213" s="22">
        <f t="shared" si="44"/>
        <v>-0.57613686772459705</v>
      </c>
    </row>
    <row r="214" spans="1:6" x14ac:dyDescent="0.2">
      <c r="A214" s="18" t="str">
        <f>$A$46</f>
        <v>Film and music</v>
      </c>
      <c r="B214" s="22">
        <f t="shared" si="45"/>
        <v>-17.16688204858794</v>
      </c>
      <c r="C214" s="22">
        <f t="shared" si="45"/>
        <v>10.279343042724175</v>
      </c>
      <c r="D214" s="22">
        <f t="shared" ref="D214:E214" si="47">IF(AND(E$3-D$3 &lt;&gt; 0,D46&lt;&gt;0,E46&lt;&gt;0),(EXP(LN(E46/D46)/(E$3-D$3))-1)*100,0)</f>
        <v>0.25604887215047167</v>
      </c>
      <c r="E214" s="22">
        <f t="shared" si="47"/>
        <v>0.80565970886541383</v>
      </c>
      <c r="F214" s="22">
        <f t="shared" si="44"/>
        <v>3.6803744707346153</v>
      </c>
    </row>
    <row r="215" spans="1:6" x14ac:dyDescent="0.2">
      <c r="A215" s="18" t="str">
        <f>$A$47</f>
        <v>Broadcasting</v>
      </c>
      <c r="B215" s="22">
        <f t="shared" si="45"/>
        <v>-4.2224350310318233</v>
      </c>
      <c r="C215" s="22">
        <f t="shared" si="45"/>
        <v>17.044080002894479</v>
      </c>
      <c r="D215" s="22">
        <f t="shared" ref="D215:E215" si="48">IF(AND(E$3-D$3 &lt;&gt; 0,D47&lt;&gt;0,E47&lt;&gt;0),(EXP(LN(E47/D47)/(E$3-D$3))-1)*100,0)</f>
        <v>-0.63046792637319049</v>
      </c>
      <c r="E215" s="22">
        <f t="shared" si="48"/>
        <v>9.3533033720349934E-2</v>
      </c>
      <c r="F215" s="22">
        <f t="shared" si="44"/>
        <v>5.1968911255248385</v>
      </c>
    </row>
    <row r="216" spans="1:6" x14ac:dyDescent="0.2">
      <c r="A216" s="18" t="str">
        <f>$A$48</f>
        <v>Telecommunications</v>
      </c>
      <c r="B216" s="22">
        <f t="shared" si="45"/>
        <v>-1.4300401337493662</v>
      </c>
      <c r="C216" s="22">
        <f t="shared" si="45"/>
        <v>-9.3890629543268318</v>
      </c>
      <c r="D216" s="22">
        <f t="shared" ref="D216:E216" si="49">IF(AND(E$3-D$3 &lt;&gt; 0,D48&lt;&gt;0,E48&lt;&gt;0),(EXP(LN(E48/D48)/(E$3-D$3))-1)*100,0)</f>
        <v>5.7002580527298896E-2</v>
      </c>
      <c r="E216" s="22">
        <f t="shared" si="49"/>
        <v>0.14403621335323802</v>
      </c>
      <c r="F216" s="22">
        <f t="shared" si="44"/>
        <v>-3.1682604650024926</v>
      </c>
    </row>
    <row r="217" spans="1:6" x14ac:dyDescent="0.2">
      <c r="A217" s="18" t="str">
        <f>$A$49</f>
        <v>Computing services</v>
      </c>
      <c r="B217" s="22">
        <f t="shared" si="45"/>
        <v>-1.0179550986950225</v>
      </c>
      <c r="C217" s="22">
        <f t="shared" si="45"/>
        <v>15.470463854181936</v>
      </c>
      <c r="D217" s="22">
        <f t="shared" ref="D217:E217" si="50">IF(AND(E$3-D$3 &lt;&gt; 0,D49&lt;&gt;0,E49&lt;&gt;0),(EXP(LN(E49/D49)/(E$3-D$3))-1)*100,0)</f>
        <v>0.45806518402573548</v>
      </c>
      <c r="E217" s="22">
        <f t="shared" si="50"/>
        <v>0.48030273418346869</v>
      </c>
      <c r="F217" s="22">
        <f t="shared" si="44"/>
        <v>5.239526375545811</v>
      </c>
    </row>
    <row r="218" spans="1:6" x14ac:dyDescent="0.2">
      <c r="A218" s="18" t="str">
        <f>$A$50</f>
        <v>Information services</v>
      </c>
      <c r="B218" s="22">
        <f t="shared" si="45"/>
        <v>10.132964967787084</v>
      </c>
      <c r="C218" s="22">
        <f t="shared" si="45"/>
        <v>-11.34176817238124</v>
      </c>
      <c r="D218" s="22">
        <f t="shared" ref="D218:E218" si="51">IF(AND(E$3-D$3 &lt;&gt; 0,D50&lt;&gt;0,E50&lt;&gt;0),(EXP(LN(E50/D50)/(E$3-D$3))-1)*100,0)</f>
        <v>0.19995160974297654</v>
      </c>
      <c r="E218" s="22">
        <f t="shared" si="51"/>
        <v>0.29637467272087825</v>
      </c>
      <c r="F218" s="22">
        <f t="shared" si="44"/>
        <v>-3.7744052152176355</v>
      </c>
    </row>
    <row r="219" spans="1:6" x14ac:dyDescent="0.2">
      <c r="A219" s="18" t="str">
        <f>$A$51</f>
        <v>Financial services</v>
      </c>
      <c r="B219" s="22">
        <f t="shared" si="45"/>
        <v>-5.4346807708877565</v>
      </c>
      <c r="C219" s="22">
        <f t="shared" si="45"/>
        <v>0.32249555219510118</v>
      </c>
      <c r="D219" s="22">
        <f t="shared" ref="D219:E219" si="52">IF(AND(E$3-D$3 &lt;&gt; 0,D51&lt;&gt;0,E51&lt;&gt;0),(EXP(LN(E51/D51)/(E$3-D$3))-1)*100,0)</f>
        <v>1.1553073913007195</v>
      </c>
      <c r="E219" s="22">
        <f t="shared" si="52"/>
        <v>0.82141698829478749</v>
      </c>
      <c r="F219" s="22">
        <f t="shared" si="44"/>
        <v>0.76582523735706509</v>
      </c>
    </row>
    <row r="220" spans="1:6" x14ac:dyDescent="0.2">
      <c r="A220" s="18" t="str">
        <f>$A$52</f>
        <v>Insurance and pensions</v>
      </c>
      <c r="B220" s="22">
        <f t="shared" si="45"/>
        <v>-0.37462740373322978</v>
      </c>
      <c r="C220" s="22">
        <f t="shared" si="45"/>
        <v>6.4878810476917348</v>
      </c>
      <c r="D220" s="22">
        <f t="shared" ref="D220:E220" si="53">IF(AND(E$3-D$3 &lt;&gt; 0,D52&lt;&gt;0,E52&lt;&gt;0),(EXP(LN(E52/D52)/(E$3-D$3))-1)*100,0)</f>
        <v>0.89226329255225334</v>
      </c>
      <c r="E220" s="22">
        <f t="shared" si="53"/>
        <v>0.57874541701365967</v>
      </c>
      <c r="F220" s="22">
        <f t="shared" si="44"/>
        <v>2.6174979419371525</v>
      </c>
    </row>
    <row r="221" spans="1:6" x14ac:dyDescent="0.2">
      <c r="A221" s="18" t="str">
        <f>$A$53</f>
        <v>Auxiliary financial services</v>
      </c>
      <c r="B221" s="22">
        <f t="shared" si="45"/>
        <v>-1.5029905776675956</v>
      </c>
      <c r="C221" s="22">
        <f t="shared" si="45"/>
        <v>-2.3893223607815317</v>
      </c>
      <c r="D221" s="22">
        <f t="shared" ref="D221:E221" si="54">IF(AND(E$3-D$3 &lt;&gt; 0,D53&lt;&gt;0,E53&lt;&gt;0),(EXP(LN(E53/D53)/(E$3-D$3))-1)*100,0)</f>
        <v>1.1709552014006253</v>
      </c>
      <c r="E221" s="22">
        <f t="shared" si="54"/>
        <v>0.86332981266081799</v>
      </c>
      <c r="F221" s="22">
        <f t="shared" si="44"/>
        <v>-0.131431102201085</v>
      </c>
    </row>
    <row r="222" spans="1:6" x14ac:dyDescent="0.2">
      <c r="A222" s="18" t="str">
        <f>$A$54</f>
        <v>Real estate</v>
      </c>
      <c r="B222" s="22">
        <f t="shared" si="45"/>
        <v>4.7991971320826554</v>
      </c>
      <c r="C222" s="22">
        <f t="shared" si="45"/>
        <v>5.5835514068774961</v>
      </c>
      <c r="D222" s="22">
        <f t="shared" ref="D222:E222" si="55">IF(AND(E$3-D$3 &lt;&gt; 0,D54&lt;&gt;0,E54&lt;&gt;0),(EXP(LN(E54/D54)/(E$3-D$3))-1)*100,0)</f>
        <v>0.80354641254136716</v>
      </c>
      <c r="E222" s="22">
        <f t="shared" si="55"/>
        <v>0.86419647920310538</v>
      </c>
      <c r="F222" s="22">
        <f t="shared" si="44"/>
        <v>2.3928670155921816</v>
      </c>
    </row>
    <row r="223" spans="1:6" x14ac:dyDescent="0.2">
      <c r="A223" s="18" t="str">
        <f>$A$55</f>
        <v>Legal and accounting</v>
      </c>
      <c r="B223" s="22">
        <f t="shared" si="45"/>
        <v>-5.2428868118076792</v>
      </c>
      <c r="C223" s="22">
        <f t="shared" si="45"/>
        <v>3.1013212228112153</v>
      </c>
      <c r="D223" s="22">
        <f t="shared" ref="D223:E223" si="56">IF(AND(E$3-D$3 &lt;&gt; 0,D55&lt;&gt;0,E55&lt;&gt;0),(EXP(LN(E55/D55)/(E$3-D$3))-1)*100,0)</f>
        <v>-0.41012035745384701</v>
      </c>
      <c r="E223" s="22">
        <f t="shared" si="56"/>
        <v>7.4341729726379313E-2</v>
      </c>
      <c r="F223" s="22">
        <f t="shared" si="44"/>
        <v>0.90996605982245349</v>
      </c>
    </row>
    <row r="224" spans="1:6" x14ac:dyDescent="0.2">
      <c r="A224" s="18" t="str">
        <f>$A$56</f>
        <v>Head offices, etc</v>
      </c>
      <c r="B224" s="22">
        <f t="shared" si="45"/>
        <v>0.1017202034045539</v>
      </c>
      <c r="C224" s="22">
        <f t="shared" si="45"/>
        <v>6.014990784485752</v>
      </c>
      <c r="D224" s="22">
        <f t="shared" ref="D224:E224" si="57">IF(AND(E$3-D$3 &lt;&gt; 0,D56&lt;&gt;0,E56&lt;&gt;0),(EXP(LN(E56/D56)/(E$3-D$3))-1)*100,0)</f>
        <v>1.0621470654885279</v>
      </c>
      <c r="E224" s="22">
        <f t="shared" si="57"/>
        <v>0.18606353342454085</v>
      </c>
      <c r="F224" s="22">
        <f t="shared" si="44"/>
        <v>2.3892521947568079</v>
      </c>
    </row>
    <row r="225" spans="1:6" x14ac:dyDescent="0.2">
      <c r="A225" s="18" t="str">
        <f>$A$57</f>
        <v>Architectural and related</v>
      </c>
      <c r="B225" s="22">
        <f t="shared" si="45"/>
        <v>-3.0964483892604311</v>
      </c>
      <c r="C225" s="22">
        <f t="shared" si="45"/>
        <v>9.1206319933537561</v>
      </c>
      <c r="D225" s="22">
        <f t="shared" ref="D225:E225" si="58">IF(AND(E$3-D$3 &lt;&gt; 0,D57&lt;&gt;0,E57&lt;&gt;0),(EXP(LN(E57/D57)/(E$3-D$3))-1)*100,0)</f>
        <v>1.7744041396079213</v>
      </c>
      <c r="E225" s="22">
        <f t="shared" si="58"/>
        <v>0.22231928711036186</v>
      </c>
      <c r="F225" s="22">
        <f t="shared" si="44"/>
        <v>3.6342470906924218</v>
      </c>
    </row>
    <row r="226" spans="1:6" x14ac:dyDescent="0.2">
      <c r="A226" s="18" t="str">
        <f>$A$58</f>
        <v>Scientific research and development</v>
      </c>
      <c r="B226" s="22">
        <f t="shared" si="45"/>
        <v>-1.3847173093259779</v>
      </c>
      <c r="C226" s="22">
        <f t="shared" si="45"/>
        <v>9.068113886399388</v>
      </c>
      <c r="D226" s="22">
        <f t="shared" ref="D226:E226" si="59">IF(AND(E$3-D$3 &lt;&gt; 0,D58&lt;&gt;0,E58&lt;&gt;0),(EXP(LN(E58/D58)/(E$3-D$3))-1)*100,0)</f>
        <v>1.723204798928557</v>
      </c>
      <c r="E226" s="22">
        <f t="shared" si="59"/>
        <v>1.5612228872351697</v>
      </c>
      <c r="F226" s="22">
        <f t="shared" si="44"/>
        <v>4.0595442686334193</v>
      </c>
    </row>
    <row r="227" spans="1:6" x14ac:dyDescent="0.2">
      <c r="A227" s="18" t="str">
        <f>$A$59</f>
        <v>Advertising, etc</v>
      </c>
      <c r="B227" s="22">
        <f t="shared" si="45"/>
        <v>-6.8537540602183196</v>
      </c>
      <c r="C227" s="22">
        <f t="shared" si="45"/>
        <v>-1.1511311323666007</v>
      </c>
      <c r="D227" s="22">
        <f t="shared" ref="D227:E227" si="60">IF(AND(E$3-D$3 &lt;&gt; 0,D59&lt;&gt;0,E59&lt;&gt;0),(EXP(LN(E59/D59)/(E$3-D$3))-1)*100,0)</f>
        <v>1.7058436637376495</v>
      </c>
      <c r="E227" s="22">
        <f t="shared" si="60"/>
        <v>1.5321069887373806</v>
      </c>
      <c r="F227" s="22">
        <f t="shared" si="44"/>
        <v>0.6870622962915629</v>
      </c>
    </row>
    <row r="228" spans="1:6" x14ac:dyDescent="0.2">
      <c r="A228" s="18" t="str">
        <f>$A$60</f>
        <v>Other professional</v>
      </c>
      <c r="B228" s="22">
        <f t="shared" si="45"/>
        <v>-10.489192487801413</v>
      </c>
      <c r="C228" s="22">
        <f t="shared" si="45"/>
        <v>-0.59505332390132892</v>
      </c>
      <c r="D228" s="22">
        <f t="shared" ref="D228:E228" si="61">IF(AND(E$3-D$3 &lt;&gt; 0,D60&lt;&gt;0,E60&lt;&gt;0),(EXP(LN(E60/D60)/(E$3-D$3))-1)*100,0)</f>
        <v>1.7294292557885615</v>
      </c>
      <c r="E228" s="22">
        <f t="shared" si="61"/>
        <v>1.5582322138254279</v>
      </c>
      <c r="F228" s="22">
        <f t="shared" si="44"/>
        <v>0.89196465971099759</v>
      </c>
    </row>
    <row r="229" spans="1:6" x14ac:dyDescent="0.2">
      <c r="A229" s="18" t="str">
        <f>$A$61</f>
        <v>Veterinary</v>
      </c>
      <c r="B229" s="22">
        <f t="shared" si="45"/>
        <v>-3.231979636527238</v>
      </c>
      <c r="C229" s="22">
        <f t="shared" si="45"/>
        <v>-5.104691232660052</v>
      </c>
      <c r="D229" s="22">
        <f t="shared" ref="D229:E229" si="62">IF(AND(E$3-D$3 &lt;&gt; 0,D61&lt;&gt;0,E61&lt;&gt;0),(EXP(LN(E61/D61)/(E$3-D$3))-1)*100,0)</f>
        <v>1.6917809108733417</v>
      </c>
      <c r="E229" s="22">
        <f t="shared" si="62"/>
        <v>1.5251755931988686</v>
      </c>
      <c r="F229" s="22">
        <f t="shared" si="44"/>
        <v>-0.68044114680909651</v>
      </c>
    </row>
    <row r="230" spans="1:6" x14ac:dyDescent="0.2">
      <c r="A230" s="18" t="str">
        <f>$A$62</f>
        <v>Rental and leasing</v>
      </c>
      <c r="B230" s="22">
        <f t="shared" si="45"/>
        <v>6.8349070083143504</v>
      </c>
      <c r="C230" s="22">
        <f t="shared" si="45"/>
        <v>3.1512792196605632</v>
      </c>
      <c r="D230" s="22">
        <f t="shared" ref="D230:E230" si="63">IF(AND(E$3-D$3 &lt;&gt; 0,D62&lt;&gt;0,E62&lt;&gt;0),(EXP(LN(E62/D62)/(E$3-D$3))-1)*100,0)</f>
        <v>0.83529270341085038</v>
      </c>
      <c r="E230" s="22">
        <f t="shared" si="63"/>
        <v>0.57813082737527832</v>
      </c>
      <c r="F230" s="22">
        <f t="shared" si="44"/>
        <v>1.5150066174480115</v>
      </c>
    </row>
    <row r="231" spans="1:6" x14ac:dyDescent="0.2">
      <c r="A231" s="18" t="str">
        <f>$A$63</f>
        <v>Employment activities</v>
      </c>
      <c r="B231" s="22">
        <f t="shared" si="45"/>
        <v>-2.5371055049568492</v>
      </c>
      <c r="C231" s="22">
        <f t="shared" si="45"/>
        <v>0.97504971131434637</v>
      </c>
      <c r="D231" s="22">
        <f t="shared" ref="D231:E231" si="64">IF(AND(E$3-D$3 &lt;&gt; 0,D63&lt;&gt;0,E63&lt;&gt;0),(EXP(LN(E63/D63)/(E$3-D$3))-1)*100,0)</f>
        <v>0.75013343876539906</v>
      </c>
      <c r="E231" s="22">
        <f t="shared" si="64"/>
        <v>0.45968836947241076</v>
      </c>
      <c r="F231" s="22">
        <f t="shared" si="44"/>
        <v>0.72806954349431408</v>
      </c>
    </row>
    <row r="232" spans="1:6" x14ac:dyDescent="0.2">
      <c r="A232" s="18" t="str">
        <f>$A$64</f>
        <v>Travel, etc</v>
      </c>
      <c r="B232" s="22">
        <f t="shared" si="45"/>
        <v>0.42087593741682028</v>
      </c>
      <c r="C232" s="22">
        <f t="shared" si="45"/>
        <v>-4.9341288236424035</v>
      </c>
      <c r="D232" s="22">
        <f t="shared" ref="D232:E232" si="65">IF(AND(E$3-D$3 &lt;&gt; 0,D64&lt;&gt;0,E64&lt;&gt;0),(EXP(LN(E64/D64)/(E$3-D$3))-1)*100,0)</f>
        <v>0.81132104827481566</v>
      </c>
      <c r="E232" s="22">
        <f t="shared" si="65"/>
        <v>0.52247293883318502</v>
      </c>
      <c r="F232" s="22">
        <f t="shared" si="44"/>
        <v>-1.2359173797711009</v>
      </c>
    </row>
    <row r="233" spans="1:6" x14ac:dyDescent="0.2">
      <c r="A233" s="18" t="str">
        <f>$A$65</f>
        <v>Security, etc</v>
      </c>
      <c r="B233" s="22">
        <f t="shared" si="45"/>
        <v>3.6689585602797781</v>
      </c>
      <c r="C233" s="22">
        <f t="shared" si="45"/>
        <v>-2.8396883285250252</v>
      </c>
      <c r="D233" s="22">
        <f t="shared" ref="D233:E233" si="66">IF(AND(E$3-D$3 &lt;&gt; 0,D65&lt;&gt;0,E65&lt;&gt;0),(EXP(LN(E65/D65)/(E$3-D$3))-1)*100,0)</f>
        <v>0.71011388699548927</v>
      </c>
      <c r="E233" s="22">
        <f t="shared" si="66"/>
        <v>0.45361843404996272</v>
      </c>
      <c r="F233" s="22">
        <f t="shared" si="44"/>
        <v>-0.57188854479253148</v>
      </c>
    </row>
    <row r="234" spans="1:6" x14ac:dyDescent="0.2">
      <c r="A234" s="18" t="str">
        <f>$A$66</f>
        <v>Services to buildings</v>
      </c>
      <c r="B234" s="22">
        <f t="shared" si="45"/>
        <v>7.588477999220955</v>
      </c>
      <c r="C234" s="22">
        <f t="shared" si="45"/>
        <v>-6.1716637874430047</v>
      </c>
      <c r="D234" s="22">
        <f t="shared" ref="D234:E234" si="67">IF(AND(E$3-D$3 &lt;&gt; 0,D66&lt;&gt;0,E66&lt;&gt;0),(EXP(LN(E66/D66)/(E$3-D$3))-1)*100,0)</f>
        <v>0.7195475899717918</v>
      </c>
      <c r="E234" s="22">
        <f t="shared" si="67"/>
        <v>0.34921335332902537</v>
      </c>
      <c r="F234" s="22">
        <f t="shared" si="44"/>
        <v>-1.7527089080610736</v>
      </c>
    </row>
    <row r="235" spans="1:6" x14ac:dyDescent="0.2">
      <c r="A235" s="18" t="str">
        <f>$A$67</f>
        <v>Office administrative</v>
      </c>
      <c r="B235" s="22">
        <f t="shared" si="45"/>
        <v>0.49140614489793233</v>
      </c>
      <c r="C235" s="22">
        <f t="shared" si="45"/>
        <v>6.1772334329683209</v>
      </c>
      <c r="D235" s="22">
        <f t="shared" ref="D235:E235" si="68">IF(AND(E$3-D$3 &lt;&gt; 0,D67&lt;&gt;0,E67&lt;&gt;0),(EXP(LN(E67/D67)/(E$3-D$3))-1)*100,0)</f>
        <v>0.82397175095143549</v>
      </c>
      <c r="E235" s="22">
        <f t="shared" si="68"/>
        <v>0.55012624213073291</v>
      </c>
      <c r="F235" s="22">
        <f t="shared" si="44"/>
        <v>2.4847569824286264</v>
      </c>
    </row>
    <row r="236" spans="1:6" x14ac:dyDescent="0.2">
      <c r="A236" s="18" t="str">
        <f>$A$68</f>
        <v>Public administration and defence</v>
      </c>
      <c r="B236" s="22">
        <f t="shared" si="45"/>
        <v>-2.4632516910511604</v>
      </c>
      <c r="C236" s="22">
        <f t="shared" si="45"/>
        <v>-0.21613366944209789</v>
      </c>
      <c r="D236" s="22">
        <f t="shared" ref="D236:E236" si="69">IF(AND(E$3-D$3 &lt;&gt; 0,D68&lt;&gt;0,E68&lt;&gt;0),(EXP(LN(E68/D68)/(E$3-D$3))-1)*100,0)</f>
        <v>-0.19749989627320108</v>
      </c>
      <c r="E236" s="22">
        <f t="shared" si="69"/>
        <v>-1.9827070796607504E-2</v>
      </c>
      <c r="F236" s="22">
        <f t="shared" si="44"/>
        <v>-0.14452605917472106</v>
      </c>
    </row>
    <row r="237" spans="1:6" x14ac:dyDescent="0.2">
      <c r="A237" s="18" t="str">
        <f>$A$69</f>
        <v xml:space="preserve">Education </v>
      </c>
      <c r="B237" s="22">
        <f t="shared" si="45"/>
        <v>2.884380432825151</v>
      </c>
      <c r="C237" s="22">
        <f t="shared" si="45"/>
        <v>-8.1125736730891518E-2</v>
      </c>
      <c r="D237" s="22">
        <f t="shared" ref="D237:E237" si="70">IF(AND(E$3-D$3 &lt;&gt; 0,D69&lt;&gt;0,E69&lt;&gt;0),(EXP(LN(E69/D69)/(E$3-D$3))-1)*100,0)</f>
        <v>-0.61919681586657394</v>
      </c>
      <c r="E237" s="22">
        <f t="shared" si="70"/>
        <v>0.24205836149713278</v>
      </c>
      <c r="F237" s="22">
        <f t="shared" ref="F237:F238" si="71">IF(AND(F$3-C$3 &lt;&gt; 0,C69&lt;&gt;0,F69&lt;&gt;0),(EXP(LN(F69/C69)/(F$3-C$3))-1)*100,0)</f>
        <v>-0.15338710123080634</v>
      </c>
    </row>
    <row r="238" spans="1:6" x14ac:dyDescent="0.2">
      <c r="A238" s="18" t="str">
        <f>$A$70</f>
        <v>Health</v>
      </c>
      <c r="B238" s="22">
        <f t="shared" si="45"/>
        <v>1.0848971674931374</v>
      </c>
      <c r="C238" s="22">
        <f t="shared" si="45"/>
        <v>5.8716188480439024</v>
      </c>
      <c r="D238" s="22">
        <f t="shared" ref="D238:E238" si="72">IF(AND(E$3-D$3 &lt;&gt; 0,D70&lt;&gt;0,E70&lt;&gt;0),(EXP(LN(E70/D70)/(E$3-D$3))-1)*100,0)</f>
        <v>1.041001483418591</v>
      </c>
      <c r="E238" s="22">
        <f t="shared" si="72"/>
        <v>1.054623902209606</v>
      </c>
      <c r="F238" s="22">
        <f t="shared" si="71"/>
        <v>2.6308191711246431</v>
      </c>
    </row>
    <row r="239" spans="1:6" x14ac:dyDescent="0.2">
      <c r="A239" s="18" t="str">
        <f>$A$71</f>
        <v>Residential care</v>
      </c>
      <c r="B239" s="22">
        <f t="shared" ref="B239:C239" si="73">IF(AND(C$3-B$3 &lt;&gt; 0,B71&lt;&gt;0,C71&lt;&gt;0),(EXP(LN(C71/B71)/(C$3-B$3))-1)*100,0)</f>
        <v>1.2908568949838495</v>
      </c>
      <c r="C239" s="22">
        <f t="shared" si="73"/>
        <v>4.0439360319376672</v>
      </c>
      <c r="D239" s="22">
        <f t="shared" ref="D239:D247" si="74">IF(AND(E$3-D$3 &lt;&gt; 0,D71&lt;&gt;0,E71&lt;&gt;0),(EXP(LN(E71/D71)/(E$3-D$3))-1)*100,0)</f>
        <v>0.79449338372674649</v>
      </c>
      <c r="E239" s="22">
        <f t="shared" ref="E239:E247" si="75">IF(AND(F$3-E$3 &lt;&gt; 0,E71&lt;&gt;0,F71&lt;&gt;0),(EXP(LN(F71/E71)/(F$3-E$3))-1)*100,0)</f>
        <v>0.49116025120390372</v>
      </c>
      <c r="F239" s="22">
        <f t="shared" ref="F239:F247" si="76">IF(AND(F$3-C$3 &lt;&gt; 0,C71&lt;&gt;0,F71&lt;&gt;0),(EXP(LN(F71/C71)/(F$3-C$3))-1)*100,0)</f>
        <v>1.7639166124231664</v>
      </c>
    </row>
    <row r="240" spans="1:6" x14ac:dyDescent="0.2">
      <c r="A240" s="18" t="str">
        <f>$A$72</f>
        <v>Social work</v>
      </c>
      <c r="B240" s="22">
        <f t="shared" ref="B240:C240" si="77">IF(AND(C$3-B$3 &lt;&gt; 0,B72&lt;&gt;0,C72&lt;&gt;0),(EXP(LN(C72/B72)/(C$3-B$3))-1)*100,0)</f>
        <v>2.7949351462225547</v>
      </c>
      <c r="C240" s="22">
        <f t="shared" si="77"/>
        <v>2.4825448554041118</v>
      </c>
      <c r="D240" s="22">
        <f t="shared" si="74"/>
        <v>0.87564649340365897</v>
      </c>
      <c r="E240" s="22">
        <f t="shared" si="75"/>
        <v>0.56318854061334633</v>
      </c>
      <c r="F240" s="22">
        <f t="shared" si="76"/>
        <v>1.3036490020321034</v>
      </c>
    </row>
    <row r="241" spans="1:6" x14ac:dyDescent="0.2">
      <c r="A241" s="18" t="str">
        <f>$A$73</f>
        <v>Arts and entertainment</v>
      </c>
      <c r="B241" s="22">
        <f t="shared" ref="B241:C241" si="78">IF(AND(C$3-B$3 &lt;&gt; 0,B73&lt;&gt;0,C73&lt;&gt;0),(EXP(LN(C73/B73)/(C$3-B$3))-1)*100,0)</f>
        <v>4.8662142434780176</v>
      </c>
      <c r="C241" s="22">
        <f t="shared" si="78"/>
        <v>13.277366205829267</v>
      </c>
      <c r="D241" s="22">
        <f t="shared" si="74"/>
        <v>2.7841485674234834</v>
      </c>
      <c r="E241" s="22">
        <f t="shared" si="75"/>
        <v>1.1302305506935229</v>
      </c>
      <c r="F241" s="22">
        <f t="shared" si="76"/>
        <v>5.5966387185820476</v>
      </c>
    </row>
    <row r="242" spans="1:6" x14ac:dyDescent="0.2">
      <c r="A242" s="18" t="str">
        <f>$A$74</f>
        <v>Libraries, etc</v>
      </c>
      <c r="B242" s="22">
        <f t="shared" ref="B242:C242" si="79">IF(AND(C$3-B$3 &lt;&gt; 0,B74&lt;&gt;0,C74&lt;&gt;0),(EXP(LN(C74/B74)/(C$3-B$3))-1)*100,0)</f>
        <v>-7.4110923632837</v>
      </c>
      <c r="C242" s="22">
        <f t="shared" si="79"/>
        <v>-0.31606908613625029</v>
      </c>
      <c r="D242" s="22">
        <f t="shared" si="74"/>
        <v>2.7674971846599172</v>
      </c>
      <c r="E242" s="22">
        <f t="shared" si="75"/>
        <v>1.1402280044774837</v>
      </c>
      <c r="F242" s="22">
        <f t="shared" si="76"/>
        <v>1.189384569130203</v>
      </c>
    </row>
    <row r="243" spans="1:6" x14ac:dyDescent="0.2">
      <c r="A243" s="18" t="str">
        <f>$A$75</f>
        <v>Gambling and betting</v>
      </c>
      <c r="B243" s="22">
        <f t="shared" ref="B243:C243" si="80">IF(AND(C$3-B$3 &lt;&gt; 0,B75&lt;&gt;0,C75&lt;&gt;0),(EXP(LN(C75/B75)/(C$3-B$3))-1)*100,0)</f>
        <v>-1.2512756989237928</v>
      </c>
      <c r="C243" s="22">
        <f t="shared" si="80"/>
        <v>-3.282154472202925</v>
      </c>
      <c r="D243" s="22">
        <f t="shared" si="74"/>
        <v>0.74082174532443812</v>
      </c>
      <c r="E243" s="22">
        <f t="shared" si="75"/>
        <v>0.53444129148376707</v>
      </c>
      <c r="F243" s="22">
        <f t="shared" si="76"/>
        <v>-0.68633924865004747</v>
      </c>
    </row>
    <row r="244" spans="1:6" x14ac:dyDescent="0.2">
      <c r="A244" s="18" t="str">
        <f>$A$76</f>
        <v>Sport and recreation</v>
      </c>
      <c r="B244" s="22">
        <f t="shared" ref="B244:C244" si="81">IF(AND(C$3-B$3 &lt;&gt; 0,B76&lt;&gt;0,C76&lt;&gt;0),(EXP(LN(C76/B76)/(C$3-B$3))-1)*100,0)</f>
        <v>4.9203947363983591</v>
      </c>
      <c r="C244" s="22">
        <f t="shared" si="81"/>
        <v>-0.8424832348779332</v>
      </c>
      <c r="D244" s="22">
        <f t="shared" si="74"/>
        <v>0.57668556122003611</v>
      </c>
      <c r="E244" s="22">
        <f t="shared" si="75"/>
        <v>0.36888118465980835</v>
      </c>
      <c r="F244" s="22">
        <f t="shared" si="76"/>
        <v>3.2398379718934223E-2</v>
      </c>
    </row>
    <row r="245" spans="1:6" x14ac:dyDescent="0.2">
      <c r="A245" s="18" t="str">
        <f>$A$77</f>
        <v>Membership organisations</v>
      </c>
      <c r="B245" s="22">
        <f t="shared" ref="B245:C245" si="82">IF(AND(C$3-B$3 &lt;&gt; 0,B77&lt;&gt;0,C77&lt;&gt;0),(EXP(LN(C77/B77)/(C$3-B$3))-1)*100,0)</f>
        <v>1.2367871460803537</v>
      </c>
      <c r="C245" s="22">
        <f t="shared" si="82"/>
        <v>-4.3961271963946729</v>
      </c>
      <c r="D245" s="22">
        <f t="shared" si="74"/>
        <v>0.40901161134139219</v>
      </c>
      <c r="E245" s="22">
        <f t="shared" si="75"/>
        <v>-0.12247954012442053</v>
      </c>
      <c r="F245" s="22">
        <f t="shared" si="76"/>
        <v>-1.3935531524544631</v>
      </c>
    </row>
    <row r="246" spans="1:6" x14ac:dyDescent="0.2">
      <c r="A246" s="18" t="str">
        <f>$A$78</f>
        <v>Repair of goods</v>
      </c>
      <c r="B246" s="22">
        <f t="shared" ref="B246:C246" si="83">IF(AND(C$3-B$3 &lt;&gt; 0,B78&lt;&gt;0,C78&lt;&gt;0),(EXP(LN(C78/B78)/(C$3-B$3))-1)*100,0)</f>
        <v>-8.4120111937409536</v>
      </c>
      <c r="C246" s="22">
        <f t="shared" si="83"/>
        <v>6.8071166196691735</v>
      </c>
      <c r="D246" s="22">
        <f t="shared" si="74"/>
        <v>0.46327526125369278</v>
      </c>
      <c r="E246" s="22">
        <f t="shared" si="75"/>
        <v>-2.0777063859933609E-2</v>
      </c>
      <c r="F246" s="22">
        <f t="shared" si="76"/>
        <v>2.3699348490122674</v>
      </c>
    </row>
    <row r="247" spans="1:6" x14ac:dyDescent="0.2">
      <c r="A247" s="18" t="str">
        <f>$A$79</f>
        <v>Other personal service</v>
      </c>
      <c r="B247" s="22">
        <f>IF(AND(C$3-B$3 &lt;&gt; 0,B79&lt;&gt;0,C79&lt;&gt;0),(EXP(LN(C79/B79)/(C$3-B$3))-1)*100,0)</f>
        <v>0.73000451950788747</v>
      </c>
      <c r="C247" s="22">
        <f t="shared" ref="C247" si="84">IF(AND(D$3-C$3 &lt;&gt; 0,C79&lt;&gt;0,D79&lt;&gt;0),(EXP(LN(D79/C79)/(D$3-C$3))-1)*100,0)</f>
        <v>9.682254130189861</v>
      </c>
      <c r="D247" s="22">
        <f t="shared" si="74"/>
        <v>0.56040694714620809</v>
      </c>
      <c r="E247" s="22">
        <f t="shared" si="75"/>
        <v>2.0291751906498234E-2</v>
      </c>
      <c r="F247" s="22">
        <f t="shared" si="76"/>
        <v>3.3277966920449265</v>
      </c>
    </row>
    <row r="248" spans="1:6" x14ac:dyDescent="0.2">
      <c r="A248" s="44"/>
      <c r="B248" s="22"/>
      <c r="C248" s="22"/>
      <c r="D248" s="22"/>
      <c r="E248" s="22"/>
      <c r="F248" s="22"/>
    </row>
    <row r="249" spans="1:6" x14ac:dyDescent="0.2">
      <c r="A249" s="28" t="str">
        <f>$A$81</f>
        <v>All industries</v>
      </c>
      <c r="B249" s="30">
        <f>IF(AND(C$3-B$3 &lt;&gt; 0,B81&lt;&gt;0,C81&lt;&gt;0),(EXP(LN(C81/B81)/(C$3-B$3))-1)*100,0)</f>
        <v>-0.73595101326741075</v>
      </c>
      <c r="C249" s="30">
        <f t="shared" ref="C249" si="85">IF(AND(D$3-C$3 &lt;&gt; 0,C81&lt;&gt;0,D81&lt;&gt;0),(EXP(LN(D81/C81)/(D$3-C$3))-1)*100,0)</f>
        <v>2.4123919723173071</v>
      </c>
      <c r="D249" s="30">
        <f>IF(AND(E$3-D$3 &lt;&gt; 0,D81&lt;&gt;0,E81&lt;&gt;0),(EXP(LN(E81/D81)/(E$3-D$3))-1)*100,0)</f>
        <v>0.21514536510913729</v>
      </c>
      <c r="E249" s="30">
        <f>IF(AND(F$3-E$3 &lt;&gt; 0,E81&lt;&gt;0,F81&lt;&gt;0),(EXP(LN(F81/E81)/(F$3-E$3))-1)*100,0)</f>
        <v>0.29427525578473723</v>
      </c>
      <c r="F249" s="30">
        <f t="shared" ref="F249" si="86">IF(AND(F$3-C$3 &lt;&gt; 0,C81&lt;&gt;0,F81&lt;&gt;0),(EXP(LN(F81/C81)/(F$3-C$3))-1)*100,0)</f>
        <v>0.9688333755316858</v>
      </c>
    </row>
    <row r="253" spans="1:6" ht="15.75" x14ac:dyDescent="0.25">
      <c r="A253" s="23" t="str">
        <f>CONCATENATE($A$1," (Continued)")</f>
        <v>Industry Table 3  Employment by Industry (SIC 2007), 2007-2027 (Continued)</v>
      </c>
    </row>
    <row r="255" spans="1:6" x14ac:dyDescent="0.2">
      <c r="A255" s="26"/>
      <c r="B255" s="29" t="str">
        <f>CONCATENATE(B$3,"-",C$3)</f>
        <v>2007-2012</v>
      </c>
      <c r="C255" s="29" t="str">
        <f>CONCATENATE(C$3,"-",D$3)</f>
        <v>2012-2017</v>
      </c>
      <c r="D255" s="29" t="str">
        <f>CONCATENATE(D$3,"-",E$3)</f>
        <v>2017-2022</v>
      </c>
      <c r="E255" s="29" t="str">
        <f>CONCATENATE(E$3,"-",F$3)</f>
        <v>2022-2027</v>
      </c>
      <c r="F255" s="29" t="str">
        <f>CONCATENATE(C$3,"-",F$3)</f>
        <v>2012-2027</v>
      </c>
    </row>
    <row r="256" spans="1:6" x14ac:dyDescent="0.2">
      <c r="A256" s="32" t="s">
        <v>15</v>
      </c>
    </row>
    <row r="257" spans="1:6" x14ac:dyDescent="0.2">
      <c r="A257" s="18" t="str">
        <f>$A$5</f>
        <v>Agriculture, etc</v>
      </c>
      <c r="B257" s="31">
        <f t="shared" ref="B257:E276" si="87">C5-B5</f>
        <v>-1.8210000002089615</v>
      </c>
      <c r="C257" s="31">
        <f t="shared" si="87"/>
        <v>24.524000000738702</v>
      </c>
      <c r="D257" s="31">
        <f t="shared" si="87"/>
        <v>-0.13300000019988545</v>
      </c>
      <c r="E257" s="31">
        <f t="shared" si="87"/>
        <v>0.31799999999266504</v>
      </c>
      <c r="F257" s="31">
        <f t="shared" ref="F257:F288" si="88">F5-C5</f>
        <v>24.709000000531482</v>
      </c>
    </row>
    <row r="258" spans="1:6" x14ac:dyDescent="0.2">
      <c r="A258" s="18" t="str">
        <f>$A$6</f>
        <v>Coal, oil &amp; gas; Mining &amp; related</v>
      </c>
      <c r="B258" s="31">
        <f t="shared" si="87"/>
        <v>1.3799999999916313</v>
      </c>
      <c r="C258" s="31">
        <f t="shared" si="87"/>
        <v>-0.28399999999381187</v>
      </c>
      <c r="D258" s="31">
        <f t="shared" si="87"/>
        <v>-0.16500000000449999</v>
      </c>
      <c r="E258" s="31">
        <f t="shared" si="87"/>
        <v>-0.34300000000027531</v>
      </c>
      <c r="F258" s="31">
        <f t="shared" si="88"/>
        <v>-0.79199999999858717</v>
      </c>
    </row>
    <row r="259" spans="1:6" x14ac:dyDescent="0.2">
      <c r="A259" s="18" t="str">
        <f>$A$7</f>
        <v>Food products</v>
      </c>
      <c r="B259" s="31">
        <f t="shared" si="87"/>
        <v>-1.2200000002811819</v>
      </c>
      <c r="C259" s="31">
        <f t="shared" si="87"/>
        <v>-2.2399999994871997</v>
      </c>
      <c r="D259" s="31">
        <f t="shared" si="87"/>
        <v>-1.032000000240199</v>
      </c>
      <c r="E259" s="31">
        <f t="shared" si="87"/>
        <v>-0.86800000002013533</v>
      </c>
      <c r="F259" s="31">
        <f t="shared" si="88"/>
        <v>-4.1399999997475341</v>
      </c>
    </row>
    <row r="260" spans="1:6" x14ac:dyDescent="0.2">
      <c r="A260" s="18" t="str">
        <f>$A$8</f>
        <v>Beverages and tobacco</v>
      </c>
      <c r="B260" s="31">
        <f t="shared" si="87"/>
        <v>-0.1750000000163765</v>
      </c>
      <c r="C260" s="31">
        <f t="shared" si="87"/>
        <v>-4.8999999976502062E-2</v>
      </c>
      <c r="D260" s="31">
        <f t="shared" si="87"/>
        <v>-0.10900000001366239</v>
      </c>
      <c r="E260" s="31">
        <f t="shared" si="87"/>
        <v>-8.9999999999699654E-2</v>
      </c>
      <c r="F260" s="31">
        <f t="shared" si="88"/>
        <v>-0.24799999998986411</v>
      </c>
    </row>
    <row r="261" spans="1:6" x14ac:dyDescent="0.2">
      <c r="A261" s="18" t="str">
        <f>$A$9</f>
        <v>Textiles</v>
      </c>
      <c r="B261" s="31">
        <f t="shared" si="87"/>
        <v>1.1479999999856592</v>
      </c>
      <c r="C261" s="31">
        <f t="shared" si="87"/>
        <v>-1.1489999999578964</v>
      </c>
      <c r="D261" s="31">
        <f t="shared" si="87"/>
        <v>-0.30200000001620553</v>
      </c>
      <c r="E261" s="31">
        <f t="shared" si="87"/>
        <v>-8.3000000002367402E-2</v>
      </c>
      <c r="F261" s="31">
        <f t="shared" si="88"/>
        <v>-1.5339999999764693</v>
      </c>
    </row>
    <row r="262" spans="1:6" x14ac:dyDescent="0.2">
      <c r="A262" s="18" t="str">
        <f>$A$10</f>
        <v>Wearing apparel; Leather, etc</v>
      </c>
      <c r="B262" s="31">
        <f t="shared" si="87"/>
        <v>0.32999999999965457</v>
      </c>
      <c r="C262" s="31">
        <f t="shared" si="87"/>
        <v>0.38300000000890289</v>
      </c>
      <c r="D262" s="31">
        <f t="shared" si="87"/>
        <v>-0.22800000000634912</v>
      </c>
      <c r="E262" s="31">
        <f t="shared" si="87"/>
        <v>-5.3000000001270031E-2</v>
      </c>
      <c r="F262" s="31">
        <f t="shared" si="88"/>
        <v>0.10200000000128373</v>
      </c>
    </row>
    <row r="263" spans="1:6" x14ac:dyDescent="0.2">
      <c r="A263" s="18" t="str">
        <f>$A$11</f>
        <v xml:space="preserve">Wood and cork </v>
      </c>
      <c r="B263" s="31">
        <f t="shared" si="87"/>
        <v>0.2539999999275353</v>
      </c>
      <c r="C263" s="31">
        <f t="shared" si="87"/>
        <v>0.26200000008003155</v>
      </c>
      <c r="D263" s="31">
        <f t="shared" si="87"/>
        <v>-0.24000000006388245</v>
      </c>
      <c r="E263" s="31">
        <f t="shared" si="87"/>
        <v>-0.26000000000535639</v>
      </c>
      <c r="F263" s="31">
        <f t="shared" si="88"/>
        <v>-0.23799999998920729</v>
      </c>
    </row>
    <row r="264" spans="1:6" x14ac:dyDescent="0.2">
      <c r="A264" s="18" t="str">
        <f>$A$12</f>
        <v>Paper, etc</v>
      </c>
      <c r="B264" s="31">
        <f t="shared" si="87"/>
        <v>-1.0420000000535303</v>
      </c>
      <c r="C264" s="31">
        <f t="shared" si="87"/>
        <v>-1.76499999991491</v>
      </c>
      <c r="D264" s="31">
        <f t="shared" si="87"/>
        <v>-0.14700000003656566</v>
      </c>
      <c r="E264" s="31">
        <f t="shared" si="87"/>
        <v>-0.1660000000033266</v>
      </c>
      <c r="F264" s="31">
        <f t="shared" si="88"/>
        <v>-2.0779999999548022</v>
      </c>
    </row>
    <row r="265" spans="1:6" x14ac:dyDescent="0.2">
      <c r="A265" s="18" t="str">
        <f>$A$13</f>
        <v>Printing and recording</v>
      </c>
      <c r="B265" s="31">
        <f t="shared" si="87"/>
        <v>-3.6000000035483204E-2</v>
      </c>
      <c r="C265" s="31">
        <f t="shared" si="87"/>
        <v>0.96200000005191466</v>
      </c>
      <c r="D265" s="31">
        <f t="shared" si="87"/>
        <v>-2.6000000041102922E-2</v>
      </c>
      <c r="E265" s="31">
        <f t="shared" si="87"/>
        <v>-0.18300000000147421</v>
      </c>
      <c r="F265" s="31">
        <f t="shared" si="88"/>
        <v>0.75300000000933753</v>
      </c>
    </row>
    <row r="266" spans="1:6" x14ac:dyDescent="0.2">
      <c r="A266" s="18" t="str">
        <f>$A$14</f>
        <v>Coke and petroleum; Chemicals, etc</v>
      </c>
      <c r="B266" s="31">
        <f t="shared" si="87"/>
        <v>-4.2659999999737162</v>
      </c>
      <c r="C266" s="31">
        <f t="shared" si="87"/>
        <v>3.0000000315943964E-3</v>
      </c>
      <c r="D266" s="31">
        <f t="shared" si="87"/>
        <v>-0.23199999999803111</v>
      </c>
      <c r="E266" s="31">
        <f t="shared" si="87"/>
        <v>-0.13299999999357937</v>
      </c>
      <c r="F266" s="31">
        <f t="shared" si="88"/>
        <v>-0.36199999996001608</v>
      </c>
    </row>
    <row r="267" spans="1:6" x14ac:dyDescent="0.2">
      <c r="A267" s="18" t="str">
        <f>$A$15</f>
        <v>Pharmaceuticals</v>
      </c>
      <c r="B267" s="31">
        <f t="shared" si="87"/>
        <v>0.76000000001131074</v>
      </c>
      <c r="C267" s="31">
        <f t="shared" si="87"/>
        <v>-0.23499999999834875</v>
      </c>
      <c r="D267" s="31">
        <f t="shared" si="87"/>
        <v>-5.5999999995242966E-2</v>
      </c>
      <c r="E267" s="31">
        <f t="shared" si="87"/>
        <v>-2.9000000000388049E-2</v>
      </c>
      <c r="F267" s="31">
        <f t="shared" si="88"/>
        <v>-0.31999999999397977</v>
      </c>
    </row>
    <row r="268" spans="1:6" x14ac:dyDescent="0.2">
      <c r="A268" s="18" t="str">
        <f>$A$16</f>
        <v>Rubber and plastic</v>
      </c>
      <c r="B268" s="31">
        <f t="shared" si="87"/>
        <v>-1.864000000088085</v>
      </c>
      <c r="C268" s="31">
        <f t="shared" si="87"/>
        <v>-0.79299999982211311</v>
      </c>
      <c r="D268" s="31">
        <f t="shared" si="87"/>
        <v>-1.0390000000814092</v>
      </c>
      <c r="E268" s="31">
        <f t="shared" si="87"/>
        <v>-0.74400000000920041</v>
      </c>
      <c r="F268" s="31">
        <f t="shared" si="88"/>
        <v>-2.5759999999127228</v>
      </c>
    </row>
    <row r="269" spans="1:6" x14ac:dyDescent="0.2">
      <c r="A269" s="18" t="str">
        <f>$A$17</f>
        <v>Other non-metallic</v>
      </c>
      <c r="B269" s="31">
        <f t="shared" si="87"/>
        <v>-1.5210000000628199</v>
      </c>
      <c r="C269" s="31">
        <f t="shared" si="87"/>
        <v>-1.2159999999271407</v>
      </c>
      <c r="D269" s="31">
        <f t="shared" si="87"/>
        <v>-0.38200000003406975</v>
      </c>
      <c r="E269" s="31">
        <f t="shared" si="87"/>
        <v>-0.28200000000417891</v>
      </c>
      <c r="F269" s="31">
        <f t="shared" si="88"/>
        <v>-1.8799999999653894</v>
      </c>
    </row>
    <row r="270" spans="1:6" x14ac:dyDescent="0.2">
      <c r="A270" s="18" t="str">
        <f>$A$18</f>
        <v>Basic metals</v>
      </c>
      <c r="B270" s="31">
        <f t="shared" si="87"/>
        <v>-2.6780000001621573</v>
      </c>
      <c r="C270" s="31">
        <f t="shared" si="87"/>
        <v>2.9150000001553433</v>
      </c>
      <c r="D270" s="31">
        <f t="shared" si="87"/>
        <v>-1.3960000001547002</v>
      </c>
      <c r="E270" s="31">
        <f t="shared" si="87"/>
        <v>-0.9060000000089552</v>
      </c>
      <c r="F270" s="31">
        <f t="shared" si="88"/>
        <v>0.61299999999168797</v>
      </c>
    </row>
    <row r="271" spans="1:6" x14ac:dyDescent="0.2">
      <c r="A271" s="18" t="str">
        <f>$A$19</f>
        <v>Metal products</v>
      </c>
      <c r="B271" s="31">
        <f t="shared" si="87"/>
        <v>-5.6540000002195274</v>
      </c>
      <c r="C271" s="31">
        <f t="shared" si="87"/>
        <v>4.1200000002897621</v>
      </c>
      <c r="D271" s="31">
        <f t="shared" si="87"/>
        <v>-1.9320000002122555</v>
      </c>
      <c r="E271" s="31">
        <f t="shared" si="87"/>
        <v>-1.1380000000134523</v>
      </c>
      <c r="F271" s="31">
        <f t="shared" si="88"/>
        <v>1.0500000000640544</v>
      </c>
    </row>
    <row r="272" spans="1:6" x14ac:dyDescent="0.2">
      <c r="A272" s="18" t="str">
        <f>$A$20</f>
        <v>Computer, etc</v>
      </c>
      <c r="B272" s="31">
        <f t="shared" si="87"/>
        <v>-2.0149999999731092</v>
      </c>
      <c r="C272" s="31">
        <f t="shared" si="87"/>
        <v>0.53700000008806281</v>
      </c>
      <c r="D272" s="31">
        <f t="shared" si="87"/>
        <v>0.45599999996539253</v>
      </c>
      <c r="E272" s="31">
        <f t="shared" si="87"/>
        <v>-0.67700000000411897</v>
      </c>
      <c r="F272" s="31">
        <f t="shared" si="88"/>
        <v>0.31600000004933637</v>
      </c>
    </row>
    <row r="273" spans="1:6" x14ac:dyDescent="0.2">
      <c r="A273" s="18" t="str">
        <f>$A$21</f>
        <v>Electrical equipment</v>
      </c>
      <c r="B273" s="31">
        <f t="shared" si="87"/>
        <v>-2.2680000000190539</v>
      </c>
      <c r="C273" s="31">
        <f t="shared" si="87"/>
        <v>-0.55399999990858984</v>
      </c>
      <c r="D273" s="31">
        <f t="shared" si="87"/>
        <v>-0.14100000003751489</v>
      </c>
      <c r="E273" s="31">
        <f t="shared" si="87"/>
        <v>-0.16100000000217296</v>
      </c>
      <c r="F273" s="31">
        <f t="shared" si="88"/>
        <v>-0.85599999994827769</v>
      </c>
    </row>
    <row r="274" spans="1:6" x14ac:dyDescent="0.2">
      <c r="A274" s="18" t="str">
        <f>$A$22</f>
        <v>Machinery n.e.c.</v>
      </c>
      <c r="B274" s="31">
        <f t="shared" si="87"/>
        <v>-3.0620000000243</v>
      </c>
      <c r="C274" s="31">
        <f t="shared" si="87"/>
        <v>-0.64399999992752655</v>
      </c>
      <c r="D274" s="31">
        <f t="shared" si="87"/>
        <v>-3.0000000031465746E-2</v>
      </c>
      <c r="E274" s="31">
        <f t="shared" si="87"/>
        <v>-0.25999999999794543</v>
      </c>
      <c r="F274" s="31">
        <f t="shared" si="88"/>
        <v>-0.93399999995693772</v>
      </c>
    </row>
    <row r="275" spans="1:6" x14ac:dyDescent="0.2">
      <c r="A275" s="18" t="str">
        <f>$A$23</f>
        <v>Motor vehicles, etc</v>
      </c>
      <c r="B275" s="31">
        <f t="shared" si="87"/>
        <v>-4.8860000001502044</v>
      </c>
      <c r="C275" s="31">
        <f t="shared" si="87"/>
        <v>-0.23099999980797215</v>
      </c>
      <c r="D275" s="31">
        <f t="shared" si="87"/>
        <v>8.5999999876378297E-2</v>
      </c>
      <c r="E275" s="31">
        <f t="shared" si="87"/>
        <v>0.22899999998914566</v>
      </c>
      <c r="F275" s="31">
        <f t="shared" si="88"/>
        <v>8.4000000057551816E-2</v>
      </c>
    </row>
    <row r="276" spans="1:6" x14ac:dyDescent="0.2">
      <c r="A276" s="18" t="str">
        <f>$A$24</f>
        <v>Other transport equipment</v>
      </c>
      <c r="B276" s="31">
        <f t="shared" si="87"/>
        <v>1.4429999998399055</v>
      </c>
      <c r="C276" s="31">
        <f t="shared" si="87"/>
        <v>-1.7669999998488457</v>
      </c>
      <c r="D276" s="31">
        <f t="shared" si="87"/>
        <v>1.0389999999029875</v>
      </c>
      <c r="E276" s="31">
        <f t="shared" si="87"/>
        <v>0.34899999997853648</v>
      </c>
      <c r="F276" s="31">
        <f t="shared" si="88"/>
        <v>-0.3789999999673217</v>
      </c>
    </row>
    <row r="277" spans="1:6" x14ac:dyDescent="0.2">
      <c r="A277" s="18" t="str">
        <f>$A$25</f>
        <v>Furniture</v>
      </c>
      <c r="B277" s="31">
        <f t="shared" ref="B277:E296" si="89">C25-B25</f>
        <v>-1.2900000000550742</v>
      </c>
      <c r="C277" s="31">
        <f t="shared" si="89"/>
        <v>2.0940000000965053</v>
      </c>
      <c r="D277" s="31">
        <f t="shared" si="89"/>
        <v>-0.11500000008052513</v>
      </c>
      <c r="E277" s="31">
        <f t="shared" si="89"/>
        <v>-0.28200000000744918</v>
      </c>
      <c r="F277" s="31">
        <f t="shared" si="88"/>
        <v>1.697000000008531</v>
      </c>
    </row>
    <row r="278" spans="1:6" x14ac:dyDescent="0.2">
      <c r="A278" s="18" t="str">
        <f>$A$26</f>
        <v>Other manufacturing</v>
      </c>
      <c r="B278" s="31">
        <f t="shared" si="89"/>
        <v>-2.6440000000648913</v>
      </c>
      <c r="C278" s="31">
        <f t="shared" si="89"/>
        <v>1.0870000000852675</v>
      </c>
      <c r="D278" s="31">
        <f t="shared" si="89"/>
        <v>-0.13500000006821455</v>
      </c>
      <c r="E278" s="31">
        <f t="shared" si="89"/>
        <v>-0.27800000000756686</v>
      </c>
      <c r="F278" s="31">
        <f t="shared" si="88"/>
        <v>0.67400000000948612</v>
      </c>
    </row>
    <row r="279" spans="1:6" x14ac:dyDescent="0.2">
      <c r="A279" s="18" t="str">
        <f>$A$27</f>
        <v>Repair and installation</v>
      </c>
      <c r="B279" s="31">
        <f t="shared" si="89"/>
        <v>0.80799999992870486</v>
      </c>
      <c r="C279" s="31">
        <f t="shared" si="89"/>
        <v>2.8150000001528079</v>
      </c>
      <c r="D279" s="31">
        <f t="shared" si="89"/>
        <v>-0.14600000007833103</v>
      </c>
      <c r="E279" s="31">
        <f t="shared" si="89"/>
        <v>-0.38900000001091861</v>
      </c>
      <c r="F279" s="31">
        <f t="shared" si="88"/>
        <v>2.2800000000635583</v>
      </c>
    </row>
    <row r="280" spans="1:6" x14ac:dyDescent="0.2">
      <c r="A280" s="18" t="str">
        <f>$A$28</f>
        <v>Electricity, gas, etc</v>
      </c>
      <c r="B280" s="31">
        <f t="shared" si="89"/>
        <v>3.1150000000094167</v>
      </c>
      <c r="C280" s="31">
        <f t="shared" si="89"/>
        <v>2.9000000000528381E-2</v>
      </c>
      <c r="D280" s="31">
        <f t="shared" si="89"/>
        <v>-0.14499999997258239</v>
      </c>
      <c r="E280" s="31">
        <f t="shared" si="89"/>
        <v>-2.9999999993493454E-2</v>
      </c>
      <c r="F280" s="31">
        <f t="shared" si="88"/>
        <v>-0.14599999996554747</v>
      </c>
    </row>
    <row r="281" spans="1:6" x14ac:dyDescent="0.2">
      <c r="A281" s="18" t="str">
        <f>$A$29</f>
        <v>Water</v>
      </c>
      <c r="B281" s="31">
        <f t="shared" si="89"/>
        <v>0.40899999998852987</v>
      </c>
      <c r="C281" s="31">
        <f t="shared" si="89"/>
        <v>0.11899999999643152</v>
      </c>
      <c r="D281" s="31">
        <f t="shared" si="89"/>
        <v>0.17199999999801285</v>
      </c>
      <c r="E281" s="31">
        <f t="shared" si="89"/>
        <v>0.27900000000139213</v>
      </c>
      <c r="F281" s="31">
        <f t="shared" si="88"/>
        <v>0.5699999999958365</v>
      </c>
    </row>
    <row r="282" spans="1:6" x14ac:dyDescent="0.2">
      <c r="A282" s="18" t="str">
        <f>$A$30</f>
        <v>Sewerage</v>
      </c>
      <c r="B282" s="31">
        <f t="shared" si="89"/>
        <v>0.48099999998578824</v>
      </c>
      <c r="C282" s="31">
        <f t="shared" si="89"/>
        <v>-0.27099999998924751</v>
      </c>
      <c r="D282" s="31">
        <f t="shared" si="89"/>
        <v>4.6999999992891173E-2</v>
      </c>
      <c r="E282" s="31">
        <f t="shared" si="89"/>
        <v>-3.6000000000381727E-2</v>
      </c>
      <c r="F282" s="31">
        <f t="shared" si="88"/>
        <v>-0.25999999999673806</v>
      </c>
    </row>
    <row r="283" spans="1:6" x14ac:dyDescent="0.2">
      <c r="A283" s="18" t="str">
        <f>$A$31</f>
        <v>Waste management</v>
      </c>
      <c r="B283" s="31">
        <f t="shared" si="89"/>
        <v>2.4859999998622797</v>
      </c>
      <c r="C283" s="31">
        <f t="shared" si="89"/>
        <v>-0.92299999996890936</v>
      </c>
      <c r="D283" s="31">
        <f t="shared" si="89"/>
        <v>0.67099999992338955</v>
      </c>
      <c r="E283" s="31">
        <f t="shared" si="89"/>
        <v>0.53799999997707992</v>
      </c>
      <c r="F283" s="31">
        <f t="shared" si="88"/>
        <v>0.28599999993156011</v>
      </c>
    </row>
    <row r="284" spans="1:6" x14ac:dyDescent="0.2">
      <c r="A284" s="18" t="str">
        <f>$A$32</f>
        <v>Construction</v>
      </c>
      <c r="B284" s="31">
        <f t="shared" si="89"/>
        <v>-1.7580000008371464</v>
      </c>
      <c r="C284" s="31">
        <f t="shared" si="89"/>
        <v>9.9830000007073636</v>
      </c>
      <c r="D284" s="31">
        <f t="shared" si="89"/>
        <v>0.15900000003205861</v>
      </c>
      <c r="E284" s="31">
        <f t="shared" si="89"/>
        <v>0.29999999986522141</v>
      </c>
      <c r="F284" s="31">
        <f t="shared" si="88"/>
        <v>10.442000000604644</v>
      </c>
    </row>
    <row r="285" spans="1:6" x14ac:dyDescent="0.2">
      <c r="A285" s="18" t="str">
        <f>$A$33</f>
        <v>Civil engineering</v>
      </c>
      <c r="B285" s="31">
        <f t="shared" si="89"/>
        <v>-4.4530000006056376</v>
      </c>
      <c r="C285" s="31">
        <f t="shared" si="89"/>
        <v>0.54100000039327867</v>
      </c>
      <c r="D285" s="31">
        <f t="shared" si="89"/>
        <v>3.1000000026498498E-2</v>
      </c>
      <c r="E285" s="31">
        <f t="shared" si="89"/>
        <v>0.10799999992904574</v>
      </c>
      <c r="F285" s="31">
        <f t="shared" si="88"/>
        <v>0.68000000034882291</v>
      </c>
    </row>
    <row r="286" spans="1:6" x14ac:dyDescent="0.2">
      <c r="A286" s="18" t="str">
        <f>$A$34</f>
        <v>Specialised construction</v>
      </c>
      <c r="B286" s="31">
        <f t="shared" si="89"/>
        <v>-22.530000001391443</v>
      </c>
      <c r="C286" s="31">
        <f t="shared" si="89"/>
        <v>10.88000000090414</v>
      </c>
      <c r="D286" s="31">
        <f t="shared" si="89"/>
        <v>0.10600000006077437</v>
      </c>
      <c r="E286" s="31">
        <f t="shared" si="89"/>
        <v>0.30599999982405279</v>
      </c>
      <c r="F286" s="31">
        <f t="shared" si="88"/>
        <v>11.292000000788967</v>
      </c>
    </row>
    <row r="287" spans="1:6" x14ac:dyDescent="0.2">
      <c r="A287" s="18" t="str">
        <f>$A$35</f>
        <v>Motor vehicle trade</v>
      </c>
      <c r="B287" s="31">
        <f t="shared" si="89"/>
        <v>-0.76100000029689241</v>
      </c>
      <c r="C287" s="31">
        <f t="shared" si="89"/>
        <v>2.8330000004468765</v>
      </c>
      <c r="D287" s="31">
        <f t="shared" si="89"/>
        <v>-0.14000000028725168</v>
      </c>
      <c r="E287" s="31">
        <f t="shared" si="89"/>
        <v>9.9999999964431652E-2</v>
      </c>
      <c r="F287" s="31">
        <f t="shared" si="88"/>
        <v>2.7930000001240565</v>
      </c>
    </row>
    <row r="288" spans="1:6" x14ac:dyDescent="0.2">
      <c r="A288" s="18" t="str">
        <f>$A$36</f>
        <v>Wholesale trade</v>
      </c>
      <c r="B288" s="31">
        <f t="shared" si="89"/>
        <v>-3.7410000003940596</v>
      </c>
      <c r="C288" s="31">
        <f t="shared" si="89"/>
        <v>5.0100000007680521</v>
      </c>
      <c r="D288" s="31">
        <f t="shared" si="89"/>
        <v>-1.577000000439412</v>
      </c>
      <c r="E288" s="31">
        <f t="shared" si="89"/>
        <v>-1.2660000000294218</v>
      </c>
      <c r="F288" s="31">
        <f t="shared" si="88"/>
        <v>2.1670000002992182</v>
      </c>
    </row>
    <row r="289" spans="1:6" x14ac:dyDescent="0.2">
      <c r="A289" s="18" t="str">
        <f>$A$37</f>
        <v>Retail trade</v>
      </c>
      <c r="B289" s="31">
        <f t="shared" si="89"/>
        <v>-7.7570000002509971</v>
      </c>
      <c r="C289" s="31">
        <f t="shared" si="89"/>
        <v>-6.505999995989356</v>
      </c>
      <c r="D289" s="31">
        <f t="shared" si="89"/>
        <v>2.1979999980032119</v>
      </c>
      <c r="E289" s="31">
        <f t="shared" si="89"/>
        <v>2.600999999711803</v>
      </c>
      <c r="F289" s="31">
        <f t="shared" ref="F289:F320" si="90">F37-C37</f>
        <v>-1.7069999982743411</v>
      </c>
    </row>
    <row r="290" spans="1:6" x14ac:dyDescent="0.2">
      <c r="A290" s="18" t="str">
        <f>$A$38</f>
        <v>Land transport, etc</v>
      </c>
      <c r="B290" s="31">
        <f t="shared" si="89"/>
        <v>-1.6980000000814748</v>
      </c>
      <c r="C290" s="31">
        <f t="shared" si="89"/>
        <v>-2.6439999995129284</v>
      </c>
      <c r="D290" s="31">
        <f t="shared" si="89"/>
        <v>-0.67600000056159004</v>
      </c>
      <c r="E290" s="31">
        <f t="shared" si="89"/>
        <v>0.720999999880096</v>
      </c>
      <c r="F290" s="31">
        <f t="shared" si="90"/>
        <v>-2.5990000001944225</v>
      </c>
    </row>
    <row r="291" spans="1:6" x14ac:dyDescent="0.2">
      <c r="A291" s="18" t="str">
        <f>$A$39</f>
        <v>Water transport</v>
      </c>
      <c r="B291" s="31">
        <f t="shared" si="89"/>
        <v>-0.16800000000332083</v>
      </c>
      <c r="C291" s="31">
        <f t="shared" si="89"/>
        <v>-0.22699999999253606</v>
      </c>
      <c r="D291" s="31">
        <f t="shared" si="89"/>
        <v>-0.16100000000163028</v>
      </c>
      <c r="E291" s="31">
        <f t="shared" si="89"/>
        <v>-6.5999999999100001E-2</v>
      </c>
      <c r="F291" s="31">
        <f t="shared" si="90"/>
        <v>-0.45399999999326635</v>
      </c>
    </row>
    <row r="292" spans="1:6" x14ac:dyDescent="0.2">
      <c r="A292" s="18" t="str">
        <f>$A$40</f>
        <v>Air transport</v>
      </c>
      <c r="B292" s="31">
        <f t="shared" si="89"/>
        <v>-0.18500000000036781</v>
      </c>
      <c r="C292" s="31">
        <f t="shared" si="89"/>
        <v>-0.17299999999354232</v>
      </c>
      <c r="D292" s="31">
        <f t="shared" si="89"/>
        <v>2.9999999997537663E-2</v>
      </c>
      <c r="E292" s="31">
        <f t="shared" si="89"/>
        <v>4.6999999999380926E-2</v>
      </c>
      <c r="F292" s="31">
        <f t="shared" si="90"/>
        <v>-9.5999999996623731E-2</v>
      </c>
    </row>
    <row r="293" spans="1:6" x14ac:dyDescent="0.2">
      <c r="A293" s="18" t="str">
        <f>$A$41</f>
        <v>Warehousing, etc</v>
      </c>
      <c r="B293" s="31">
        <f t="shared" si="89"/>
        <v>0.32599999986301498</v>
      </c>
      <c r="C293" s="31">
        <f t="shared" si="89"/>
        <v>0.50900000017817248</v>
      </c>
      <c r="D293" s="31">
        <f t="shared" si="89"/>
        <v>-0.17600000013856487</v>
      </c>
      <c r="E293" s="31">
        <f t="shared" si="89"/>
        <v>-0.17800000001402516</v>
      </c>
      <c r="F293" s="31">
        <f t="shared" si="90"/>
        <v>0.15500000002558245</v>
      </c>
    </row>
    <row r="294" spans="1:6" x14ac:dyDescent="0.2">
      <c r="A294" s="18" t="str">
        <f>$A$42</f>
        <v>Postal and courier</v>
      </c>
      <c r="B294" s="31">
        <f t="shared" si="89"/>
        <v>-2.5830000000994193</v>
      </c>
      <c r="C294" s="31">
        <f t="shared" si="89"/>
        <v>-1.8169999997883055</v>
      </c>
      <c r="D294" s="31">
        <f t="shared" si="89"/>
        <v>4.9999999894418501E-2</v>
      </c>
      <c r="E294" s="31">
        <f t="shared" si="89"/>
        <v>3.9999999846624945E-3</v>
      </c>
      <c r="F294" s="31">
        <f t="shared" si="90"/>
        <v>-1.7629999999092245</v>
      </c>
    </row>
    <row r="295" spans="1:6" x14ac:dyDescent="0.2">
      <c r="A295" s="18" t="str">
        <f>$A$43</f>
        <v>Accommodation</v>
      </c>
      <c r="B295" s="31">
        <f t="shared" si="89"/>
        <v>3.4049999998130289</v>
      </c>
      <c r="C295" s="31">
        <f t="shared" si="89"/>
        <v>12.360000000935329</v>
      </c>
      <c r="D295" s="31">
        <f t="shared" si="89"/>
        <v>2.1839999996625821</v>
      </c>
      <c r="E295" s="31">
        <f t="shared" si="89"/>
        <v>2.3690000000069205</v>
      </c>
      <c r="F295" s="31">
        <f t="shared" si="90"/>
        <v>16.913000000604832</v>
      </c>
    </row>
    <row r="296" spans="1:6" x14ac:dyDescent="0.2">
      <c r="A296" s="18" t="str">
        <f>$A$44</f>
        <v>Food and beverage services</v>
      </c>
      <c r="B296" s="31">
        <f t="shared" si="89"/>
        <v>0.25999999962913023</v>
      </c>
      <c r="C296" s="31">
        <f t="shared" si="89"/>
        <v>25.948000002274483</v>
      </c>
      <c r="D296" s="31">
        <f t="shared" si="89"/>
        <v>-1.0530000008630083</v>
      </c>
      <c r="E296" s="31">
        <f t="shared" si="89"/>
        <v>2.3640000000267207</v>
      </c>
      <c r="F296" s="31">
        <f t="shared" si="90"/>
        <v>27.259000001438196</v>
      </c>
    </row>
    <row r="297" spans="1:6" x14ac:dyDescent="0.2">
      <c r="A297" s="18" t="str">
        <f>$A$45</f>
        <v>Publishing activities</v>
      </c>
      <c r="B297" s="31">
        <f t="shared" ref="B297:E297" si="91">C45-B45</f>
        <v>-1.3869999999918523</v>
      </c>
      <c r="C297" s="31">
        <f t="shared" si="91"/>
        <v>-0.31399999999765305</v>
      </c>
      <c r="D297" s="31">
        <f t="shared" si="91"/>
        <v>-7.1999999998540787E-2</v>
      </c>
      <c r="E297" s="31">
        <f t="shared" si="91"/>
        <v>5.4000000004767568E-2</v>
      </c>
      <c r="F297" s="31">
        <f t="shared" si="90"/>
        <v>-0.33199999999142626</v>
      </c>
    </row>
    <row r="298" spans="1:6" x14ac:dyDescent="0.2">
      <c r="A298" s="18" t="str">
        <f>$A$46</f>
        <v>Film and music</v>
      </c>
      <c r="B298" s="31">
        <f t="shared" ref="B298:C322" si="92">C46-B46</f>
        <v>-3.3539999999934675</v>
      </c>
      <c r="C298" s="31">
        <f t="shared" si="92"/>
        <v>1.3529999999968538</v>
      </c>
      <c r="D298" s="31">
        <f t="shared" ref="D298:E298" si="93">E46-D46</f>
        <v>4.4999999986816253E-2</v>
      </c>
      <c r="E298" s="31">
        <f t="shared" si="93"/>
        <v>0.14500000000051916</v>
      </c>
      <c r="F298" s="31">
        <f t="shared" si="90"/>
        <v>1.5429999999841892</v>
      </c>
    </row>
    <row r="299" spans="1:6" x14ac:dyDescent="0.2">
      <c r="A299" s="18" t="str">
        <f>$A$47</f>
        <v>Broadcasting</v>
      </c>
      <c r="B299" s="31">
        <f t="shared" si="92"/>
        <v>-0.16899999999794102</v>
      </c>
      <c r="C299" s="31">
        <f t="shared" si="92"/>
        <v>0.83999999998876762</v>
      </c>
      <c r="D299" s="31">
        <f t="shared" ref="D299:E299" si="94">E47-D47</f>
        <v>-4.7999999998148413E-2</v>
      </c>
      <c r="E299" s="31">
        <f t="shared" si="94"/>
        <v>7.0000000015235653E-3</v>
      </c>
      <c r="F299" s="31">
        <f t="shared" si="90"/>
        <v>0.79899999999214277</v>
      </c>
    </row>
    <row r="300" spans="1:6" x14ac:dyDescent="0.2">
      <c r="A300" s="18" t="str">
        <f>$A$48</f>
        <v>Telecommunications</v>
      </c>
      <c r="B300" s="31">
        <f t="shared" si="92"/>
        <v>-0.55699999987728877</v>
      </c>
      <c r="C300" s="31">
        <f t="shared" si="92"/>
        <v>-2.9030000001168261</v>
      </c>
      <c r="D300" s="31">
        <f t="shared" ref="D300:E300" si="95">E48-D48</f>
        <v>1.3000000069244066E-2</v>
      </c>
      <c r="E300" s="31">
        <f t="shared" si="95"/>
        <v>3.3000000013752029E-2</v>
      </c>
      <c r="F300" s="31">
        <f t="shared" si="90"/>
        <v>-2.85700000003383</v>
      </c>
    </row>
    <row r="301" spans="1:6" x14ac:dyDescent="0.2">
      <c r="A301" s="18" t="str">
        <f>$A$49</f>
        <v>Computing services</v>
      </c>
      <c r="B301" s="31">
        <f t="shared" si="92"/>
        <v>-0.60399999975480334</v>
      </c>
      <c r="C301" s="31">
        <f t="shared" si="92"/>
        <v>12.114999999552136</v>
      </c>
      <c r="D301" s="31">
        <f t="shared" ref="D301:E301" si="96">E49-D49</f>
        <v>0.54600000043495456</v>
      </c>
      <c r="E301" s="31">
        <f t="shared" si="96"/>
        <v>0.58600000007479025</v>
      </c>
      <c r="F301" s="31">
        <f t="shared" si="90"/>
        <v>13.247000000061881</v>
      </c>
    </row>
    <row r="302" spans="1:6" x14ac:dyDescent="0.2">
      <c r="A302" s="18" t="str">
        <f>$A$50</f>
        <v>Information services</v>
      </c>
      <c r="B302" s="31">
        <f t="shared" si="92"/>
        <v>0.55700000000293326</v>
      </c>
      <c r="C302" s="31">
        <f t="shared" si="92"/>
        <v>-0.65799999999985459</v>
      </c>
      <c r="D302" s="31">
        <f t="shared" ref="D302:E302" si="97">E50-D50</f>
        <v>8.0000000007407479E-3</v>
      </c>
      <c r="E302" s="31">
        <f t="shared" si="97"/>
        <v>1.1999999999950162E-2</v>
      </c>
      <c r="F302" s="31">
        <f t="shared" si="90"/>
        <v>-0.63799999999916368</v>
      </c>
    </row>
    <row r="303" spans="1:6" x14ac:dyDescent="0.2">
      <c r="A303" s="18" t="str">
        <f>$A$51</f>
        <v>Financial services</v>
      </c>
      <c r="B303" s="31">
        <f t="shared" si="92"/>
        <v>-4.7269999998108805</v>
      </c>
      <c r="C303" s="31">
        <f t="shared" si="92"/>
        <v>0.23799999990200149</v>
      </c>
      <c r="D303" s="31">
        <f t="shared" ref="D303:E303" si="98">E51-D51</f>
        <v>0.88100000004542522</v>
      </c>
      <c r="E303" s="31">
        <f t="shared" si="98"/>
        <v>0.65900000001625081</v>
      </c>
      <c r="F303" s="31">
        <f t="shared" si="90"/>
        <v>1.7779999999636775</v>
      </c>
    </row>
    <row r="304" spans="1:6" x14ac:dyDescent="0.2">
      <c r="A304" s="18" t="str">
        <f>$A$52</f>
        <v>Insurance and pensions</v>
      </c>
      <c r="B304" s="31">
        <f t="shared" si="92"/>
        <v>-9.8999999938414796E-2</v>
      </c>
      <c r="C304" s="31">
        <f t="shared" si="92"/>
        <v>1.9299999999168316</v>
      </c>
      <c r="D304" s="31">
        <f t="shared" ref="D304:E304" si="99">E52-D52</f>
        <v>0.32500000004362573</v>
      </c>
      <c r="E304" s="31">
        <f t="shared" si="99"/>
        <v>0.21900000001491549</v>
      </c>
      <c r="F304" s="31">
        <f t="shared" si="90"/>
        <v>2.4739999999753728</v>
      </c>
    </row>
    <row r="305" spans="1:6" x14ac:dyDescent="0.2">
      <c r="A305" s="18" t="str">
        <f>$A$53</f>
        <v>Auxiliary financial services</v>
      </c>
      <c r="B305" s="31">
        <f t="shared" si="92"/>
        <v>-0.90199999988895385</v>
      </c>
      <c r="C305" s="31">
        <f t="shared" si="92"/>
        <v>-1.306000000068078</v>
      </c>
      <c r="D305" s="31">
        <f t="shared" ref="D305:E305" si="100">E53-D53</f>
        <v>0.60900000000209786</v>
      </c>
      <c r="E305" s="31">
        <f t="shared" si="100"/>
        <v>0.47300000000334386</v>
      </c>
      <c r="F305" s="31">
        <f t="shared" si="90"/>
        <v>-0.22400000006263632</v>
      </c>
    </row>
    <row r="306" spans="1:6" x14ac:dyDescent="0.2">
      <c r="A306" s="18" t="str">
        <f>$A$54</f>
        <v>Real estate</v>
      </c>
      <c r="B306" s="31">
        <f t="shared" si="92"/>
        <v>3.5529999999810222</v>
      </c>
      <c r="C306" s="31">
        <f t="shared" si="92"/>
        <v>5.3080000000556709</v>
      </c>
      <c r="D306" s="31">
        <f t="shared" ref="D306:E306" si="101">E54-D54</f>
        <v>0.91100000004556492</v>
      </c>
      <c r="E306" s="31">
        <f t="shared" si="101"/>
        <v>1.021000000004225</v>
      </c>
      <c r="F306" s="31">
        <f t="shared" si="90"/>
        <v>7.2400000001054607</v>
      </c>
    </row>
    <row r="307" spans="1:6" x14ac:dyDescent="0.2">
      <c r="A307" s="18" t="str">
        <f>$A$55</f>
        <v>Legal and accounting</v>
      </c>
      <c r="B307" s="31">
        <f t="shared" si="92"/>
        <v>-5.67299999961919</v>
      </c>
      <c r="C307" s="31">
        <f t="shared" si="92"/>
        <v>3.0289999995213321</v>
      </c>
      <c r="D307" s="31">
        <f t="shared" ref="D307:E307" si="102">E55-D55</f>
        <v>-0.43499999987654547</v>
      </c>
      <c r="E307" s="31">
        <f t="shared" si="102"/>
        <v>7.8000000061297925E-2</v>
      </c>
      <c r="F307" s="31">
        <f t="shared" si="90"/>
        <v>2.6719999997060846</v>
      </c>
    </row>
    <row r="308" spans="1:6" x14ac:dyDescent="0.2">
      <c r="A308" s="18" t="str">
        <f>$A$56</f>
        <v>Head offices, etc</v>
      </c>
      <c r="B308" s="31">
        <f t="shared" si="92"/>
        <v>5.5000000221692602E-2</v>
      </c>
      <c r="C308" s="31">
        <f t="shared" si="92"/>
        <v>3.6789999996587177</v>
      </c>
      <c r="D308" s="31">
        <f t="shared" ref="D308:E308" si="103">E56-D56</f>
        <v>0.78800000011689342</v>
      </c>
      <c r="E308" s="31">
        <f t="shared" si="103"/>
        <v>0.14300000004780955</v>
      </c>
      <c r="F308" s="31">
        <f t="shared" si="90"/>
        <v>4.6099999998234207</v>
      </c>
    </row>
    <row r="309" spans="1:6" x14ac:dyDescent="0.2">
      <c r="A309" s="18" t="str">
        <f>$A$57</f>
        <v>Architectural and related</v>
      </c>
      <c r="B309" s="31">
        <f t="shared" si="92"/>
        <v>-2.4919999995761177</v>
      </c>
      <c r="C309" s="31">
        <f t="shared" si="92"/>
        <v>8.0059999994307862</v>
      </c>
      <c r="D309" s="31">
        <f t="shared" ref="D309:E309" si="104">E57-D57</f>
        <v>2.0810000003639573</v>
      </c>
      <c r="E309" s="31">
        <f t="shared" si="104"/>
        <v>0.2760000000958307</v>
      </c>
      <c r="F309" s="31">
        <f t="shared" si="90"/>
        <v>10.362999999890574</v>
      </c>
    </row>
    <row r="310" spans="1:6" x14ac:dyDescent="0.2">
      <c r="A310" s="18" t="str">
        <f>$A$58</f>
        <v>Scientific research and development</v>
      </c>
      <c r="B310" s="31">
        <f t="shared" si="92"/>
        <v>-0.19199999991352623</v>
      </c>
      <c r="C310" s="31">
        <f t="shared" si="92"/>
        <v>1.4449999998883674</v>
      </c>
      <c r="D310" s="31">
        <f t="shared" ref="D310:E310" si="105">E58-D58</f>
        <v>0.36600000005870381</v>
      </c>
      <c r="E310" s="31">
        <f t="shared" si="105"/>
        <v>0.36000000001049592</v>
      </c>
      <c r="F310" s="31">
        <f t="shared" si="90"/>
        <v>2.1709999999575671</v>
      </c>
    </row>
    <row r="311" spans="1:6" x14ac:dyDescent="0.2">
      <c r="A311" s="18" t="str">
        <f>$A$59</f>
        <v>Advertising, etc</v>
      </c>
      <c r="B311" s="31">
        <f t="shared" si="92"/>
        <v>-0.78799999995867687</v>
      </c>
      <c r="C311" s="31">
        <f t="shared" si="92"/>
        <v>-0.10400000003616916</v>
      </c>
      <c r="D311" s="31">
        <f t="shared" ref="D311:E311" si="106">E59-D59</f>
        <v>0.15400000000738423</v>
      </c>
      <c r="E311" s="31">
        <f t="shared" si="106"/>
        <v>0.15000000000333658</v>
      </c>
      <c r="F311" s="31">
        <f t="shared" si="90"/>
        <v>0.19999999997455165</v>
      </c>
    </row>
    <row r="312" spans="1:6" x14ac:dyDescent="0.2">
      <c r="A312" s="18" t="str">
        <f>$A$60</f>
        <v>Other professional</v>
      </c>
      <c r="B312" s="31">
        <f t="shared" si="92"/>
        <v>-3.9279999998949382</v>
      </c>
      <c r="C312" s="31">
        <f t="shared" si="92"/>
        <v>-0.15600000007090919</v>
      </c>
      <c r="D312" s="31">
        <f t="shared" ref="D312:E312" si="107">E60-D60</f>
        <v>0.46100000001483732</v>
      </c>
      <c r="E312" s="31">
        <f t="shared" si="107"/>
        <v>0.45100000001023677</v>
      </c>
      <c r="F312" s="31">
        <f t="shared" si="90"/>
        <v>0.75599999995416489</v>
      </c>
    </row>
    <row r="313" spans="1:6" x14ac:dyDescent="0.2">
      <c r="A313" s="18" t="str">
        <f>$A$61</f>
        <v>Veterinary</v>
      </c>
      <c r="B313" s="31">
        <f t="shared" si="92"/>
        <v>-0.46399999995275953</v>
      </c>
      <c r="C313" s="31">
        <f t="shared" si="92"/>
        <v>-0.59900000005994114</v>
      </c>
      <c r="D313" s="31">
        <f t="shared" ref="D313:E313" si="108">E61-D61</f>
        <v>0.1750000000191938</v>
      </c>
      <c r="E313" s="31">
        <f t="shared" si="108"/>
        <v>0.1710000000080063</v>
      </c>
      <c r="F313" s="31">
        <f t="shared" si="90"/>
        <v>-0.25300000003274103</v>
      </c>
    </row>
    <row r="314" spans="1:6" x14ac:dyDescent="0.2">
      <c r="A314" s="18" t="str">
        <f>$A$62</f>
        <v>Rental and leasing</v>
      </c>
      <c r="B314" s="31">
        <f t="shared" si="92"/>
        <v>2.292999999983377</v>
      </c>
      <c r="C314" s="31">
        <f t="shared" si="92"/>
        <v>1.3670000000201696</v>
      </c>
      <c r="D314" s="31">
        <f t="shared" ref="D314:E314" si="109">E62-D62</f>
        <v>0.40399999996677138</v>
      </c>
      <c r="E314" s="31">
        <f t="shared" si="109"/>
        <v>0.29000000000769077</v>
      </c>
      <c r="F314" s="31">
        <f t="shared" si="90"/>
        <v>2.0609999999946318</v>
      </c>
    </row>
    <row r="315" spans="1:6" x14ac:dyDescent="0.2">
      <c r="A315" s="18" t="str">
        <f>$A$63</f>
        <v>Employment activities</v>
      </c>
      <c r="B315" s="31">
        <f t="shared" si="92"/>
        <v>-3.9110000001248793</v>
      </c>
      <c r="C315" s="31">
        <f t="shared" si="92"/>
        <v>1.4180000002930448</v>
      </c>
      <c r="D315" s="31">
        <f t="shared" ref="D315:E315" si="110">E63-D63</f>
        <v>1.1399999998335133</v>
      </c>
      <c r="E315" s="31">
        <f t="shared" si="110"/>
        <v>0.72099999999022657</v>
      </c>
      <c r="F315" s="31">
        <f t="shared" si="90"/>
        <v>3.2790000001167847</v>
      </c>
    </row>
    <row r="316" spans="1:6" x14ac:dyDescent="0.2">
      <c r="A316" s="18" t="str">
        <f>$A$64</f>
        <v>Travel, etc</v>
      </c>
      <c r="B316" s="31">
        <f t="shared" si="92"/>
        <v>7.3999999975943531E-2</v>
      </c>
      <c r="C316" s="31">
        <f t="shared" si="92"/>
        <v>-0.79599999994894288</v>
      </c>
      <c r="D316" s="31">
        <f t="shared" ref="D316:E316" si="111">E64-D64</f>
        <v>0.11399999997696764</v>
      </c>
      <c r="E316" s="31">
        <f t="shared" si="111"/>
        <v>7.5999999997079293E-2</v>
      </c>
      <c r="F316" s="31">
        <f t="shared" si="90"/>
        <v>-0.60599999997489595</v>
      </c>
    </row>
    <row r="317" spans="1:6" x14ac:dyDescent="0.2">
      <c r="A317" s="18" t="str">
        <f>$A$65</f>
        <v>Security, etc</v>
      </c>
      <c r="B317" s="31">
        <f t="shared" si="92"/>
        <v>1.0679999999638445</v>
      </c>
      <c r="C317" s="31">
        <f t="shared" si="92"/>
        <v>-0.8689999999342044</v>
      </c>
      <c r="D317" s="31">
        <f t="shared" ref="D317:E317" si="112">E65-D65</f>
        <v>0.2019999999698463</v>
      </c>
      <c r="E317" s="31">
        <f t="shared" si="112"/>
        <v>0.1329999999990843</v>
      </c>
      <c r="F317" s="31">
        <f t="shared" si="90"/>
        <v>-0.53399999996527381</v>
      </c>
    </row>
    <row r="318" spans="1:6" x14ac:dyDescent="0.2">
      <c r="A318" s="18" t="str">
        <f>$A$66</f>
        <v>Services to buildings</v>
      </c>
      <c r="B318" s="31">
        <f t="shared" si="92"/>
        <v>8.5509999998669457</v>
      </c>
      <c r="C318" s="31">
        <f t="shared" si="92"/>
        <v>-7.6149999997118023</v>
      </c>
      <c r="D318" s="31">
        <f t="shared" ref="D318:E318" si="113">E66-D66</f>
        <v>0.7409999999447443</v>
      </c>
      <c r="E318" s="31">
        <f t="shared" si="113"/>
        <v>0.36999999999036604</v>
      </c>
      <c r="F318" s="31">
        <f t="shared" si="90"/>
        <v>-6.503999999776692</v>
      </c>
    </row>
    <row r="319" spans="1:6" x14ac:dyDescent="0.2">
      <c r="A319" s="18" t="str">
        <f>$A$67</f>
        <v>Office administrative</v>
      </c>
      <c r="B319" s="31">
        <f t="shared" si="92"/>
        <v>0.33499999991339635</v>
      </c>
      <c r="C319" s="31">
        <f t="shared" si="92"/>
        <v>4.8350000001841735</v>
      </c>
      <c r="D319" s="31">
        <f t="shared" ref="D319:E319" si="114">E67-D67</f>
        <v>0.7819999998833822</v>
      </c>
      <c r="E319" s="31">
        <f t="shared" si="114"/>
        <v>0.54099999998729942</v>
      </c>
      <c r="F319" s="31">
        <f t="shared" si="90"/>
        <v>6.1580000000548551</v>
      </c>
    </row>
    <row r="320" spans="1:6" x14ac:dyDescent="0.2">
      <c r="A320" s="18" t="str">
        <f>$A$68</f>
        <v>Public administration and defence</v>
      </c>
      <c r="B320" s="31">
        <f t="shared" si="92"/>
        <v>-11.219999999707156</v>
      </c>
      <c r="C320" s="31">
        <f t="shared" si="92"/>
        <v>-0.90900000119444258</v>
      </c>
      <c r="D320" s="31">
        <f t="shared" ref="D320:E320" si="115">E68-D68</f>
        <v>-0.82199999932838352</v>
      </c>
      <c r="E320" s="31">
        <f t="shared" si="115"/>
        <v>-8.1999999870163265E-2</v>
      </c>
      <c r="F320" s="31">
        <f t="shared" si="90"/>
        <v>-1.8130000003929894</v>
      </c>
    </row>
    <row r="321" spans="1:6" x14ac:dyDescent="0.2">
      <c r="A321" s="18" t="str">
        <f>$A$69</f>
        <v xml:space="preserve">Education </v>
      </c>
      <c r="B321" s="31">
        <f t="shared" si="92"/>
        <v>18.556000002288286</v>
      </c>
      <c r="C321" s="31">
        <f t="shared" si="92"/>
        <v>-0.56700000751106927</v>
      </c>
      <c r="D321" s="31">
        <f t="shared" ref="D321:E321" si="116">E69-D69</f>
        <v>-4.2639999967585425</v>
      </c>
      <c r="E321" s="31">
        <f t="shared" si="116"/>
        <v>1.643999999583599</v>
      </c>
      <c r="F321" s="31">
        <f t="shared" ref="F321:F322" si="117">F69-C69</f>
        <v>-3.1870000046860127</v>
      </c>
    </row>
    <row r="322" spans="1:6" x14ac:dyDescent="0.2">
      <c r="A322" s="18" t="str">
        <f>$A$70</f>
        <v>Health</v>
      </c>
      <c r="B322" s="31">
        <f t="shared" si="92"/>
        <v>5.7590000009067666</v>
      </c>
      <c r="C322" s="31">
        <f t="shared" si="92"/>
        <v>36.198999997368745</v>
      </c>
      <c r="D322" s="31">
        <f t="shared" ref="D322:E322" si="118">E70-D70</f>
        <v>7.7510000018236269</v>
      </c>
      <c r="E322" s="31">
        <f t="shared" si="118"/>
        <v>8.2720000003816665</v>
      </c>
      <c r="F322" s="31">
        <f t="shared" si="117"/>
        <v>52.221999999574038</v>
      </c>
    </row>
    <row r="323" spans="1:6" x14ac:dyDescent="0.2">
      <c r="A323" s="18" t="str">
        <f>$A$71</f>
        <v>Residential care</v>
      </c>
      <c r="B323" s="31">
        <f t="shared" ref="B323:C323" si="119">C71-B71</f>
        <v>2.4110000001527609</v>
      </c>
      <c r="C323" s="31">
        <f t="shared" si="119"/>
        <v>8.5089999992384264</v>
      </c>
      <c r="D323" s="31">
        <f t="shared" ref="D323:D331" si="120">E71-D71</f>
        <v>1.9100000005423894</v>
      </c>
      <c r="E323" s="31">
        <f t="shared" ref="E323:E331" si="121">F71-E71</f>
        <v>1.2210000001031602</v>
      </c>
      <c r="F323" s="31">
        <f t="shared" ref="F323:F331" si="122">F71-C71</f>
        <v>11.639999999883976</v>
      </c>
    </row>
    <row r="324" spans="1:6" x14ac:dyDescent="0.2">
      <c r="A324" s="18" t="str">
        <f>$A$72</f>
        <v>Social work</v>
      </c>
      <c r="B324" s="31">
        <f t="shared" ref="B324:C324" si="123">C72-B72</f>
        <v>6.9990000001183077</v>
      </c>
      <c r="C324" s="31">
        <f t="shared" si="123"/>
        <v>7.0909999991057404</v>
      </c>
      <c r="D324" s="31">
        <f t="shared" si="120"/>
        <v>2.738000000663213</v>
      </c>
      <c r="E324" s="31">
        <f t="shared" si="121"/>
        <v>1.8280000001138745</v>
      </c>
      <c r="F324" s="31">
        <f t="shared" si="122"/>
        <v>11.656999999882828</v>
      </c>
    </row>
    <row r="325" spans="1:6" x14ac:dyDescent="0.2">
      <c r="A325" s="18" t="str">
        <f>$A$73</f>
        <v>Arts and entertainment</v>
      </c>
      <c r="B325" s="31">
        <f t="shared" ref="B325:C325" si="124">C73-B73</f>
        <v>0.70100000001285556</v>
      </c>
      <c r="C325" s="31">
        <f t="shared" si="124"/>
        <v>2.8679999999374144</v>
      </c>
      <c r="D325" s="31">
        <f t="shared" si="120"/>
        <v>0.9099999999843833</v>
      </c>
      <c r="E325" s="31">
        <f t="shared" si="121"/>
        <v>0.41000000001370474</v>
      </c>
      <c r="F325" s="31">
        <f t="shared" si="122"/>
        <v>4.1879999999355029</v>
      </c>
    </row>
    <row r="326" spans="1:6" x14ac:dyDescent="0.2">
      <c r="A326" s="18" t="str">
        <f>$A$74</f>
        <v>Libraries, etc</v>
      </c>
      <c r="B326" s="31">
        <f t="shared" ref="B326:C326" si="125">C74-B74</f>
        <v>-2.5119999999702021</v>
      </c>
      <c r="C326" s="31">
        <f t="shared" si="125"/>
        <v>-8.4000000057314672E-2</v>
      </c>
      <c r="D326" s="31">
        <f t="shared" si="120"/>
        <v>0.76999999998909452</v>
      </c>
      <c r="E326" s="31">
        <f t="shared" si="121"/>
        <v>0.35200000001148002</v>
      </c>
      <c r="F326" s="31">
        <f t="shared" si="122"/>
        <v>1.0379999999432599</v>
      </c>
    </row>
    <row r="327" spans="1:6" x14ac:dyDescent="0.2">
      <c r="A327" s="18" t="str">
        <f>$A$75</f>
        <v>Gambling and betting</v>
      </c>
      <c r="B327" s="31">
        <f t="shared" ref="B327:C327" si="126">C75-B75</f>
        <v>-0.33699999999743824</v>
      </c>
      <c r="C327" s="31">
        <f t="shared" si="126"/>
        <v>-0.79700000002675164</v>
      </c>
      <c r="D327" s="31">
        <f t="shared" si="120"/>
        <v>0.16499999999511505</v>
      </c>
      <c r="E327" s="31">
        <f t="shared" si="121"/>
        <v>0.1230000000065532</v>
      </c>
      <c r="F327" s="31">
        <f t="shared" si="122"/>
        <v>-0.50900000002508339</v>
      </c>
    </row>
    <row r="328" spans="1:6" x14ac:dyDescent="0.2">
      <c r="A328" s="18" t="str">
        <f>$A$76</f>
        <v>Sport and recreation</v>
      </c>
      <c r="B328" s="31">
        <f t="shared" ref="B328:C328" si="127">C76-B76</f>
        <v>5.7420000000213349</v>
      </c>
      <c r="C328" s="31">
        <f t="shared" si="127"/>
        <v>-1.1140000001033989</v>
      </c>
      <c r="D328" s="31">
        <f t="shared" si="120"/>
        <v>0.75199999995135869</v>
      </c>
      <c r="E328" s="31">
        <f t="shared" si="121"/>
        <v>0.49300000004090805</v>
      </c>
      <c r="F328" s="31">
        <f t="shared" si="122"/>
        <v>0.13099999988886779</v>
      </c>
    </row>
    <row r="329" spans="1:6" x14ac:dyDescent="0.2">
      <c r="A329" s="18" t="str">
        <f>$A$77</f>
        <v>Membership organisations</v>
      </c>
      <c r="B329" s="31">
        <f t="shared" ref="B329:C329" si="128">C77-B77</f>
        <v>1.2090000001293717</v>
      </c>
      <c r="C329" s="31">
        <f t="shared" si="128"/>
        <v>-4.0830000002644766</v>
      </c>
      <c r="D329" s="31">
        <f t="shared" si="120"/>
        <v>0.33400000003391384</v>
      </c>
      <c r="E329" s="31">
        <f t="shared" si="121"/>
        <v>-0.10099999996175768</v>
      </c>
      <c r="F329" s="31">
        <f t="shared" si="122"/>
        <v>-3.8500000001923205</v>
      </c>
    </row>
    <row r="330" spans="1:6" x14ac:dyDescent="0.2">
      <c r="A330" s="18" t="str">
        <f>$A$78</f>
        <v>Repair of goods</v>
      </c>
      <c r="B330" s="31">
        <f t="shared" ref="B330:C330" si="129">C78-B78</f>
        <v>-0.74700000000420652</v>
      </c>
      <c r="C330" s="31">
        <f t="shared" si="129"/>
        <v>0.52799999998970892</v>
      </c>
      <c r="D330" s="31">
        <f t="shared" si="120"/>
        <v>4.4000000001583883E-2</v>
      </c>
      <c r="E330" s="31">
        <f t="shared" si="121"/>
        <v>-1.999999994455548E-3</v>
      </c>
      <c r="F330" s="31">
        <f t="shared" si="122"/>
        <v>0.56999999999683726</v>
      </c>
    </row>
    <row r="331" spans="1:6" x14ac:dyDescent="0.2">
      <c r="A331" s="18" t="str">
        <f>$A$79</f>
        <v>Other personal service</v>
      </c>
      <c r="B331" s="31">
        <f>C79-B79</f>
        <v>0.58199999998838159</v>
      </c>
      <c r="C331" s="31">
        <f t="shared" ref="C331" si="130">D79-C79</f>
        <v>9.5720000003328742</v>
      </c>
      <c r="D331" s="31">
        <f t="shared" si="120"/>
        <v>0.73299999983757402</v>
      </c>
      <c r="E331" s="31">
        <f t="shared" si="121"/>
        <v>2.6999999946120568E-2</v>
      </c>
      <c r="F331" s="31">
        <f t="shared" si="122"/>
        <v>10.332000000116569</v>
      </c>
    </row>
    <row r="332" spans="1:6" x14ac:dyDescent="0.2">
      <c r="A332" s="18"/>
      <c r="B332" s="31"/>
      <c r="C332" s="31"/>
      <c r="D332" s="31"/>
      <c r="E332" s="31"/>
      <c r="F332" s="31"/>
    </row>
    <row r="333" spans="1:6" x14ac:dyDescent="0.2">
      <c r="A333" s="28" t="str">
        <f>$A$81</f>
        <v>All industries</v>
      </c>
      <c r="B333" s="33">
        <f t="shared" ref="B333" si="131">C81-B81</f>
        <v>-51.089000000959459</v>
      </c>
      <c r="C333" s="33">
        <f t="shared" ref="C333" si="132">D81-C81</f>
        <v>171.88199999985841</v>
      </c>
      <c r="D333" s="33">
        <f>E81-D81</f>
        <v>16.527000001324723</v>
      </c>
      <c r="E333" s="33">
        <f>F81-E81</f>
        <v>22.885999999718933</v>
      </c>
      <c r="F333" s="33">
        <f t="shared" ref="F333" si="133">F81-C81</f>
        <v>211.29500000090206</v>
      </c>
    </row>
  </sheetData>
  <pageMargins left="0.7" right="0.7" top="0.75" bottom="0.75" header="0.3" footer="0.3"/>
  <pageSetup paperSize="9" scale="70" orientation="portrait" r:id="rId1"/>
  <rowBreaks count="2" manualBreakCount="2">
    <brk id="81" max="5" man="1"/>
    <brk id="165" max="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122"/>
  <sheetViews>
    <sheetView showGridLines="0" zoomScale="85" zoomScaleNormal="85" workbookViewId="0"/>
  </sheetViews>
  <sheetFormatPr defaultRowHeight="12.75" x14ac:dyDescent="0.2"/>
  <cols>
    <col min="1" max="1" width="26.7109375" customWidth="1"/>
    <col min="2" max="6" width="11.7109375" customWidth="1"/>
    <col min="7" max="7" width="5.7109375" customWidth="1"/>
    <col min="8" max="12" width="11.7109375" customWidth="1"/>
  </cols>
  <sheetData>
    <row r="1" spans="1:12" ht="15.75" x14ac:dyDescent="0.25">
      <c r="A1" s="23" t="str">
        <f>CONCATENATE("Industry Table 4  Employment by Industry Group in Sector (SIC 2007), ",B$5,"-",F$5)</f>
        <v>Industry Table 4  Employment by Industry Group in Sector (SIC 2007), 2007-2027</v>
      </c>
    </row>
    <row r="2" spans="1:12" ht="12.75" customHeight="1" x14ac:dyDescent="0.25">
      <c r="A2" s="23"/>
    </row>
    <row r="3" spans="1:12" ht="12.75" customHeight="1" x14ac:dyDescent="0.25">
      <c r="A3" s="23"/>
      <c r="L3" s="43" t="s">
        <v>19</v>
      </c>
    </row>
    <row r="4" spans="1:12" x14ac:dyDescent="0.2">
      <c r="A4" s="41"/>
      <c r="B4" s="32" t="s">
        <v>17</v>
      </c>
      <c r="C4" s="41"/>
      <c r="D4" s="41"/>
      <c r="E4" s="41"/>
      <c r="F4" s="41"/>
      <c r="G4" s="41"/>
      <c r="H4" s="32" t="s">
        <v>18</v>
      </c>
      <c r="I4" s="41"/>
      <c r="J4" s="41"/>
      <c r="K4" s="41"/>
      <c r="L4" s="41"/>
    </row>
    <row r="5" spans="1:12" x14ac:dyDescent="0.2">
      <c r="A5" s="37"/>
      <c r="B5" s="51">
        <f>'Ind T1'!B5</f>
        <v>2007</v>
      </c>
      <c r="C5" s="51">
        <f>'Ind T1'!C5</f>
        <v>2012</v>
      </c>
      <c r="D5" s="51">
        <f>'Ind T1'!D5</f>
        <v>2017</v>
      </c>
      <c r="E5" s="51">
        <f>'Ind T1'!E5</f>
        <v>2022</v>
      </c>
      <c r="F5" s="51">
        <f>'Ind T1'!F5</f>
        <v>2027</v>
      </c>
      <c r="H5" s="42" t="str">
        <f>CONCATENATE(B$5,"-",C$5)</f>
        <v>2007-2012</v>
      </c>
      <c r="I5" s="42" t="str">
        <f>CONCATENATE(C$5,"-",D$5)</f>
        <v>2012-2017</v>
      </c>
      <c r="J5" s="42" t="str">
        <f>CONCATENATE(D$5,"-",E$5)</f>
        <v>2017-2022</v>
      </c>
      <c r="K5" s="42" t="str">
        <f>CONCATENATE(E$5,"-",F$5)</f>
        <v>2022-2027</v>
      </c>
      <c r="L5" s="42" t="str">
        <f>CONCATENATE(D$5,"-",F$5)</f>
        <v>2017-2027</v>
      </c>
    </row>
    <row r="7" spans="1:12" s="34" customFormat="1" x14ac:dyDescent="0.2">
      <c r="A7" s="34" t="str">
        <f>'Ind T1'!A7</f>
        <v>Primary sector and utilities</v>
      </c>
      <c r="B7" s="35">
        <f>'Ind T1'!B7</f>
        <v>52.324999999974622</v>
      </c>
      <c r="C7" s="35">
        <f>'Ind T1'!C7</f>
        <v>58.374999999603304</v>
      </c>
      <c r="D7" s="35">
        <f>'Ind T1'!D7</f>
        <v>81.569000000387007</v>
      </c>
      <c r="E7" s="35">
        <f>'Ind T1'!E7</f>
        <v>82.016000000124336</v>
      </c>
      <c r="F7" s="35">
        <f>'Ind T1'!F7</f>
        <v>82.742000000101328</v>
      </c>
      <c r="H7" s="35">
        <f>C7-B7</f>
        <v>6.0499999996286817</v>
      </c>
      <c r="I7" s="35">
        <f>D7-C7</f>
        <v>23.194000000783703</v>
      </c>
      <c r="J7" s="35">
        <f>E7-D7</f>
        <v>0.44699999973732929</v>
      </c>
      <c r="K7" s="35">
        <f>F7-E7</f>
        <v>0.72599999997699172</v>
      </c>
      <c r="L7" s="35">
        <f>F7-D7</f>
        <v>1.172999999714321</v>
      </c>
    </row>
    <row r="8" spans="1:12" x14ac:dyDescent="0.2">
      <c r="A8" t="str">
        <f>'Ind T2'!A5</f>
        <v>Agriculture</v>
      </c>
      <c r="B8" s="36">
        <f>'Ind T2'!B5</f>
        <v>37.118000000003256</v>
      </c>
      <c r="C8" s="36">
        <f>'Ind T2'!C5</f>
        <v>35.296999999794295</v>
      </c>
      <c r="D8" s="36">
        <f>'Ind T2'!D5</f>
        <v>59.821000000532997</v>
      </c>
      <c r="E8" s="36">
        <f>'Ind T2'!E5</f>
        <v>59.688000000333112</v>
      </c>
      <c r="F8" s="36">
        <f>'Ind T2'!F5</f>
        <v>60.006000000325777</v>
      </c>
      <c r="H8" s="13">
        <f t="shared" ref="H8:H40" si="0">C8-B8</f>
        <v>-1.8210000002089615</v>
      </c>
      <c r="I8" s="35">
        <f t="shared" ref="I8:I38" si="1">D8-C8</f>
        <v>24.524000000738702</v>
      </c>
      <c r="J8" s="13">
        <f t="shared" ref="J8:J38" si="2">E8-D8</f>
        <v>-0.13300000019988545</v>
      </c>
      <c r="K8" s="13">
        <f t="shared" ref="K8:K38" si="3">F8-E8</f>
        <v>0.31799999999266504</v>
      </c>
      <c r="L8" s="35">
        <f t="shared" ref="L8:L40" si="4">F8-D8</f>
        <v>0.18499999979277959</v>
      </c>
    </row>
    <row r="9" spans="1:12" x14ac:dyDescent="0.2">
      <c r="A9" t="str">
        <f>'Ind T2'!A6</f>
        <v>Mining and quarrying</v>
      </c>
      <c r="B9" s="36">
        <f>'Ind T2'!B6</f>
        <v>1.6279999999962358</v>
      </c>
      <c r="C9" s="36">
        <f>'Ind T2'!C6</f>
        <v>3.007999999987867</v>
      </c>
      <c r="D9" s="36">
        <f>'Ind T2'!D6</f>
        <v>2.7239999999940552</v>
      </c>
      <c r="E9" s="36">
        <f>'Ind T2'!E6</f>
        <v>2.5589999999895552</v>
      </c>
      <c r="F9" s="36">
        <f>'Ind T2'!F6</f>
        <v>2.2159999999892799</v>
      </c>
      <c r="H9" s="13">
        <f t="shared" si="0"/>
        <v>1.3799999999916313</v>
      </c>
      <c r="I9" s="35">
        <f t="shared" si="1"/>
        <v>-0.28399999999381187</v>
      </c>
      <c r="J9" s="13">
        <f t="shared" si="2"/>
        <v>-0.16500000000449999</v>
      </c>
      <c r="K9" s="13">
        <f t="shared" si="3"/>
        <v>-0.34300000000027531</v>
      </c>
      <c r="L9" s="35">
        <f t="shared" si="4"/>
        <v>-0.5080000000047753</v>
      </c>
    </row>
    <row r="10" spans="1:12" x14ac:dyDescent="0.2">
      <c r="A10" t="str">
        <f>'Ind T2'!A10</f>
        <v>Electricity and gas</v>
      </c>
      <c r="B10" s="36">
        <f>'Ind T2'!B10</f>
        <v>4.5729999999731454</v>
      </c>
      <c r="C10" s="36">
        <f>'Ind T2'!C10</f>
        <v>7.6879999999825621</v>
      </c>
      <c r="D10" s="36">
        <f>'Ind T2'!D10</f>
        <v>7.7169999999830905</v>
      </c>
      <c r="E10" s="36">
        <f>'Ind T2'!E10</f>
        <v>7.5720000000105081</v>
      </c>
      <c r="F10" s="36">
        <f>'Ind T2'!F10</f>
        <v>7.5420000000170146</v>
      </c>
      <c r="H10" s="13">
        <f t="shared" si="0"/>
        <v>3.1150000000094167</v>
      </c>
      <c r="I10" s="35">
        <f t="shared" si="1"/>
        <v>2.9000000000528381E-2</v>
      </c>
      <c r="J10" s="13">
        <f t="shared" si="2"/>
        <v>-0.14499999997258239</v>
      </c>
      <c r="K10" s="13">
        <f t="shared" si="3"/>
        <v>-2.9999999993493454E-2</v>
      </c>
      <c r="L10" s="35">
        <f t="shared" si="4"/>
        <v>-0.17499999996607585</v>
      </c>
    </row>
    <row r="11" spans="1:12" s="286" customFormat="1" x14ac:dyDescent="0.2">
      <c r="A11" s="286" t="str">
        <f>'Ind T2'!A11</f>
        <v>Water and sewerage</v>
      </c>
      <c r="B11" s="36">
        <f>'Ind T2'!B11</f>
        <v>9.0060000000019933</v>
      </c>
      <c r="C11" s="36">
        <f>'Ind T2'!C11</f>
        <v>12.381999999838591</v>
      </c>
      <c r="D11" s="36">
        <f>'Ind T2'!D11</f>
        <v>11.306999999876865</v>
      </c>
      <c r="E11" s="36">
        <f>'Ind T2'!E11</f>
        <v>12.196999999791158</v>
      </c>
      <c r="F11" s="36">
        <f>'Ind T2'!F11</f>
        <v>12.977999999769249</v>
      </c>
      <c r="H11" s="13">
        <f t="shared" ref="H11" si="5">C11-B11</f>
        <v>3.3759999998365977</v>
      </c>
      <c r="I11" s="35">
        <f t="shared" ref="I11" si="6">D11-C11</f>
        <v>-1.0749999999617259</v>
      </c>
      <c r="J11" s="13">
        <f t="shared" ref="J11" si="7">E11-D11</f>
        <v>0.88999999991429313</v>
      </c>
      <c r="K11" s="13">
        <f t="shared" ref="K11" si="8">F11-E11</f>
        <v>0.780999999978091</v>
      </c>
      <c r="L11" s="35">
        <f t="shared" si="4"/>
        <v>1.6709999998923841</v>
      </c>
    </row>
    <row r="12" spans="1:12" x14ac:dyDescent="0.2">
      <c r="B12" s="36"/>
      <c r="C12" s="36"/>
      <c r="D12" s="36"/>
      <c r="E12" s="36"/>
      <c r="F12" s="36"/>
      <c r="H12" s="13"/>
      <c r="I12" s="35"/>
      <c r="J12" s="13"/>
      <c r="K12" s="13"/>
      <c r="L12" s="35"/>
    </row>
    <row r="13" spans="1:12" s="34" customFormat="1" x14ac:dyDescent="0.2">
      <c r="A13" s="34" t="str">
        <f>'Ind T1'!A8</f>
        <v>Manufacturing</v>
      </c>
      <c r="B13" s="35">
        <f>'Ind T1'!B8</f>
        <v>172.16099999939226</v>
      </c>
      <c r="C13" s="35">
        <f>'Ind T1'!C8</f>
        <v>142.28299999790551</v>
      </c>
      <c r="D13" s="35">
        <f>'Ind T1'!D8</f>
        <v>146.81800000036867</v>
      </c>
      <c r="E13" s="35">
        <f>'Ind T1'!E8</f>
        <v>140.71099999892368</v>
      </c>
      <c r="F13" s="35">
        <f>'Ind T1'!F8</f>
        <v>134.30699999879781</v>
      </c>
      <c r="H13" s="35">
        <f t="shared" si="0"/>
        <v>-29.878000001486754</v>
      </c>
      <c r="I13" s="35">
        <f t="shared" si="1"/>
        <v>4.535000002463164</v>
      </c>
      <c r="J13" s="35">
        <f t="shared" si="2"/>
        <v>-6.1070000014449874</v>
      </c>
      <c r="K13" s="35">
        <f t="shared" si="3"/>
        <v>-6.4040000001258761</v>
      </c>
      <c r="L13" s="35">
        <f t="shared" si="4"/>
        <v>-12.511000001570864</v>
      </c>
    </row>
    <row r="14" spans="1:12" x14ac:dyDescent="0.2">
      <c r="A14" t="str">
        <f>'Ind T2'!A7</f>
        <v>Food drink and tobacco</v>
      </c>
      <c r="B14" s="36">
        <f>'Ind T2'!B7</f>
        <v>23.866999999866046</v>
      </c>
      <c r="C14" s="36">
        <f>'Ind T2'!C7</f>
        <v>22.471999999568489</v>
      </c>
      <c r="D14" s="36">
        <f>'Ind T2'!D7</f>
        <v>20.183000000104787</v>
      </c>
      <c r="E14" s="36">
        <f>'Ind T2'!E7</f>
        <v>19.041999999850926</v>
      </c>
      <c r="F14" s="36">
        <f>'Ind T2'!F7</f>
        <v>18.083999999831089</v>
      </c>
      <c r="H14" s="13">
        <f t="shared" si="0"/>
        <v>-1.3950000002975571</v>
      </c>
      <c r="I14" s="35">
        <f t="shared" si="1"/>
        <v>-2.2889999994637016</v>
      </c>
      <c r="J14" s="13">
        <f t="shared" si="2"/>
        <v>-1.1410000002538609</v>
      </c>
      <c r="K14" s="13">
        <f t="shared" si="3"/>
        <v>-0.95800000001983676</v>
      </c>
      <c r="L14" s="35">
        <f t="shared" si="4"/>
        <v>-2.0990000002736977</v>
      </c>
    </row>
    <row r="15" spans="1:12" x14ac:dyDescent="0.2">
      <c r="A15" t="str">
        <f>'Ind T2'!A8</f>
        <v>Engineering</v>
      </c>
      <c r="B15" s="36">
        <f>'Ind T2'!B8</f>
        <v>24.827999999803495</v>
      </c>
      <c r="C15" s="36">
        <f>'Ind T2'!C8</f>
        <v>17.482999999787033</v>
      </c>
      <c r="D15" s="36">
        <f>'Ind T2'!D8</f>
        <v>16.82200000003898</v>
      </c>
      <c r="E15" s="36">
        <f>'Ind T2'!E8</f>
        <v>17.10699999993539</v>
      </c>
      <c r="F15" s="36">
        <f>'Ind T2'!F8</f>
        <v>16.008999999931152</v>
      </c>
      <c r="H15" s="13">
        <f t="shared" si="0"/>
        <v>-7.3450000000164621</v>
      </c>
      <c r="I15" s="35">
        <f t="shared" si="1"/>
        <v>-0.66099999974805357</v>
      </c>
      <c r="J15" s="13">
        <f t="shared" si="2"/>
        <v>0.28499999989641012</v>
      </c>
      <c r="K15" s="13">
        <f t="shared" si="3"/>
        <v>-1.0980000000042374</v>
      </c>
      <c r="L15" s="35">
        <f t="shared" si="4"/>
        <v>-0.81300000010782725</v>
      </c>
    </row>
    <row r="16" spans="1:12" x14ac:dyDescent="0.2">
      <c r="A16" t="str">
        <f>'Ind T2'!A9</f>
        <v>Rest of manufacturing</v>
      </c>
      <c r="B16" s="36">
        <f>'Ind T2'!B9</f>
        <v>123.46599999972271</v>
      </c>
      <c r="C16" s="36">
        <f>'Ind T2'!C9</f>
        <v>102.32799999854998</v>
      </c>
      <c r="D16" s="36">
        <f>'Ind T2'!D9</f>
        <v>109.81300000022487</v>
      </c>
      <c r="E16" s="36">
        <f>'Ind T2'!E9</f>
        <v>104.56199999913737</v>
      </c>
      <c r="F16" s="36">
        <f>'Ind T2'!F9</f>
        <v>100.21399999903558</v>
      </c>
      <c r="H16" s="13">
        <f t="shared" si="0"/>
        <v>-21.138000001172728</v>
      </c>
      <c r="I16" s="35">
        <f t="shared" si="1"/>
        <v>7.4850000016748908</v>
      </c>
      <c r="J16" s="13">
        <f t="shared" si="2"/>
        <v>-5.2510000010875046</v>
      </c>
      <c r="K16" s="13">
        <f t="shared" si="3"/>
        <v>-4.3480000001017913</v>
      </c>
      <c r="L16" s="35">
        <f t="shared" si="4"/>
        <v>-9.599000001189296</v>
      </c>
    </row>
    <row r="17" spans="1:12" x14ac:dyDescent="0.2">
      <c r="B17" s="36"/>
      <c r="C17" s="36"/>
      <c r="D17" s="36"/>
      <c r="E17" s="36"/>
      <c r="F17" s="36"/>
      <c r="H17" s="13"/>
      <c r="I17" s="35">
        <f t="shared" si="1"/>
        <v>0</v>
      </c>
      <c r="J17" s="13"/>
      <c r="K17" s="13"/>
      <c r="L17" s="35"/>
    </row>
    <row r="18" spans="1:12" s="34" customFormat="1" x14ac:dyDescent="0.2">
      <c r="A18" s="34" t="str">
        <f>'Ind T1'!A9</f>
        <v>Construction</v>
      </c>
      <c r="B18" s="35">
        <f>'Ind T1'!B9</f>
        <v>114.4310000013799</v>
      </c>
      <c r="C18" s="35">
        <f>'Ind T1'!C9</f>
        <v>85.689999998545673</v>
      </c>
      <c r="D18" s="35">
        <f>'Ind T1'!D9</f>
        <v>107.09400000055047</v>
      </c>
      <c r="E18" s="35">
        <f>'Ind T1'!E9</f>
        <v>107.3900000006698</v>
      </c>
      <c r="F18" s="35">
        <f>'Ind T1'!F9</f>
        <v>108.10400000028811</v>
      </c>
      <c r="H18" s="35">
        <f t="shared" si="0"/>
        <v>-28.741000002834227</v>
      </c>
      <c r="I18" s="35">
        <f t="shared" si="1"/>
        <v>21.404000002004793</v>
      </c>
      <c r="J18" s="35">
        <f t="shared" si="2"/>
        <v>0.29600000011933503</v>
      </c>
      <c r="K18" s="35">
        <f t="shared" si="3"/>
        <v>0.71399999961830929</v>
      </c>
      <c r="L18" s="35">
        <f t="shared" si="4"/>
        <v>1.0099999997376443</v>
      </c>
    </row>
    <row r="19" spans="1:12" x14ac:dyDescent="0.2">
      <c r="A19" s="34"/>
      <c r="B19" s="36"/>
      <c r="C19" s="36"/>
      <c r="D19" s="36"/>
      <c r="E19" s="36"/>
      <c r="F19" s="36"/>
      <c r="H19" s="13"/>
      <c r="I19" s="35"/>
      <c r="J19" s="13"/>
      <c r="K19" s="13"/>
      <c r="L19" s="35"/>
    </row>
    <row r="20" spans="1:12" s="34" customFormat="1" x14ac:dyDescent="0.2">
      <c r="A20" s="34" t="str">
        <f>'Ind T1'!A10</f>
        <v>Trade, accomod. and transport</v>
      </c>
      <c r="B20" s="35">
        <f>'Ind T1'!B10</f>
        <v>358.10299999951656</v>
      </c>
      <c r="C20" s="35">
        <f>'Ind T1'!C10</f>
        <v>345.20099999769513</v>
      </c>
      <c r="D20" s="35">
        <f>'Ind T1'!D10</f>
        <v>380.49400000702138</v>
      </c>
      <c r="E20" s="35">
        <f>'Ind T1'!E10</f>
        <v>381.17300000228772</v>
      </c>
      <c r="F20" s="35">
        <f>'Ind T1'!F10</f>
        <v>387.86900000181913</v>
      </c>
      <c r="H20" s="35">
        <f t="shared" si="0"/>
        <v>-12.90200000182142</v>
      </c>
      <c r="I20" s="35">
        <f t="shared" si="1"/>
        <v>35.293000009326249</v>
      </c>
      <c r="J20" s="35">
        <f t="shared" si="2"/>
        <v>0.67899999526633792</v>
      </c>
      <c r="K20" s="35">
        <f t="shared" si="3"/>
        <v>6.6959999995314092</v>
      </c>
      <c r="L20" s="35">
        <f t="shared" si="4"/>
        <v>7.3749999947977471</v>
      </c>
    </row>
    <row r="21" spans="1:12" x14ac:dyDescent="0.2">
      <c r="A21" s="12" t="str">
        <f>'Ind T2'!A13</f>
        <v>Wholesale and retail trade</v>
      </c>
      <c r="B21" s="36">
        <f>'Ind T2'!B13</f>
        <v>212.9010000000618</v>
      </c>
      <c r="C21" s="36">
        <f>'Ind T2'!C13</f>
        <v>200.64199999911983</v>
      </c>
      <c r="D21" s="36">
        <f>'Ind T2'!D13</f>
        <v>201.97900000434541</v>
      </c>
      <c r="E21" s="36">
        <f>'Ind T2'!E13</f>
        <v>202.46000000162195</v>
      </c>
      <c r="F21" s="36">
        <f>'Ind T2'!F13</f>
        <v>203.89500000126878</v>
      </c>
      <c r="H21" s="13">
        <f t="shared" si="0"/>
        <v>-12.259000000941967</v>
      </c>
      <c r="I21" s="35">
        <f t="shared" si="1"/>
        <v>1.3370000052255762</v>
      </c>
      <c r="J21" s="13">
        <f t="shared" si="2"/>
        <v>0.48099999727654108</v>
      </c>
      <c r="K21" s="13">
        <f t="shared" si="3"/>
        <v>1.4349999996468341</v>
      </c>
      <c r="L21" s="35">
        <f t="shared" si="4"/>
        <v>1.9159999969233752</v>
      </c>
    </row>
    <row r="22" spans="1:12" x14ac:dyDescent="0.2">
      <c r="A22" s="12" t="str">
        <f>'Ind T2'!A14</f>
        <v>Transport and storage</v>
      </c>
      <c r="B22" s="36">
        <f>'Ind T2'!B14</f>
        <v>49.102000000026393</v>
      </c>
      <c r="C22" s="36">
        <f>'Ind T2'!C14</f>
        <v>44.793999999704823</v>
      </c>
      <c r="D22" s="36">
        <f>'Ind T2'!D14</f>
        <v>40.442000000595684</v>
      </c>
      <c r="E22" s="36">
        <f>'Ind T2'!E14</f>
        <v>39.508999999785857</v>
      </c>
      <c r="F22" s="36">
        <f>'Ind T2'!F14</f>
        <v>40.036999999636876</v>
      </c>
      <c r="H22" s="13">
        <f t="shared" si="0"/>
        <v>-4.3080000003215702</v>
      </c>
      <c r="I22" s="35">
        <f t="shared" si="1"/>
        <v>-4.3519999991091396</v>
      </c>
      <c r="J22" s="13">
        <f t="shared" si="2"/>
        <v>-0.9330000008098267</v>
      </c>
      <c r="K22" s="13">
        <f t="shared" si="3"/>
        <v>0.5279999998510192</v>
      </c>
      <c r="L22" s="35">
        <f t="shared" si="4"/>
        <v>-0.4050000009588075</v>
      </c>
    </row>
    <row r="23" spans="1:12" x14ac:dyDescent="0.2">
      <c r="A23" s="12" t="str">
        <f>'Ind T2'!A15</f>
        <v>Accommodation and food</v>
      </c>
      <c r="B23" s="36">
        <f>'Ind T2'!B15</f>
        <v>96.09999999942832</v>
      </c>
      <c r="C23" s="36">
        <f>'Ind T2'!C15</f>
        <v>99.764999998870479</v>
      </c>
      <c r="D23" s="36">
        <f>'Ind T2'!D15</f>
        <v>138.07300000208031</v>
      </c>
      <c r="E23" s="36">
        <f>'Ind T2'!E15</f>
        <v>139.20400000087989</v>
      </c>
      <c r="F23" s="36">
        <f>'Ind T2'!F15</f>
        <v>143.93700000091351</v>
      </c>
      <c r="H23" s="13">
        <f t="shared" si="0"/>
        <v>3.6649999994421592</v>
      </c>
      <c r="I23" s="35">
        <f t="shared" si="1"/>
        <v>38.308000003209827</v>
      </c>
      <c r="J23" s="13">
        <f t="shared" si="2"/>
        <v>1.1309999987995809</v>
      </c>
      <c r="K23" s="13">
        <f t="shared" si="3"/>
        <v>4.733000000033627</v>
      </c>
      <c r="L23" s="35">
        <f t="shared" si="4"/>
        <v>5.8639999988332079</v>
      </c>
    </row>
    <row r="24" spans="1:12" x14ac:dyDescent="0.2">
      <c r="B24" s="36"/>
      <c r="C24" s="36"/>
      <c r="D24" s="36"/>
      <c r="E24" s="36"/>
      <c r="F24" s="36"/>
      <c r="H24" s="13"/>
      <c r="I24" s="35"/>
      <c r="J24" s="13"/>
      <c r="K24" s="13"/>
      <c r="L24" s="35"/>
    </row>
    <row r="25" spans="1:12" s="34" customFormat="1" x14ac:dyDescent="0.2">
      <c r="A25" s="34" t="str">
        <f>'Ind T1'!A11</f>
        <v>Business and other services</v>
      </c>
      <c r="B25" s="35">
        <f>'Ind T1'!B11</f>
        <v>307.14199999844817</v>
      </c>
      <c r="C25" s="35">
        <f>'Ind T1'!C11</f>
        <v>299.01900000024375</v>
      </c>
      <c r="D25" s="35">
        <f>'Ind T1'!D11</f>
        <v>336.15199999851632</v>
      </c>
      <c r="E25" s="35">
        <f>'Ind T1'!E11</f>
        <v>350.05099999922072</v>
      </c>
      <c r="F25" s="35">
        <f>'Ind T1'!F11</f>
        <v>358.32199999962603</v>
      </c>
      <c r="H25" s="35">
        <f t="shared" si="0"/>
        <v>-8.1229999982044205</v>
      </c>
      <c r="I25" s="35">
        <f t="shared" si="1"/>
        <v>37.132999998272567</v>
      </c>
      <c r="J25" s="35">
        <f t="shared" si="2"/>
        <v>13.899000000704405</v>
      </c>
      <c r="K25" s="35">
        <f t="shared" si="3"/>
        <v>8.2710000004053086</v>
      </c>
      <c r="L25" s="35">
        <f t="shared" si="4"/>
        <v>22.170000001109713</v>
      </c>
    </row>
    <row r="26" spans="1:12" x14ac:dyDescent="0.2">
      <c r="A26" s="12" t="str">
        <f>'Ind T2'!A16</f>
        <v>Media</v>
      </c>
      <c r="B26" s="13">
        <f>'Ind T2'!B16</f>
        <v>11.754999999961093</v>
      </c>
      <c r="C26" s="13">
        <f>'Ind T2'!C16</f>
        <v>6.8449999999778317</v>
      </c>
      <c r="D26" s="13">
        <f>'Ind T2'!D16</f>
        <v>8.7239999999658</v>
      </c>
      <c r="E26" s="13">
        <f>'Ind T2'!E16</f>
        <v>8.6489999999559277</v>
      </c>
      <c r="F26" s="13">
        <f>'Ind T2'!F16</f>
        <v>8.8549999999627378</v>
      </c>
      <c r="H26" s="13">
        <f t="shared" si="0"/>
        <v>-4.9099999999832615</v>
      </c>
      <c r="I26" s="35">
        <f t="shared" si="1"/>
        <v>1.8789999999879683</v>
      </c>
      <c r="J26" s="13">
        <f t="shared" si="2"/>
        <v>-7.5000000009872281E-2</v>
      </c>
      <c r="K26" s="13">
        <f t="shared" si="3"/>
        <v>0.20600000000681007</v>
      </c>
      <c r="L26" s="35">
        <f t="shared" si="4"/>
        <v>0.13099999999693779</v>
      </c>
    </row>
    <row r="27" spans="1:12" x14ac:dyDescent="0.2">
      <c r="A27" s="12" t="str">
        <f>'Ind T2'!A17</f>
        <v>Information technology</v>
      </c>
      <c r="B27" s="13">
        <f>'Ind T2'!B17</f>
        <v>21.024999999846447</v>
      </c>
      <c r="C27" s="13">
        <f>'Ind T2'!C17</f>
        <v>20.421000000217287</v>
      </c>
      <c r="D27" s="13">
        <f>'Ind T2'!D17</f>
        <v>28.974999999652741</v>
      </c>
      <c r="E27" s="13">
        <f>'Ind T2'!E17</f>
        <v>29.542000000157682</v>
      </c>
      <c r="F27" s="13">
        <f>'Ind T2'!F17</f>
        <v>30.173000000246173</v>
      </c>
      <c r="H27" s="13">
        <f t="shared" si="0"/>
        <v>-0.60399999962915984</v>
      </c>
      <c r="I27" s="35">
        <f t="shared" si="1"/>
        <v>8.5539999994354545</v>
      </c>
      <c r="J27" s="13">
        <f t="shared" si="2"/>
        <v>0.56700000050494026</v>
      </c>
      <c r="K27" s="13">
        <f t="shared" si="3"/>
        <v>0.63100000008849122</v>
      </c>
      <c r="L27" s="35">
        <f t="shared" si="4"/>
        <v>1.1980000005934315</v>
      </c>
    </row>
    <row r="28" spans="1:12" x14ac:dyDescent="0.2">
      <c r="A28" s="12" t="str">
        <f>'Ind T2'!A18</f>
        <v>Finance and insurance</v>
      </c>
      <c r="B28" s="13">
        <f>'Ind T2'!B18</f>
        <v>37.085999999674023</v>
      </c>
      <c r="C28" s="13">
        <f>'Ind T2'!C18</f>
        <v>31.358000000035776</v>
      </c>
      <c r="D28" s="13">
        <f>'Ind T2'!D18</f>
        <v>32.219999999786531</v>
      </c>
      <c r="E28" s="13">
        <f>'Ind T2'!E18</f>
        <v>34.034999999877684</v>
      </c>
      <c r="F28" s="13">
        <f>'Ind T2'!F18</f>
        <v>35.385999999912187</v>
      </c>
      <c r="H28" s="13">
        <f t="shared" si="0"/>
        <v>-5.7279999996382465</v>
      </c>
      <c r="I28" s="35">
        <f t="shared" si="1"/>
        <v>0.86199999975075414</v>
      </c>
      <c r="J28" s="13">
        <f t="shared" si="2"/>
        <v>1.8150000000911533</v>
      </c>
      <c r="K28" s="13">
        <f t="shared" si="3"/>
        <v>1.351000000034503</v>
      </c>
      <c r="L28" s="35">
        <f t="shared" si="4"/>
        <v>3.1660000001256563</v>
      </c>
    </row>
    <row r="29" spans="1:12" s="286" customFormat="1" x14ac:dyDescent="0.2">
      <c r="A29" s="12" t="str">
        <f>'Ind T2'!A19</f>
        <v>Real estate</v>
      </c>
      <c r="B29" s="13">
        <f>'Ind T2'!B19</f>
        <v>13.451999999970582</v>
      </c>
      <c r="C29" s="13">
        <f>'Ind T2'!C19</f>
        <v>17.004999999951604</v>
      </c>
      <c r="D29" s="13">
        <f>'Ind T2'!D19</f>
        <v>22.313000000007275</v>
      </c>
      <c r="E29" s="13">
        <f>'Ind T2'!E19</f>
        <v>23.22400000005284</v>
      </c>
      <c r="F29" s="13">
        <f>'Ind T2'!F19</f>
        <v>24.245000000057065</v>
      </c>
      <c r="H29" s="13">
        <f t="shared" ref="H29:H31" si="9">C29-B29</f>
        <v>3.5529999999810222</v>
      </c>
      <c r="I29" s="35">
        <f t="shared" ref="I29:I31" si="10">D29-C29</f>
        <v>5.3080000000556709</v>
      </c>
      <c r="J29" s="13">
        <f t="shared" ref="J29:J31" si="11">E29-D29</f>
        <v>0.91100000004556492</v>
      </c>
      <c r="K29" s="13">
        <f t="shared" ref="K29:K31" si="12">F29-E29</f>
        <v>1.021000000004225</v>
      </c>
      <c r="L29" s="35">
        <f t="shared" si="4"/>
        <v>1.9320000000497899</v>
      </c>
    </row>
    <row r="30" spans="1:12" s="286" customFormat="1" x14ac:dyDescent="0.2">
      <c r="A30" s="12" t="str">
        <f>'Ind T2'!A20</f>
        <v>Professional services</v>
      </c>
      <c r="B30" s="13">
        <f>'Ind T2'!B20</f>
        <v>69.732999999341118</v>
      </c>
      <c r="C30" s="13">
        <f>'Ind T2'!C20</f>
        <v>56.251000000647601</v>
      </c>
      <c r="D30" s="13">
        <f>'Ind T2'!D20</f>
        <v>71.550999998979776</v>
      </c>
      <c r="E30" s="13">
        <f>'Ind T2'!E20</f>
        <v>75.140999999684212</v>
      </c>
      <c r="F30" s="13">
        <f>'Ind T2'!F20</f>
        <v>76.769999999921225</v>
      </c>
      <c r="H30" s="13">
        <f t="shared" si="9"/>
        <v>-13.481999998693517</v>
      </c>
      <c r="I30" s="35">
        <f t="shared" si="10"/>
        <v>15.299999998332176</v>
      </c>
      <c r="J30" s="13">
        <f t="shared" si="11"/>
        <v>3.5900000007044355</v>
      </c>
      <c r="K30" s="13">
        <f t="shared" si="12"/>
        <v>1.6290000002370135</v>
      </c>
      <c r="L30" s="35">
        <f t="shared" si="4"/>
        <v>5.219000000941449</v>
      </c>
    </row>
    <row r="31" spans="1:12" s="286" customFormat="1" x14ac:dyDescent="0.2">
      <c r="A31" s="12" t="str">
        <f>'Ind T2'!A21</f>
        <v>Support services</v>
      </c>
      <c r="B31" s="13">
        <f>'Ind T2'!B21</f>
        <v>80.051999999719968</v>
      </c>
      <c r="C31" s="13">
        <f>'Ind T2'!C21</f>
        <v>88.461999999298598</v>
      </c>
      <c r="D31" s="13">
        <f>'Ind T2'!D21</f>
        <v>86.802000000201048</v>
      </c>
      <c r="E31" s="13">
        <f>'Ind T2'!E21</f>
        <v>90.184999999776252</v>
      </c>
      <c r="F31" s="13">
        <f>'Ind T2'!F21</f>
        <v>92.315999999748016</v>
      </c>
      <c r="H31" s="13">
        <f t="shared" si="9"/>
        <v>8.4099999995786305</v>
      </c>
      <c r="I31" s="35">
        <f t="shared" si="10"/>
        <v>-1.6599999990975505</v>
      </c>
      <c r="J31" s="13">
        <f t="shared" si="11"/>
        <v>3.3829999995752047</v>
      </c>
      <c r="K31" s="13">
        <f t="shared" si="12"/>
        <v>2.1309999999717633</v>
      </c>
      <c r="L31" s="35">
        <f t="shared" si="4"/>
        <v>5.513999999546968</v>
      </c>
    </row>
    <row r="32" spans="1:12" s="286" customFormat="1" x14ac:dyDescent="0.2">
      <c r="A32" s="12" t="str">
        <f>'Ind T2'!A25</f>
        <v>Arts and entertainment</v>
      </c>
      <c r="B32" s="13">
        <f>'Ind T2'!B25</f>
        <v>37.150999999954934</v>
      </c>
      <c r="C32" s="13">
        <f>'Ind T2'!C25</f>
        <v>40.745000000021477</v>
      </c>
      <c r="D32" s="13">
        <f>'Ind T2'!D25</f>
        <v>41.617999999771428</v>
      </c>
      <c r="E32" s="13">
        <f>'Ind T2'!E25</f>
        <v>44.214999999691379</v>
      </c>
      <c r="F32" s="13">
        <f>'Ind T2'!F25</f>
        <v>45.592999999764032</v>
      </c>
      <c r="H32" s="13">
        <f t="shared" ref="H32" si="13">C32-B32</f>
        <v>3.5940000000665435</v>
      </c>
      <c r="I32" s="35">
        <f t="shared" ref="I32:I33" si="14">D32-C32</f>
        <v>0.87299999974995046</v>
      </c>
      <c r="J32" s="13">
        <f t="shared" ref="J32:J33" si="15">E32-D32</f>
        <v>2.5969999999199516</v>
      </c>
      <c r="K32" s="13">
        <f t="shared" ref="K32:K33" si="16">F32-E32</f>
        <v>1.3780000000726531</v>
      </c>
      <c r="L32" s="35">
        <f t="shared" si="4"/>
        <v>3.9749999999926047</v>
      </c>
    </row>
    <row r="33" spans="1:12" s="286" customFormat="1" x14ac:dyDescent="0.2">
      <c r="A33" s="12" t="str">
        <f>'Ind T2'!A26</f>
        <v>Other services</v>
      </c>
      <c r="B33" s="13">
        <f>'Ind T2'!B26</f>
        <v>36.887999999980025</v>
      </c>
      <c r="C33" s="13">
        <f>'Ind T2'!C26</f>
        <v>37.932000000093566</v>
      </c>
      <c r="D33" s="13">
        <f>'Ind T2'!D26</f>
        <v>43.949000000151678</v>
      </c>
      <c r="E33" s="13">
        <f>'Ind T2'!E26</f>
        <v>45.060000000024743</v>
      </c>
      <c r="F33" s="13">
        <f>'Ind T2'!F26</f>
        <v>44.98400000001466</v>
      </c>
      <c r="H33" s="13">
        <f>C33-B33</f>
        <v>1.0440000001135417</v>
      </c>
      <c r="I33" s="35">
        <f t="shared" si="14"/>
        <v>6.0170000000581112</v>
      </c>
      <c r="J33" s="13">
        <f t="shared" si="15"/>
        <v>1.1109999998730657</v>
      </c>
      <c r="K33" s="13">
        <f t="shared" si="16"/>
        <v>-7.6000000010083113E-2</v>
      </c>
      <c r="L33" s="35">
        <f t="shared" si="4"/>
        <v>1.0349999998629826</v>
      </c>
    </row>
    <row r="34" spans="1:12" x14ac:dyDescent="0.2">
      <c r="B34" s="36"/>
      <c r="C34" s="36"/>
      <c r="D34" s="36"/>
      <c r="E34" s="36"/>
      <c r="F34" s="36"/>
      <c r="H34" s="13"/>
      <c r="I34" s="35"/>
      <c r="J34" s="13"/>
      <c r="K34" s="13"/>
      <c r="L34" s="35"/>
    </row>
    <row r="35" spans="1:12" s="34" customFormat="1" x14ac:dyDescent="0.2">
      <c r="A35" s="34" t="str">
        <f>'Ind T1'!A12</f>
        <v>Non-marketed services</v>
      </c>
      <c r="B35" s="35">
        <f>'Ind T1'!B12</f>
        <v>404.80500000323286</v>
      </c>
      <c r="C35" s="35">
        <f>'Ind T1'!C12</f>
        <v>427.3100000069918</v>
      </c>
      <c r="D35" s="35">
        <f>'Ind T1'!D12</f>
        <v>477.63299999399914</v>
      </c>
      <c r="E35" s="35">
        <f>'Ind T1'!E12</f>
        <v>484.94600000094147</v>
      </c>
      <c r="F35" s="35">
        <f>'Ind T1'!F12</f>
        <v>497.82900000125358</v>
      </c>
      <c r="H35" s="35">
        <f t="shared" si="0"/>
        <v>22.505000003758937</v>
      </c>
      <c r="I35" s="35">
        <f t="shared" si="1"/>
        <v>50.322999987007336</v>
      </c>
      <c r="J35" s="35">
        <f t="shared" si="2"/>
        <v>7.3130000069423318</v>
      </c>
      <c r="K35" s="35">
        <f t="shared" si="3"/>
        <v>12.883000000312109</v>
      </c>
      <c r="L35" s="35">
        <f t="shared" si="4"/>
        <v>20.19600000725444</v>
      </c>
    </row>
    <row r="36" spans="1:12" x14ac:dyDescent="0.2">
      <c r="A36" s="12" t="str">
        <f>'Ind T2'!A22</f>
        <v>Public admin. and defence</v>
      </c>
      <c r="B36" s="36">
        <f>'Ind T2'!B22</f>
        <v>95.69900000025271</v>
      </c>
      <c r="C36" s="36">
        <f>'Ind T2'!C22</f>
        <v>84.479000000545554</v>
      </c>
      <c r="D36" s="36">
        <f>'Ind T2'!D22</f>
        <v>83.569999999351111</v>
      </c>
      <c r="E36" s="36">
        <f>'Ind T2'!E22</f>
        <v>82.748000000022728</v>
      </c>
      <c r="F36" s="36">
        <f>'Ind T2'!F22</f>
        <v>82.666000000152565</v>
      </c>
      <c r="H36" s="13">
        <f t="shared" si="0"/>
        <v>-11.219999999707156</v>
      </c>
      <c r="I36" s="35">
        <f t="shared" si="1"/>
        <v>-0.90900000119444258</v>
      </c>
      <c r="J36" s="13">
        <f t="shared" si="2"/>
        <v>-0.82199999932838352</v>
      </c>
      <c r="K36" s="13">
        <f t="shared" si="3"/>
        <v>-8.1999999870163265E-2</v>
      </c>
      <c r="L36" s="35">
        <f t="shared" si="4"/>
        <v>-0.90399999919854679</v>
      </c>
    </row>
    <row r="37" spans="1:12" x14ac:dyDescent="0.2">
      <c r="A37" s="12" t="str">
        <f>'Ind T2'!A23</f>
        <v>Education</v>
      </c>
      <c r="B37" s="36">
        <f>'Ind T2'!B23</f>
        <v>121.45400000386623</v>
      </c>
      <c r="C37" s="36">
        <f>'Ind T2'!C23</f>
        <v>140.01000000615451</v>
      </c>
      <c r="D37" s="36">
        <f>'Ind T2'!D23</f>
        <v>139.44299999864344</v>
      </c>
      <c r="E37" s="36">
        <f>'Ind T2'!E23</f>
        <v>135.1790000018849</v>
      </c>
      <c r="F37" s="36">
        <f>'Ind T2'!F23</f>
        <v>136.8230000014685</v>
      </c>
      <c r="H37" s="13">
        <f t="shared" si="0"/>
        <v>18.556000002288286</v>
      </c>
      <c r="I37" s="35">
        <f t="shared" si="1"/>
        <v>-0.56700000751106927</v>
      </c>
      <c r="J37" s="13">
        <f t="shared" si="2"/>
        <v>-4.2639999967585425</v>
      </c>
      <c r="K37" s="13">
        <f t="shared" si="3"/>
        <v>1.643999999583599</v>
      </c>
      <c r="L37" s="35">
        <f t="shared" si="4"/>
        <v>-2.6199999971749435</v>
      </c>
    </row>
    <row r="38" spans="1:12" x14ac:dyDescent="0.2">
      <c r="A38" s="12" t="str">
        <f>'Ind T2'!A24</f>
        <v>Health and social work</v>
      </c>
      <c r="B38" s="36">
        <f>'Ind T2'!B24</f>
        <v>187.65199999911385</v>
      </c>
      <c r="C38" s="36">
        <f>'Ind T2'!C24</f>
        <v>202.82100000029169</v>
      </c>
      <c r="D38" s="36">
        <f>'Ind T2'!D24</f>
        <v>254.61999999600462</v>
      </c>
      <c r="E38" s="36">
        <f>'Ind T2'!E24</f>
        <v>267.01899999903384</v>
      </c>
      <c r="F38" s="36">
        <f>'Ind T2'!F24</f>
        <v>278.33999999963254</v>
      </c>
      <c r="G38" s="2"/>
      <c r="H38" s="47">
        <f t="shared" si="0"/>
        <v>15.169000001177835</v>
      </c>
      <c r="I38" s="35">
        <f t="shared" si="1"/>
        <v>51.798999995712933</v>
      </c>
      <c r="J38" s="47">
        <f t="shared" si="2"/>
        <v>12.399000003029215</v>
      </c>
      <c r="K38" s="47">
        <f t="shared" si="3"/>
        <v>11.321000000598701</v>
      </c>
      <c r="L38" s="35">
        <f t="shared" si="4"/>
        <v>23.720000003627916</v>
      </c>
    </row>
    <row r="39" spans="1:12" x14ac:dyDescent="0.2">
      <c r="A39" s="2"/>
      <c r="B39" s="46"/>
      <c r="C39" s="46"/>
      <c r="D39" s="46"/>
      <c r="E39" s="46"/>
      <c r="F39" s="46"/>
      <c r="G39" s="2"/>
      <c r="H39" s="47"/>
      <c r="I39" s="47"/>
      <c r="J39" s="47"/>
      <c r="K39" s="47"/>
      <c r="L39" s="35"/>
    </row>
    <row r="40" spans="1:12" x14ac:dyDescent="0.2">
      <c r="A40" s="48" t="str">
        <f>'Ind T1'!A14</f>
        <v>All industries</v>
      </c>
      <c r="B40" s="38">
        <f>'Ind T1'!B14</f>
        <v>1408.9670000019444</v>
      </c>
      <c r="C40" s="38">
        <f>'Ind T1'!C14</f>
        <v>1357.8780000009851</v>
      </c>
      <c r="D40" s="38">
        <f>'Ind T1'!D14</f>
        <v>1529.7600000008431</v>
      </c>
      <c r="E40" s="38">
        <f>'Ind T1'!E14</f>
        <v>1546.2870000021678</v>
      </c>
      <c r="F40" s="38">
        <f>'Ind T1'!F14</f>
        <v>1569.1730000018861</v>
      </c>
      <c r="G40" s="37"/>
      <c r="H40" s="39">
        <f t="shared" si="0"/>
        <v>-51.089000000959231</v>
      </c>
      <c r="I40" s="39">
        <f>D40-C40</f>
        <v>171.88199999985795</v>
      </c>
      <c r="J40" s="39">
        <f>E40-D40</f>
        <v>16.527000001324723</v>
      </c>
      <c r="K40" s="39">
        <f>F40-E40</f>
        <v>22.885999999718251</v>
      </c>
      <c r="L40" s="303">
        <f t="shared" si="4"/>
        <v>39.413000001042974</v>
      </c>
    </row>
    <row r="44" spans="1:12" ht="15.75" x14ac:dyDescent="0.25">
      <c r="A44" s="23" t="str">
        <f>CONCATENATE(A1," (Continued)")</f>
        <v>Industry Table 4  Employment by Industry Group in Sector (SIC 2007), 2007-2027 (Continued)</v>
      </c>
    </row>
    <row r="46" spans="1:12" x14ac:dyDescent="0.2">
      <c r="L46" s="19" t="s">
        <v>20</v>
      </c>
    </row>
    <row r="47" spans="1:12" x14ac:dyDescent="0.2">
      <c r="A47" s="41"/>
      <c r="B47" s="32" t="s">
        <v>14</v>
      </c>
      <c r="C47" s="32"/>
      <c r="D47" s="32"/>
      <c r="E47" s="32"/>
      <c r="F47" s="32"/>
      <c r="G47" s="32"/>
      <c r="H47" s="78" t="s">
        <v>511</v>
      </c>
      <c r="I47" s="32"/>
      <c r="J47" s="32"/>
      <c r="K47" s="32"/>
      <c r="L47" s="32"/>
    </row>
    <row r="48" spans="1:12" x14ac:dyDescent="0.2">
      <c r="A48" s="37"/>
      <c r="B48" s="42" t="str">
        <f>H5</f>
        <v>2007-2012</v>
      </c>
      <c r="C48" s="42" t="str">
        <f>I5</f>
        <v>2012-2017</v>
      </c>
      <c r="D48" s="42" t="str">
        <f>J5</f>
        <v>2017-2022</v>
      </c>
      <c r="E48" s="42" t="str">
        <f>K5</f>
        <v>2022-2027</v>
      </c>
      <c r="F48" s="42" t="str">
        <f>L5</f>
        <v>2017-2027</v>
      </c>
      <c r="G48" s="50"/>
      <c r="H48" s="51">
        <f>B5</f>
        <v>2007</v>
      </c>
      <c r="I48" s="51">
        <f>C5</f>
        <v>2012</v>
      </c>
      <c r="J48" s="51">
        <f>D5</f>
        <v>2017</v>
      </c>
      <c r="K48" s="51">
        <f>E5</f>
        <v>2022</v>
      </c>
      <c r="L48" s="51">
        <f>F5</f>
        <v>2027</v>
      </c>
    </row>
    <row r="50" spans="1:12" s="34" customFormat="1" x14ac:dyDescent="0.2">
      <c r="A50" s="34" t="str">
        <f>A7</f>
        <v>Primary sector and utilities</v>
      </c>
      <c r="B50" s="53">
        <f t="shared" ref="B50:E54" si="17">IF(AND(C$5-B$5 &lt;&gt; 0,B7&lt;&gt;0,C7&lt;&gt;0),(EXP(LN(C7/B7)/(C$5-B$5))-1)*100,0)</f>
        <v>2.212387160542284</v>
      </c>
      <c r="C50" s="53">
        <f t="shared" si="17"/>
        <v>6.9201720437758407</v>
      </c>
      <c r="D50" s="53">
        <f t="shared" si="17"/>
        <v>0.10936100258593928</v>
      </c>
      <c r="E50" s="53">
        <f t="shared" si="17"/>
        <v>0.17641508192407507</v>
      </c>
      <c r="F50" s="53">
        <f>IF(AND(F$5-D$5 &lt;&gt; 0,D7&lt;&gt;0,F7&lt;&gt;0),(EXP(LN(F7/D7)/(F$5-D$5))-1)*100,0)</f>
        <v>0.14288242996218781</v>
      </c>
      <c r="H50" s="53">
        <f>(B7/B$40)*100</f>
        <v>3.7137136639752684</v>
      </c>
      <c r="I50" s="53">
        <f>(C7/C$40)*100</f>
        <v>4.2989870960101682</v>
      </c>
      <c r="J50" s="53">
        <f>(D7/D$40)*100</f>
        <v>5.3321436042478592</v>
      </c>
      <c r="K50" s="53">
        <f>(E7/E$40)*100</f>
        <v>5.3040606304010414</v>
      </c>
      <c r="L50" s="53">
        <f>(F7/F$40)*100</f>
        <v>5.2729686274236096</v>
      </c>
    </row>
    <row r="51" spans="1:12" x14ac:dyDescent="0.2">
      <c r="A51" t="str">
        <f>A8</f>
        <v>Agriculture</v>
      </c>
      <c r="B51" s="49">
        <f t="shared" si="17"/>
        <v>-1.0010369879377312</v>
      </c>
      <c r="C51" s="53">
        <f t="shared" si="17"/>
        <v>11.127917206712468</v>
      </c>
      <c r="D51" s="49">
        <f t="shared" si="17"/>
        <v>-4.4505587590137896E-2</v>
      </c>
      <c r="E51" s="49">
        <f t="shared" si="17"/>
        <v>0.10632772895311504</v>
      </c>
      <c r="F51" s="53">
        <f t="shared" ref="F51:F83" si="18">IF(AND(F$5-D$5 &lt;&gt; 0,D8&lt;&gt;0,F8&lt;&gt;0),(EXP(LN(F8/D8)/(F$5-D$5))-1)*100,0)</f>
        <v>3.0882641103624486E-2</v>
      </c>
      <c r="H51" s="49">
        <f t="shared" ref="H51:L54" si="19">(B8/B$7)*100</f>
        <v>70.937410415711909</v>
      </c>
      <c r="I51" s="49">
        <f t="shared" si="19"/>
        <v>60.465952890850815</v>
      </c>
      <c r="J51" s="49">
        <f t="shared" si="19"/>
        <v>73.337910235811606</v>
      </c>
      <c r="K51" s="49">
        <f t="shared" si="19"/>
        <v>72.776043699086301</v>
      </c>
      <c r="L51" s="49">
        <f t="shared" si="19"/>
        <v>72.521814798110142</v>
      </c>
    </row>
    <row r="52" spans="1:12" x14ac:dyDescent="0.2">
      <c r="A52" t="str">
        <f>A9</f>
        <v>Mining and quarrying</v>
      </c>
      <c r="B52" s="49">
        <f t="shared" si="17"/>
        <v>13.064088599624757</v>
      </c>
      <c r="C52" s="53">
        <f t="shared" si="17"/>
        <v>-1.9639387986142287</v>
      </c>
      <c r="D52" s="49">
        <f t="shared" si="17"/>
        <v>-1.2419203410068302</v>
      </c>
      <c r="E52" s="49">
        <f t="shared" si="17"/>
        <v>-2.8372285496439997</v>
      </c>
      <c r="F52" s="53">
        <f t="shared" si="18"/>
        <v>-2.0428219945939574</v>
      </c>
      <c r="H52" s="49">
        <f t="shared" si="19"/>
        <v>3.1113234591438612</v>
      </c>
      <c r="I52" s="49">
        <f t="shared" si="19"/>
        <v>5.1528907923054534</v>
      </c>
      <c r="J52" s="49">
        <f t="shared" si="19"/>
        <v>3.33950397820389</v>
      </c>
      <c r="K52" s="49">
        <f t="shared" si="19"/>
        <v>3.1201229028307598</v>
      </c>
      <c r="L52" s="49">
        <f t="shared" si="19"/>
        <v>2.6782045393954292</v>
      </c>
    </row>
    <row r="53" spans="1:12" x14ac:dyDescent="0.2">
      <c r="A53" t="str">
        <f>A10</f>
        <v>Electricity and gas</v>
      </c>
      <c r="B53" s="49">
        <f t="shared" si="17"/>
        <v>10.948755370837947</v>
      </c>
      <c r="C53" s="53">
        <f t="shared" si="17"/>
        <v>7.5328673956476244E-2</v>
      </c>
      <c r="D53" s="49">
        <f t="shared" si="17"/>
        <v>-0.37865038711570875</v>
      </c>
      <c r="E53" s="49">
        <f t="shared" si="17"/>
        <v>-7.9365179368851013E-2</v>
      </c>
      <c r="F53" s="53">
        <f t="shared" si="18"/>
        <v>-0.22912000484592854</v>
      </c>
      <c r="H53" s="49">
        <f t="shared" si="19"/>
        <v>8.7396082178220027</v>
      </c>
      <c r="I53" s="49">
        <f t="shared" si="19"/>
        <v>13.170021413335858</v>
      </c>
      <c r="J53" s="49">
        <f t="shared" si="19"/>
        <v>9.460701982305137</v>
      </c>
      <c r="K53" s="49">
        <f t="shared" si="19"/>
        <v>9.2323449083093898</v>
      </c>
      <c r="L53" s="49">
        <f t="shared" si="19"/>
        <v>9.1150806120323153</v>
      </c>
    </row>
    <row r="54" spans="1:12" s="286" customFormat="1" x14ac:dyDescent="0.2">
      <c r="A54" s="286" t="str">
        <f>A11</f>
        <v>Water and sewerage</v>
      </c>
      <c r="B54" s="49">
        <f t="shared" si="17"/>
        <v>6.5741239547237207</v>
      </c>
      <c r="C54" s="53">
        <f t="shared" si="17"/>
        <v>-1.8000382784199243</v>
      </c>
      <c r="D54" s="49">
        <f t="shared" si="17"/>
        <v>1.5269001389784709</v>
      </c>
      <c r="E54" s="49">
        <f t="shared" si="17"/>
        <v>1.2490481804486642</v>
      </c>
      <c r="F54" s="53">
        <f t="shared" si="18"/>
        <v>1.3878789786186951</v>
      </c>
      <c r="H54" s="49">
        <f t="shared" si="19"/>
        <v>17.211657907322238</v>
      </c>
      <c r="I54" s="49">
        <f t="shared" si="19"/>
        <v>21.211134903507897</v>
      </c>
      <c r="J54" s="49">
        <f t="shared" si="19"/>
        <v>13.861883803679362</v>
      </c>
      <c r="K54" s="49">
        <f t="shared" si="19"/>
        <v>14.87148848977354</v>
      </c>
      <c r="L54" s="49">
        <f t="shared" si="19"/>
        <v>15.684900050462106</v>
      </c>
    </row>
    <row r="55" spans="1:12" x14ac:dyDescent="0.2">
      <c r="B55" s="49"/>
      <c r="C55" s="53"/>
      <c r="D55" s="49"/>
      <c r="E55" s="49"/>
      <c r="F55" s="53"/>
      <c r="H55" s="49"/>
      <c r="I55" s="49"/>
      <c r="J55" s="49"/>
      <c r="K55" s="49"/>
      <c r="L55" s="49"/>
    </row>
    <row r="56" spans="1:12" s="34" customFormat="1" x14ac:dyDescent="0.2">
      <c r="A56" s="34" t="str">
        <f>A13</f>
        <v>Manufacturing</v>
      </c>
      <c r="B56" s="53">
        <f t="shared" ref="B56:E59" si="20">IF(AND(C$5-B$5 &lt;&gt; 0,B13&lt;&gt;0,C13&lt;&gt;0),(EXP(LN(C13/B13)/(C$5-B$5))-1)*100,0)</f>
        <v>-3.7404898256604646</v>
      </c>
      <c r="C56" s="53">
        <f t="shared" si="20"/>
        <v>0.62948684178112391</v>
      </c>
      <c r="D56" s="53">
        <f t="shared" si="20"/>
        <v>-0.84611181156017956</v>
      </c>
      <c r="E56" s="53">
        <f t="shared" si="20"/>
        <v>-0.92727241259354942</v>
      </c>
      <c r="F56" s="53">
        <f t="shared" si="18"/>
        <v>-0.88670041954280743</v>
      </c>
      <c r="H56" s="53">
        <f>(B13/B$40)*100</f>
        <v>12.218951898742461</v>
      </c>
      <c r="I56" s="53">
        <f>(C13/C$40)*100</f>
        <v>10.478334577760467</v>
      </c>
      <c r="J56" s="53">
        <f>(D13/D$40)*100</f>
        <v>9.5974531952912709</v>
      </c>
      <c r="K56" s="53">
        <f>(E13/E$40)*100</f>
        <v>9.0999277623575967</v>
      </c>
      <c r="L56" s="53">
        <f>(F13/F$40)*100</f>
        <v>8.5590945038333164</v>
      </c>
    </row>
    <row r="57" spans="1:12" x14ac:dyDescent="0.2">
      <c r="A57" t="str">
        <f>A14</f>
        <v>Food drink and tobacco</v>
      </c>
      <c r="B57" s="49">
        <f t="shared" si="20"/>
        <v>-1.1973077763811069</v>
      </c>
      <c r="C57" s="53">
        <f t="shared" si="20"/>
        <v>-2.1256707443541467</v>
      </c>
      <c r="D57" s="49">
        <f t="shared" si="20"/>
        <v>-1.1571252112065</v>
      </c>
      <c r="E57" s="49">
        <f t="shared" si="20"/>
        <v>-1.0270790757785364</v>
      </c>
      <c r="F57" s="53">
        <f t="shared" si="18"/>
        <v>-1.0921235169110366</v>
      </c>
      <c r="H57" s="49">
        <f t="shared" ref="H57:L59" si="21">(B14/B$13)*100</f>
        <v>13.863186203582867</v>
      </c>
      <c r="I57" s="49">
        <f t="shared" si="21"/>
        <v>15.793875585909273</v>
      </c>
      <c r="J57" s="49">
        <f t="shared" si="21"/>
        <v>13.746952008646151</v>
      </c>
      <c r="K57" s="49">
        <f t="shared" si="21"/>
        <v>13.532701778820833</v>
      </c>
      <c r="L57" s="49">
        <f t="shared" si="21"/>
        <v>13.464674216528522</v>
      </c>
    </row>
    <row r="58" spans="1:12" x14ac:dyDescent="0.2">
      <c r="A58" t="str">
        <f>A15</f>
        <v>Engineering</v>
      </c>
      <c r="B58" s="49">
        <f t="shared" si="20"/>
        <v>-6.7744736263753218</v>
      </c>
      <c r="C58" s="53">
        <f t="shared" si="20"/>
        <v>-0.7678652688613008</v>
      </c>
      <c r="D58" s="49">
        <f t="shared" si="20"/>
        <v>0.33656878353853781</v>
      </c>
      <c r="E58" s="49">
        <f t="shared" si="20"/>
        <v>-1.3179711329489807</v>
      </c>
      <c r="F58" s="53">
        <f t="shared" si="18"/>
        <v>-0.49413998603901055</v>
      </c>
      <c r="H58" s="49">
        <f t="shared" si="21"/>
        <v>14.421384634087358</v>
      </c>
      <c r="I58" s="49">
        <f t="shared" si="21"/>
        <v>12.287483395798791</v>
      </c>
      <c r="J58" s="49">
        <f t="shared" si="21"/>
        <v>11.457723167456809</v>
      </c>
      <c r="K58" s="49">
        <f t="shared" si="21"/>
        <v>12.157542765005042</v>
      </c>
      <c r="L58" s="49">
        <f t="shared" si="21"/>
        <v>11.919706344475307</v>
      </c>
    </row>
    <row r="59" spans="1:12" x14ac:dyDescent="0.2">
      <c r="A59" t="str">
        <f>A16</f>
        <v>Rest of manufacturing</v>
      </c>
      <c r="B59" s="49">
        <f t="shared" si="20"/>
        <v>-3.6859996263587824</v>
      </c>
      <c r="C59" s="53">
        <f t="shared" si="20"/>
        <v>1.4219261256291027</v>
      </c>
      <c r="D59" s="49">
        <f t="shared" si="20"/>
        <v>-0.97518834251582032</v>
      </c>
      <c r="E59" s="49">
        <f t="shared" si="20"/>
        <v>-0.84584835082095466</v>
      </c>
      <c r="F59" s="53">
        <f t="shared" si="18"/>
        <v>-0.91053944986086988</v>
      </c>
      <c r="H59" s="49">
        <f t="shared" si="21"/>
        <v>71.715429162329769</v>
      </c>
      <c r="I59" s="49">
        <f t="shared" si="21"/>
        <v>71.918641018291936</v>
      </c>
      <c r="J59" s="49">
        <f t="shared" si="21"/>
        <v>74.795324823897019</v>
      </c>
      <c r="K59" s="49">
        <f t="shared" si="21"/>
        <v>74.30975545617413</v>
      </c>
      <c r="L59" s="49">
        <f t="shared" si="21"/>
        <v>74.615619438996177</v>
      </c>
    </row>
    <row r="60" spans="1:12" x14ac:dyDescent="0.2">
      <c r="B60" s="49"/>
      <c r="C60" s="53"/>
      <c r="D60" s="49"/>
      <c r="E60" s="49"/>
      <c r="F60" s="53"/>
      <c r="H60" s="49"/>
      <c r="I60" s="49"/>
      <c r="J60" s="49"/>
      <c r="K60" s="49"/>
      <c r="L60" s="49"/>
    </row>
    <row r="61" spans="1:12" s="34" customFormat="1" x14ac:dyDescent="0.2">
      <c r="A61" s="34" t="str">
        <f>A18</f>
        <v>Construction</v>
      </c>
      <c r="B61" s="53">
        <f>IF(AND(C$5-B$5 &lt;&gt; 0,B18&lt;&gt;0,C18&lt;&gt;0),(EXP(LN(C18/B18)/(C$5-B$5))-1)*100,0)</f>
        <v>-5.6205830808070401</v>
      </c>
      <c r="C61" s="53">
        <f>IF(AND(D$5-C$5 &lt;&gt; 0,C18&lt;&gt;0,D18&lt;&gt;0),(EXP(LN(D18/C18)/(D$5-C$5))-1)*100,0)</f>
        <v>4.5603430447149762</v>
      </c>
      <c r="D61" s="53">
        <f>IF(AND(E$5-D$5 &lt;&gt; 0,D18&lt;&gt;0,E18&lt;&gt;0),(EXP(LN(E18/D18)/(E$5-D$5))-1)*100,0)</f>
        <v>5.5217527182893633E-2</v>
      </c>
      <c r="E61" s="53">
        <f>IF(AND(F$5-E$5 &lt;&gt; 0,E18&lt;&gt;0,F18&lt;&gt;0),(EXP(LN(F18/E18)/(F$5-E$5))-1)*100,0)</f>
        <v>0.13262104126914309</v>
      </c>
      <c r="F61" s="53">
        <f t="shared" si="18"/>
        <v>9.3911802122881305E-2</v>
      </c>
      <c r="H61" s="53">
        <f>(B18/B$40)*100</f>
        <v>8.121623856429709</v>
      </c>
      <c r="I61" s="53">
        <f>(C18/C$40)*100</f>
        <v>6.3105816574451827</v>
      </c>
      <c r="J61" s="53">
        <f>(D18/D$40)*100</f>
        <v>7.000705993129082</v>
      </c>
      <c r="K61" s="53">
        <f>(E18/E$40)*100</f>
        <v>6.9450237892783973</v>
      </c>
      <c r="L61" s="53">
        <f>(F18/F$40)*100</f>
        <v>6.8892340105366445</v>
      </c>
    </row>
    <row r="62" spans="1:12" x14ac:dyDescent="0.2">
      <c r="B62" s="49"/>
      <c r="C62" s="53"/>
      <c r="D62" s="49"/>
      <c r="E62" s="49"/>
      <c r="F62" s="53"/>
      <c r="H62" s="49"/>
      <c r="I62" s="49"/>
      <c r="J62" s="49"/>
      <c r="K62" s="49"/>
      <c r="L62" s="49"/>
    </row>
    <row r="63" spans="1:12" s="34" customFormat="1" x14ac:dyDescent="0.2">
      <c r="A63" s="34" t="str">
        <f>A20</f>
        <v>Trade, accomod. and transport</v>
      </c>
      <c r="B63" s="53">
        <f t="shared" ref="B63:E66" si="22">IF(AND(C$5-B$5 &lt;&gt; 0,B20&lt;&gt;0,C20&lt;&gt;0),(EXP(LN(C20/B20)/(C$5-B$5))-1)*100,0)</f>
        <v>-0.73118967461088813</v>
      </c>
      <c r="C63" s="53">
        <f t="shared" si="22"/>
        <v>1.9659461706540204</v>
      </c>
      <c r="D63" s="53">
        <f t="shared" si="22"/>
        <v>3.5664995365269903E-2</v>
      </c>
      <c r="E63" s="53">
        <f t="shared" si="22"/>
        <v>0.34889349009932236</v>
      </c>
      <c r="F63" s="53">
        <f t="shared" si="18"/>
        <v>0.19215683790405613</v>
      </c>
      <c r="H63" s="53">
        <f>(B20/B$40)*100</f>
        <v>25.415996258182226</v>
      </c>
      <c r="I63" s="53">
        <f>(C20/C$40)*100</f>
        <v>25.422092411648521</v>
      </c>
      <c r="J63" s="53">
        <f>(D20/D$40)*100</f>
        <v>24.87279050353073</v>
      </c>
      <c r="K63" s="53">
        <f>(E20/E$40)*100</f>
        <v>24.650857182512258</v>
      </c>
      <c r="L63" s="53">
        <f>(F20/F$40)*100</f>
        <v>24.718052120534377</v>
      </c>
    </row>
    <row r="64" spans="1:12" x14ac:dyDescent="0.2">
      <c r="A64" t="str">
        <f>A21</f>
        <v>Wholesale and retail trade</v>
      </c>
      <c r="B64" s="49">
        <f t="shared" si="22"/>
        <v>-1.1790944209239207</v>
      </c>
      <c r="C64" s="53">
        <f t="shared" si="22"/>
        <v>0.13291838087809982</v>
      </c>
      <c r="D64" s="49">
        <f t="shared" si="22"/>
        <v>4.7583408437712471E-2</v>
      </c>
      <c r="E64" s="49">
        <f t="shared" si="22"/>
        <v>0.14135619948325573</v>
      </c>
      <c r="F64" s="53">
        <f t="shared" si="18"/>
        <v>9.4458822663456843E-2</v>
      </c>
      <c r="H64" s="49">
        <f t="shared" ref="H64:L66" si="23">(B21/B$20)*100</f>
        <v>59.452448038790294</v>
      </c>
      <c r="I64" s="49">
        <f t="shared" si="23"/>
        <v>58.123238345329099</v>
      </c>
      <c r="J64" s="49">
        <f t="shared" si="23"/>
        <v>53.083360053146237</v>
      </c>
      <c r="K64" s="49">
        <f t="shared" si="23"/>
        <v>53.114989781649491</v>
      </c>
      <c r="L64" s="49">
        <f t="shared" si="23"/>
        <v>52.568006208362227</v>
      </c>
    </row>
    <row r="65" spans="1:12" x14ac:dyDescent="0.2">
      <c r="A65" t="str">
        <f>A22</f>
        <v>Transport and storage</v>
      </c>
      <c r="B65" s="49">
        <f>IF(AND(C$5-B$5 &lt;&gt; 0,B22&lt;&gt;0,C22&lt;&gt;0),(EXP(LN(C22/B22)/(C$5-B$5))-1)*100,0)</f>
        <v>-1.8197502003942323</v>
      </c>
      <c r="C65" s="53">
        <f t="shared" si="22"/>
        <v>-2.0233568167991489</v>
      </c>
      <c r="D65" s="49">
        <f t="shared" si="22"/>
        <v>-0.46571924662398567</v>
      </c>
      <c r="E65" s="49">
        <f t="shared" si="22"/>
        <v>0.26586344182104593</v>
      </c>
      <c r="F65" s="53">
        <f t="shared" si="18"/>
        <v>-0.10059759038657523</v>
      </c>
      <c r="H65" s="49">
        <f t="shared" si="23"/>
        <v>13.711697472540774</v>
      </c>
      <c r="I65" s="49">
        <f t="shared" si="23"/>
        <v>12.976208064288317</v>
      </c>
      <c r="J65" s="49">
        <f t="shared" si="23"/>
        <v>10.62881412055102</v>
      </c>
      <c r="K65" s="49">
        <f t="shared" si="23"/>
        <v>10.365109805665336</v>
      </c>
      <c r="L65" s="49">
        <f t="shared" si="23"/>
        <v>10.322299539135404</v>
      </c>
    </row>
    <row r="66" spans="1:12" x14ac:dyDescent="0.2">
      <c r="A66" t="str">
        <f>A23</f>
        <v>Accommodation and food</v>
      </c>
      <c r="B66" s="49">
        <f t="shared" si="22"/>
        <v>0.75137081844747211</v>
      </c>
      <c r="C66" s="53">
        <f t="shared" si="22"/>
        <v>6.7151577864747347</v>
      </c>
      <c r="D66" s="49">
        <f t="shared" si="22"/>
        <v>0.16329222299107382</v>
      </c>
      <c r="E66" s="49">
        <f t="shared" si="22"/>
        <v>0.67094523451276533</v>
      </c>
      <c r="F66" s="53">
        <f t="shared" si="18"/>
        <v>0.41679792688689155</v>
      </c>
      <c r="H66" s="49">
        <f t="shared" si="23"/>
        <v>26.835854488668922</v>
      </c>
      <c r="I66" s="49">
        <f t="shared" si="23"/>
        <v>28.900553590382589</v>
      </c>
      <c r="J66" s="49">
        <f t="shared" si="23"/>
        <v>36.287825826302758</v>
      </c>
      <c r="K66" s="49">
        <f t="shared" si="23"/>
        <v>36.519900412685161</v>
      </c>
      <c r="L66" s="49">
        <f t="shared" si="23"/>
        <v>37.109694252502372</v>
      </c>
    </row>
    <row r="67" spans="1:12" x14ac:dyDescent="0.2">
      <c r="B67" s="49"/>
      <c r="C67" s="53"/>
      <c r="D67" s="49"/>
      <c r="E67" s="49"/>
      <c r="F67" s="53"/>
      <c r="H67" s="49"/>
      <c r="I67" s="49"/>
      <c r="J67" s="49"/>
      <c r="K67" s="49"/>
      <c r="L67" s="49"/>
    </row>
    <row r="68" spans="1:12" s="34" customFormat="1" x14ac:dyDescent="0.2">
      <c r="A68" s="34" t="str">
        <f>A25</f>
        <v>Business and other services</v>
      </c>
      <c r="B68" s="53">
        <f t="shared" ref="B68:E71" si="24">IF(AND(C$5-B$5 &lt;&gt; 0,B25&lt;&gt;0,C25&lt;&gt;0),(EXP(LN(C25/B25)/(C$5-B$5))-1)*100,0)</f>
        <v>-0.5346270521188301</v>
      </c>
      <c r="C68" s="53">
        <f t="shared" si="24"/>
        <v>2.3687459214725815</v>
      </c>
      <c r="D68" s="53">
        <f t="shared" si="24"/>
        <v>0.81360027458112771</v>
      </c>
      <c r="E68" s="53">
        <f t="shared" si="24"/>
        <v>0.46815574747289812</v>
      </c>
      <c r="F68" s="53">
        <f t="shared" si="18"/>
        <v>0.64072979589373524</v>
      </c>
      <c r="H68" s="53">
        <f>(B25/B$40)*100</f>
        <v>21.799091107032623</v>
      </c>
      <c r="I68" s="53">
        <f>(C25/C$40)*100</f>
        <v>22.021050492019668</v>
      </c>
      <c r="J68" s="53">
        <f>(D25/D$40)*100</f>
        <v>21.974165882120793</v>
      </c>
      <c r="K68" s="53">
        <f>(E25/E$40)*100</f>
        <v>22.638164842537638</v>
      </c>
      <c r="L68" s="53">
        <f>(F25/F$40)*100</f>
        <v>22.835085742566012</v>
      </c>
    </row>
    <row r="69" spans="1:12" x14ac:dyDescent="0.2">
      <c r="A69" t="str">
        <f>A26</f>
        <v>Media</v>
      </c>
      <c r="B69" s="49">
        <f t="shared" si="24"/>
        <v>-10.250887266861175</v>
      </c>
      <c r="C69" s="53">
        <f t="shared" si="24"/>
        <v>4.9707840091665068</v>
      </c>
      <c r="D69" s="49">
        <f t="shared" si="24"/>
        <v>-0.17253380932595874</v>
      </c>
      <c r="E69" s="49">
        <f t="shared" si="24"/>
        <v>0.47188114717280349</v>
      </c>
      <c r="F69" s="53">
        <f t="shared" si="18"/>
        <v>0.14915535506434541</v>
      </c>
      <c r="H69" s="49">
        <f t="shared" ref="H69:L71" si="25">(B26/B$25)*100</f>
        <v>3.8272199829461568</v>
      </c>
      <c r="I69" s="49">
        <f t="shared" si="25"/>
        <v>2.2891521943328859</v>
      </c>
      <c r="J69" s="49">
        <f t="shared" si="25"/>
        <v>2.5952545277149341</v>
      </c>
      <c r="K69" s="49">
        <f t="shared" si="25"/>
        <v>2.4707828287807154</v>
      </c>
      <c r="L69" s="49">
        <f t="shared" si="25"/>
        <v>2.4712409508687658</v>
      </c>
    </row>
    <row r="70" spans="1:12" x14ac:dyDescent="0.2">
      <c r="A70" t="str">
        <f>A27</f>
        <v>Information technology</v>
      </c>
      <c r="B70" s="49">
        <f t="shared" si="24"/>
        <v>-0.58127249029541472</v>
      </c>
      <c r="C70" s="53">
        <f t="shared" si="24"/>
        <v>7.248021190742171</v>
      </c>
      <c r="D70" s="49">
        <f t="shared" si="24"/>
        <v>0.38834391663684631</v>
      </c>
      <c r="E70" s="49">
        <f t="shared" si="24"/>
        <v>0.42358469739007809</v>
      </c>
      <c r="F70" s="53">
        <f t="shared" si="18"/>
        <v>0.40596276089932548</v>
      </c>
      <c r="H70" s="49">
        <f t="shared" si="25"/>
        <v>6.8453679405462857</v>
      </c>
      <c r="I70" s="49">
        <f t="shared" si="25"/>
        <v>6.8293319154303367</v>
      </c>
      <c r="J70" s="49">
        <f t="shared" si="25"/>
        <v>8.6196125561593071</v>
      </c>
      <c r="K70" s="49">
        <f t="shared" si="25"/>
        <v>8.4393416959881407</v>
      </c>
      <c r="L70" s="49">
        <f t="shared" si="25"/>
        <v>8.420638420269384</v>
      </c>
    </row>
    <row r="71" spans="1:12" x14ac:dyDescent="0.2">
      <c r="A71" t="str">
        <f>A28</f>
        <v>Finance and insurance</v>
      </c>
      <c r="B71" s="49">
        <f t="shared" si="24"/>
        <v>-3.2997331910412431</v>
      </c>
      <c r="C71" s="53">
        <f t="shared" si="24"/>
        <v>0.54383262610055993</v>
      </c>
      <c r="D71" s="49">
        <f t="shared" si="24"/>
        <v>1.1020691127936022</v>
      </c>
      <c r="E71" s="49">
        <f t="shared" si="24"/>
        <v>0.78157557600146976</v>
      </c>
      <c r="F71" s="53">
        <f t="shared" si="18"/>
        <v>0.94169514715478631</v>
      </c>
      <c r="H71" s="49">
        <f t="shared" si="25"/>
        <v>12.074545324267406</v>
      </c>
      <c r="I71" s="49">
        <f t="shared" si="25"/>
        <v>10.486959022674217</v>
      </c>
      <c r="J71" s="49">
        <f t="shared" si="25"/>
        <v>9.5849496656062563</v>
      </c>
      <c r="K71" s="49">
        <f t="shared" si="25"/>
        <v>9.7228689533677812</v>
      </c>
      <c r="L71" s="49">
        <f t="shared" si="25"/>
        <v>9.8754751312922782</v>
      </c>
    </row>
    <row r="72" spans="1:12" s="286" customFormat="1" x14ac:dyDescent="0.2">
      <c r="A72" s="286" t="str">
        <f t="shared" ref="A72:A76" si="26">A29</f>
        <v>Real estate</v>
      </c>
      <c r="B72" s="49">
        <f t="shared" ref="B72:E72" si="27">IF(AND(C$5-B$5 &lt;&gt; 0,B29&lt;&gt;0,C29&lt;&gt;0),(EXP(LN(C29/B29)/(C$5-B$5))-1)*100,0)</f>
        <v>4.7991971320826554</v>
      </c>
      <c r="C72" s="53">
        <f t="shared" si="27"/>
        <v>5.5835514068774961</v>
      </c>
      <c r="D72" s="49">
        <f t="shared" si="27"/>
        <v>0.80354641254136716</v>
      </c>
      <c r="E72" s="49">
        <f t="shared" si="27"/>
        <v>0.86419647920310538</v>
      </c>
      <c r="F72" s="53">
        <f t="shared" si="18"/>
        <v>0.8338668858585585</v>
      </c>
      <c r="H72" s="49">
        <f t="shared" ref="H72:L72" si="28">(B29/B$25)*100</f>
        <v>4.3797331527562324</v>
      </c>
      <c r="I72" s="49">
        <f t="shared" si="28"/>
        <v>5.6869295930819588</v>
      </c>
      <c r="J72" s="49">
        <f t="shared" si="28"/>
        <v>6.6377710083848251</v>
      </c>
      <c r="K72" s="49">
        <f t="shared" si="28"/>
        <v>6.6344618355909688</v>
      </c>
      <c r="L72" s="49">
        <f t="shared" si="28"/>
        <v>6.7662605143090211</v>
      </c>
    </row>
    <row r="73" spans="1:12" s="286" customFormat="1" x14ac:dyDescent="0.2">
      <c r="A73" s="286" t="str">
        <f t="shared" si="26"/>
        <v>Professional services</v>
      </c>
      <c r="B73" s="49">
        <f t="shared" ref="B73:E73" si="29">IF(AND(C$5-B$5 &lt;&gt; 0,B30&lt;&gt;0,C30&lt;&gt;0),(EXP(LN(C30/B30)/(C$5-B$5))-1)*100,0)</f>
        <v>-4.2059842401076741</v>
      </c>
      <c r="C73" s="53">
        <f t="shared" si="29"/>
        <v>4.9293764554638519</v>
      </c>
      <c r="D73" s="49">
        <f t="shared" si="29"/>
        <v>0.98392636452602211</v>
      </c>
      <c r="E73" s="49">
        <f t="shared" si="29"/>
        <v>0.42987312101852027</v>
      </c>
      <c r="F73" s="53">
        <f t="shared" si="18"/>
        <v>0.70651871677238631</v>
      </c>
      <c r="H73" s="49">
        <f t="shared" ref="H73:L73" si="30">(B30/B$25)*100</f>
        <v>22.703830801288476</v>
      </c>
      <c r="I73" s="49">
        <f t="shared" si="30"/>
        <v>18.811848076744873</v>
      </c>
      <c r="J73" s="49">
        <f t="shared" si="30"/>
        <v>21.285311406535016</v>
      </c>
      <c r="K73" s="49">
        <f t="shared" si="30"/>
        <v>21.465729279405426</v>
      </c>
      <c r="L73" s="49">
        <f t="shared" si="30"/>
        <v>21.424863670107154</v>
      </c>
    </row>
    <row r="74" spans="1:12" s="286" customFormat="1" x14ac:dyDescent="0.2">
      <c r="A74" s="286" t="str">
        <f t="shared" si="26"/>
        <v>Support services</v>
      </c>
      <c r="B74" s="49">
        <f t="shared" ref="B74:E74" si="31">IF(AND(C$5-B$5 &lt;&gt; 0,B31&lt;&gt;0,C31&lt;&gt;0),(EXP(LN(C31/B31)/(C$5-B$5))-1)*100,0)</f>
        <v>2.0180254265018682</v>
      </c>
      <c r="C74" s="53">
        <f t="shared" si="31"/>
        <v>-0.37815156708297382</v>
      </c>
      <c r="D74" s="49">
        <f t="shared" si="31"/>
        <v>0.76760012493757301</v>
      </c>
      <c r="E74" s="49">
        <f t="shared" si="31"/>
        <v>0.46817971533135161</v>
      </c>
      <c r="F74" s="53">
        <f t="shared" si="18"/>
        <v>0.61777854253628472</v>
      </c>
      <c r="H74" s="49">
        <f>(B31/B$25)*100</f>
        <v>26.063514595895199</v>
      </c>
      <c r="I74" s="49">
        <f t="shared" ref="I74:L74" si="32">(C31/C$25)*100</f>
        <v>29.584073252611535</v>
      </c>
      <c r="J74" s="49">
        <f t="shared" si="32"/>
        <v>25.82224707887627</v>
      </c>
      <c r="K74" s="49">
        <f t="shared" si="32"/>
        <v>25.763388763345063</v>
      </c>
      <c r="L74" s="49">
        <f t="shared" si="32"/>
        <v>25.763419494154522</v>
      </c>
    </row>
    <row r="75" spans="1:12" s="286" customFormat="1" x14ac:dyDescent="0.2">
      <c r="A75" s="286" t="str">
        <f t="shared" si="26"/>
        <v>Arts and entertainment</v>
      </c>
      <c r="B75" s="49">
        <f t="shared" ref="B75:E75" si="33">IF(AND(C$5-B$5 &lt;&gt; 0,B32&lt;&gt;0,C32&lt;&gt;0),(EXP(LN(C32/B32)/(C$5-B$5))-1)*100,0)</f>
        <v>1.8640086107031495</v>
      </c>
      <c r="C75" s="53">
        <f t="shared" si="33"/>
        <v>0.42489278484321158</v>
      </c>
      <c r="D75" s="49">
        <f t="shared" si="33"/>
        <v>1.217984386660631</v>
      </c>
      <c r="E75" s="49">
        <f t="shared" si="33"/>
        <v>0.61568958311521982</v>
      </c>
      <c r="F75" s="53">
        <f t="shared" si="18"/>
        <v>0.91638765471566686</v>
      </c>
      <c r="H75" s="49">
        <f t="shared" ref="H75:L75" si="34">(B32/B$25)*100</f>
        <v>12.095708174115764</v>
      </c>
      <c r="I75" s="49">
        <f t="shared" si="34"/>
        <v>13.626224420517849</v>
      </c>
      <c r="J75" s="49">
        <f t="shared" si="34"/>
        <v>12.380708726991099</v>
      </c>
      <c r="K75" s="49">
        <f t="shared" si="34"/>
        <v>12.631016623231989</v>
      </c>
      <c r="L75" s="49">
        <f t="shared" si="34"/>
        <v>12.724030341372178</v>
      </c>
    </row>
    <row r="76" spans="1:12" s="286" customFormat="1" x14ac:dyDescent="0.2">
      <c r="A76" s="286" t="str">
        <f t="shared" si="26"/>
        <v>Other services</v>
      </c>
      <c r="B76" s="49">
        <f t="shared" ref="B76:E76" si="35">IF(AND(C$5-B$5 &lt;&gt; 0,B33&lt;&gt;0,C33&lt;&gt;0),(EXP(LN(C33/B33)/(C$5-B$5))-1)*100,0)</f>
        <v>0.55973646578182379</v>
      </c>
      <c r="C76" s="53">
        <f t="shared" si="35"/>
        <v>2.9884806404220976</v>
      </c>
      <c r="D76" s="49">
        <f t="shared" si="35"/>
        <v>0.50054987121901373</v>
      </c>
      <c r="E76" s="49">
        <f t="shared" si="35"/>
        <v>-3.3755581809502555E-2</v>
      </c>
      <c r="F76" s="53">
        <f t="shared" si="18"/>
        <v>0.23304112212112482</v>
      </c>
      <c r="H76" s="49">
        <f t="shared" ref="H76:L76" si="36">(B33/B$25)*100</f>
        <v>12.01008002818449</v>
      </c>
      <c r="I76" s="49">
        <f t="shared" si="36"/>
        <v>12.685481524606345</v>
      </c>
      <c r="J76" s="49">
        <f t="shared" si="36"/>
        <v>13.074145029732282</v>
      </c>
      <c r="K76" s="49">
        <f t="shared" si="36"/>
        <v>12.872410020289918</v>
      </c>
      <c r="L76" s="49">
        <f t="shared" si="36"/>
        <v>12.554071477626719</v>
      </c>
    </row>
    <row r="77" spans="1:12" x14ac:dyDescent="0.2">
      <c r="B77" s="49"/>
      <c r="C77" s="53"/>
      <c r="D77" s="49"/>
      <c r="E77" s="49"/>
      <c r="F77" s="53">
        <f t="shared" si="18"/>
        <v>0</v>
      </c>
      <c r="H77" s="49"/>
      <c r="I77" s="49"/>
      <c r="J77" s="49"/>
      <c r="K77" s="49"/>
      <c r="L77" s="49"/>
    </row>
    <row r="78" spans="1:12" s="34" customFormat="1" x14ac:dyDescent="0.2">
      <c r="A78" s="34" t="str">
        <f>A35</f>
        <v>Non-marketed services</v>
      </c>
      <c r="B78" s="53">
        <f t="shared" ref="B78:E79" si="37">IF(AND(C$5-B$5 &lt;&gt; 0,B35&lt;&gt;0,C35&lt;&gt;0),(EXP(LN(C35/B35)/(C$5-B$5))-1)*100,0)</f>
        <v>1.0879612289685259</v>
      </c>
      <c r="C78" s="53">
        <f t="shared" ref="C78:C83" si="38">IF(AND(D$5-C$5 &lt;&gt; 0,C35&lt;&gt;0,D35&lt;&gt;0),(EXP(LN(D35/C35)/(D$5-C$5))-1)*100,0)</f>
        <v>2.2516332590038379</v>
      </c>
      <c r="D78" s="53">
        <f t="shared" si="37"/>
        <v>0.30436002501545989</v>
      </c>
      <c r="E78" s="53">
        <f t="shared" si="37"/>
        <v>0.52575928943001671</v>
      </c>
      <c r="F78" s="53">
        <f t="shared" si="18"/>
        <v>0.41499863842566764</v>
      </c>
      <c r="H78" s="53">
        <f>(B35/B$40)*100</f>
        <v>28.730623215637713</v>
      </c>
      <c r="I78" s="53">
        <f>(C35/C$40)*100</f>
        <v>31.468953765115998</v>
      </c>
      <c r="J78" s="53">
        <f>(D35/D$40)*100</f>
        <v>31.222740821680254</v>
      </c>
      <c r="K78" s="53">
        <f>(E35/E$40)*100</f>
        <v>31.361965792913061</v>
      </c>
      <c r="L78" s="53">
        <f>(F35/F$40)*100</f>
        <v>31.72556499510603</v>
      </c>
    </row>
    <row r="79" spans="1:12" x14ac:dyDescent="0.2">
      <c r="A79" t="str">
        <f>A36</f>
        <v>Public admin. and defence</v>
      </c>
      <c r="B79" s="49">
        <f t="shared" si="37"/>
        <v>-2.4632516910511604</v>
      </c>
      <c r="C79" s="53">
        <f t="shared" si="38"/>
        <v>-0.21613366944209789</v>
      </c>
      <c r="D79" s="49">
        <f t="shared" si="37"/>
        <v>-0.19749989627320108</v>
      </c>
      <c r="E79" s="49">
        <f t="shared" si="37"/>
        <v>-1.9827070796607504E-2</v>
      </c>
      <c r="F79" s="53">
        <f t="shared" si="18"/>
        <v>-0.10870298600861306</v>
      </c>
      <c r="H79" s="49">
        <f>(B36/B$35)*100</f>
        <v>23.64076530662626</v>
      </c>
      <c r="I79" s="49">
        <f t="shared" ref="I79:L81" si="39">(C36/C$35)*100</f>
        <v>19.769956237664292</v>
      </c>
      <c r="J79" s="49">
        <f t="shared" si="39"/>
        <v>17.49669725508938</v>
      </c>
      <c r="K79" s="49">
        <f t="shared" si="39"/>
        <v>17.06334313508351</v>
      </c>
      <c r="L79" s="49">
        <f t="shared" si="39"/>
        <v>16.605300213515967</v>
      </c>
    </row>
    <row r="80" spans="1:12" x14ac:dyDescent="0.2">
      <c r="A80" t="str">
        <f>A37</f>
        <v>Education</v>
      </c>
      <c r="B80" s="49">
        <f t="shared" ref="B80:E81" si="40">IF(AND(C$5-B$5 &lt;&gt; 0,B37&lt;&gt;0,C37&lt;&gt;0),(EXP(LN(C37/B37)/(C$5-B$5))-1)*100,0)</f>
        <v>2.884380432825151</v>
      </c>
      <c r="C80" s="53">
        <f t="shared" si="38"/>
        <v>-8.1125736730891518E-2</v>
      </c>
      <c r="D80" s="49">
        <f t="shared" si="40"/>
        <v>-0.61919681586657394</v>
      </c>
      <c r="E80" s="49">
        <f t="shared" si="40"/>
        <v>0.24205836149713278</v>
      </c>
      <c r="F80" s="53">
        <f t="shared" si="18"/>
        <v>-0.18949818382655303</v>
      </c>
      <c r="H80" s="49">
        <f>(B37/B$35)*100</f>
        <v>30.003087907238367</v>
      </c>
      <c r="I80" s="49">
        <f t="shared" si="39"/>
        <v>32.765439611491331</v>
      </c>
      <c r="J80" s="49">
        <f t="shared" si="39"/>
        <v>29.194590826093542</v>
      </c>
      <c r="K80" s="49">
        <f t="shared" si="39"/>
        <v>27.875062378413773</v>
      </c>
      <c r="L80" s="49">
        <f t="shared" si="39"/>
        <v>27.48393524706756</v>
      </c>
    </row>
    <row r="81" spans="1:12" x14ac:dyDescent="0.2">
      <c r="A81" t="str">
        <f>A38</f>
        <v>Health and social work</v>
      </c>
      <c r="B81" s="49">
        <f>IF(AND(C$5-B$5 &lt;&gt; 0,B38&lt;&gt;0,C38&lt;&gt;0),(EXP(LN(C38/B38)/(C$5-B$5))-1)*100,0)</f>
        <v>1.5668408803896083</v>
      </c>
      <c r="C81" s="53">
        <f t="shared" si="38"/>
        <v>4.6540208651338011</v>
      </c>
      <c r="D81" s="49">
        <f t="shared" si="40"/>
        <v>0.95548749721299231</v>
      </c>
      <c r="E81" s="49">
        <f t="shared" si="40"/>
        <v>0.83392940133073523</v>
      </c>
      <c r="F81" s="53">
        <f t="shared" si="18"/>
        <v>0.8946901425981979</v>
      </c>
      <c r="H81" s="49">
        <f>(B38/B$35)*100</f>
        <v>46.356146786135355</v>
      </c>
      <c r="I81" s="49">
        <f t="shared" si="39"/>
        <v>47.464604150844366</v>
      </c>
      <c r="J81" s="49">
        <f t="shared" si="39"/>
        <v>53.308711918817089</v>
      </c>
      <c r="K81" s="49">
        <f t="shared" si="39"/>
        <v>55.06159448650272</v>
      </c>
      <c r="L81" s="49">
        <f t="shared" si="39"/>
        <v>55.910764539416476</v>
      </c>
    </row>
    <row r="82" spans="1:12" x14ac:dyDescent="0.2">
      <c r="B82" s="49"/>
      <c r="C82" s="53"/>
      <c r="D82" s="49"/>
      <c r="E82" s="49"/>
      <c r="F82" s="53"/>
      <c r="H82" s="49"/>
      <c r="I82" s="49"/>
      <c r="J82" s="49"/>
      <c r="K82" s="49"/>
      <c r="L82" s="49"/>
    </row>
    <row r="83" spans="1:12" x14ac:dyDescent="0.2">
      <c r="A83" s="37" t="str">
        <f>A40</f>
        <v>All industries</v>
      </c>
      <c r="B83" s="52">
        <f>IF(AND(C$5-B$5 &lt;&gt; 0,B40&lt;&gt;0,C40&lt;&gt;0),(EXP(LN(C40/B40)/(C$5-B$5))-1)*100,0)</f>
        <v>-0.73595101326741075</v>
      </c>
      <c r="C83" s="304">
        <f t="shared" si="38"/>
        <v>2.4123919723173071</v>
      </c>
      <c r="D83" s="52">
        <f>IF(AND(E$5-D$5 &lt;&gt; 0,D40&lt;&gt;0,E40&lt;&gt;0),(EXP(LN(E40/D40)/(E$5-D$5))-1)*100,0)</f>
        <v>0.21514536510913729</v>
      </c>
      <c r="E83" s="52">
        <f>IF(AND(F$5-E$5 &lt;&gt; 0,E40&lt;&gt;0,F40&lt;&gt;0),(EXP(LN(F40/E40)/(F$5-E$5))-1)*100,0)</f>
        <v>0.29427525578473723</v>
      </c>
      <c r="F83" s="304">
        <f t="shared" si="18"/>
        <v>0.25470250340746681</v>
      </c>
      <c r="G83" s="37"/>
      <c r="H83" s="52">
        <f>(B40/B$40)*100</f>
        <v>100</v>
      </c>
      <c r="I83" s="52">
        <f>(C40/C$40)*100</f>
        <v>100</v>
      </c>
      <c r="J83" s="52">
        <f>(D40/D$40)*100</f>
        <v>100</v>
      </c>
      <c r="K83" s="52">
        <f>(E40/E$40)*100</f>
        <v>100</v>
      </c>
      <c r="L83" s="52">
        <f>(F40/F$40)*100</f>
        <v>100</v>
      </c>
    </row>
    <row r="86" spans="1:12" x14ac:dyDescent="0.2">
      <c r="A86" s="41"/>
      <c r="B86" s="32" t="s">
        <v>14</v>
      </c>
      <c r="C86" s="32"/>
    </row>
    <row r="87" spans="1:12" x14ac:dyDescent="0.2">
      <c r="A87" s="37"/>
      <c r="B87" s="42" t="str">
        <f>B5&amp;"-"&amp;D5</f>
        <v>2007-2017</v>
      </c>
      <c r="C87" s="42" t="str">
        <f>F48</f>
        <v>2017-2027</v>
      </c>
    </row>
    <row r="88" spans="1:12" x14ac:dyDescent="0.2">
      <c r="A88" s="286"/>
      <c r="B88" s="286"/>
      <c r="C88" s="286"/>
    </row>
    <row r="89" spans="1:12" x14ac:dyDescent="0.2">
      <c r="A89" s="34" t="str">
        <f>A7</f>
        <v>Primary sector and utilities</v>
      </c>
      <c r="B89" s="53">
        <f>IF(AND(D$5-B$5 &lt;&gt; 0,B7&lt;&gt;0,D7&lt;&gt;0),(EXP(LN(D7/B7)/(D$5-B$5))-1)*100,0)</f>
        <v>4.539781998099679</v>
      </c>
      <c r="C89" s="53">
        <f>IF(AND(F$5-D$5 &lt;&gt; 0,D7&lt;&gt;0,F7&lt;&gt;0),(EXP(LN(F7/D7)/(F$5-D$5))-1)*100,0)</f>
        <v>0.14288242996218781</v>
      </c>
    </row>
    <row r="90" spans="1:12" x14ac:dyDescent="0.2">
      <c r="A90" s="34" t="str">
        <f t="shared" ref="A90:A122" si="41">A8</f>
        <v>Agriculture</v>
      </c>
      <c r="B90" s="53">
        <f t="shared" ref="B90:B122" si="42">IF(AND(D$5-B$5 &lt;&gt; 0,B8&lt;&gt;0,D8&lt;&gt;0),(EXP(LN(D8/B8)/(D$5-B$5))-1)*100,0)</f>
        <v>4.8882670519198035</v>
      </c>
      <c r="C90" s="53">
        <f t="shared" ref="C90:C122" si="43">IF(AND(F$5-D$5 &lt;&gt; 0,D8&lt;&gt;0,F8&lt;&gt;0),(EXP(LN(F8/D8)/(F$5-D$5))-1)*100,0)</f>
        <v>3.0882641103624486E-2</v>
      </c>
    </row>
    <row r="91" spans="1:12" x14ac:dyDescent="0.2">
      <c r="A91" s="34" t="str">
        <f t="shared" si="41"/>
        <v>Mining and quarrying</v>
      </c>
      <c r="B91" s="53">
        <f t="shared" si="42"/>
        <v>5.2822772817520125</v>
      </c>
      <c r="C91" s="53">
        <f t="shared" si="43"/>
        <v>-2.0428219945939574</v>
      </c>
    </row>
    <row r="92" spans="1:12" x14ac:dyDescent="0.2">
      <c r="A92" s="34" t="str">
        <f t="shared" si="41"/>
        <v>Electricity and gas</v>
      </c>
      <c r="B92" s="53">
        <f t="shared" si="42"/>
        <v>5.3718803082824618</v>
      </c>
      <c r="C92" s="53">
        <f t="shared" si="43"/>
        <v>-0.22912000484592854</v>
      </c>
    </row>
    <row r="93" spans="1:12" x14ac:dyDescent="0.2">
      <c r="A93" s="34" t="str">
        <f t="shared" si="41"/>
        <v>Water and sewerage</v>
      </c>
      <c r="B93" s="53">
        <f t="shared" si="42"/>
        <v>2.3013924287680565</v>
      </c>
      <c r="C93" s="53">
        <f t="shared" si="43"/>
        <v>1.3878789786186951</v>
      </c>
    </row>
    <row r="94" spans="1:12" x14ac:dyDescent="0.2">
      <c r="A94" s="34"/>
      <c r="B94" s="53"/>
      <c r="C94" s="53"/>
    </row>
    <row r="95" spans="1:12" x14ac:dyDescent="0.2">
      <c r="A95" s="34" t="str">
        <f t="shared" si="41"/>
        <v>Manufacturing</v>
      </c>
      <c r="B95" s="53">
        <f t="shared" si="42"/>
        <v>-1.5797525278207991</v>
      </c>
      <c r="C95" s="53">
        <f t="shared" si="43"/>
        <v>-0.88670041954280743</v>
      </c>
    </row>
    <row r="96" spans="1:12" x14ac:dyDescent="0.2">
      <c r="A96" s="34" t="str">
        <f t="shared" si="41"/>
        <v>Food drink and tobacco</v>
      </c>
      <c r="B96" s="53">
        <f t="shared" si="42"/>
        <v>-1.6625847907383973</v>
      </c>
      <c r="C96" s="53">
        <f t="shared" si="43"/>
        <v>-1.0921235169110366</v>
      </c>
    </row>
    <row r="97" spans="1:3" x14ac:dyDescent="0.2">
      <c r="A97" s="34" t="str">
        <f t="shared" si="41"/>
        <v>Engineering</v>
      </c>
      <c r="B97" s="53">
        <f t="shared" si="42"/>
        <v>-3.8180474647720231</v>
      </c>
      <c r="C97" s="53">
        <f t="shared" si="43"/>
        <v>-0.49413998603901055</v>
      </c>
    </row>
    <row r="98" spans="1:3" x14ac:dyDescent="0.2">
      <c r="A98" s="34" t="str">
        <f t="shared" si="41"/>
        <v>Rest of manufacturing</v>
      </c>
      <c r="B98" s="53">
        <f t="shared" si="42"/>
        <v>-1.1650293127010047</v>
      </c>
      <c r="C98" s="53">
        <f t="shared" si="43"/>
        <v>-0.91053944986086988</v>
      </c>
    </row>
    <row r="99" spans="1:3" x14ac:dyDescent="0.2">
      <c r="A99" s="34"/>
      <c r="B99" s="53"/>
      <c r="C99" s="53"/>
    </row>
    <row r="100" spans="1:3" x14ac:dyDescent="0.2">
      <c r="A100" s="34" t="str">
        <f t="shared" si="41"/>
        <v>Construction</v>
      </c>
      <c r="B100" s="53">
        <f t="shared" si="42"/>
        <v>-0.66045998983590426</v>
      </c>
      <c r="C100" s="53">
        <f t="shared" si="43"/>
        <v>9.3911802122881305E-2</v>
      </c>
    </row>
    <row r="101" spans="1:3" x14ac:dyDescent="0.2">
      <c r="A101" s="34"/>
      <c r="B101" s="53"/>
      <c r="C101" s="53"/>
    </row>
    <row r="102" spans="1:3" x14ac:dyDescent="0.2">
      <c r="A102" s="34" t="str">
        <f t="shared" si="41"/>
        <v>Trade, accomod. and transport</v>
      </c>
      <c r="B102" s="53">
        <f t="shared" si="42"/>
        <v>0.60834045974265116</v>
      </c>
      <c r="C102" s="53">
        <f t="shared" si="43"/>
        <v>0.19215683790405613</v>
      </c>
    </row>
    <row r="103" spans="1:3" x14ac:dyDescent="0.2">
      <c r="A103" s="34" t="str">
        <f t="shared" si="41"/>
        <v>Wholesale and retail trade</v>
      </c>
      <c r="B103" s="53">
        <f t="shared" si="42"/>
        <v>-0.52525108011537425</v>
      </c>
      <c r="C103" s="53">
        <f t="shared" si="43"/>
        <v>9.4458822663456843E-2</v>
      </c>
    </row>
    <row r="104" spans="1:3" x14ac:dyDescent="0.2">
      <c r="A104" s="34" t="str">
        <f t="shared" si="41"/>
        <v>Transport and storage</v>
      </c>
      <c r="B104" s="53">
        <f t="shared" si="42"/>
        <v>-1.9216063434280062</v>
      </c>
      <c r="C104" s="53">
        <f t="shared" si="43"/>
        <v>-0.10059759038657523</v>
      </c>
    </row>
    <row r="105" spans="1:3" x14ac:dyDescent="0.2">
      <c r="A105" s="34" t="str">
        <f t="shared" si="41"/>
        <v>Accommodation and food</v>
      </c>
      <c r="B105" s="53">
        <f t="shared" si="42"/>
        <v>3.6903970196577429</v>
      </c>
      <c r="C105" s="53">
        <f t="shared" si="43"/>
        <v>0.41679792688689155</v>
      </c>
    </row>
    <row r="106" spans="1:3" x14ac:dyDescent="0.2">
      <c r="A106" s="34"/>
      <c r="B106" s="53"/>
      <c r="C106" s="53"/>
    </row>
    <row r="107" spans="1:3" x14ac:dyDescent="0.2">
      <c r="A107" s="34" t="str">
        <f t="shared" si="41"/>
        <v>Business and other services</v>
      </c>
      <c r="B107" s="53">
        <f t="shared" si="42"/>
        <v>0.9066176783572466</v>
      </c>
      <c r="C107" s="53">
        <f t="shared" si="43"/>
        <v>0.64072979589373524</v>
      </c>
    </row>
    <row r="108" spans="1:3" x14ac:dyDescent="0.2">
      <c r="A108" s="34" t="str">
        <f t="shared" si="41"/>
        <v>Media</v>
      </c>
      <c r="B108" s="53">
        <f t="shared" si="42"/>
        <v>-2.9379851449360728</v>
      </c>
      <c r="C108" s="53">
        <f t="shared" si="43"/>
        <v>0.14915535506434541</v>
      </c>
    </row>
    <row r="109" spans="1:3" x14ac:dyDescent="0.2">
      <c r="A109" s="34" t="str">
        <f t="shared" si="41"/>
        <v>Information technology</v>
      </c>
      <c r="B109" s="53">
        <f t="shared" si="42"/>
        <v>3.2591971434865474</v>
      </c>
      <c r="C109" s="53">
        <f t="shared" si="43"/>
        <v>0.40596276089932548</v>
      </c>
    </row>
    <row r="110" spans="1:3" x14ac:dyDescent="0.2">
      <c r="A110" s="34" t="str">
        <f t="shared" si="41"/>
        <v>Finance and insurance</v>
      </c>
      <c r="B110" s="53">
        <f t="shared" si="42"/>
        <v>-1.3966763190042641</v>
      </c>
      <c r="C110" s="53">
        <f t="shared" si="43"/>
        <v>0.94169514715478631</v>
      </c>
    </row>
    <row r="111" spans="1:3" x14ac:dyDescent="0.2">
      <c r="A111" s="34" t="str">
        <f t="shared" si="41"/>
        <v>Real estate</v>
      </c>
      <c r="B111" s="53">
        <f t="shared" si="42"/>
        <v>5.1906432045870643</v>
      </c>
      <c r="C111" s="53">
        <f t="shared" si="43"/>
        <v>0.8338668858585585</v>
      </c>
    </row>
    <row r="112" spans="1:3" x14ac:dyDescent="0.2">
      <c r="A112" s="34" t="str">
        <f t="shared" si="41"/>
        <v>Professional services</v>
      </c>
      <c r="B112" s="53">
        <f t="shared" si="42"/>
        <v>0.25769966366862018</v>
      </c>
      <c r="C112" s="53">
        <f t="shared" si="43"/>
        <v>0.70651871677238631</v>
      </c>
    </row>
    <row r="113" spans="1:3" x14ac:dyDescent="0.2">
      <c r="A113" s="34" t="str">
        <f t="shared" si="41"/>
        <v>Support services</v>
      </c>
      <c r="B113" s="53">
        <f t="shared" si="42"/>
        <v>0.81281796708414511</v>
      </c>
      <c r="C113" s="53">
        <f t="shared" si="43"/>
        <v>0.61777854253628472</v>
      </c>
    </row>
    <row r="114" spans="1:3" x14ac:dyDescent="0.2">
      <c r="A114" s="34" t="str">
        <f t="shared" si="41"/>
        <v>Arts and entertainment</v>
      </c>
      <c r="B114" s="53">
        <f t="shared" si="42"/>
        <v>1.1418911399436293</v>
      </c>
      <c r="C114" s="53">
        <f t="shared" si="43"/>
        <v>0.91638765471566686</v>
      </c>
    </row>
    <row r="115" spans="1:3" x14ac:dyDescent="0.2">
      <c r="A115" s="34" t="str">
        <f t="shared" si="41"/>
        <v>Other services</v>
      </c>
      <c r="B115" s="53">
        <f t="shared" si="42"/>
        <v>1.766863330910029</v>
      </c>
      <c r="C115" s="53">
        <f t="shared" si="43"/>
        <v>0.23304112212112482</v>
      </c>
    </row>
    <row r="116" spans="1:3" x14ac:dyDescent="0.2">
      <c r="A116" s="34"/>
      <c r="B116" s="53"/>
      <c r="C116" s="53"/>
    </row>
    <row r="117" spans="1:3" x14ac:dyDescent="0.2">
      <c r="A117" s="34" t="str">
        <f t="shared" si="41"/>
        <v>Non-marketed services</v>
      </c>
      <c r="B117" s="53">
        <f t="shared" si="42"/>
        <v>1.6681323644970325</v>
      </c>
      <c r="C117" s="53">
        <f t="shared" si="43"/>
        <v>0.41499863842566764</v>
      </c>
    </row>
    <row r="118" spans="1:3" x14ac:dyDescent="0.2">
      <c r="A118" s="34" t="str">
        <f t="shared" si="41"/>
        <v>Public admin. and defence</v>
      </c>
      <c r="B118" s="53">
        <f t="shared" si="42"/>
        <v>-1.3460905205606166</v>
      </c>
      <c r="C118" s="53">
        <f t="shared" si="43"/>
        <v>-0.10870298600861306</v>
      </c>
    </row>
    <row r="119" spans="1:3" x14ac:dyDescent="0.2">
      <c r="A119" s="34" t="str">
        <f t="shared" si="41"/>
        <v>Education</v>
      </c>
      <c r="B119" s="53">
        <f t="shared" si="42"/>
        <v>1.3907859330511529</v>
      </c>
      <c r="C119" s="53">
        <f t="shared" si="43"/>
        <v>-0.18949818382655303</v>
      </c>
    </row>
    <row r="120" spans="1:3" x14ac:dyDescent="0.2">
      <c r="A120" s="34" t="str">
        <f t="shared" si="41"/>
        <v>Health and social work</v>
      </c>
      <c r="B120" s="53">
        <f t="shared" si="42"/>
        <v>3.0988762533424419</v>
      </c>
      <c r="C120" s="53">
        <f t="shared" si="43"/>
        <v>0.8946901425981979</v>
      </c>
    </row>
    <row r="121" spans="1:3" x14ac:dyDescent="0.2">
      <c r="A121" s="34"/>
      <c r="B121" s="53"/>
      <c r="C121" s="53"/>
    </row>
    <row r="122" spans="1:3" x14ac:dyDescent="0.2">
      <c r="A122" s="493" t="str">
        <f t="shared" si="41"/>
        <v>All industries</v>
      </c>
      <c r="B122" s="304">
        <f t="shared" si="42"/>
        <v>0.82593264427839319</v>
      </c>
      <c r="C122" s="304">
        <f t="shared" si="43"/>
        <v>0.25470250340746681</v>
      </c>
    </row>
  </sheetData>
  <phoneticPr fontId="5" type="noConversion"/>
  <pageMargins left="0.75" right="0.75" top="1" bottom="1" header="0.5" footer="0.5"/>
  <pageSetup paperSize="9" scale="83" orientation="landscape" r:id="rId1"/>
  <headerFooter alignWithMargins="0"/>
  <rowBreaks count="1" manualBreakCount="1">
    <brk id="43" max="11" man="1"/>
  </rowBreaks>
  <ignoredErrors>
    <ignoredError sqref="I6 I39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FF3C5B18883D4E21973B57C2EEED7FD1" version="1.0.0">
  <systemFields>
    <field name="Objective-Id">
      <value order="0">A30988097</value>
    </field>
    <field name="Objective-Title">
      <value order="0">WA_MainTables.Main</value>
    </field>
    <field name="Objective-Description">
      <value order="0"/>
    </field>
    <field name="Objective-CreationStamp">
      <value order="0">2020-08-06T15:46:13Z</value>
    </field>
    <field name="Objective-IsApproved">
      <value order="0">false</value>
    </field>
    <field name="Objective-IsPublished">
      <value order="0">true</value>
    </field>
    <field name="Objective-DatePublished">
      <value order="0">2020-08-06T15:47:20Z</value>
    </field>
    <field name="Objective-ModificationStamp">
      <value order="0">2020-08-06T15:47:20Z</value>
    </field>
    <field name="Objective-Owner">
      <value order="0">Higgins, Thomas (OFM - WEFO)</value>
    </field>
    <field name="Objective-Path">
      <value order="0">Objective Global Folder:Business File Plan:Economy, Skills &amp; Natural Resources (ESNR):Economy, Skills &amp; Natural Resources (ESNR) - SHELL - Employability &amp; Skills:1 - Save:Skills  Policy Engagement  Team:Policy &amp; Intelligence Branch:Labour Market Intelligence:DfES - Skills Intelligence and Strategy Branch - Labour Market Intelligence (LMI) - UK Commission for Employment and Skills (UKCES) - Research Development - 2011-2016:Working Futures 2017-2027</value>
    </field>
    <field name="Objective-Parent">
      <value order="0">Working Futures 2017-2027</value>
    </field>
    <field name="Objective-State">
      <value order="0">Published</value>
    </field>
    <field name="Objective-VersionId">
      <value order="0">vA61712110</value>
    </field>
    <field name="Objective-Version">
      <value order="0">1.0</value>
    </field>
    <field name="Objective-VersionNumber">
      <value order="0">2</value>
    </field>
    <field name="Objective-VersionComment">
      <value order="0">Version 2</value>
    </field>
    <field name="Objective-FileNumber">
      <value order="0">qA958208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14">
      <field name="Objective-Language">
        <value order="0">English (eng)</value>
      </field>
      <field name="Objective-Date Acquired">
        <value order="0"/>
      </field>
      <field name="Objective-What to Keep">
        <value order="0">No</value>
      </field>
      <field name="Objective-Official Transl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32</vt:i4>
      </vt:variant>
    </vt:vector>
  </HeadingPairs>
  <TitlesOfParts>
    <vt:vector size="68" baseType="lpstr">
      <vt:lpstr>Stored</vt:lpstr>
      <vt:lpstr>Warning</vt:lpstr>
      <vt:lpstr>Info</vt:lpstr>
      <vt:lpstr>Manager</vt:lpstr>
      <vt:lpstr>Contents</vt:lpstr>
      <vt:lpstr>Ind T1</vt:lpstr>
      <vt:lpstr>Ind T2</vt:lpstr>
      <vt:lpstr>Ind T3</vt:lpstr>
      <vt:lpstr>Ind T4</vt:lpstr>
      <vt:lpstr>Ind T5</vt:lpstr>
      <vt:lpstr>Ind T6</vt:lpstr>
      <vt:lpstr>Ind F1</vt:lpstr>
      <vt:lpstr>Ind F2</vt:lpstr>
      <vt:lpstr>Ind Occ T1</vt:lpstr>
      <vt:lpstr>Ind Occ T2</vt:lpstr>
      <vt:lpstr>Occ T1</vt:lpstr>
      <vt:lpstr>Occ T2</vt:lpstr>
      <vt:lpstr>Occ T3</vt:lpstr>
      <vt:lpstr>Occ T4</vt:lpstr>
      <vt:lpstr>Occ T5</vt:lpstr>
      <vt:lpstr>Occ F1</vt:lpstr>
      <vt:lpstr>Occ F2</vt:lpstr>
      <vt:lpstr>Occ F3</vt:lpstr>
      <vt:lpstr>Occ F4</vt:lpstr>
      <vt:lpstr>Occ F5</vt:lpstr>
      <vt:lpstr>Qual T1</vt:lpstr>
      <vt:lpstr>Qual F1</vt:lpstr>
      <vt:lpstr>ShiftShare T1</vt:lpstr>
      <vt:lpstr>RD T1</vt:lpstr>
      <vt:lpstr>RD F1</vt:lpstr>
      <vt:lpstr>Basic T1</vt:lpstr>
      <vt:lpstr>Basic T2</vt:lpstr>
      <vt:lpstr>Basic T3</vt:lpstr>
      <vt:lpstr>name</vt:lpstr>
      <vt:lpstr>aggregation</vt:lpstr>
      <vt:lpstr>AggregationTables</vt:lpstr>
      <vt:lpstr>'Basic T1'!Print_Area</vt:lpstr>
      <vt:lpstr>'Basic T2'!Print_Area</vt:lpstr>
      <vt:lpstr>'Basic T3'!Print_Area</vt:lpstr>
      <vt:lpstr>BasicTable5!Print_Area</vt:lpstr>
      <vt:lpstr>'Ind F1'!Print_Area</vt:lpstr>
      <vt:lpstr>'Ind F2'!Print_Area</vt:lpstr>
      <vt:lpstr>'Ind Occ T1'!Print_Area</vt:lpstr>
      <vt:lpstr>'Ind Occ T2'!Print_Area</vt:lpstr>
      <vt:lpstr>'Ind T1'!Print_Area</vt:lpstr>
      <vt:lpstr>'Ind T2'!Print_Area</vt:lpstr>
      <vt:lpstr>'Ind T3'!Print_Area</vt:lpstr>
      <vt:lpstr>'Ind T4'!Print_Area</vt:lpstr>
      <vt:lpstr>'Ind T5'!Print_Area</vt:lpstr>
      <vt:lpstr>'Ind T6'!Print_Area</vt:lpstr>
      <vt:lpstr>Manager!Print_Area</vt:lpstr>
      <vt:lpstr>'Occ F1'!Print_Area</vt:lpstr>
      <vt:lpstr>'Occ F2'!Print_Area</vt:lpstr>
      <vt:lpstr>'Occ F3'!Print_Area</vt:lpstr>
      <vt:lpstr>'Occ F4'!Print_Area</vt:lpstr>
      <vt:lpstr>'Occ F5'!Print_Area</vt:lpstr>
      <vt:lpstr>'Occ T1'!Print_Area</vt:lpstr>
      <vt:lpstr>'Occ T2'!Print_Area</vt:lpstr>
      <vt:lpstr>'Occ T3'!Print_Area</vt:lpstr>
      <vt:lpstr>'Occ T4'!Print_Area</vt:lpstr>
      <vt:lpstr>'Occ T5'!Print_Area</vt:lpstr>
      <vt:lpstr>'Qual F1'!Print_Area</vt:lpstr>
      <vt:lpstr>'Qual T1'!Print_Area</vt:lpstr>
      <vt:lpstr>'RD F1'!Print_Area</vt:lpstr>
      <vt:lpstr>'RD T1'!Print_Area</vt:lpstr>
      <vt:lpstr>'ShiftShare T1'!Print_Area</vt:lpstr>
      <vt:lpstr>'Basic T3'!Print_Titles</vt:lpstr>
      <vt:lpstr>SummaryTable12!Print_Titles</vt:lpstr>
    </vt:vector>
  </TitlesOfParts>
  <Company>University of Warwick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 Services</dc:creator>
  <cp:lastModifiedBy>GriffithG</cp:lastModifiedBy>
  <cp:lastPrinted>2019-03-05T13:17:01Z</cp:lastPrinted>
  <dcterms:created xsi:type="dcterms:W3CDTF">2006-08-30T09:48:05Z</dcterms:created>
  <dcterms:modified xsi:type="dcterms:W3CDTF">2020-08-07T08:38:51Z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A30988097</vt:lpwstr>
  </property>
  <property fmtid="{D5CDD505-2E9C-101B-9397-08002B2CF9AE}" pid="4" name="Objective-Title">
    <vt:lpwstr>WA_MainTables.Main</vt:lpwstr>
  </property>
  <property fmtid="{D5CDD505-2E9C-101B-9397-08002B2CF9AE}" pid="5" name="Objective-Description">
    <vt:lpwstr/>
  </property>
  <property fmtid="{D5CDD505-2E9C-101B-9397-08002B2CF9AE}" pid="6" name="Objective-CreationStamp">
    <vt:filetime>2020-08-06T15:46:13Z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2020-08-06T15:47:20Z</vt:filetime>
  </property>
  <property fmtid="{D5CDD505-2E9C-101B-9397-08002B2CF9AE}" pid="10" name="Objective-ModificationStamp">
    <vt:filetime>2020-08-06T15:47:20Z</vt:filetime>
  </property>
  <property fmtid="{D5CDD505-2E9C-101B-9397-08002B2CF9AE}" pid="11" name="Objective-Owner">
    <vt:lpwstr>Higgins, Thomas (OFM - WEFO)</vt:lpwstr>
  </property>
  <property fmtid="{D5CDD505-2E9C-101B-9397-08002B2CF9AE}" pid="12" name="Objective-Path">
    <vt:lpwstr>Objective Global Folder:Business File Plan:Economy, Skills &amp; Natural Resources (ESNR):Economy, Skills &amp; Natural Resources (ESNR) - SHELL - Employability &amp; Skills:1 - Save:Skills  Policy Engagement  Team:Policy &amp; Intelligence Branch:Labour Market Intellige</vt:lpwstr>
  </property>
  <property fmtid="{D5CDD505-2E9C-101B-9397-08002B2CF9AE}" pid="13" name="Objective-Parent">
    <vt:lpwstr>Working Futures 2017-2027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vA61712110</vt:lpwstr>
  </property>
  <property fmtid="{D5CDD505-2E9C-101B-9397-08002B2CF9AE}" pid="16" name="Objective-Version">
    <vt:lpwstr>1.0</vt:lpwstr>
  </property>
  <property fmtid="{D5CDD505-2E9C-101B-9397-08002B2CF9AE}" pid="17" name="Objective-VersionNumber">
    <vt:r8>2</vt:r8>
  </property>
  <property fmtid="{D5CDD505-2E9C-101B-9397-08002B2CF9AE}" pid="18" name="Objective-VersionComment">
    <vt:lpwstr>Version 2</vt:lpwstr>
  </property>
  <property fmtid="{D5CDD505-2E9C-101B-9397-08002B2CF9AE}" pid="19" name="Objective-FileNumber">
    <vt:lpwstr>qA958208</vt:lpwstr>
  </property>
  <property fmtid="{D5CDD505-2E9C-101B-9397-08002B2CF9AE}" pid="20" name="Objective-Classification">
    <vt:lpwstr>Official</vt:lpwstr>
  </property>
  <property fmtid="{D5CDD505-2E9C-101B-9397-08002B2CF9AE}" pid="21" name="Objective-Caveats">
    <vt:lpwstr/>
  </property>
  <property fmtid="{D5CDD505-2E9C-101B-9397-08002B2CF9AE}" pid="22" name="Objective-Language">
    <vt:lpwstr>English (eng)</vt:lpwstr>
  </property>
  <property fmtid="{D5CDD505-2E9C-101B-9397-08002B2CF9AE}" pid="23" name="Objective-Date Acquired">
    <vt:lpwstr/>
  </property>
  <property fmtid="{D5CDD505-2E9C-101B-9397-08002B2CF9AE}" pid="24" name="Objective-What to Keep">
    <vt:lpwstr>No</vt:lpwstr>
  </property>
  <property fmtid="{D5CDD505-2E9C-101B-9397-08002B2CF9AE}" pid="25" name="Objective-Official Translation">
    <vt:lpwstr/>
  </property>
  <property fmtid="{D5CDD505-2E9C-101B-9397-08002B2CF9AE}" pid="26" name="Objective-Connect Creator">
    <vt:lpwstr/>
  </property>
</Properties>
</file>